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slicerCaches/slicerCache25.xml" ContentType="application/vnd.ms-excel.slicerCache+xml"/>
  <Override PartName="/xl/slicerCaches/slicerCache26.xml" ContentType="application/vnd.ms-excel.slicerCache+xml"/>
  <Override PartName="/xl/slicerCaches/slicerCache27.xml" ContentType="application/vnd.ms-excel.slicerCache+xml"/>
  <Override PartName="/xl/slicerCaches/slicerCache28.xml" ContentType="application/vnd.ms-excel.slicerCache+xml"/>
  <Override PartName="/xl/slicerCaches/slicerCache29.xml" ContentType="application/vnd.ms-excel.slicerCache+xml"/>
  <Override PartName="/xl/slicerCaches/slicerCache30.xml" ContentType="application/vnd.ms-excel.slicerCache+xml"/>
  <Override PartName="/xl/slicerCaches/slicerCache3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slicers/slicer2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slicers/slicer3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8.xml" ContentType="application/vnd.openxmlformats-officedocument.spreadsheetml.queryTable+xml"/>
  <Override PartName="/xl/slicers/slicer4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queryTables/queryTable9.xml" ContentType="application/vnd.openxmlformats-officedocument.spreadsheetml.query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0.xml" ContentType="application/vnd.openxmlformats-officedocument.spreadsheetml.queryTable+xml"/>
  <Override PartName="/xl/slicers/slicer5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tables/table16.xml" ContentType="application/vnd.openxmlformats-officedocument.spreadsheetml.table+xml"/>
  <Override PartName="/xl/queryTables/queryTable11.xml" ContentType="application/vnd.openxmlformats-officedocument.spreadsheetml.query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queryTables/queryTable12.xml" ContentType="application/vnd.openxmlformats-officedocument.spreadsheetml.queryTable+xml"/>
  <Override PartName="/xl/slicers/slicer6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tables/table19.xml" ContentType="application/vnd.openxmlformats-officedocument.spreadsheetml.table+xml"/>
  <Override PartName="/xl/queryTables/queryTable13.xml" ContentType="application/vnd.openxmlformats-officedocument.spreadsheetml.query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queryTables/queryTable14.xml" ContentType="application/vnd.openxmlformats-officedocument.spreadsheetml.queryTable+xml"/>
  <Override PartName="/xl/slicers/slicer7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tables/table22.xml" ContentType="application/vnd.openxmlformats-officedocument.spreadsheetml.table+xml"/>
  <Override PartName="/xl/queryTables/queryTable15.xml" ContentType="application/vnd.openxmlformats-officedocument.spreadsheetml.query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queryTables/queryTable16.xml" ContentType="application/vnd.openxmlformats-officedocument.spreadsheetml.queryTable+xml"/>
  <Override PartName="/xl/slicers/slicer8.xml" ContentType="application/vnd.ms-excel.slicer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tables/table25.xml" ContentType="application/vnd.openxmlformats-officedocument.spreadsheetml.table+xml"/>
  <Override PartName="/xl/queryTables/queryTable17.xml" ContentType="application/vnd.openxmlformats-officedocument.spreadsheetml.query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queryTables/queryTable18.xml" ContentType="application/vnd.openxmlformats-officedocument.spreadsheetml.queryTable+xml"/>
  <Override PartName="/xl/slicers/slicer9.xml" ContentType="application/vnd.ms-excel.slicer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tables/table28.xml" ContentType="application/vnd.openxmlformats-officedocument.spreadsheetml.table+xml"/>
  <Override PartName="/xl/queryTables/queryTable19.xml" ContentType="application/vnd.openxmlformats-officedocument.spreadsheetml.query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queryTables/queryTable20.xml" ContentType="application/vnd.openxmlformats-officedocument.spreadsheetml.queryTable+xml"/>
  <Override PartName="/xl/slicers/slicer10.xml" ContentType="application/vnd.ms-excel.slicer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tables/table31.xml" ContentType="application/vnd.openxmlformats-officedocument.spreadsheetml.table+xml"/>
  <Override PartName="/xl/queryTables/queryTable21.xml" ContentType="application/vnd.openxmlformats-officedocument.spreadsheetml.query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queryTables/queryTable22.xml" ContentType="application/vnd.openxmlformats-officedocument.spreadsheetml.queryTable+xml"/>
  <Override PartName="/xl/slicers/slicer11.xml" ContentType="application/vnd.ms-excel.slicer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en_skoroszyt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Gymnastics on GitHub!\Gymnastics-on-GitHub\Project 3 - MS Excel analysis\"/>
    </mc:Choice>
  </mc:AlternateContent>
  <xr:revisionPtr revIDLastSave="0" documentId="8_{6FF6F889-6EBD-46A5-8079-29840CADFA11}" xr6:coauthVersionLast="47" xr6:coauthVersionMax="47" xr10:uidLastSave="{00000000-0000-0000-0000-000000000000}"/>
  <bookViews>
    <workbookView xWindow="-120" yWindow="-120" windowWidth="29040" windowHeight="15720" firstSheet="2" activeTab="2" xr2:uid="{3D6D86FB-A2A0-B64C-B7F3-2D4BA49ADDA1}"/>
  </bookViews>
  <sheets>
    <sheet name="Dashboard" sheetId="27" r:id="rId1"/>
    <sheet name="Dashoboard_Data" sheetId="29" r:id="rId2"/>
    <sheet name="Bydgoszcz_2022" sheetId="7" r:id="rId3"/>
    <sheet name="Zabrze_2022" sheetId="2" r:id="rId4"/>
    <sheet name="Cracow_2022" sheetId="6" r:id="rId5"/>
    <sheet name="Gdansk_2022" sheetId="3" r:id="rId6"/>
    <sheet name="FX_2022" sheetId="8" r:id="rId7"/>
    <sheet name="PH_2022" sheetId="10" r:id="rId8"/>
    <sheet name="SR_2022" sheetId="11" r:id="rId9"/>
    <sheet name="VT_2022" sheetId="12" r:id="rId10"/>
    <sheet name="PB_2022" sheetId="13" r:id="rId11"/>
    <sheet name="HB_2022" sheetId="14" r:id="rId12"/>
    <sheet name="AA_2022" sheetId="15" r:id="rId13"/>
  </sheets>
  <definedNames>
    <definedName name="_xlcn.WorksheetConnection_GymnasticsinPoland.xlsxfloor_exercise1" hidden="1">FX[]</definedName>
    <definedName name="_xlcn.WorksheetConnection_GymnasticsinPoland.xlsxpommel_horse1" hidden="1">PH[]</definedName>
    <definedName name="ExternalData_1" localSheetId="2" hidden="1">Bydgoszcz_2022!$A$1:$AB$33</definedName>
    <definedName name="ExternalData_1" localSheetId="4" hidden="1">Cracow_2022!$A$1:$AB$40</definedName>
    <definedName name="ExternalData_1" localSheetId="10" hidden="1">PB_2022!$A$1:$Q$44</definedName>
    <definedName name="ExternalData_1" localSheetId="7" hidden="1">PH_2022!$A$1:$Q$44</definedName>
    <definedName name="ExternalData_1" localSheetId="3" hidden="1">Zabrze_2022!$A$1:$AB$38</definedName>
    <definedName name="ExternalData_2" localSheetId="2" hidden="1">Bydgoszcz_2022!$AO$1:$AW$673</definedName>
    <definedName name="ExternalData_2" localSheetId="4" hidden="1">Cracow_2022!$AN$1:$AV$820</definedName>
    <definedName name="ExternalData_2" localSheetId="6" hidden="1">FX_2022!$A$1:$Q$47</definedName>
    <definedName name="ExternalData_2" localSheetId="5" hidden="1">Gdansk_2022!$A$1:$AB$34</definedName>
    <definedName name="ExternalData_2" localSheetId="11" hidden="1">HB_2022!$A$1:$Q$38</definedName>
    <definedName name="ExternalData_2" localSheetId="10" hidden="1">PB_2022!$AE$1:$AL$775</definedName>
    <definedName name="ExternalData_2" localSheetId="7" hidden="1">PH_2022!$AE$1:$AL$775</definedName>
    <definedName name="ExternalData_2" localSheetId="8" hidden="1">SR_2022!$A$1:$Q$45</definedName>
    <definedName name="ExternalData_3" localSheetId="12" hidden="1">AA_2022!$A$1:$CK$53</definedName>
    <definedName name="ExternalData_3" localSheetId="6" hidden="1">FX_2022!$AE$1:$AK$829</definedName>
    <definedName name="ExternalData_3" localSheetId="5" hidden="1">Gdansk_2022!$AN$1:$AV$694</definedName>
    <definedName name="ExternalData_3" localSheetId="11" hidden="1">HB_2022!$AE$1:$AK$667</definedName>
    <definedName name="ExternalData_3" localSheetId="8" hidden="1">SR_2022!$AE$1:$AK$793</definedName>
    <definedName name="ExternalData_3" localSheetId="9" hidden="1">VT_2022!$A$1:$Q$47</definedName>
    <definedName name="ExternalData_3" localSheetId="3" hidden="1">Zabrze_2022!$AQ$1:$AY$778</definedName>
    <definedName name="ExternalData_4" localSheetId="12" hidden="1">AA_2022!$DC$1:$DI$937</definedName>
    <definedName name="ExternalData_4" localSheetId="9" hidden="1">VT_2022!$AE$2:$AK$830</definedName>
    <definedName name="Fragmentator_All_Around">#N/A</definedName>
    <definedName name="Fragmentator_All_around_competition">#N/A</definedName>
    <definedName name="Fragmentator_All_Around1">#N/A</definedName>
    <definedName name="Fragmentator_All_Around2">#N/A</definedName>
    <definedName name="Fragmentator_All_Around3">#N/A</definedName>
    <definedName name="Fragmentator_Apparatus">#N/A</definedName>
    <definedName name="Fragmentator_Apparatus1">#N/A</definedName>
    <definedName name="Fragmentator_Apparatus2">#N/A</definedName>
    <definedName name="Fragmentator_Apparatus3">#N/A</definedName>
    <definedName name="Fragmentator_Category">#N/A</definedName>
    <definedName name="Fragmentator_Category1">#N/A</definedName>
    <definedName name="Fragmentator_Category2">#N/A</definedName>
    <definedName name="Fragmentator_Category3">#N/A</definedName>
    <definedName name="Fragmentator_Place_of_competition">#N/A</definedName>
    <definedName name="Fragmentator_Place_of_competition1">#N/A</definedName>
    <definedName name="Fragmentator_Place_of_competition2">#N/A</definedName>
    <definedName name="Fragmentator_Place_of_competition3">#N/A</definedName>
    <definedName name="Fragmentator_Place_of_Competition4">#N/A</definedName>
    <definedName name="Fragmentator_Place_of_competition5">#N/A</definedName>
    <definedName name="Fragmentator_Place_of_competiton">#N/A</definedName>
    <definedName name="Fragmentator_Score_Type">#N/A</definedName>
    <definedName name="Fragmentator_Score_Type1">#N/A</definedName>
    <definedName name="Fragmentator_Score_Type10">#N/A</definedName>
    <definedName name="Fragmentator_Score_Type2">#N/A</definedName>
    <definedName name="Fragmentator_Score_Type3">#N/A</definedName>
    <definedName name="Fragmentator_Score_Type4">#N/A</definedName>
    <definedName name="Fragmentator_Score_Type5">#N/A</definedName>
    <definedName name="Fragmentator_Score_Type6">#N/A</definedName>
    <definedName name="Fragmentator_Score_Type7">#N/A</definedName>
    <definedName name="Fragmentator_Score_Type8">#N/A</definedName>
    <definedName name="Fragmentator_Score_Type9">#N/A</definedName>
  </definedNames>
  <calcPr calcId="191029"/>
  <pivotCaches>
    <pivotCache cacheId="106" r:id="rId14"/>
    <pivotCache cacheId="109" r:id="rId15"/>
    <pivotCache cacheId="112" r:id="rId16"/>
    <pivotCache cacheId="114" r:id="rId17"/>
    <pivotCache cacheId="47" r:id="rId18"/>
    <pivotCache cacheId="54" r:id="rId19"/>
    <pivotCache cacheId="63" r:id="rId20"/>
    <pivotCache cacheId="76" r:id="rId21"/>
    <pivotCache cacheId="83" r:id="rId22"/>
    <pivotCache cacheId="92" r:id="rId23"/>
    <pivotCache cacheId="102" r:id="rId24"/>
  </pivotCaches>
  <extLst>
    <ext xmlns:x14="http://schemas.microsoft.com/office/spreadsheetml/2009/9/main" uri="{BBE1A952-AA13-448e-AADC-164F8A28A991}">
      <x14:slicerCaches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  <x14:slicerCache r:id="rId47"/>
        <x14:slicerCache r:id="rId48"/>
        <x14:slicerCache r:id="rId49"/>
        <x14:slicerCache r:id="rId50"/>
        <x14:slicerCache r:id="rId51"/>
        <x14:slicerCache r:id="rId52"/>
        <x14:slicerCache r:id="rId53"/>
        <x14:slicerCache r:id="rId54"/>
        <x14:slicerCache r:id="rId5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ommel_horse" name="pommel_horse" connection="WorksheetConnection_Gymnastics-in-Poland.xlsx!pommel_horse"/>
          <x15:modelTable id="floor_exercise" name="floor_exercise" connection="WorksheetConnection_Gymnastics-in-Poland.xlsx!floor_exercis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3" i="7" l="1"/>
  <c r="AL15" i="3" a="1"/>
  <c r="AL15" i="3" s="1"/>
  <c r="AK15" i="3" a="1"/>
  <c r="AK15" i="3" s="1"/>
  <c r="AJ15" i="3"/>
  <c r="AI15" i="3" a="1"/>
  <c r="AI15" i="3" s="1"/>
  <c r="AH15" i="3"/>
  <c r="AG15" i="3" a="1"/>
  <c r="AG15" i="3" s="1"/>
  <c r="AF15" i="3"/>
  <c r="AL14" i="3" a="1"/>
  <c r="AL14" i="3" s="1"/>
  <c r="AK14" i="3" a="1"/>
  <c r="AK14" i="3" s="1"/>
  <c r="AJ14" i="3"/>
  <c r="AI14" i="3" a="1"/>
  <c r="AI14" i="3" s="1"/>
  <c r="AH14" i="3"/>
  <c r="AG14" i="3" a="1"/>
  <c r="AG14" i="3" s="1"/>
  <c r="AF14" i="3"/>
  <c r="AL13" i="3" a="1"/>
  <c r="AL13" i="3" s="1"/>
  <c r="AK13" i="3" a="1"/>
  <c r="AK13" i="3" s="1"/>
  <c r="AJ13" i="3"/>
  <c r="AI13" i="3" a="1"/>
  <c r="AI13" i="3" s="1"/>
  <c r="AH13" i="3"/>
  <c r="AG13" i="3" a="1"/>
  <c r="AG13" i="3" s="1"/>
  <c r="AF13" i="3"/>
  <c r="AL12" i="3" a="1"/>
  <c r="AL12" i="3" s="1"/>
  <c r="AK12" i="3" a="1"/>
  <c r="AK12" i="3" s="1"/>
  <c r="AJ12" i="3"/>
  <c r="AI12" i="3" a="1"/>
  <c r="AI12" i="3" s="1"/>
  <c r="AH12" i="3"/>
  <c r="AG12" i="3" a="1"/>
  <c r="AG12" i="3" s="1"/>
  <c r="AF12" i="3"/>
  <c r="AL11" i="3" a="1"/>
  <c r="AL11" i="3" s="1"/>
  <c r="AK11" i="3" a="1"/>
  <c r="AK11" i="3" s="1"/>
  <c r="AJ11" i="3"/>
  <c r="AI11" i="3" a="1"/>
  <c r="AI11" i="3" s="1"/>
  <c r="AH11" i="3"/>
  <c r="AG11" i="3" a="1"/>
  <c r="AG11" i="3" s="1"/>
  <c r="AF11" i="3"/>
  <c r="AL10" i="3" a="1"/>
  <c r="AL10" i="3" s="1"/>
  <c r="AK10" i="3" a="1"/>
  <c r="AK10" i="3" s="1"/>
  <c r="AJ10" i="3"/>
  <c r="AI10" i="3" a="1"/>
  <c r="AI10" i="3" s="1"/>
  <c r="AH10" i="3"/>
  <c r="AG10" i="3" a="1"/>
  <c r="AG10" i="3" s="1"/>
  <c r="AF10" i="3"/>
  <c r="AL9" i="3" a="1"/>
  <c r="AL9" i="3" s="1"/>
  <c r="AL8" i="3" a="1"/>
  <c r="AL8" i="3" s="1"/>
  <c r="AK8" i="3" a="1"/>
  <c r="AK8" i="3" s="1"/>
  <c r="AJ8" i="3"/>
  <c r="AI8" i="3" a="1"/>
  <c r="AI8" i="3" s="1"/>
  <c r="AH8" i="3"/>
  <c r="AG8" i="3" a="1"/>
  <c r="AG8" i="3" s="1"/>
  <c r="AF8" i="3"/>
  <c r="AL7" i="3" a="1"/>
  <c r="AL7" i="3" s="1"/>
  <c r="AK7" i="3" a="1"/>
  <c r="AK7" i="3" s="1"/>
  <c r="AJ7" i="3"/>
  <c r="AI7" i="3" a="1"/>
  <c r="AI7" i="3" s="1"/>
  <c r="AH7" i="3"/>
  <c r="AG7" i="3" a="1"/>
  <c r="AG7" i="3" s="1"/>
  <c r="AF7" i="3"/>
  <c r="AL6" i="3" a="1"/>
  <c r="AL6" i="3" s="1"/>
  <c r="AK6" i="3" a="1"/>
  <c r="AK6" i="3" s="1"/>
  <c r="AJ6" i="3"/>
  <c r="AI6" i="3" a="1"/>
  <c r="AI6" i="3" s="1"/>
  <c r="AH6" i="3"/>
  <c r="AG6" i="3" a="1"/>
  <c r="AG6" i="3" s="1"/>
  <c r="AF6" i="3"/>
  <c r="AL5" i="3" a="1"/>
  <c r="AL5" i="3" s="1"/>
  <c r="AK5" i="3" a="1"/>
  <c r="AK5" i="3" s="1"/>
  <c r="AJ5" i="3"/>
  <c r="AI5" i="3" a="1"/>
  <c r="AI5" i="3" s="1"/>
  <c r="AH5" i="3"/>
  <c r="AG5" i="3" a="1"/>
  <c r="AG5" i="3" s="1"/>
  <c r="AF5" i="3"/>
  <c r="AL4" i="3" a="1"/>
  <c r="AL4" i="3" s="1"/>
  <c r="AK4" i="3" a="1"/>
  <c r="AK4" i="3" s="1"/>
  <c r="AJ4" i="3"/>
  <c r="AI4" i="3" a="1"/>
  <c r="AI4" i="3" s="1"/>
  <c r="AH4" i="3"/>
  <c r="AG4" i="3" a="1"/>
  <c r="AG4" i="3" s="1"/>
  <c r="AF4" i="3"/>
  <c r="AL3" i="3" a="1"/>
  <c r="AL3" i="3" s="1"/>
  <c r="AK3" i="3" a="1"/>
  <c r="AK3" i="3" s="1"/>
  <c r="AJ3" i="3"/>
  <c r="AI3" i="3" a="1"/>
  <c r="AI3" i="3" s="1"/>
  <c r="AH3" i="3"/>
  <c r="AG3" i="3" a="1"/>
  <c r="AG3" i="3" s="1"/>
  <c r="AF3" i="3"/>
  <c r="AL2" i="3" a="1"/>
  <c r="AL2" i="3" s="1"/>
  <c r="G3" i="3"/>
  <c r="Z3" i="3" s="1"/>
  <c r="G2" i="3"/>
  <c r="Z2" i="3" s="1"/>
  <c r="G22" i="3"/>
  <c r="Z22" i="3" s="1"/>
  <c r="G7" i="3"/>
  <c r="Z7" i="3" s="1"/>
  <c r="G23" i="3"/>
  <c r="Z23" i="3" s="1"/>
  <c r="G24" i="3"/>
  <c r="Z24" i="3" s="1"/>
  <c r="G6" i="3"/>
  <c r="Z6" i="3" s="1"/>
  <c r="G9" i="3"/>
  <c r="Z9" i="3" s="1"/>
  <c r="G11" i="3"/>
  <c r="Z11" i="3" s="1"/>
  <c r="G4" i="3"/>
  <c r="Z4" i="3" s="1"/>
  <c r="G5" i="3"/>
  <c r="Z5" i="3" s="1"/>
  <c r="G12" i="3"/>
  <c r="Z12" i="3" s="1"/>
  <c r="G31" i="3"/>
  <c r="Z31" i="3" s="1"/>
  <c r="G15" i="3"/>
  <c r="Z15" i="3" s="1"/>
  <c r="G13" i="3"/>
  <c r="Z13" i="3" s="1"/>
  <c r="G25" i="3"/>
  <c r="Z25" i="3" s="1"/>
  <c r="G30" i="3"/>
  <c r="Z30" i="3" s="1"/>
  <c r="G32" i="3"/>
  <c r="Z32" i="3" s="1"/>
  <c r="G17" i="3"/>
  <c r="Z17" i="3" s="1"/>
  <c r="G26" i="3"/>
  <c r="Z26" i="3" s="1"/>
  <c r="G28" i="3"/>
  <c r="Z28" i="3" s="1"/>
  <c r="G33" i="3"/>
  <c r="Z33" i="3" s="1"/>
  <c r="G8" i="3"/>
  <c r="Z8" i="3" s="1"/>
  <c r="G27" i="3"/>
  <c r="Z27" i="3" s="1"/>
  <c r="G10" i="3"/>
  <c r="Z10" i="3" s="1"/>
  <c r="G14" i="3"/>
  <c r="Z14" i="3" s="1"/>
  <c r="G34" i="3"/>
  <c r="Z34" i="3" s="1"/>
  <c r="G16" i="3"/>
  <c r="Z16" i="3" s="1"/>
  <c r="G29" i="3"/>
  <c r="Z29" i="3" s="1"/>
  <c r="G21" i="3"/>
  <c r="Z21" i="3" s="1"/>
  <c r="G18" i="3"/>
  <c r="Z18" i="3" s="1"/>
  <c r="G19" i="3"/>
  <c r="Z19" i="3" s="1"/>
  <c r="G20" i="3"/>
  <c r="Z20" i="3" s="1"/>
  <c r="G2" i="6"/>
  <c r="Z2" i="6" s="1"/>
  <c r="G3" i="6"/>
  <c r="Z3" i="6" s="1"/>
  <c r="G4" i="6"/>
  <c r="Z4" i="6" s="1"/>
  <c r="G5" i="6"/>
  <c r="Z5" i="6" s="1"/>
  <c r="G6" i="6"/>
  <c r="Z6" i="6" s="1"/>
  <c r="G26" i="6"/>
  <c r="Z26" i="6" s="1"/>
  <c r="G7" i="6"/>
  <c r="Z7" i="6" s="1"/>
  <c r="G8" i="6"/>
  <c r="Z8" i="6" s="1"/>
  <c r="G9" i="6"/>
  <c r="Z9" i="6" s="1"/>
  <c r="G27" i="6"/>
  <c r="Z27" i="6" s="1"/>
  <c r="G10" i="6"/>
  <c r="Z10" i="6" s="1"/>
  <c r="G28" i="6"/>
  <c r="Z28" i="6" s="1"/>
  <c r="G29" i="6"/>
  <c r="Z29" i="6" s="1"/>
  <c r="G30" i="6"/>
  <c r="Z30" i="6" s="1"/>
  <c r="G31" i="6"/>
  <c r="Z31" i="6" s="1"/>
  <c r="G32" i="6"/>
  <c r="Z32" i="6" s="1"/>
  <c r="G11" i="6"/>
  <c r="Z11" i="6" s="1"/>
  <c r="G12" i="6"/>
  <c r="Z12" i="6" s="1"/>
  <c r="G33" i="6"/>
  <c r="Z33" i="6" s="1"/>
  <c r="G13" i="6"/>
  <c r="Z13" i="6" s="1"/>
  <c r="G14" i="6"/>
  <c r="Z14" i="6" s="1"/>
  <c r="G34" i="6"/>
  <c r="Z34" i="6" s="1"/>
  <c r="G15" i="6"/>
  <c r="Z15" i="6" s="1"/>
  <c r="G35" i="6"/>
  <c r="Z35" i="6" s="1"/>
  <c r="G36" i="6"/>
  <c r="Z36" i="6" s="1"/>
  <c r="G37" i="6"/>
  <c r="Z37" i="6" s="1"/>
  <c r="G16" i="6"/>
  <c r="Z16" i="6" s="1"/>
  <c r="G17" i="6"/>
  <c r="Z17" i="6" s="1"/>
  <c r="G18" i="6"/>
  <c r="Z18" i="6" s="1"/>
  <c r="G19" i="6"/>
  <c r="Z19" i="6" s="1"/>
  <c r="G38" i="6"/>
  <c r="Z38" i="6" s="1"/>
  <c r="G20" i="6"/>
  <c r="Z20" i="6" s="1"/>
  <c r="G21" i="6"/>
  <c r="Z21" i="6" s="1"/>
  <c r="G39" i="6"/>
  <c r="Z39" i="6" s="1"/>
  <c r="G40" i="6"/>
  <c r="Z40" i="6" s="1"/>
  <c r="G22" i="6"/>
  <c r="Z22" i="6" s="1"/>
  <c r="G23" i="6"/>
  <c r="Z23" i="6" s="1"/>
  <c r="AL15" i="6" a="1"/>
  <c r="AL15" i="6" s="1"/>
  <c r="AK15" i="6" a="1"/>
  <c r="AK15" i="6" s="1"/>
  <c r="AJ15" i="6"/>
  <c r="AI15" i="6" a="1"/>
  <c r="AI15" i="6" s="1"/>
  <c r="AH15" i="6"/>
  <c r="AG15" i="6" a="1"/>
  <c r="AG15" i="6" s="1"/>
  <c r="AF15" i="6"/>
  <c r="AL14" i="6" a="1"/>
  <c r="AL14" i="6" s="1"/>
  <c r="AK14" i="6" a="1"/>
  <c r="AK14" i="6" s="1"/>
  <c r="AJ14" i="6"/>
  <c r="AI14" i="6" a="1"/>
  <c r="AI14" i="6" s="1"/>
  <c r="AH14" i="6"/>
  <c r="AG14" i="6" a="1"/>
  <c r="AG14" i="6" s="1"/>
  <c r="AF14" i="6"/>
  <c r="AL13" i="6" a="1"/>
  <c r="AL13" i="6" s="1"/>
  <c r="AK13" i="6" a="1"/>
  <c r="AK13" i="6" s="1"/>
  <c r="AJ13" i="6"/>
  <c r="AI13" i="6" a="1"/>
  <c r="AI13" i="6" s="1"/>
  <c r="AH13" i="6"/>
  <c r="AG13" i="6" a="1"/>
  <c r="AG13" i="6" s="1"/>
  <c r="AF13" i="6"/>
  <c r="AL12" i="6" a="1"/>
  <c r="AL12" i="6" s="1"/>
  <c r="AK12" i="6" a="1"/>
  <c r="AK12" i="6" s="1"/>
  <c r="AJ12" i="6"/>
  <c r="AI12" i="6" a="1"/>
  <c r="AI12" i="6" s="1"/>
  <c r="AH12" i="6"/>
  <c r="AG12" i="6" a="1"/>
  <c r="AG12" i="6" s="1"/>
  <c r="AF12" i="6"/>
  <c r="AL11" i="6" a="1"/>
  <c r="AL11" i="6" s="1"/>
  <c r="AK11" i="6" a="1"/>
  <c r="AK11" i="6" s="1"/>
  <c r="AJ11" i="6"/>
  <c r="AI11" i="6" a="1"/>
  <c r="AI11" i="6" s="1"/>
  <c r="AH11" i="6"/>
  <c r="AG11" i="6" a="1"/>
  <c r="AG11" i="6" s="1"/>
  <c r="AF11" i="6"/>
  <c r="AL10" i="6" a="1"/>
  <c r="AL10" i="6" s="1"/>
  <c r="AK10" i="6" a="1"/>
  <c r="AK10" i="6" s="1"/>
  <c r="AJ10" i="6"/>
  <c r="AI10" i="6" a="1"/>
  <c r="AI10" i="6" s="1"/>
  <c r="AH10" i="6"/>
  <c r="AG10" i="6" a="1"/>
  <c r="AG10" i="6" s="1"/>
  <c r="AF10" i="6"/>
  <c r="AL9" i="6" a="1"/>
  <c r="AL9" i="6" s="1"/>
  <c r="AL8" i="6" a="1"/>
  <c r="AL8" i="6" s="1"/>
  <c r="AK8" i="6" a="1"/>
  <c r="AK8" i="6" s="1"/>
  <c r="AJ8" i="6"/>
  <c r="AI8" i="6" a="1"/>
  <c r="AI8" i="6" s="1"/>
  <c r="AH8" i="6"/>
  <c r="AG8" i="6" a="1"/>
  <c r="AG8" i="6" s="1"/>
  <c r="AF8" i="6"/>
  <c r="AL7" i="6" a="1"/>
  <c r="AL7" i="6" s="1"/>
  <c r="AK7" i="6" a="1"/>
  <c r="AK7" i="6" s="1"/>
  <c r="AJ7" i="6"/>
  <c r="AI7" i="6" a="1"/>
  <c r="AI7" i="6" s="1"/>
  <c r="AH7" i="6"/>
  <c r="AG7" i="6" a="1"/>
  <c r="AG7" i="6" s="1"/>
  <c r="AF7" i="6"/>
  <c r="AL6" i="6" a="1"/>
  <c r="AL6" i="6" s="1"/>
  <c r="AK6" i="6" a="1"/>
  <c r="AK6" i="6" s="1"/>
  <c r="AJ6" i="6"/>
  <c r="AI6" i="6" a="1"/>
  <c r="AI6" i="6" s="1"/>
  <c r="AH6" i="6"/>
  <c r="AG6" i="6" a="1"/>
  <c r="AG6" i="6" s="1"/>
  <c r="AF6" i="6"/>
  <c r="AL5" i="6" a="1"/>
  <c r="AL5" i="6" s="1"/>
  <c r="AK5" i="6" a="1"/>
  <c r="AK5" i="6" s="1"/>
  <c r="AJ5" i="6"/>
  <c r="AI5" i="6" a="1"/>
  <c r="AI5" i="6" s="1"/>
  <c r="AH5" i="6"/>
  <c r="AG5" i="6" a="1"/>
  <c r="AG5" i="6" s="1"/>
  <c r="AF5" i="6"/>
  <c r="AL4" i="6" a="1"/>
  <c r="AL4" i="6" s="1"/>
  <c r="AK4" i="6" a="1"/>
  <c r="AK4" i="6" s="1"/>
  <c r="AJ4" i="6"/>
  <c r="AI4" i="6" a="1"/>
  <c r="AI4" i="6" s="1"/>
  <c r="AH4" i="6"/>
  <c r="AG4" i="6" a="1"/>
  <c r="AG4" i="6" s="1"/>
  <c r="AF4" i="6"/>
  <c r="AL3" i="6" a="1"/>
  <c r="AL3" i="6" s="1"/>
  <c r="AK3" i="6" a="1"/>
  <c r="AK3" i="6" s="1"/>
  <c r="AJ3" i="6"/>
  <c r="AI3" i="6" a="1"/>
  <c r="AI3" i="6" s="1"/>
  <c r="AH3" i="6"/>
  <c r="AG3" i="6" a="1"/>
  <c r="AG3" i="6" s="1"/>
  <c r="AF3" i="6"/>
  <c r="AL2" i="6" a="1"/>
  <c r="AL2" i="6" s="1"/>
  <c r="AL15" i="7" a="1"/>
  <c r="AL15" i="7" s="1"/>
  <c r="AK15" i="7" a="1"/>
  <c r="AK15" i="7" s="1"/>
  <c r="AJ15" i="7"/>
  <c r="AI15" i="7" a="1"/>
  <c r="AI15" i="7" s="1"/>
  <c r="AH15" i="7"/>
  <c r="AG15" i="7" a="1"/>
  <c r="AG15" i="7" s="1"/>
  <c r="AF15" i="7"/>
  <c r="AL14" i="7" a="1"/>
  <c r="AL14" i="7" s="1"/>
  <c r="AK14" i="7" a="1"/>
  <c r="AK14" i="7" s="1"/>
  <c r="AJ14" i="7"/>
  <c r="AI14" i="7" a="1"/>
  <c r="AI14" i="7" s="1"/>
  <c r="AH14" i="7"/>
  <c r="AG14" i="7" a="1"/>
  <c r="AG14" i="7" s="1"/>
  <c r="AF14" i="7"/>
  <c r="AL13" i="7" a="1"/>
  <c r="AL13" i="7" s="1"/>
  <c r="AK13" i="7" a="1"/>
  <c r="AK13" i="7" s="1"/>
  <c r="AJ13" i="7"/>
  <c r="AI13" i="7" a="1"/>
  <c r="AI13" i="7" s="1"/>
  <c r="AH13" i="7"/>
  <c r="AG13" i="7" a="1"/>
  <c r="AG13" i="7" s="1"/>
  <c r="AF13" i="7"/>
  <c r="AL12" i="7" a="1"/>
  <c r="AL12" i="7" s="1"/>
  <c r="AK12" i="7" a="1"/>
  <c r="AK12" i="7" s="1"/>
  <c r="AJ12" i="7"/>
  <c r="AI12" i="7" a="1"/>
  <c r="AI12" i="7" s="1"/>
  <c r="AH12" i="7"/>
  <c r="AG12" i="7" a="1"/>
  <c r="AG12" i="7" s="1"/>
  <c r="AF12" i="7"/>
  <c r="AL11" i="7" a="1"/>
  <c r="AL11" i="7" s="1"/>
  <c r="AK11" i="7" a="1"/>
  <c r="AK11" i="7" s="1"/>
  <c r="AJ11" i="7"/>
  <c r="AI11" i="7" a="1"/>
  <c r="AI11" i="7" s="1"/>
  <c r="AH11" i="7"/>
  <c r="AG11" i="7" a="1"/>
  <c r="AG11" i="7" s="1"/>
  <c r="AF11" i="7"/>
  <c r="AL10" i="7" a="1"/>
  <c r="AL10" i="7" s="1"/>
  <c r="AK10" i="7" a="1"/>
  <c r="AK10" i="7" s="1"/>
  <c r="AJ10" i="7"/>
  <c r="AI10" i="7" a="1"/>
  <c r="AI10" i="7" s="1"/>
  <c r="AH10" i="7"/>
  <c r="AG10" i="7" a="1"/>
  <c r="AG10" i="7" s="1"/>
  <c r="AF10" i="7"/>
  <c r="AL8" i="7" a="1"/>
  <c r="AL8" i="7" s="1"/>
  <c r="AK8" i="7" a="1"/>
  <c r="AK8" i="7" s="1"/>
  <c r="AJ8" i="7"/>
  <c r="AI8" i="7" a="1"/>
  <c r="AI8" i="7" s="1"/>
  <c r="AH8" i="7"/>
  <c r="AG8" i="7" a="1"/>
  <c r="AG8" i="7" s="1"/>
  <c r="AF8" i="7"/>
  <c r="AL7" i="7" a="1"/>
  <c r="AL7" i="7" s="1"/>
  <c r="AK7" i="7" a="1"/>
  <c r="AK7" i="7" s="1"/>
  <c r="AJ7" i="7"/>
  <c r="AI7" i="7" a="1"/>
  <c r="AI7" i="7" s="1"/>
  <c r="AH7" i="7"/>
  <c r="AG7" i="7" a="1"/>
  <c r="AG7" i="7" s="1"/>
  <c r="AF7" i="7"/>
  <c r="AL6" i="7" a="1"/>
  <c r="AL6" i="7" s="1"/>
  <c r="AK6" i="7" a="1"/>
  <c r="AK6" i="7" s="1"/>
  <c r="AJ6" i="7"/>
  <c r="AI6" i="7" a="1"/>
  <c r="AI6" i="7" s="1"/>
  <c r="AH6" i="7"/>
  <c r="AG6" i="7" a="1"/>
  <c r="AG6" i="7" s="1"/>
  <c r="AF6" i="7"/>
  <c r="AL5" i="7" a="1"/>
  <c r="AL5" i="7" s="1"/>
  <c r="AK5" i="7" a="1"/>
  <c r="AK5" i="7" s="1"/>
  <c r="AJ5" i="7"/>
  <c r="AI5" i="7" a="1"/>
  <c r="AI5" i="7" s="1"/>
  <c r="AH5" i="7"/>
  <c r="AG5" i="7" a="1"/>
  <c r="AG5" i="7" s="1"/>
  <c r="AF5" i="7"/>
  <c r="AL4" i="7" a="1"/>
  <c r="AL4" i="7" s="1"/>
  <c r="AK4" i="7" a="1"/>
  <c r="AK4" i="7" s="1"/>
  <c r="AJ4" i="7"/>
  <c r="AI4" i="7" a="1"/>
  <c r="AI4" i="7" s="1"/>
  <c r="AH4" i="7"/>
  <c r="AG4" i="7" a="1"/>
  <c r="AG4" i="7" s="1"/>
  <c r="AF4" i="7"/>
  <c r="AL3" i="7" a="1"/>
  <c r="AL3" i="7" s="1"/>
  <c r="AK3" i="7" a="1"/>
  <c r="AK3" i="7" s="1"/>
  <c r="AJ3" i="7"/>
  <c r="AI3" i="7" a="1"/>
  <c r="AI3" i="7" s="1"/>
  <c r="AH3" i="7"/>
  <c r="AG3" i="7" a="1"/>
  <c r="AG3" i="7" s="1"/>
  <c r="G17" i="7"/>
  <c r="Z17" i="7" s="1"/>
  <c r="AB17" i="7"/>
  <c r="G18" i="7"/>
  <c r="Z18" i="7" s="1"/>
  <c r="AB18" i="7"/>
  <c r="G19" i="7"/>
  <c r="AB19" i="7"/>
  <c r="G20" i="7"/>
  <c r="Z20" i="7" s="1"/>
  <c r="AB20" i="7"/>
  <c r="G21" i="7"/>
  <c r="Z21" i="7" s="1"/>
  <c r="AB21" i="7"/>
  <c r="G22" i="7"/>
  <c r="Z22" i="7" s="1"/>
  <c r="AB22" i="7"/>
  <c r="G23" i="7"/>
  <c r="Z23" i="7" s="1"/>
  <c r="AB23" i="7"/>
  <c r="G24" i="7"/>
  <c r="Z24" i="7" s="1"/>
  <c r="AB24" i="7"/>
  <c r="G25" i="7"/>
  <c r="Z25" i="7" s="1"/>
  <c r="AB25" i="7"/>
  <c r="G26" i="7"/>
  <c r="Z26" i="7" s="1"/>
  <c r="AB26" i="7"/>
  <c r="G27" i="7"/>
  <c r="Z27" i="7" s="1"/>
  <c r="AB27" i="7"/>
  <c r="G28" i="7"/>
  <c r="Z28" i="7" s="1"/>
  <c r="AB28" i="7"/>
  <c r="G29" i="7"/>
  <c r="Z29" i="7" s="1"/>
  <c r="AB29" i="7"/>
  <c r="G30" i="7"/>
  <c r="Z30" i="7" s="1"/>
  <c r="AB30" i="7"/>
  <c r="G31" i="7"/>
  <c r="Z31" i="7" s="1"/>
  <c r="AB31" i="7"/>
  <c r="G32" i="7"/>
  <c r="Z32" i="7" s="1"/>
  <c r="AB32" i="7"/>
  <c r="G33" i="7"/>
  <c r="Z33" i="7" s="1"/>
  <c r="AB33" i="7"/>
  <c r="G2" i="7"/>
  <c r="AB2" i="7"/>
  <c r="G3" i="7"/>
  <c r="Z3" i="7" s="1"/>
  <c r="AB3" i="7"/>
  <c r="G4" i="7"/>
  <c r="Z4" i="7" s="1"/>
  <c r="AB4" i="7"/>
  <c r="G5" i="7"/>
  <c r="Z5" i="7" s="1"/>
  <c r="AB5" i="7"/>
  <c r="G6" i="7"/>
  <c r="Z6" i="7" s="1"/>
  <c r="AB6" i="7"/>
  <c r="G7" i="7"/>
  <c r="Z7" i="7" s="1"/>
  <c r="AB7" i="7"/>
  <c r="G8" i="7"/>
  <c r="Z8" i="7" s="1"/>
  <c r="AB8" i="7"/>
  <c r="G9" i="7"/>
  <c r="Z9" i="7" s="1"/>
  <c r="AB9" i="7"/>
  <c r="G10" i="7"/>
  <c r="Z10" i="7" s="1"/>
  <c r="AB10" i="7"/>
  <c r="G11" i="7"/>
  <c r="Z11" i="7" s="1"/>
  <c r="AB11" i="7"/>
  <c r="G12" i="7"/>
  <c r="Z12" i="7" s="1"/>
  <c r="AB12" i="7"/>
  <c r="G13" i="7"/>
  <c r="Z13" i="7" s="1"/>
  <c r="AB13" i="7"/>
  <c r="G14" i="7"/>
  <c r="Z14" i="7" s="1"/>
  <c r="AB14" i="7"/>
  <c r="G15" i="7"/>
  <c r="Z15" i="7" s="1"/>
  <c r="AB15" i="7"/>
  <c r="G16" i="7"/>
  <c r="Z16" i="7" s="1"/>
  <c r="AB16" i="7"/>
  <c r="AL15" i="2" a="1"/>
  <c r="AL15" i="2" s="1"/>
  <c r="AK15" i="2" a="1"/>
  <c r="AK15" i="2" s="1"/>
  <c r="AJ15" i="2"/>
  <c r="AI15" i="2" a="1"/>
  <c r="AI15" i="2" s="1"/>
  <c r="AH15" i="2"/>
  <c r="AG15" i="2" a="1"/>
  <c r="AG15" i="2" s="1"/>
  <c r="AF15" i="2"/>
  <c r="AL14" i="2" a="1"/>
  <c r="AL14" i="2" s="1"/>
  <c r="AK14" i="2" a="1"/>
  <c r="AK14" i="2" s="1"/>
  <c r="AJ14" i="2"/>
  <c r="AI14" i="2" a="1"/>
  <c r="AI14" i="2" s="1"/>
  <c r="AH14" i="2"/>
  <c r="AG14" i="2" a="1"/>
  <c r="AG14" i="2" s="1"/>
  <c r="AF14" i="2"/>
  <c r="AL13" i="2" a="1"/>
  <c r="AL13" i="2" s="1"/>
  <c r="AK13" i="2" a="1"/>
  <c r="AK13" i="2" s="1"/>
  <c r="AJ13" i="2"/>
  <c r="AI13" i="2" a="1"/>
  <c r="AI13" i="2" s="1"/>
  <c r="AH13" i="2"/>
  <c r="AG13" i="2" a="1"/>
  <c r="AG13" i="2" s="1"/>
  <c r="AF13" i="2"/>
  <c r="AL12" i="2" a="1"/>
  <c r="AL12" i="2" s="1"/>
  <c r="AK12" i="2" a="1"/>
  <c r="AK12" i="2" s="1"/>
  <c r="AJ12" i="2"/>
  <c r="AI12" i="2" a="1"/>
  <c r="AI12" i="2" s="1"/>
  <c r="AH12" i="2"/>
  <c r="AG12" i="2" a="1"/>
  <c r="AG12" i="2" s="1"/>
  <c r="AF12" i="2"/>
  <c r="AL11" i="2" a="1"/>
  <c r="AL11" i="2" s="1"/>
  <c r="AK11" i="2" a="1"/>
  <c r="AK11" i="2" s="1"/>
  <c r="AJ11" i="2"/>
  <c r="AI11" i="2" a="1"/>
  <c r="AI11" i="2" s="1"/>
  <c r="AH11" i="2"/>
  <c r="AG11" i="2" a="1"/>
  <c r="AG11" i="2" s="1"/>
  <c r="AF11" i="2"/>
  <c r="AL10" i="2" a="1"/>
  <c r="AL10" i="2" s="1"/>
  <c r="AK10" i="2" a="1"/>
  <c r="AK10" i="2" s="1"/>
  <c r="AJ10" i="2"/>
  <c r="AI10" i="2" a="1"/>
  <c r="AI10" i="2" s="1"/>
  <c r="AH10" i="2"/>
  <c r="AG10" i="2" a="1"/>
  <c r="AG10" i="2" s="1"/>
  <c r="AF10" i="2"/>
  <c r="AL8" i="2" a="1"/>
  <c r="AL8" i="2" s="1"/>
  <c r="AK8" i="2" a="1"/>
  <c r="AK8" i="2" s="1"/>
  <c r="AJ8" i="2"/>
  <c r="AI8" i="2" a="1"/>
  <c r="AI8" i="2" s="1"/>
  <c r="AH8" i="2"/>
  <c r="AG8" i="2" a="1"/>
  <c r="AG8" i="2" s="1"/>
  <c r="AF8" i="2"/>
  <c r="AL7" i="2" a="1"/>
  <c r="AL7" i="2" s="1"/>
  <c r="AK7" i="2" a="1"/>
  <c r="AK7" i="2" s="1"/>
  <c r="AJ7" i="2"/>
  <c r="AI7" i="2" a="1"/>
  <c r="AI7" i="2" s="1"/>
  <c r="AH7" i="2"/>
  <c r="AG7" i="2" a="1"/>
  <c r="AG7" i="2" s="1"/>
  <c r="AF7" i="2"/>
  <c r="AL6" i="2" a="1"/>
  <c r="AL6" i="2" s="1"/>
  <c r="AK6" i="2" a="1"/>
  <c r="AK6" i="2" s="1"/>
  <c r="AJ6" i="2"/>
  <c r="AI6" i="2" a="1"/>
  <c r="AI6" i="2" s="1"/>
  <c r="AH6" i="2"/>
  <c r="AG6" i="2" a="1"/>
  <c r="AG6" i="2" s="1"/>
  <c r="AF6" i="2"/>
  <c r="AL5" i="2" a="1"/>
  <c r="AL5" i="2" s="1"/>
  <c r="AK5" i="2" a="1"/>
  <c r="AK5" i="2" s="1"/>
  <c r="AJ5" i="2"/>
  <c r="AI5" i="2" a="1"/>
  <c r="AI5" i="2" s="1"/>
  <c r="AH5" i="2"/>
  <c r="AG5" i="2" a="1"/>
  <c r="AG5" i="2" s="1"/>
  <c r="AF5" i="2"/>
  <c r="AL4" i="2" a="1"/>
  <c r="AL4" i="2" s="1"/>
  <c r="AK4" i="2" a="1"/>
  <c r="AK4" i="2" s="1"/>
  <c r="AJ4" i="2"/>
  <c r="AI4" i="2" a="1"/>
  <c r="AI4" i="2" s="1"/>
  <c r="AH4" i="2"/>
  <c r="AG4" i="2" a="1"/>
  <c r="AG4" i="2" s="1"/>
  <c r="AF4" i="2"/>
  <c r="AL3" i="2" a="1"/>
  <c r="AL3" i="2" s="1"/>
  <c r="AK3" i="2" a="1"/>
  <c r="AK3" i="2" s="1"/>
  <c r="AJ3" i="2"/>
  <c r="AI3" i="2" a="1"/>
  <c r="AI3" i="2" s="1"/>
  <c r="AH3" i="2"/>
  <c r="AG3" i="2" a="1"/>
  <c r="AG3" i="2" s="1"/>
  <c r="AF3" i="2"/>
  <c r="Z2" i="15"/>
  <c r="Z3" i="15"/>
  <c r="Z4" i="15"/>
  <c r="Z5" i="15"/>
  <c r="Z6" i="15"/>
  <c r="Z7" i="15"/>
  <c r="Z8" i="15"/>
  <c r="Z9" i="15"/>
  <c r="Z10" i="15"/>
  <c r="Z11" i="15"/>
  <c r="Z12" i="15"/>
  <c r="Z13" i="15"/>
  <c r="Z14" i="15"/>
  <c r="Z15" i="15"/>
  <c r="Z16" i="15"/>
  <c r="Z17" i="15"/>
  <c r="Z18" i="15"/>
  <c r="Z19" i="15"/>
  <c r="Z20" i="15"/>
  <c r="Z21" i="15"/>
  <c r="Z22" i="15"/>
  <c r="Z23" i="15"/>
  <c r="Z24" i="15"/>
  <c r="Z25" i="15"/>
  <c r="Z26" i="15"/>
  <c r="Z27" i="15"/>
  <c r="Z28" i="15"/>
  <c r="Z29" i="15"/>
  <c r="Z30" i="15"/>
  <c r="Z31" i="15"/>
  <c r="Z32" i="15"/>
  <c r="Z33" i="15"/>
  <c r="Z34" i="15"/>
  <c r="Z35" i="15"/>
  <c r="Z36" i="15"/>
  <c r="Z37" i="15"/>
  <c r="Z38" i="15"/>
  <c r="X2" i="15"/>
  <c r="Y2" i="15"/>
  <c r="X3" i="15"/>
  <c r="Y3" i="15"/>
  <c r="X4" i="15"/>
  <c r="Y4" i="15"/>
  <c r="X5" i="15"/>
  <c r="Y5" i="15"/>
  <c r="X6" i="15"/>
  <c r="Y6" i="15"/>
  <c r="X7" i="15"/>
  <c r="Y7" i="15"/>
  <c r="X8" i="15"/>
  <c r="Y8" i="15"/>
  <c r="X9" i="15"/>
  <c r="Y9" i="15"/>
  <c r="X10" i="15"/>
  <c r="Y10" i="15"/>
  <c r="X11" i="15"/>
  <c r="Y11" i="15"/>
  <c r="X12" i="15"/>
  <c r="Y12" i="15"/>
  <c r="X13" i="15"/>
  <c r="Y13" i="15"/>
  <c r="X14" i="15"/>
  <c r="Y14" i="15"/>
  <c r="X15" i="15"/>
  <c r="Y15" i="15"/>
  <c r="X16" i="15"/>
  <c r="Y16" i="15"/>
  <c r="X17" i="15"/>
  <c r="Y17" i="15"/>
  <c r="X18" i="15"/>
  <c r="Y18" i="15"/>
  <c r="X19" i="15"/>
  <c r="Y19" i="15"/>
  <c r="X20" i="15"/>
  <c r="Y20" i="15"/>
  <c r="X21" i="15"/>
  <c r="Y21" i="15"/>
  <c r="X22" i="15"/>
  <c r="Y22" i="15"/>
  <c r="X23" i="15"/>
  <c r="Y23" i="15"/>
  <c r="X24" i="15"/>
  <c r="Y24" i="15"/>
  <c r="X25" i="15"/>
  <c r="Y25" i="15"/>
  <c r="X26" i="15"/>
  <c r="Y26" i="15"/>
  <c r="X27" i="15"/>
  <c r="Y27" i="15"/>
  <c r="X28" i="15"/>
  <c r="Y28" i="15"/>
  <c r="X29" i="15"/>
  <c r="Y29" i="15"/>
  <c r="X30" i="15"/>
  <c r="Y30" i="15"/>
  <c r="X31" i="15"/>
  <c r="Y31" i="15"/>
  <c r="X32" i="15"/>
  <c r="Y32" i="15"/>
  <c r="X33" i="15"/>
  <c r="Y33" i="15"/>
  <c r="X34" i="15"/>
  <c r="Y34" i="15"/>
  <c r="X35" i="15"/>
  <c r="Y35" i="15"/>
  <c r="X36" i="15"/>
  <c r="Y36" i="15"/>
  <c r="X37" i="15"/>
  <c r="Y37" i="15"/>
  <c r="X38" i="15"/>
  <c r="Y38" i="15"/>
  <c r="X39" i="15"/>
  <c r="Y39" i="15"/>
  <c r="X40" i="15"/>
  <c r="Y40" i="15"/>
  <c r="X41" i="15"/>
  <c r="Y41" i="15"/>
  <c r="X42" i="15"/>
  <c r="Y42" i="15"/>
  <c r="X43" i="15"/>
  <c r="Y43" i="15"/>
  <c r="X44" i="15"/>
  <c r="Y44" i="15"/>
  <c r="X45" i="15"/>
  <c r="Y45" i="15"/>
  <c r="X46" i="15"/>
  <c r="Y46" i="15"/>
  <c r="X47" i="15"/>
  <c r="Y47" i="15"/>
  <c r="R2" i="14"/>
  <c r="S2" i="14"/>
  <c r="T2" i="14"/>
  <c r="R3" i="14"/>
  <c r="S3" i="14"/>
  <c r="T3" i="14"/>
  <c r="R4" i="14"/>
  <c r="S4" i="14"/>
  <c r="T4" i="14"/>
  <c r="R5" i="14"/>
  <c r="S5" i="14"/>
  <c r="T5" i="14"/>
  <c r="R6" i="14"/>
  <c r="S6" i="14"/>
  <c r="T6" i="14"/>
  <c r="R7" i="14"/>
  <c r="S7" i="14"/>
  <c r="T7" i="14"/>
  <c r="R8" i="14"/>
  <c r="S8" i="14"/>
  <c r="T8" i="14"/>
  <c r="R9" i="14"/>
  <c r="S9" i="14"/>
  <c r="T9" i="14"/>
  <c r="R10" i="14"/>
  <c r="S10" i="14"/>
  <c r="T10" i="14"/>
  <c r="R11" i="14"/>
  <c r="S11" i="14"/>
  <c r="T11" i="14"/>
  <c r="R12" i="14"/>
  <c r="S12" i="14"/>
  <c r="T12" i="14"/>
  <c r="R13" i="14"/>
  <c r="S13" i="14"/>
  <c r="T13" i="14"/>
  <c r="R14" i="14"/>
  <c r="S14" i="14"/>
  <c r="T14" i="14"/>
  <c r="R15" i="14"/>
  <c r="S15" i="14"/>
  <c r="T15" i="14"/>
  <c r="R16" i="14"/>
  <c r="S16" i="14"/>
  <c r="T16" i="14"/>
  <c r="R17" i="14"/>
  <c r="S17" i="14"/>
  <c r="T17" i="14"/>
  <c r="R18" i="14"/>
  <c r="S18" i="14"/>
  <c r="T18" i="14"/>
  <c r="R19" i="14"/>
  <c r="S19" i="14"/>
  <c r="T19" i="14"/>
  <c r="R20" i="14"/>
  <c r="S20" i="14"/>
  <c r="T20" i="14"/>
  <c r="R21" i="14"/>
  <c r="S21" i="14"/>
  <c r="T21" i="14"/>
  <c r="R22" i="14"/>
  <c r="S22" i="14"/>
  <c r="T22" i="14"/>
  <c r="R23" i="14"/>
  <c r="S23" i="14"/>
  <c r="T23" i="14"/>
  <c r="R24" i="14"/>
  <c r="S24" i="14"/>
  <c r="T24" i="14"/>
  <c r="R25" i="14"/>
  <c r="S25" i="14"/>
  <c r="T25" i="14"/>
  <c r="R26" i="14"/>
  <c r="S26" i="14"/>
  <c r="T26" i="14"/>
  <c r="R27" i="14"/>
  <c r="S27" i="14"/>
  <c r="T27" i="14"/>
  <c r="R28" i="14"/>
  <c r="S28" i="14"/>
  <c r="T28" i="14"/>
  <c r="R29" i="14"/>
  <c r="S29" i="14"/>
  <c r="T29" i="14"/>
  <c r="R30" i="14"/>
  <c r="S30" i="14"/>
  <c r="T30" i="14"/>
  <c r="R31" i="14"/>
  <c r="S31" i="14"/>
  <c r="T31" i="14"/>
  <c r="R32" i="14"/>
  <c r="S32" i="14"/>
  <c r="T32" i="14"/>
  <c r="R33" i="14"/>
  <c r="S33" i="14"/>
  <c r="T33" i="14"/>
  <c r="R34" i="14"/>
  <c r="S34" i="14"/>
  <c r="T34" i="14"/>
  <c r="R35" i="14"/>
  <c r="S35" i="14"/>
  <c r="T35" i="14"/>
  <c r="R36" i="14"/>
  <c r="S36" i="14"/>
  <c r="T36" i="14"/>
  <c r="R37" i="14"/>
  <c r="S37" i="14"/>
  <c r="T37" i="14"/>
  <c r="R38" i="14"/>
  <c r="S38" i="14"/>
  <c r="T38" i="14"/>
  <c r="AA28" i="6" l="1"/>
  <c r="AA32" i="6"/>
  <c r="AA35" i="6"/>
  <c r="AL2" i="7" a="1"/>
  <c r="AL2" i="7" s="1"/>
  <c r="AL9" i="7" a="1"/>
  <c r="AL9" i="7" s="1"/>
  <c r="AJ2" i="7"/>
  <c r="AJ9" i="7"/>
  <c r="AK9" i="7" a="1"/>
  <c r="AK9" i="7" s="1"/>
  <c r="AK2" i="7" a="1"/>
  <c r="AK2" i="7" s="1"/>
  <c r="AF9" i="3"/>
  <c r="AF2" i="3"/>
  <c r="AA26" i="3"/>
  <c r="AK9" i="3" a="1"/>
  <c r="AK9" i="3" s="1"/>
  <c r="AJ2" i="3"/>
  <c r="AK2" i="3" a="1"/>
  <c r="AK2" i="3" s="1"/>
  <c r="AJ9" i="3"/>
  <c r="AG9" i="3" a="1"/>
  <c r="AG9" i="3" s="1"/>
  <c r="AG2" i="3" a="1"/>
  <c r="AG2" i="3" s="1"/>
  <c r="AA9" i="3"/>
  <c r="AA7" i="3"/>
  <c r="AA19" i="3"/>
  <c r="AA16" i="3"/>
  <c r="AA27" i="3"/>
  <c r="AA25" i="3"/>
  <c r="AA12" i="3"/>
  <c r="AA18" i="3"/>
  <c r="AA34" i="3"/>
  <c r="AA8" i="3"/>
  <c r="AA17" i="3"/>
  <c r="AA13" i="3"/>
  <c r="AA5" i="3"/>
  <c r="AA6" i="3"/>
  <c r="AA22" i="3"/>
  <c r="AA21" i="3"/>
  <c r="AA14" i="3"/>
  <c r="AA33" i="3"/>
  <c r="AA32" i="3"/>
  <c r="AA15" i="3"/>
  <c r="AA4" i="3"/>
  <c r="AA24" i="3"/>
  <c r="AA2" i="3"/>
  <c r="AA20" i="3"/>
  <c r="AA29" i="3"/>
  <c r="AA10" i="3"/>
  <c r="AA28" i="3"/>
  <c r="AA30" i="3"/>
  <c r="AA31" i="3"/>
  <c r="AA11" i="3"/>
  <c r="AA23" i="3"/>
  <c r="AA3" i="3"/>
  <c r="AA17" i="6"/>
  <c r="AA22" i="6"/>
  <c r="AA8" i="6"/>
  <c r="AA5" i="6"/>
  <c r="AA20" i="6"/>
  <c r="AA13" i="6"/>
  <c r="AF9" i="6"/>
  <c r="AA40" i="6"/>
  <c r="AA38" i="6"/>
  <c r="AA16" i="6"/>
  <c r="AA15" i="6"/>
  <c r="AA33" i="6"/>
  <c r="AA31" i="6"/>
  <c r="AA10" i="6"/>
  <c r="AA7" i="6"/>
  <c r="AA4" i="6"/>
  <c r="AA39" i="6"/>
  <c r="AA19" i="6"/>
  <c r="AA37" i="6"/>
  <c r="AA34" i="6"/>
  <c r="AA12" i="6"/>
  <c r="AA30" i="6"/>
  <c r="AA27" i="6"/>
  <c r="AA26" i="6"/>
  <c r="AA3" i="6"/>
  <c r="AA23" i="6"/>
  <c r="AA21" i="6"/>
  <c r="AA18" i="6"/>
  <c r="AA36" i="6"/>
  <c r="AA14" i="6"/>
  <c r="AA11" i="6"/>
  <c r="AA29" i="6"/>
  <c r="AA9" i="6"/>
  <c r="AA6" i="6"/>
  <c r="AA2" i="6"/>
  <c r="AJ9" i="6"/>
  <c r="AA14" i="7"/>
  <c r="AA11" i="7"/>
  <c r="AA8" i="7"/>
  <c r="AA5" i="7"/>
  <c r="AA2" i="7"/>
  <c r="AA31" i="7"/>
  <c r="AA28" i="7"/>
  <c r="AA25" i="7"/>
  <c r="AA22" i="7"/>
  <c r="AA19" i="7"/>
  <c r="Z2" i="7"/>
  <c r="AF2" i="7" s="1"/>
  <c r="Z19" i="7"/>
  <c r="AF9" i="7" s="1"/>
  <c r="AA16" i="7"/>
  <c r="AA13" i="7"/>
  <c r="AA10" i="7"/>
  <c r="AA7" i="7"/>
  <c r="AA4" i="7"/>
  <c r="AA33" i="7"/>
  <c r="AA30" i="7"/>
  <c r="AA27" i="7"/>
  <c r="AA24" i="7"/>
  <c r="AA21" i="7"/>
  <c r="AA18" i="7"/>
  <c r="AA15" i="7"/>
  <c r="AA12" i="7"/>
  <c r="AA9" i="7"/>
  <c r="AA6" i="7"/>
  <c r="AA3" i="7"/>
  <c r="AA32" i="7"/>
  <c r="AA29" i="7"/>
  <c r="AA26" i="7"/>
  <c r="AA23" i="7"/>
  <c r="AA20" i="7"/>
  <c r="AA17" i="7"/>
  <c r="AI2" i="3" l="1" a="1"/>
  <c r="AI2" i="3" s="1"/>
  <c r="AH9" i="6"/>
  <c r="AH9" i="7"/>
  <c r="AH2" i="7"/>
  <c r="AI2" i="7" a="1"/>
  <c r="AI2" i="7" s="1"/>
  <c r="AG2" i="7" a="1"/>
  <c r="AG2" i="7" s="1"/>
  <c r="AI9" i="7" a="1"/>
  <c r="AI9" i="7" s="1"/>
  <c r="AG9" i="7" a="1"/>
  <c r="AG9" i="7" s="1"/>
  <c r="AH9" i="3"/>
  <c r="AI9" i="3" a="1"/>
  <c r="AI9" i="3" s="1"/>
  <c r="AH2" i="3"/>
  <c r="AC13" i="14" a="1"/>
  <c r="AC13" i="14" s="1"/>
  <c r="AC12" i="14" a="1"/>
  <c r="AC12" i="14" s="1"/>
  <c r="AC11" i="14" a="1"/>
  <c r="AC11" i="14" s="1"/>
  <c r="AC10" i="14" a="1"/>
  <c r="AC10" i="14" s="1"/>
  <c r="AB10" i="14" a="1"/>
  <c r="AB10" i="14" s="1"/>
  <c r="AA10" i="14" a="1"/>
  <c r="AA10" i="14" s="1"/>
  <c r="AC9" i="14" a="1"/>
  <c r="AC9" i="14" s="1"/>
  <c r="AB9" i="14" a="1"/>
  <c r="AB9" i="14" s="1"/>
  <c r="AA9" i="14" a="1"/>
  <c r="AA9" i="14" s="1"/>
  <c r="AC8" i="14" a="1"/>
  <c r="AC8" i="14" s="1"/>
  <c r="AB8" i="14" a="1"/>
  <c r="AB8" i="14" s="1"/>
  <c r="AA8" i="14" a="1"/>
  <c r="AA8" i="14" s="1"/>
  <c r="AC7" i="14" a="1"/>
  <c r="AC7" i="14" s="1"/>
  <c r="AC6" i="14" a="1"/>
  <c r="AC6" i="14" s="1"/>
  <c r="AC5" i="14" a="1"/>
  <c r="AC5" i="14" s="1"/>
  <c r="AC4" i="14" a="1"/>
  <c r="AC4" i="14" s="1"/>
  <c r="AB4" i="14" a="1"/>
  <c r="AB4" i="14" s="1"/>
  <c r="AA4" i="14" a="1"/>
  <c r="AA4" i="14" s="1"/>
  <c r="AC3" i="14" a="1"/>
  <c r="AC3" i="14" s="1"/>
  <c r="AB3" i="14" a="1"/>
  <c r="AB3" i="14" s="1"/>
  <c r="AA3" i="14" a="1"/>
  <c r="AA3" i="14" s="1"/>
  <c r="AC2" i="14" a="1"/>
  <c r="AC2" i="14" s="1"/>
  <c r="AB2" i="14" a="1"/>
  <c r="AB2" i="14" s="1"/>
  <c r="AA2" i="14" a="1"/>
  <c r="AA2" i="14" s="1"/>
  <c r="E46" i="14" a="1"/>
  <c r="E46" i="14" s="1"/>
  <c r="F46" i="14" s="1" a="1"/>
  <c r="F46" i="14" s="1"/>
  <c r="E45" i="14" a="1"/>
  <c r="E45" i="14" s="1"/>
  <c r="F45" i="14" s="1" a="1"/>
  <c r="F45" i="14" s="1"/>
  <c r="R2" i="13"/>
  <c r="S2" i="13"/>
  <c r="T2" i="13"/>
  <c r="R3" i="13"/>
  <c r="S3" i="13"/>
  <c r="T3" i="13"/>
  <c r="R4" i="13"/>
  <c r="S4" i="13"/>
  <c r="T4" i="13"/>
  <c r="R5" i="13"/>
  <c r="S5" i="13"/>
  <c r="T5" i="13"/>
  <c r="R6" i="13"/>
  <c r="S6" i="13"/>
  <c r="T6" i="13"/>
  <c r="R7" i="13"/>
  <c r="S7" i="13"/>
  <c r="T7" i="13"/>
  <c r="R8" i="13"/>
  <c r="S8" i="13"/>
  <c r="T8" i="13"/>
  <c r="R9" i="13"/>
  <c r="S9" i="13"/>
  <c r="T9" i="13"/>
  <c r="R10" i="13"/>
  <c r="S10" i="13"/>
  <c r="T10" i="13"/>
  <c r="R11" i="13"/>
  <c r="S11" i="13"/>
  <c r="T11" i="13"/>
  <c r="R12" i="13"/>
  <c r="S12" i="13"/>
  <c r="T12" i="13"/>
  <c r="R13" i="13"/>
  <c r="S13" i="13"/>
  <c r="T13" i="13"/>
  <c r="R14" i="13"/>
  <c r="S14" i="13"/>
  <c r="T14" i="13"/>
  <c r="R15" i="13"/>
  <c r="S15" i="13"/>
  <c r="T15" i="13"/>
  <c r="R16" i="13"/>
  <c r="S16" i="13"/>
  <c r="T16" i="13"/>
  <c r="R17" i="13"/>
  <c r="S17" i="13"/>
  <c r="T17" i="13"/>
  <c r="R18" i="13"/>
  <c r="S18" i="13"/>
  <c r="T18" i="13"/>
  <c r="R19" i="13"/>
  <c r="S19" i="13"/>
  <c r="T19" i="13"/>
  <c r="R20" i="13"/>
  <c r="S20" i="13"/>
  <c r="T20" i="13"/>
  <c r="R21" i="13"/>
  <c r="S21" i="13"/>
  <c r="T21" i="13"/>
  <c r="R22" i="13"/>
  <c r="S22" i="13"/>
  <c r="T22" i="13"/>
  <c r="R23" i="13"/>
  <c r="S23" i="13"/>
  <c r="T23" i="13"/>
  <c r="R24" i="13"/>
  <c r="S24" i="13"/>
  <c r="T24" i="13"/>
  <c r="R25" i="13"/>
  <c r="S25" i="13"/>
  <c r="T25" i="13"/>
  <c r="R26" i="13"/>
  <c r="S26" i="13"/>
  <c r="T26" i="13"/>
  <c r="R27" i="13"/>
  <c r="S27" i="13"/>
  <c r="T27" i="13"/>
  <c r="R28" i="13"/>
  <c r="S28" i="13"/>
  <c r="T28" i="13"/>
  <c r="R29" i="13"/>
  <c r="S29" i="13"/>
  <c r="T29" i="13"/>
  <c r="R30" i="13"/>
  <c r="S30" i="13"/>
  <c r="T30" i="13"/>
  <c r="R31" i="13"/>
  <c r="S31" i="13"/>
  <c r="T31" i="13"/>
  <c r="R32" i="13"/>
  <c r="S32" i="13"/>
  <c r="T32" i="13"/>
  <c r="R33" i="13"/>
  <c r="S33" i="13"/>
  <c r="T33" i="13"/>
  <c r="R34" i="13"/>
  <c r="S34" i="13"/>
  <c r="T34" i="13"/>
  <c r="R35" i="13"/>
  <c r="S35" i="13"/>
  <c r="T35" i="13"/>
  <c r="R36" i="13"/>
  <c r="S36" i="13"/>
  <c r="T36" i="13"/>
  <c r="R37" i="13"/>
  <c r="S37" i="13"/>
  <c r="T37" i="13"/>
  <c r="R38" i="13"/>
  <c r="S38" i="13"/>
  <c r="T38" i="13"/>
  <c r="R39" i="13"/>
  <c r="S39" i="13"/>
  <c r="T39" i="13"/>
  <c r="R40" i="13"/>
  <c r="S40" i="13"/>
  <c r="T40" i="13"/>
  <c r="R41" i="13"/>
  <c r="S41" i="13"/>
  <c r="T41" i="13"/>
  <c r="R42" i="13"/>
  <c r="S42" i="13"/>
  <c r="T42" i="13"/>
  <c r="R43" i="13"/>
  <c r="S43" i="13"/>
  <c r="T43" i="13"/>
  <c r="R44" i="13"/>
  <c r="S44" i="13"/>
  <c r="T44" i="13"/>
  <c r="AC10" i="13" a="1"/>
  <c r="AC10" i="13" s="1"/>
  <c r="AB10" i="13" a="1"/>
  <c r="AB10" i="13" s="1"/>
  <c r="AA10" i="13" a="1"/>
  <c r="AA10" i="13" s="1"/>
  <c r="AC9" i="13" a="1"/>
  <c r="AC9" i="13" s="1"/>
  <c r="AB9" i="13" a="1"/>
  <c r="AB9" i="13" s="1"/>
  <c r="AA9" i="13" a="1"/>
  <c r="AA9" i="13" s="1"/>
  <c r="AC8" i="13" a="1"/>
  <c r="AC8" i="13" s="1"/>
  <c r="AB8" i="13" a="1"/>
  <c r="AB8" i="13" s="1"/>
  <c r="AA8" i="13" a="1"/>
  <c r="AA8" i="13" s="1"/>
  <c r="AC4" i="13" a="1"/>
  <c r="AC4" i="13" s="1"/>
  <c r="AB4" i="13" a="1"/>
  <c r="AB4" i="13" s="1"/>
  <c r="AA4" i="13" a="1"/>
  <c r="AA4" i="13" s="1"/>
  <c r="AC3" i="13" a="1"/>
  <c r="AC3" i="13" s="1"/>
  <c r="AB3" i="13" a="1"/>
  <c r="AB3" i="13" s="1"/>
  <c r="AA3" i="13" a="1"/>
  <c r="AA3" i="13" s="1"/>
  <c r="AC2" i="13" a="1"/>
  <c r="AC2" i="13" s="1"/>
  <c r="AB2" i="13" a="1"/>
  <c r="AB2" i="13" s="1"/>
  <c r="AA2" i="13" a="1"/>
  <c r="AA2" i="13" s="1"/>
  <c r="R2" i="12"/>
  <c r="S2" i="12"/>
  <c r="T2" i="12"/>
  <c r="R3" i="12"/>
  <c r="S3" i="12"/>
  <c r="T3" i="12"/>
  <c r="R4" i="12"/>
  <c r="S4" i="12"/>
  <c r="T4" i="12"/>
  <c r="R5" i="12"/>
  <c r="S5" i="12"/>
  <c r="T5" i="12"/>
  <c r="R6" i="12"/>
  <c r="S6" i="12"/>
  <c r="T6" i="12"/>
  <c r="R7" i="12"/>
  <c r="S7" i="12"/>
  <c r="T7" i="12"/>
  <c r="R8" i="12"/>
  <c r="S8" i="12"/>
  <c r="T8" i="12"/>
  <c r="R9" i="12"/>
  <c r="S9" i="12"/>
  <c r="T9" i="12"/>
  <c r="R10" i="12"/>
  <c r="S10" i="12"/>
  <c r="T10" i="12"/>
  <c r="R11" i="12"/>
  <c r="S11" i="12"/>
  <c r="T11" i="12"/>
  <c r="R12" i="12"/>
  <c r="S12" i="12"/>
  <c r="T12" i="12"/>
  <c r="R13" i="12"/>
  <c r="S13" i="12"/>
  <c r="T13" i="12"/>
  <c r="R14" i="12"/>
  <c r="S14" i="12"/>
  <c r="T14" i="12"/>
  <c r="R15" i="12"/>
  <c r="S15" i="12"/>
  <c r="T15" i="12"/>
  <c r="R16" i="12"/>
  <c r="S16" i="12"/>
  <c r="T16" i="12"/>
  <c r="R17" i="12"/>
  <c r="S17" i="12"/>
  <c r="T17" i="12"/>
  <c r="R18" i="12"/>
  <c r="S18" i="12"/>
  <c r="T18" i="12"/>
  <c r="R19" i="12"/>
  <c r="S19" i="12"/>
  <c r="T19" i="12"/>
  <c r="R20" i="12"/>
  <c r="S20" i="12"/>
  <c r="T20" i="12"/>
  <c r="R21" i="12"/>
  <c r="S21" i="12"/>
  <c r="T21" i="12"/>
  <c r="R22" i="12"/>
  <c r="S22" i="12"/>
  <c r="T22" i="12"/>
  <c r="R23" i="12"/>
  <c r="S23" i="12"/>
  <c r="T23" i="12"/>
  <c r="R24" i="12"/>
  <c r="S24" i="12"/>
  <c r="T24" i="12"/>
  <c r="R25" i="12"/>
  <c r="S25" i="12"/>
  <c r="T25" i="12"/>
  <c r="R26" i="12"/>
  <c r="S26" i="12"/>
  <c r="T26" i="12"/>
  <c r="R27" i="12"/>
  <c r="S27" i="12"/>
  <c r="T27" i="12"/>
  <c r="R28" i="12"/>
  <c r="S28" i="12"/>
  <c r="T28" i="12"/>
  <c r="R29" i="12"/>
  <c r="S29" i="12"/>
  <c r="T29" i="12"/>
  <c r="R30" i="12"/>
  <c r="S30" i="12"/>
  <c r="T30" i="12"/>
  <c r="R31" i="12"/>
  <c r="S31" i="12"/>
  <c r="T31" i="12"/>
  <c r="R32" i="12"/>
  <c r="S32" i="12"/>
  <c r="T32" i="12"/>
  <c r="R33" i="12"/>
  <c r="S33" i="12"/>
  <c r="T33" i="12"/>
  <c r="R34" i="12"/>
  <c r="S34" i="12"/>
  <c r="T34" i="12"/>
  <c r="R35" i="12"/>
  <c r="S35" i="12"/>
  <c r="T35" i="12"/>
  <c r="R36" i="12"/>
  <c r="S36" i="12"/>
  <c r="T36" i="12"/>
  <c r="R37" i="12"/>
  <c r="S37" i="12"/>
  <c r="T37" i="12"/>
  <c r="R38" i="12"/>
  <c r="S38" i="12"/>
  <c r="T38" i="12"/>
  <c r="R39" i="12"/>
  <c r="S39" i="12"/>
  <c r="T39" i="12"/>
  <c r="R40" i="12"/>
  <c r="S40" i="12"/>
  <c r="T40" i="12"/>
  <c r="R41" i="12"/>
  <c r="S41" i="12"/>
  <c r="T41" i="12"/>
  <c r="R42" i="12"/>
  <c r="S42" i="12"/>
  <c r="T42" i="12"/>
  <c r="R43" i="12"/>
  <c r="S43" i="12"/>
  <c r="T43" i="12"/>
  <c r="R44" i="12"/>
  <c r="S44" i="12"/>
  <c r="T44" i="12"/>
  <c r="R45" i="12"/>
  <c r="S45" i="12"/>
  <c r="T45" i="12"/>
  <c r="R46" i="12"/>
  <c r="S46" i="12"/>
  <c r="T46" i="12"/>
  <c r="R47" i="12"/>
  <c r="S47" i="12"/>
  <c r="T47" i="12"/>
  <c r="AC10" i="12" a="1"/>
  <c r="AC10" i="12" s="1"/>
  <c r="AB10" i="12" a="1"/>
  <c r="AB10" i="12" s="1"/>
  <c r="AA10" i="12" a="1"/>
  <c r="AA10" i="12" s="1"/>
  <c r="AC9" i="12" a="1"/>
  <c r="AC9" i="12" s="1"/>
  <c r="AB9" i="12" a="1"/>
  <c r="AB9" i="12" s="1"/>
  <c r="AA9" i="12" a="1"/>
  <c r="AA9" i="12" s="1"/>
  <c r="AC8" i="12" a="1"/>
  <c r="AC8" i="12" s="1"/>
  <c r="AB8" i="12" a="1"/>
  <c r="AB8" i="12" s="1"/>
  <c r="AA8" i="12" a="1"/>
  <c r="AA8" i="12" s="1"/>
  <c r="AC4" i="12" a="1"/>
  <c r="AC4" i="12" s="1"/>
  <c r="AB4" i="12" a="1"/>
  <c r="AB4" i="12" s="1"/>
  <c r="AA4" i="12" a="1"/>
  <c r="AA4" i="12" s="1"/>
  <c r="AC3" i="12" a="1"/>
  <c r="AC3" i="12" s="1"/>
  <c r="AB3" i="12" a="1"/>
  <c r="AB3" i="12" s="1"/>
  <c r="AA3" i="12" a="1"/>
  <c r="AA3" i="12" s="1"/>
  <c r="AC2" i="12" a="1"/>
  <c r="AC2" i="12" s="1"/>
  <c r="AB2" i="12" a="1"/>
  <c r="AB2" i="12" s="1"/>
  <c r="AA2" i="12" a="1"/>
  <c r="AA2" i="12" s="1"/>
  <c r="AC10" i="11" a="1"/>
  <c r="AC10" i="11" s="1"/>
  <c r="AB10" i="11" a="1"/>
  <c r="AB10" i="11" s="1"/>
  <c r="AA10" i="11" a="1"/>
  <c r="AA10" i="11" s="1"/>
  <c r="AC9" i="11" a="1"/>
  <c r="AC9" i="11" s="1"/>
  <c r="AB9" i="11" a="1"/>
  <c r="AB9" i="11" s="1"/>
  <c r="AA9" i="11" a="1"/>
  <c r="AA9" i="11" s="1"/>
  <c r="AC8" i="11" a="1"/>
  <c r="AC8" i="11" s="1"/>
  <c r="AB8" i="11" a="1"/>
  <c r="AB8" i="11" s="1"/>
  <c r="AA8" i="11" a="1"/>
  <c r="AA8" i="11" s="1"/>
  <c r="AC4" i="11" a="1"/>
  <c r="AC4" i="11" s="1"/>
  <c r="AB4" i="11" a="1"/>
  <c r="AB4" i="11" s="1"/>
  <c r="AA4" i="11" a="1"/>
  <c r="AA4" i="11" s="1"/>
  <c r="AC3" i="11" a="1"/>
  <c r="AC3" i="11" s="1"/>
  <c r="AB3" i="11" a="1"/>
  <c r="AB3" i="11" s="1"/>
  <c r="AA3" i="11" a="1"/>
  <c r="AA3" i="11" s="1"/>
  <c r="AC2" i="11" a="1"/>
  <c r="AC2" i="11" s="1"/>
  <c r="AB2" i="11" a="1"/>
  <c r="AB2" i="11" s="1"/>
  <c r="AA2" i="11" a="1"/>
  <c r="AA2" i="11" s="1"/>
  <c r="R2" i="11"/>
  <c r="S2" i="11"/>
  <c r="T2" i="11"/>
  <c r="R3" i="11"/>
  <c r="S3" i="11"/>
  <c r="T3" i="11"/>
  <c r="R4" i="11"/>
  <c r="S4" i="11"/>
  <c r="T4" i="11"/>
  <c r="R5" i="11"/>
  <c r="S5" i="11"/>
  <c r="T5" i="11"/>
  <c r="R6" i="11"/>
  <c r="S6" i="11"/>
  <c r="T6" i="11"/>
  <c r="R7" i="11"/>
  <c r="S7" i="11"/>
  <c r="T7" i="11"/>
  <c r="R8" i="11"/>
  <c r="S8" i="11"/>
  <c r="T8" i="11"/>
  <c r="R9" i="11"/>
  <c r="S9" i="11"/>
  <c r="T9" i="11"/>
  <c r="R10" i="11"/>
  <c r="S10" i="11"/>
  <c r="T10" i="11"/>
  <c r="R11" i="11"/>
  <c r="S11" i="11"/>
  <c r="T11" i="11"/>
  <c r="R12" i="11"/>
  <c r="S12" i="11"/>
  <c r="T12" i="11"/>
  <c r="R13" i="11"/>
  <c r="S13" i="11"/>
  <c r="T13" i="11"/>
  <c r="R14" i="11"/>
  <c r="S14" i="11"/>
  <c r="T14" i="11"/>
  <c r="R15" i="11"/>
  <c r="S15" i="11"/>
  <c r="T15" i="11"/>
  <c r="R16" i="11"/>
  <c r="S16" i="11"/>
  <c r="T16" i="11"/>
  <c r="R17" i="11"/>
  <c r="S17" i="11"/>
  <c r="T17" i="11"/>
  <c r="R18" i="11"/>
  <c r="S18" i="11"/>
  <c r="T18" i="11"/>
  <c r="R19" i="11"/>
  <c r="S19" i="11"/>
  <c r="T19" i="11"/>
  <c r="R20" i="11"/>
  <c r="S20" i="11"/>
  <c r="T20" i="11"/>
  <c r="R21" i="11"/>
  <c r="S21" i="11"/>
  <c r="T21" i="11"/>
  <c r="R22" i="11"/>
  <c r="S22" i="11"/>
  <c r="T22" i="11"/>
  <c r="R23" i="11"/>
  <c r="S23" i="11"/>
  <c r="T23" i="11"/>
  <c r="R24" i="11"/>
  <c r="S24" i="11"/>
  <c r="T24" i="11"/>
  <c r="R25" i="11"/>
  <c r="S25" i="11"/>
  <c r="T25" i="11"/>
  <c r="R26" i="11"/>
  <c r="S26" i="11"/>
  <c r="T26" i="11"/>
  <c r="R27" i="11"/>
  <c r="S27" i="11"/>
  <c r="T27" i="11"/>
  <c r="R28" i="11"/>
  <c r="S28" i="11"/>
  <c r="T28" i="11"/>
  <c r="R29" i="11"/>
  <c r="S29" i="11"/>
  <c r="T29" i="11"/>
  <c r="R30" i="11"/>
  <c r="S30" i="11"/>
  <c r="T30" i="11"/>
  <c r="R31" i="11"/>
  <c r="S31" i="11"/>
  <c r="T31" i="11"/>
  <c r="R32" i="11"/>
  <c r="S32" i="11"/>
  <c r="T32" i="11"/>
  <c r="R33" i="11"/>
  <c r="S33" i="11"/>
  <c r="T33" i="11"/>
  <c r="R34" i="11"/>
  <c r="S34" i="11"/>
  <c r="T34" i="11"/>
  <c r="R35" i="11"/>
  <c r="S35" i="11"/>
  <c r="T35" i="11"/>
  <c r="R36" i="11"/>
  <c r="S36" i="11"/>
  <c r="T36" i="11"/>
  <c r="R37" i="11"/>
  <c r="S37" i="11"/>
  <c r="T37" i="11"/>
  <c r="R38" i="11"/>
  <c r="S38" i="11"/>
  <c r="T38" i="11"/>
  <c r="R39" i="11"/>
  <c r="S39" i="11"/>
  <c r="T39" i="11"/>
  <c r="R40" i="11"/>
  <c r="S40" i="11"/>
  <c r="T40" i="11"/>
  <c r="R41" i="11"/>
  <c r="S41" i="11"/>
  <c r="T41" i="11"/>
  <c r="R42" i="11"/>
  <c r="S42" i="11"/>
  <c r="T42" i="11"/>
  <c r="R43" i="11"/>
  <c r="S43" i="11"/>
  <c r="T43" i="11"/>
  <c r="R44" i="11"/>
  <c r="S44" i="11"/>
  <c r="T44" i="11"/>
  <c r="R45" i="11"/>
  <c r="S45" i="11"/>
  <c r="T45" i="11"/>
  <c r="R26" i="10"/>
  <c r="S26" i="10"/>
  <c r="T26" i="10"/>
  <c r="R2" i="10"/>
  <c r="S2" i="10"/>
  <c r="T2" i="10"/>
  <c r="R27" i="10"/>
  <c r="S27" i="10"/>
  <c r="T27" i="10"/>
  <c r="R3" i="10"/>
  <c r="S3" i="10"/>
  <c r="T3" i="10"/>
  <c r="R4" i="10"/>
  <c r="S4" i="10"/>
  <c r="T4" i="10"/>
  <c r="R28" i="10"/>
  <c r="S28" i="10"/>
  <c r="T28" i="10"/>
  <c r="R5" i="10"/>
  <c r="S5" i="10"/>
  <c r="T5" i="10"/>
  <c r="R6" i="10"/>
  <c r="S6" i="10"/>
  <c r="T6" i="10"/>
  <c r="R29" i="10"/>
  <c r="S29" i="10"/>
  <c r="T29" i="10"/>
  <c r="R7" i="10"/>
  <c r="S7" i="10"/>
  <c r="T7" i="10"/>
  <c r="R30" i="10"/>
  <c r="S30" i="10"/>
  <c r="T30" i="10"/>
  <c r="R8" i="10"/>
  <c r="S8" i="10"/>
  <c r="T8" i="10"/>
  <c r="R31" i="10"/>
  <c r="S31" i="10"/>
  <c r="T31" i="10"/>
  <c r="R32" i="10"/>
  <c r="S32" i="10"/>
  <c r="T32" i="10"/>
  <c r="R33" i="10"/>
  <c r="S33" i="10"/>
  <c r="T33" i="10"/>
  <c r="R9" i="10"/>
  <c r="S9" i="10"/>
  <c r="T9" i="10"/>
  <c r="R34" i="10"/>
  <c r="S34" i="10"/>
  <c r="T34" i="10"/>
  <c r="R10" i="10"/>
  <c r="S10" i="10"/>
  <c r="T10" i="10"/>
  <c r="R35" i="10"/>
  <c r="S35" i="10"/>
  <c r="T35" i="10"/>
  <c r="R36" i="10"/>
  <c r="S36" i="10"/>
  <c r="T36" i="10"/>
  <c r="R16" i="10"/>
  <c r="S16" i="10"/>
  <c r="T16" i="10"/>
  <c r="R37" i="10"/>
  <c r="S37" i="10"/>
  <c r="T37" i="10"/>
  <c r="R11" i="10"/>
  <c r="S11" i="10"/>
  <c r="T11" i="10"/>
  <c r="R12" i="10"/>
  <c r="S12" i="10"/>
  <c r="T12" i="10"/>
  <c r="R13" i="10"/>
  <c r="S13" i="10"/>
  <c r="T13" i="10"/>
  <c r="R14" i="10"/>
  <c r="S14" i="10"/>
  <c r="T14" i="10"/>
  <c r="R15" i="10"/>
  <c r="S15" i="10"/>
  <c r="T15" i="10"/>
  <c r="R17" i="10"/>
  <c r="S17" i="10"/>
  <c r="T17" i="10"/>
  <c r="R38" i="10"/>
  <c r="S38" i="10"/>
  <c r="T38" i="10"/>
  <c r="R18" i="10"/>
  <c r="S18" i="10"/>
  <c r="T18" i="10"/>
  <c r="R19" i="10"/>
  <c r="S19" i="10"/>
  <c r="T19" i="10"/>
  <c r="R20" i="10"/>
  <c r="S20" i="10"/>
  <c r="T20" i="10"/>
  <c r="R21" i="10"/>
  <c r="S21" i="10"/>
  <c r="T21" i="10"/>
  <c r="R39" i="10"/>
  <c r="S39" i="10"/>
  <c r="T39" i="10"/>
  <c r="R22" i="10"/>
  <c r="S22" i="10"/>
  <c r="T22" i="10"/>
  <c r="R23" i="10"/>
  <c r="S23" i="10"/>
  <c r="T23" i="10"/>
  <c r="R40" i="10"/>
  <c r="S40" i="10"/>
  <c r="T40" i="10"/>
  <c r="R41" i="10"/>
  <c r="S41" i="10"/>
  <c r="T41" i="10"/>
  <c r="R24" i="10"/>
  <c r="S24" i="10"/>
  <c r="T24" i="10"/>
  <c r="R25" i="10"/>
  <c r="S25" i="10"/>
  <c r="T25" i="10"/>
  <c r="R42" i="10"/>
  <c r="S42" i="10"/>
  <c r="T42" i="10"/>
  <c r="R43" i="10"/>
  <c r="S43" i="10"/>
  <c r="T43" i="10"/>
  <c r="R44" i="10"/>
  <c r="S44" i="10"/>
  <c r="T44" i="10"/>
  <c r="AC10" i="10" a="1"/>
  <c r="AC10" i="10" s="1"/>
  <c r="AB10" i="10" a="1"/>
  <c r="AB10" i="10" s="1"/>
  <c r="AA10" i="10" a="1"/>
  <c r="AA10" i="10" s="1"/>
  <c r="AC9" i="10" a="1"/>
  <c r="AC9" i="10" s="1"/>
  <c r="AB9" i="10" a="1"/>
  <c r="AB9" i="10" s="1"/>
  <c r="AA9" i="10" a="1"/>
  <c r="AA9" i="10" s="1"/>
  <c r="AC8" i="10" a="1"/>
  <c r="AC8" i="10" s="1"/>
  <c r="AB8" i="10" a="1"/>
  <c r="AB8" i="10" s="1"/>
  <c r="AA8" i="10" a="1"/>
  <c r="AA8" i="10" s="1"/>
  <c r="AC4" i="10" a="1"/>
  <c r="AC4" i="10" s="1"/>
  <c r="AB4" i="10" a="1"/>
  <c r="AB4" i="10" s="1"/>
  <c r="AA4" i="10" a="1"/>
  <c r="AA4" i="10" s="1"/>
  <c r="AC3" i="10" a="1"/>
  <c r="AC3" i="10" s="1"/>
  <c r="AB3" i="10" a="1"/>
  <c r="AB3" i="10" s="1"/>
  <c r="AA3" i="10" a="1"/>
  <c r="AA3" i="10" s="1"/>
  <c r="AC2" i="10" a="1"/>
  <c r="AC2" i="10" s="1"/>
  <c r="AB2" i="10" a="1"/>
  <c r="AB2" i="10" s="1"/>
  <c r="AA2" i="10" a="1"/>
  <c r="AA2" i="10" s="1"/>
  <c r="AC10" i="8" a="1"/>
  <c r="AC10" i="8" s="1"/>
  <c r="AB10" i="8" a="1"/>
  <c r="AB10" i="8" s="1"/>
  <c r="AA10" i="8" a="1"/>
  <c r="AA10" i="8" s="1"/>
  <c r="AC9" i="8" a="1"/>
  <c r="AC9" i="8" s="1"/>
  <c r="AB9" i="8" a="1"/>
  <c r="AB9" i="8" s="1"/>
  <c r="AA9" i="8" a="1"/>
  <c r="AA9" i="8" s="1"/>
  <c r="AC8" i="8" a="1"/>
  <c r="AC8" i="8" s="1"/>
  <c r="AB8" i="8" a="1"/>
  <c r="AB8" i="8" s="1"/>
  <c r="AA8" i="8" a="1"/>
  <c r="AA8" i="8" s="1"/>
  <c r="AC4" i="8" a="1"/>
  <c r="AC4" i="8" s="1"/>
  <c r="AB4" i="8" a="1"/>
  <c r="AB4" i="8" s="1"/>
  <c r="AA4" i="8" a="1"/>
  <c r="AA4" i="8" s="1"/>
  <c r="AC3" i="8" a="1"/>
  <c r="AC3" i="8" s="1"/>
  <c r="AB3" i="8" a="1"/>
  <c r="AB3" i="8" s="1"/>
  <c r="AA3" i="8" a="1"/>
  <c r="AA3" i="8" s="1"/>
  <c r="AC2" i="8" a="1"/>
  <c r="AC2" i="8" s="1"/>
  <c r="AB2" i="8" a="1"/>
  <c r="AB2" i="8" s="1"/>
  <c r="AA2" i="8" a="1"/>
  <c r="AA2" i="8" s="1"/>
  <c r="E52" i="14" a="1"/>
  <c r="E52" i="14" s="1"/>
  <c r="F52" i="14" s="1" a="1"/>
  <c r="F52" i="14" s="1"/>
  <c r="E55" i="12" a="1"/>
  <c r="E55" i="12" s="1"/>
  <c r="F55" i="12" s="1" a="1"/>
  <c r="F55" i="12" s="1"/>
  <c r="C51" i="8" a="1"/>
  <c r="C51" i="8" s="1"/>
  <c r="T2" i="8"/>
  <c r="T7" i="8"/>
  <c r="T11" i="8"/>
  <c r="T6" i="8"/>
  <c r="T3" i="8"/>
  <c r="T26" i="8"/>
  <c r="T5" i="8"/>
  <c r="T27" i="8"/>
  <c r="T13" i="8"/>
  <c r="T12" i="8"/>
  <c r="T9" i="8"/>
  <c r="T28" i="8"/>
  <c r="T8" i="8"/>
  <c r="T10" i="8"/>
  <c r="T29" i="8"/>
  <c r="T30" i="8"/>
  <c r="T4" i="8"/>
  <c r="T31" i="8"/>
  <c r="T32" i="8"/>
  <c r="T33" i="8"/>
  <c r="T34" i="8"/>
  <c r="T35" i="8"/>
  <c r="T21" i="8"/>
  <c r="T36" i="8"/>
  <c r="T37" i="8"/>
  <c r="T14" i="8"/>
  <c r="T15" i="8"/>
  <c r="T19" i="8"/>
  <c r="T18" i="8"/>
  <c r="T16" i="8"/>
  <c r="T20" i="8"/>
  <c r="T17" i="8"/>
  <c r="T38" i="8"/>
  <c r="T25" i="8"/>
  <c r="T39" i="8"/>
  <c r="T40" i="8"/>
  <c r="T41" i="8"/>
  <c r="T42" i="8"/>
  <c r="T43" i="8"/>
  <c r="T24" i="8"/>
  <c r="T23" i="8"/>
  <c r="T22" i="8"/>
  <c r="T44" i="8"/>
  <c r="T45" i="8"/>
  <c r="T46" i="8"/>
  <c r="T47" i="8"/>
  <c r="C57" i="8" a="1"/>
  <c r="C57" i="8" s="1"/>
  <c r="C52" i="8" a="1"/>
  <c r="C52" i="8" s="1"/>
  <c r="S2" i="8"/>
  <c r="S4" i="8"/>
  <c r="S3" i="8"/>
  <c r="S9" i="8"/>
  <c r="S7" i="8"/>
  <c r="S26" i="8"/>
  <c r="S8" i="8"/>
  <c r="S27" i="8"/>
  <c r="S10" i="8"/>
  <c r="S6" i="8"/>
  <c r="S11" i="8"/>
  <c r="S28" i="8"/>
  <c r="S12" i="8"/>
  <c r="S13" i="8"/>
  <c r="S29" i="8"/>
  <c r="S30" i="8"/>
  <c r="S5" i="8"/>
  <c r="S31" i="8"/>
  <c r="S32" i="8"/>
  <c r="S33" i="8"/>
  <c r="S34" i="8"/>
  <c r="S35" i="8"/>
  <c r="S16" i="8"/>
  <c r="S36" i="8"/>
  <c r="S37" i="8"/>
  <c r="S14" i="8"/>
  <c r="S15" i="8"/>
  <c r="S17" i="8"/>
  <c r="S18" i="8"/>
  <c r="S19" i="8"/>
  <c r="S20" i="8"/>
  <c r="S21" i="8"/>
  <c r="S38" i="8"/>
  <c r="S22" i="8"/>
  <c r="S39" i="8"/>
  <c r="S40" i="8"/>
  <c r="S41" i="8"/>
  <c r="S42" i="8"/>
  <c r="S43" i="8"/>
  <c r="S23" i="8"/>
  <c r="S24" i="8"/>
  <c r="S25" i="8"/>
  <c r="S44" i="8"/>
  <c r="S45" i="8"/>
  <c r="S46" i="8"/>
  <c r="S47" i="8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I38" i="7" a="1"/>
  <c r="I38" i="7" s="1"/>
  <c r="C53" i="2"/>
  <c r="D50" i="14" a="1"/>
  <c r="D50" i="14" s="1"/>
  <c r="E44" i="14" a="1"/>
  <c r="E44" i="14" s="1"/>
  <c r="F44" i="14" s="1" a="1"/>
  <c r="F44" i="14" s="1"/>
  <c r="E50" i="14" a="1"/>
  <c r="E50" i="14" s="1"/>
  <c r="F50" i="14" s="1" a="1"/>
  <c r="F50" i="14" s="1"/>
  <c r="E43" i="14" a="1"/>
  <c r="E43" i="14" s="1"/>
  <c r="F43" i="14" s="1" a="1"/>
  <c r="F43" i="14" s="1"/>
  <c r="E49" i="14" a="1"/>
  <c r="E49" i="14" s="1"/>
  <c r="F49" i="14" s="1" a="1"/>
  <c r="F49" i="14" s="1"/>
  <c r="E48" i="14" a="1"/>
  <c r="E48" i="14" s="1"/>
  <c r="F48" i="14" s="1" a="1"/>
  <c r="F48" i="14" s="1"/>
  <c r="E42" i="14" a="1"/>
  <c r="E42" i="14" s="1"/>
  <c r="F42" i="14" s="1" a="1"/>
  <c r="F42" i="14" s="1"/>
  <c r="D51" i="8" a="1"/>
  <c r="D51" i="8" s="1"/>
  <c r="E42" i="7"/>
  <c r="G40" i="7"/>
  <c r="G39" i="7"/>
  <c r="D38" i="7" a="1"/>
  <c r="D38" i="7" s="1"/>
  <c r="D49" i="3" a="1"/>
  <c r="D49" i="3" s="1"/>
  <c r="R2" i="8"/>
  <c r="CO12" i="15"/>
  <c r="CO6" i="15"/>
  <c r="CO9" i="15"/>
  <c r="CO4" i="15"/>
  <c r="CO10" i="15"/>
  <c r="CO7" i="15"/>
  <c r="CO13" i="15"/>
  <c r="CO15" i="15"/>
  <c r="CO8" i="15"/>
  <c r="CO17" i="15"/>
  <c r="CO2" i="15"/>
  <c r="CO5" i="15"/>
  <c r="CO11" i="15"/>
  <c r="CO14" i="15"/>
  <c r="CO16" i="15"/>
  <c r="CO18" i="15"/>
  <c r="CO19" i="15"/>
  <c r="CO20" i="15"/>
  <c r="CO21" i="15"/>
  <c r="CO22" i="15"/>
  <c r="CO23" i="15"/>
  <c r="CO24" i="15"/>
  <c r="CO25" i="15"/>
  <c r="CO26" i="15"/>
  <c r="CO27" i="15"/>
  <c r="CO28" i="15"/>
  <c r="CO29" i="15"/>
  <c r="CO30" i="15"/>
  <c r="CO31" i="15"/>
  <c r="CO32" i="15"/>
  <c r="CO33" i="15"/>
  <c r="CO34" i="15"/>
  <c r="CO35" i="15"/>
  <c r="CO36" i="15"/>
  <c r="CO37" i="15"/>
  <c r="CO38" i="15"/>
  <c r="CO39" i="15"/>
  <c r="CO40" i="15"/>
  <c r="CO41" i="15"/>
  <c r="CO42" i="15"/>
  <c r="CO43" i="15"/>
  <c r="CO44" i="15"/>
  <c r="CO45" i="15"/>
  <c r="CO46" i="15"/>
  <c r="CO47" i="15"/>
  <c r="CO48" i="15"/>
  <c r="CO49" i="15"/>
  <c r="CO50" i="15"/>
  <c r="CO51" i="15"/>
  <c r="CO52" i="15"/>
  <c r="CO53" i="15"/>
  <c r="CO3" i="15"/>
  <c r="BS3" i="15"/>
  <c r="BS12" i="15"/>
  <c r="BS6" i="15"/>
  <c r="BS9" i="15"/>
  <c r="BS4" i="15"/>
  <c r="BS10" i="15"/>
  <c r="BS7" i="15"/>
  <c r="BS13" i="15"/>
  <c r="BS15" i="15"/>
  <c r="BS8" i="15"/>
  <c r="BS17" i="15"/>
  <c r="BS2" i="15"/>
  <c r="BS5" i="15"/>
  <c r="BS11" i="15"/>
  <c r="BS14" i="15"/>
  <c r="BS16" i="15"/>
  <c r="BS18" i="15"/>
  <c r="BS19" i="15"/>
  <c r="BS20" i="15"/>
  <c r="BS21" i="15"/>
  <c r="BS22" i="15"/>
  <c r="BS23" i="15"/>
  <c r="BS24" i="15"/>
  <c r="BS25" i="15"/>
  <c r="BS26" i="15"/>
  <c r="BS27" i="15"/>
  <c r="BS28" i="15"/>
  <c r="BS29" i="15"/>
  <c r="BS30" i="15"/>
  <c r="BS31" i="15"/>
  <c r="BS32" i="15"/>
  <c r="BS33" i="15"/>
  <c r="BS34" i="15"/>
  <c r="BS35" i="15"/>
  <c r="BS36" i="15"/>
  <c r="BS37" i="15"/>
  <c r="BS38" i="15"/>
  <c r="BS39" i="15"/>
  <c r="BS40" i="15"/>
  <c r="BS41" i="15"/>
  <c r="BS42" i="15"/>
  <c r="BS43" i="15"/>
  <c r="BS44" i="15"/>
  <c r="BS45" i="15"/>
  <c r="BS46" i="15"/>
  <c r="BS47" i="15"/>
  <c r="BS48" i="15"/>
  <c r="BS49" i="15"/>
  <c r="BS50" i="15"/>
  <c r="BS51" i="15"/>
  <c r="BS52" i="15"/>
  <c r="BS53" i="15"/>
  <c r="AW3" i="15"/>
  <c r="AW12" i="15"/>
  <c r="AW6" i="15"/>
  <c r="AW9" i="15"/>
  <c r="AW4" i="15"/>
  <c r="AW10" i="15"/>
  <c r="AW7" i="15"/>
  <c r="AW13" i="15"/>
  <c r="AW15" i="15"/>
  <c r="AW8" i="15"/>
  <c r="AW17" i="15"/>
  <c r="AW2" i="15"/>
  <c r="AW5" i="15"/>
  <c r="AW11" i="15"/>
  <c r="AW14" i="15"/>
  <c r="AW16" i="15"/>
  <c r="AW18" i="15"/>
  <c r="AW19" i="15"/>
  <c r="AW20" i="15"/>
  <c r="AW21" i="15"/>
  <c r="AW22" i="15"/>
  <c r="AW23" i="15"/>
  <c r="AW24" i="15"/>
  <c r="AW25" i="15"/>
  <c r="AW26" i="15"/>
  <c r="AW27" i="15"/>
  <c r="AW28" i="15"/>
  <c r="AW29" i="15"/>
  <c r="AW30" i="15"/>
  <c r="AW31" i="15"/>
  <c r="AW32" i="15"/>
  <c r="AW33" i="15"/>
  <c r="AW34" i="15"/>
  <c r="AW35" i="15"/>
  <c r="AW36" i="15"/>
  <c r="AW37" i="15"/>
  <c r="AW38" i="15"/>
  <c r="AW39" i="15"/>
  <c r="AW40" i="15"/>
  <c r="AW41" i="15"/>
  <c r="AW42" i="15"/>
  <c r="AW43" i="15"/>
  <c r="AW44" i="15"/>
  <c r="AW45" i="15"/>
  <c r="AW46" i="15"/>
  <c r="AW47" i="15"/>
  <c r="AW48" i="15"/>
  <c r="AW49" i="15"/>
  <c r="AW50" i="15"/>
  <c r="AW51" i="15"/>
  <c r="AW52" i="15"/>
  <c r="AW53" i="15"/>
  <c r="AA3" i="15"/>
  <c r="AA12" i="15"/>
  <c r="AA6" i="15"/>
  <c r="AA9" i="15"/>
  <c r="AA4" i="15"/>
  <c r="AA10" i="15"/>
  <c r="E10" i="15" s="1"/>
  <c r="AA7" i="15"/>
  <c r="AA13" i="15"/>
  <c r="AA15" i="15"/>
  <c r="AA8" i="15"/>
  <c r="AA17" i="15"/>
  <c r="E17" i="15" s="1"/>
  <c r="AA2" i="15"/>
  <c r="C65" i="15" s="1" a="1"/>
  <c r="C65" i="15" s="1"/>
  <c r="AA5" i="15"/>
  <c r="AA11" i="15"/>
  <c r="AA14" i="15"/>
  <c r="AA16" i="15"/>
  <c r="AA18" i="15"/>
  <c r="AA19" i="15"/>
  <c r="E19" i="15" s="1"/>
  <c r="CS19" i="15" s="1"/>
  <c r="AA20" i="15"/>
  <c r="AA21" i="15"/>
  <c r="AA22" i="15"/>
  <c r="AA23" i="15"/>
  <c r="AA24" i="15"/>
  <c r="E24" i="15" s="1"/>
  <c r="CU24" i="15" s="1"/>
  <c r="AA25" i="15"/>
  <c r="AA26" i="15"/>
  <c r="E26" i="15" s="1"/>
  <c r="CU26" i="15" s="1"/>
  <c r="AA27" i="15"/>
  <c r="AA28" i="15"/>
  <c r="AA29" i="15"/>
  <c r="AA30" i="15"/>
  <c r="AA31" i="15"/>
  <c r="E31" i="15" s="1"/>
  <c r="CU31" i="15" s="1"/>
  <c r="AA32" i="15"/>
  <c r="AA33" i="15"/>
  <c r="AA34" i="15"/>
  <c r="AA35" i="15"/>
  <c r="AA36" i="15"/>
  <c r="E36" i="15" s="1"/>
  <c r="CS36" i="15" s="1"/>
  <c r="AA37" i="15"/>
  <c r="AA38" i="15"/>
  <c r="E38" i="15" s="1"/>
  <c r="CT38" i="15" s="1"/>
  <c r="AA39" i="15"/>
  <c r="AA40" i="15"/>
  <c r="AA41" i="15"/>
  <c r="AA42" i="15"/>
  <c r="AA43" i="15"/>
  <c r="E43" i="15" s="1"/>
  <c r="CT43" i="15" s="1"/>
  <c r="AA44" i="15"/>
  <c r="AA45" i="15"/>
  <c r="AA46" i="15"/>
  <c r="AA47" i="15"/>
  <c r="AA48" i="15"/>
  <c r="E48" i="15" s="1"/>
  <c r="CS48" i="15" s="1"/>
  <c r="AA49" i="15"/>
  <c r="AA50" i="15"/>
  <c r="E50" i="15" s="1"/>
  <c r="CS50" i="15" s="1"/>
  <c r="AA51" i="15"/>
  <c r="AA52" i="15"/>
  <c r="AA53" i="15"/>
  <c r="CM6" i="15"/>
  <c r="C56" i="10" a="1"/>
  <c r="C56" i="10" s="1"/>
  <c r="H47" i="3" a="1"/>
  <c r="H47" i="3" s="1"/>
  <c r="H48" i="3" a="1"/>
  <c r="H48" i="3" s="1"/>
  <c r="H51" i="3" a="1"/>
  <c r="H51" i="3" s="1"/>
  <c r="H50" i="3" a="1"/>
  <c r="H50" i="3" s="1"/>
  <c r="H49" i="3" a="1"/>
  <c r="H49" i="3" s="1"/>
  <c r="H46" i="3" a="1"/>
  <c r="H46" i="3" s="1"/>
  <c r="F49" i="3" a="1"/>
  <c r="F49" i="3" s="1"/>
  <c r="F47" i="3" a="1"/>
  <c r="F47" i="3" s="1"/>
  <c r="F48" i="3" a="1"/>
  <c r="F48" i="3" s="1"/>
  <c r="F51" i="3" a="1"/>
  <c r="F51" i="3" s="1"/>
  <c r="F50" i="3" a="1"/>
  <c r="F50" i="3" s="1"/>
  <c r="F46" i="3" a="1"/>
  <c r="F46" i="3" s="1"/>
  <c r="D47" i="3" a="1"/>
  <c r="D47" i="3" s="1"/>
  <c r="D48" i="3" a="1"/>
  <c r="D48" i="3" s="1"/>
  <c r="D51" i="3" a="1"/>
  <c r="D51" i="3" s="1"/>
  <c r="D50" i="3" a="1"/>
  <c r="D50" i="3" s="1"/>
  <c r="D46" i="3" a="1"/>
  <c r="D46" i="3" s="1"/>
  <c r="D48" i="6" a="1"/>
  <c r="D48" i="6" s="1"/>
  <c r="H55" i="6" a="1"/>
  <c r="H55" i="6" s="1"/>
  <c r="F46" i="6" a="1"/>
  <c r="F46" i="6" s="1"/>
  <c r="F47" i="6" a="1"/>
  <c r="F47" i="6" s="1"/>
  <c r="F50" i="6" a="1"/>
  <c r="F50" i="6" s="1"/>
  <c r="F49" i="6" a="1"/>
  <c r="F49" i="6" s="1"/>
  <c r="F48" i="6" a="1"/>
  <c r="F48" i="6" s="1"/>
  <c r="F45" i="6" a="1"/>
  <c r="F45" i="6" s="1"/>
  <c r="D46" i="6" a="1"/>
  <c r="D46" i="6" s="1"/>
  <c r="D47" i="6" a="1"/>
  <c r="D47" i="6" s="1"/>
  <c r="D50" i="6" a="1"/>
  <c r="D50" i="6" s="1"/>
  <c r="D49" i="6" a="1"/>
  <c r="D49" i="6" s="1"/>
  <c r="D45" i="6" a="1"/>
  <c r="D45" i="6" s="1"/>
  <c r="H46" i="6" a="1"/>
  <c r="H46" i="6" s="1"/>
  <c r="H47" i="6" a="1"/>
  <c r="H47" i="6" s="1"/>
  <c r="H50" i="6" a="1"/>
  <c r="H50" i="6" s="1"/>
  <c r="H49" i="6" a="1"/>
  <c r="H49" i="6" s="1"/>
  <c r="H48" i="6" a="1"/>
  <c r="H48" i="6" s="1"/>
  <c r="H45" i="6" a="1"/>
  <c r="H45" i="6" s="1"/>
  <c r="F53" i="6" a="1"/>
  <c r="F53" i="6" s="1"/>
  <c r="H53" i="6" a="1"/>
  <c r="H53" i="6" s="1"/>
  <c r="H54" i="6" a="1"/>
  <c r="H54" i="6" s="1"/>
  <c r="H57" i="6" a="1"/>
  <c r="H57" i="6" s="1"/>
  <c r="H56" i="6" a="1"/>
  <c r="H56" i="6" s="1"/>
  <c r="H52" i="6" a="1"/>
  <c r="H52" i="6" s="1"/>
  <c r="F54" i="6" a="1"/>
  <c r="F54" i="6" s="1"/>
  <c r="F57" i="6" a="1"/>
  <c r="F57" i="6" s="1"/>
  <c r="F56" i="6" a="1"/>
  <c r="F56" i="6" s="1"/>
  <c r="F55" i="6" a="1"/>
  <c r="F55" i="6" s="1"/>
  <c r="F52" i="6" a="1"/>
  <c r="F52" i="6" s="1"/>
  <c r="D53" i="6" a="1"/>
  <c r="D53" i="6" s="1"/>
  <c r="D54" i="6" a="1"/>
  <c r="D54" i="6" s="1"/>
  <c r="D57" i="6" a="1"/>
  <c r="D57" i="6" s="1"/>
  <c r="D56" i="6" a="1"/>
  <c r="D56" i="6" s="1"/>
  <c r="D55" i="6" a="1"/>
  <c r="D55" i="6" s="1"/>
  <c r="D52" i="6" a="1"/>
  <c r="D52" i="6" s="1"/>
  <c r="F46" i="7" a="1"/>
  <c r="F46" i="7" s="1"/>
  <c r="F47" i="7" a="1"/>
  <c r="F47" i="7" s="1"/>
  <c r="F50" i="7" a="1"/>
  <c r="F50" i="7" s="1"/>
  <c r="F49" i="7" a="1"/>
  <c r="F49" i="7" s="1"/>
  <c r="F48" i="7" a="1"/>
  <c r="F48" i="7" s="1"/>
  <c r="F45" i="7" a="1"/>
  <c r="F45" i="7" s="1"/>
  <c r="D46" i="7" a="1"/>
  <c r="D46" i="7" s="1"/>
  <c r="D47" i="7" a="1"/>
  <c r="D47" i="7" s="1"/>
  <c r="D50" i="7" a="1"/>
  <c r="D50" i="7" s="1"/>
  <c r="D49" i="7" a="1"/>
  <c r="D49" i="7" s="1"/>
  <c r="D48" i="7" a="1"/>
  <c r="D48" i="7" s="1"/>
  <c r="D45" i="7" a="1"/>
  <c r="D45" i="7" s="1"/>
  <c r="H46" i="7" a="1"/>
  <c r="H46" i="7" s="1"/>
  <c r="H47" i="7" a="1"/>
  <c r="H47" i="7" s="1"/>
  <c r="H50" i="7" a="1"/>
  <c r="H50" i="7" s="1"/>
  <c r="H49" i="7" a="1"/>
  <c r="H49" i="7" s="1"/>
  <c r="H48" i="7" a="1"/>
  <c r="H48" i="7" s="1"/>
  <c r="H39" i="7" a="1"/>
  <c r="H39" i="7" s="1"/>
  <c r="H40" i="7" a="1"/>
  <c r="H40" i="7" s="1"/>
  <c r="H43" i="7" a="1"/>
  <c r="H43" i="7" s="1"/>
  <c r="H42" i="7" a="1"/>
  <c r="H42" i="7" s="1"/>
  <c r="H41" i="7" a="1"/>
  <c r="H41" i="7" s="1"/>
  <c r="F39" i="7" a="1"/>
  <c r="F39" i="7" s="1"/>
  <c r="F40" i="7" a="1"/>
  <c r="F40" i="7" s="1"/>
  <c r="F43" i="7" a="1"/>
  <c r="F43" i="7" s="1"/>
  <c r="F42" i="7" a="1"/>
  <c r="F42" i="7" s="1"/>
  <c r="F41" i="7" a="1"/>
  <c r="F41" i="7" s="1"/>
  <c r="F38" i="7" a="1"/>
  <c r="F38" i="7" s="1"/>
  <c r="D39" i="7" a="1"/>
  <c r="D39" i="7" s="1"/>
  <c r="D40" i="7" a="1"/>
  <c r="D40" i="7" s="1"/>
  <c r="D43" i="7" a="1"/>
  <c r="D43" i="7" s="1"/>
  <c r="D42" i="7" a="1"/>
  <c r="D42" i="7" s="1"/>
  <c r="D41" i="7" a="1"/>
  <c r="D41" i="7" s="1"/>
  <c r="F44" i="2" a="1"/>
  <c r="F44" i="2" s="1"/>
  <c r="D47" i="2" a="1"/>
  <c r="D47" i="2" s="1"/>
  <c r="D44" i="2" a="1"/>
  <c r="D44" i="2" s="1"/>
  <c r="F45" i="2" a="1"/>
  <c r="F45" i="2" s="1"/>
  <c r="F46" i="2" a="1"/>
  <c r="F46" i="2" s="1"/>
  <c r="F49" i="2" a="1"/>
  <c r="F49" i="2" s="1"/>
  <c r="F48" i="2" a="1"/>
  <c r="F48" i="2" s="1"/>
  <c r="F47" i="2" a="1"/>
  <c r="F47" i="2" s="1"/>
  <c r="D45" i="2" a="1"/>
  <c r="D45" i="2" s="1"/>
  <c r="D46" i="2" a="1"/>
  <c r="D46" i="2" s="1"/>
  <c r="D49" i="2" a="1"/>
  <c r="D49" i="2" s="1"/>
  <c r="D48" i="2" a="1"/>
  <c r="D48" i="2" s="1"/>
  <c r="H45" i="2" a="1"/>
  <c r="H45" i="2" s="1"/>
  <c r="H46" i="2" a="1"/>
  <c r="H46" i="2" s="1"/>
  <c r="H49" i="2" a="1"/>
  <c r="H49" i="2" s="1"/>
  <c r="H48" i="2" a="1"/>
  <c r="H48" i="2" s="1"/>
  <c r="H47" i="2" a="1"/>
  <c r="H47" i="2" s="1"/>
  <c r="H44" i="2" a="1"/>
  <c r="H44" i="2" s="1"/>
  <c r="H52" i="2" a="1"/>
  <c r="H52" i="2" s="1"/>
  <c r="H53" i="2" a="1"/>
  <c r="H53" i="2" s="1"/>
  <c r="H56" i="2" a="1"/>
  <c r="H56" i="2" s="1"/>
  <c r="H55" i="2" a="1"/>
  <c r="H55" i="2" s="1"/>
  <c r="H54" i="2" a="1"/>
  <c r="H54" i="2" s="1"/>
  <c r="H51" i="2" a="1"/>
  <c r="H51" i="2" s="1"/>
  <c r="G52" i="2"/>
  <c r="F52" i="2" a="1"/>
  <c r="F52" i="2" s="1"/>
  <c r="F53" i="2" a="1"/>
  <c r="F53" i="2" s="1"/>
  <c r="F56" i="2" a="1"/>
  <c r="F56" i="2" s="1"/>
  <c r="F55" i="2" a="1"/>
  <c r="F55" i="2" s="1"/>
  <c r="F54" i="2" a="1"/>
  <c r="F54" i="2" s="1"/>
  <c r="F51" i="2" a="1"/>
  <c r="F51" i="2" s="1"/>
  <c r="E51" i="2"/>
  <c r="G51" i="2"/>
  <c r="D52" i="2" a="1"/>
  <c r="D52" i="2" s="1"/>
  <c r="D53" i="2" a="1"/>
  <c r="D53" i="2" s="1"/>
  <c r="D56" i="2" a="1"/>
  <c r="D56" i="2" s="1"/>
  <c r="D55" i="2" a="1"/>
  <c r="D55" i="2" s="1"/>
  <c r="D54" i="2" a="1"/>
  <c r="D54" i="2" s="1"/>
  <c r="D51" i="2" a="1"/>
  <c r="D51" i="2" s="1"/>
  <c r="D43" i="14" a="1"/>
  <c r="D43" i="14" s="1"/>
  <c r="D49" i="14" a="1"/>
  <c r="D49" i="14" s="1"/>
  <c r="D44" i="14" a="1"/>
  <c r="D44" i="14" s="1"/>
  <c r="D42" i="14" a="1"/>
  <c r="D42" i="14" s="1"/>
  <c r="D48" i="14" a="1"/>
  <c r="D48" i="14" s="1"/>
  <c r="C50" i="14" a="1"/>
  <c r="C50" i="14" s="1"/>
  <c r="C44" i="14" a="1"/>
  <c r="C44" i="14" s="1"/>
  <c r="C43" i="14" a="1"/>
  <c r="C43" i="14" s="1"/>
  <c r="C49" i="14" a="1"/>
  <c r="C49" i="14" s="1"/>
  <c r="C48" i="14" a="1"/>
  <c r="C48" i="14" s="1"/>
  <c r="C42" i="14" a="1"/>
  <c r="C42" i="14" s="1"/>
  <c r="E54" i="13" a="1"/>
  <c r="E54" i="13" s="1"/>
  <c r="F54" i="13" s="1" a="1"/>
  <c r="F54" i="13" s="1"/>
  <c r="E50" i="13" a="1"/>
  <c r="E50" i="13" s="1"/>
  <c r="F50" i="13" s="1" a="1"/>
  <c r="F50" i="13" s="1"/>
  <c r="E56" i="13" a="1"/>
  <c r="E56" i="13" s="1"/>
  <c r="F56" i="13" s="1" a="1"/>
  <c r="F56" i="13" s="1"/>
  <c r="E49" i="13" a="1"/>
  <c r="E49" i="13" s="1"/>
  <c r="F49" i="13" s="1" a="1"/>
  <c r="F49" i="13" s="1"/>
  <c r="E55" i="13" a="1"/>
  <c r="E55" i="13" s="1"/>
  <c r="F55" i="13" s="1" a="1"/>
  <c r="F55" i="13" s="1"/>
  <c r="E48" i="13" a="1"/>
  <c r="E48" i="13" s="1"/>
  <c r="F48" i="13" s="1" a="1"/>
  <c r="F48" i="13" s="1"/>
  <c r="D50" i="13" a="1"/>
  <c r="D50" i="13" s="1"/>
  <c r="D56" i="13" a="1"/>
  <c r="D56" i="13" s="1"/>
  <c r="D49" i="13" a="1"/>
  <c r="D49" i="13" s="1"/>
  <c r="D55" i="13" a="1"/>
  <c r="D55" i="13" s="1"/>
  <c r="D48" i="13" a="1"/>
  <c r="D48" i="13" s="1"/>
  <c r="D54" i="13" a="1"/>
  <c r="D54" i="13" s="1"/>
  <c r="C56" i="13" a="1"/>
  <c r="C56" i="13" s="1"/>
  <c r="C50" i="13" a="1"/>
  <c r="C50" i="13" s="1"/>
  <c r="C49" i="13" a="1"/>
  <c r="C49" i="13" s="1"/>
  <c r="C55" i="13" a="1"/>
  <c r="C55" i="13" s="1"/>
  <c r="C48" i="13" a="1"/>
  <c r="C48" i="13" s="1"/>
  <c r="C54" i="13" a="1"/>
  <c r="C54" i="13" s="1"/>
  <c r="E53" i="12" a="1"/>
  <c r="E53" i="12" s="1"/>
  <c r="F53" i="12" s="1" a="1"/>
  <c r="F53" i="12" s="1"/>
  <c r="E59" i="12" a="1"/>
  <c r="E59" i="12" s="1"/>
  <c r="F59" i="12" s="1" a="1"/>
  <c r="F59" i="12" s="1"/>
  <c r="E52" i="12" a="1"/>
  <c r="E52" i="12" s="1"/>
  <c r="F52" i="12" s="1" a="1"/>
  <c r="F52" i="12" s="1"/>
  <c r="E58" i="12" a="1"/>
  <c r="E58" i="12" s="1"/>
  <c r="F58" i="12" s="1" a="1"/>
  <c r="F58" i="12" s="1"/>
  <c r="E51" i="12" a="1"/>
  <c r="E51" i="12" s="1"/>
  <c r="F51" i="12" s="1" a="1"/>
  <c r="F51" i="12" s="1"/>
  <c r="E57" i="12" a="1"/>
  <c r="E57" i="12" s="1"/>
  <c r="F57" i="12" s="1" a="1"/>
  <c r="F57" i="12" s="1"/>
  <c r="D59" i="12" a="1"/>
  <c r="D59" i="12" s="1"/>
  <c r="D58" i="12" a="1"/>
  <c r="D58" i="12" s="1"/>
  <c r="D51" i="12" a="1"/>
  <c r="D51" i="12" s="1"/>
  <c r="D53" i="12" a="1"/>
  <c r="D53" i="12" s="1"/>
  <c r="D52" i="12" a="1"/>
  <c r="D52" i="12" s="1"/>
  <c r="D57" i="12" a="1"/>
  <c r="D57" i="12" s="1"/>
  <c r="C53" i="12" a="1"/>
  <c r="C53" i="12" s="1"/>
  <c r="C59" i="12" a="1"/>
  <c r="C59" i="12" s="1"/>
  <c r="C58" i="12" a="1"/>
  <c r="C58" i="12" s="1"/>
  <c r="C52" i="12" a="1"/>
  <c r="C52" i="12" s="1"/>
  <c r="C51" i="12" a="1"/>
  <c r="C51" i="12" s="1"/>
  <c r="C57" i="12" a="1"/>
  <c r="C57" i="12" s="1"/>
  <c r="E51" i="11" a="1"/>
  <c r="E51" i="11" s="1"/>
  <c r="F51" i="11" s="1" a="1"/>
  <c r="F51" i="11" s="1"/>
  <c r="E57" i="11" a="1"/>
  <c r="E57" i="11" s="1"/>
  <c r="F57" i="11" s="1" a="1"/>
  <c r="F57" i="11" s="1"/>
  <c r="E50" i="11" a="1"/>
  <c r="E50" i="11" s="1"/>
  <c r="F50" i="11" s="1" a="1"/>
  <c r="F50" i="11" s="1"/>
  <c r="E56" i="11" a="1"/>
  <c r="E56" i="11" s="1"/>
  <c r="F56" i="11" s="1" a="1"/>
  <c r="F56" i="11" s="1"/>
  <c r="E49" i="11" a="1"/>
  <c r="E49" i="11" s="1"/>
  <c r="F49" i="11" s="1" a="1"/>
  <c r="F49" i="11" s="1"/>
  <c r="E55" i="11" a="1"/>
  <c r="E55" i="11" s="1"/>
  <c r="F55" i="11" s="1" a="1"/>
  <c r="F55" i="11" s="1"/>
  <c r="D51" i="11" a="1"/>
  <c r="D51" i="11" s="1"/>
  <c r="D57" i="11" a="1"/>
  <c r="D57" i="11" s="1"/>
  <c r="D50" i="11" a="1"/>
  <c r="D50" i="11" s="1"/>
  <c r="D56" i="11" a="1"/>
  <c r="D56" i="11" s="1"/>
  <c r="D49" i="11" a="1"/>
  <c r="D49" i="11" s="1"/>
  <c r="D55" i="11" a="1"/>
  <c r="D55" i="11" s="1"/>
  <c r="C51" i="11" a="1"/>
  <c r="C51" i="11" s="1"/>
  <c r="C57" i="11" a="1"/>
  <c r="C57" i="11" s="1"/>
  <c r="C50" i="11" a="1"/>
  <c r="C50" i="11" s="1"/>
  <c r="C56" i="11" a="1"/>
  <c r="C56" i="11" s="1"/>
  <c r="C49" i="11" a="1"/>
  <c r="C49" i="11" s="1"/>
  <c r="C55" i="11" a="1"/>
  <c r="C55" i="11" s="1"/>
  <c r="E50" i="10" a="1"/>
  <c r="E50" i="10" s="1"/>
  <c r="F50" i="10" s="1" a="1"/>
  <c r="F50" i="10" s="1"/>
  <c r="E56" i="10" a="1"/>
  <c r="E56" i="10" s="1"/>
  <c r="F56" i="10" s="1" a="1"/>
  <c r="F56" i="10" s="1"/>
  <c r="E49" i="10" a="1"/>
  <c r="E49" i="10" s="1"/>
  <c r="F49" i="10" s="1" a="1"/>
  <c r="F49" i="10" s="1"/>
  <c r="E55" i="10" a="1"/>
  <c r="E55" i="10" s="1"/>
  <c r="F55" i="10" s="1" a="1"/>
  <c r="F55" i="10" s="1"/>
  <c r="E48" i="10" a="1"/>
  <c r="E48" i="10" s="1"/>
  <c r="F48" i="10" s="1" a="1"/>
  <c r="F48" i="10" s="1"/>
  <c r="E54" i="10" a="1"/>
  <c r="E54" i="10" s="1"/>
  <c r="F54" i="10" s="1" a="1"/>
  <c r="F54" i="10" s="1"/>
  <c r="D49" i="10" a="1"/>
  <c r="D49" i="10" s="1"/>
  <c r="D56" i="10" a="1"/>
  <c r="D56" i="10" s="1"/>
  <c r="D55" i="10" a="1"/>
  <c r="D55" i="10" s="1"/>
  <c r="D50" i="10" a="1"/>
  <c r="D50" i="10" s="1"/>
  <c r="D48" i="10" a="1"/>
  <c r="D48" i="10" s="1"/>
  <c r="D54" i="10" a="1"/>
  <c r="D54" i="10" s="1"/>
  <c r="D52" i="8" a="1"/>
  <c r="D52" i="8" s="1"/>
  <c r="E51" i="8" a="1"/>
  <c r="E51" i="8" s="1"/>
  <c r="F51" i="8" s="1" a="1"/>
  <c r="F51" i="8" s="1"/>
  <c r="D53" i="8" a="1"/>
  <c r="D53" i="8" s="1"/>
  <c r="D59" i="8" a="1"/>
  <c r="D59" i="8" s="1"/>
  <c r="D58" i="8" a="1"/>
  <c r="D58" i="8" s="1"/>
  <c r="D57" i="8" a="1"/>
  <c r="D57" i="8" s="1"/>
  <c r="C49" i="10" a="1"/>
  <c r="C49" i="10" s="1"/>
  <c r="C55" i="10" a="1"/>
  <c r="C55" i="10" s="1"/>
  <c r="C50" i="10" a="1"/>
  <c r="C50" i="10" s="1"/>
  <c r="C48" i="10" a="1"/>
  <c r="C48" i="10" s="1"/>
  <c r="C54" i="10" a="1"/>
  <c r="C54" i="10" s="1"/>
  <c r="E59" i="8" a="1"/>
  <c r="E59" i="8" s="1"/>
  <c r="F59" i="8" s="1" a="1"/>
  <c r="F59" i="8" s="1"/>
  <c r="E53" i="8" a="1"/>
  <c r="E53" i="8" s="1"/>
  <c r="F53" i="8" s="1" a="1"/>
  <c r="F53" i="8" s="1"/>
  <c r="E52" i="8" a="1"/>
  <c r="E52" i="8" s="1"/>
  <c r="F52" i="8" s="1" a="1"/>
  <c r="F52" i="8" s="1"/>
  <c r="E58" i="8" a="1"/>
  <c r="E58" i="8" s="1"/>
  <c r="F58" i="8" s="1" a="1"/>
  <c r="F58" i="8" s="1"/>
  <c r="E57" i="8" a="1"/>
  <c r="E57" i="8" s="1"/>
  <c r="F57" i="8" s="1" a="1"/>
  <c r="F57" i="8" s="1"/>
  <c r="C53" i="8" a="1"/>
  <c r="C53" i="8" s="1"/>
  <c r="C59" i="8" a="1"/>
  <c r="C59" i="8" s="1"/>
  <c r="C58" i="8" a="1"/>
  <c r="C58" i="8" s="1"/>
  <c r="I41" i="3" a="1"/>
  <c r="I41" i="3" s="1"/>
  <c r="J41" i="3" s="1" a="1"/>
  <c r="J41" i="3" s="1"/>
  <c r="I46" i="3" a="1"/>
  <c r="I46" i="3" s="1"/>
  <c r="J46" i="3" s="1" a="1"/>
  <c r="J46" i="3" s="1"/>
  <c r="I38" i="3" a="1"/>
  <c r="I38" i="3" s="1"/>
  <c r="J38" i="3" s="1" a="1"/>
  <c r="J38" i="3" s="1"/>
  <c r="I40" i="3" a="1"/>
  <c r="I40" i="3" s="1"/>
  <c r="J40" i="3" s="1" a="1"/>
  <c r="J40" i="3" s="1"/>
  <c r="H40" i="3" a="1"/>
  <c r="H40" i="3" s="1"/>
  <c r="G40" i="3"/>
  <c r="F40" i="3" a="1"/>
  <c r="F40" i="3" s="1"/>
  <c r="E40" i="3"/>
  <c r="D40" i="3" a="1"/>
  <c r="D40" i="3" s="1"/>
  <c r="C40" i="3"/>
  <c r="H41" i="3" a="1"/>
  <c r="H41" i="3" s="1"/>
  <c r="G41" i="3"/>
  <c r="F41" i="3" a="1"/>
  <c r="F41" i="3" s="1"/>
  <c r="E41" i="3"/>
  <c r="D41" i="3" a="1"/>
  <c r="D41" i="3" s="1"/>
  <c r="C41" i="3"/>
  <c r="I44" i="3" a="1"/>
  <c r="I44" i="3" s="1"/>
  <c r="J44" i="3" s="1" a="1"/>
  <c r="J44" i="3" s="1"/>
  <c r="H44" i="3" a="1"/>
  <c r="H44" i="3" s="1"/>
  <c r="G44" i="3"/>
  <c r="F44" i="3" a="1"/>
  <c r="F44" i="3" s="1"/>
  <c r="E44" i="3"/>
  <c r="D44" i="3" a="1"/>
  <c r="D44" i="3" s="1"/>
  <c r="C44" i="3"/>
  <c r="I43" i="3" a="1"/>
  <c r="I43" i="3" s="1"/>
  <c r="J43" i="3" s="1" a="1"/>
  <c r="J43" i="3" s="1"/>
  <c r="H43" i="3" a="1"/>
  <c r="H43" i="3" s="1"/>
  <c r="G43" i="3"/>
  <c r="F43" i="3" a="1"/>
  <c r="F43" i="3" s="1"/>
  <c r="E43" i="3"/>
  <c r="D43" i="3" a="1"/>
  <c r="D43" i="3" s="1"/>
  <c r="C43" i="3"/>
  <c r="I42" i="3" a="1"/>
  <c r="I42" i="3" s="1"/>
  <c r="J42" i="3" s="1" a="1"/>
  <c r="J42" i="3" s="1"/>
  <c r="H42" i="3" a="1"/>
  <c r="H42" i="3" s="1"/>
  <c r="G42" i="3"/>
  <c r="F42" i="3" a="1"/>
  <c r="F42" i="3" s="1"/>
  <c r="E42" i="3"/>
  <c r="D42" i="3" a="1"/>
  <c r="D42" i="3" s="1"/>
  <c r="C42" i="3"/>
  <c r="I39" i="3" a="1"/>
  <c r="I39" i="3" s="1"/>
  <c r="J39" i="3" s="1" a="1"/>
  <c r="J39" i="3" s="1"/>
  <c r="H39" i="3" a="1"/>
  <c r="H39" i="3" s="1"/>
  <c r="G39" i="3"/>
  <c r="F39" i="3" a="1"/>
  <c r="F39" i="3" s="1"/>
  <c r="E39" i="3"/>
  <c r="D39" i="3" a="1"/>
  <c r="D39" i="3" s="1"/>
  <c r="C39" i="3"/>
  <c r="I45" i="3" a="1"/>
  <c r="I45" i="3" s="1"/>
  <c r="J45" i="3" s="1" a="1"/>
  <c r="J45" i="3" s="1"/>
  <c r="I47" i="3" a="1"/>
  <c r="I47" i="3" s="1"/>
  <c r="J47" i="3" s="1" a="1"/>
  <c r="J47" i="3" s="1"/>
  <c r="G47" i="3"/>
  <c r="E47" i="3"/>
  <c r="C47" i="3"/>
  <c r="I48" i="3" a="1"/>
  <c r="I48" i="3" s="1"/>
  <c r="J48" i="3" s="1" a="1"/>
  <c r="J48" i="3" s="1"/>
  <c r="G48" i="3"/>
  <c r="E48" i="3"/>
  <c r="C48" i="3"/>
  <c r="I51" i="3" a="1"/>
  <c r="I51" i="3" s="1"/>
  <c r="J51" i="3" s="1" a="1"/>
  <c r="J51" i="3" s="1"/>
  <c r="G51" i="3"/>
  <c r="E51" i="3"/>
  <c r="C51" i="3"/>
  <c r="I50" i="3" a="1"/>
  <c r="I50" i="3" s="1"/>
  <c r="J50" i="3" s="1" a="1"/>
  <c r="J50" i="3" s="1"/>
  <c r="G50" i="3"/>
  <c r="E50" i="3"/>
  <c r="C50" i="3"/>
  <c r="I49" i="3" a="1"/>
  <c r="I49" i="3" s="1"/>
  <c r="J49" i="3" s="1" a="1"/>
  <c r="J49" i="3" s="1"/>
  <c r="G49" i="3"/>
  <c r="E49" i="3"/>
  <c r="C49" i="3"/>
  <c r="G46" i="3"/>
  <c r="E46" i="3"/>
  <c r="C46" i="3"/>
  <c r="G24" i="6"/>
  <c r="G25" i="6"/>
  <c r="AA25" i="6" s="1"/>
  <c r="G3" i="2"/>
  <c r="AA3" i="2" s="1"/>
  <c r="G2" i="2"/>
  <c r="AA2" i="2" s="1"/>
  <c r="I44" i="6" a="1"/>
  <c r="I44" i="6" s="1"/>
  <c r="J44" i="6" s="1" a="1"/>
  <c r="J44" i="6" s="1"/>
  <c r="I46" i="6" a="1"/>
  <c r="I46" i="6" s="1"/>
  <c r="J46" i="6" s="1" a="1"/>
  <c r="J46" i="6" s="1"/>
  <c r="G46" i="6"/>
  <c r="E46" i="6"/>
  <c r="I47" i="6" a="1"/>
  <c r="I47" i="6" s="1"/>
  <c r="J47" i="6" s="1" a="1"/>
  <c r="J47" i="6" s="1"/>
  <c r="G47" i="6"/>
  <c r="E47" i="6"/>
  <c r="I50" i="6" a="1"/>
  <c r="I50" i="6" s="1"/>
  <c r="J50" i="6" s="1" a="1"/>
  <c r="J50" i="6" s="1"/>
  <c r="G50" i="6"/>
  <c r="E50" i="6"/>
  <c r="I49" i="6" a="1"/>
  <c r="I49" i="6" s="1"/>
  <c r="J49" i="6" s="1" a="1"/>
  <c r="J49" i="6" s="1"/>
  <c r="G49" i="6"/>
  <c r="E49" i="6"/>
  <c r="I48" i="6" a="1"/>
  <c r="I48" i="6" s="1"/>
  <c r="J48" i="6" s="1" a="1"/>
  <c r="J48" i="6" s="1"/>
  <c r="G48" i="6"/>
  <c r="E48" i="6"/>
  <c r="I45" i="6" a="1"/>
  <c r="I45" i="6" s="1"/>
  <c r="J45" i="6" s="1" a="1"/>
  <c r="J45" i="6" s="1"/>
  <c r="G45" i="6"/>
  <c r="E45" i="6"/>
  <c r="C46" i="6"/>
  <c r="C47" i="6"/>
  <c r="C50" i="6"/>
  <c r="C49" i="6"/>
  <c r="C48" i="6"/>
  <c r="C45" i="6"/>
  <c r="I51" i="6" a="1"/>
  <c r="I51" i="6" s="1"/>
  <c r="J51" i="6" s="1" a="1"/>
  <c r="J51" i="6" s="1"/>
  <c r="I53" i="6" a="1"/>
  <c r="I53" i="6" s="1"/>
  <c r="J53" i="6" s="1" a="1"/>
  <c r="J53" i="6" s="1"/>
  <c r="I54" i="6" a="1"/>
  <c r="I54" i="6" s="1"/>
  <c r="J54" i="6" s="1" a="1"/>
  <c r="J54" i="6" s="1"/>
  <c r="I57" i="6" a="1"/>
  <c r="I57" i="6" s="1"/>
  <c r="J57" i="6" s="1" a="1"/>
  <c r="J57" i="6" s="1"/>
  <c r="I56" i="6" a="1"/>
  <c r="I56" i="6" s="1"/>
  <c r="J56" i="6" s="1" a="1"/>
  <c r="J56" i="6" s="1"/>
  <c r="I55" i="6" a="1"/>
  <c r="I55" i="6" s="1"/>
  <c r="J55" i="6" s="1" a="1"/>
  <c r="J55" i="6" s="1"/>
  <c r="I52" i="6" a="1"/>
  <c r="I52" i="6" s="1"/>
  <c r="J52" i="6" s="1" a="1"/>
  <c r="J52" i="6" s="1"/>
  <c r="E52" i="6"/>
  <c r="G53" i="6"/>
  <c r="G54" i="6"/>
  <c r="G57" i="6"/>
  <c r="G56" i="6"/>
  <c r="G55" i="6"/>
  <c r="G52" i="6"/>
  <c r="E53" i="6"/>
  <c r="E54" i="6"/>
  <c r="E57" i="6"/>
  <c r="E56" i="6"/>
  <c r="E55" i="6"/>
  <c r="C53" i="6"/>
  <c r="C54" i="6"/>
  <c r="C57" i="6"/>
  <c r="C56" i="6"/>
  <c r="C55" i="6"/>
  <c r="C52" i="6"/>
  <c r="I41" i="7" a="1"/>
  <c r="I41" i="7" s="1"/>
  <c r="J41" i="7" s="1" a="1"/>
  <c r="J41" i="7" s="1"/>
  <c r="G45" i="2"/>
  <c r="G46" i="2"/>
  <c r="G49" i="2"/>
  <c r="G48" i="2"/>
  <c r="G47" i="2"/>
  <c r="G44" i="2"/>
  <c r="E45" i="2"/>
  <c r="E46" i="2"/>
  <c r="E49" i="2"/>
  <c r="E48" i="2"/>
  <c r="E47" i="2"/>
  <c r="E44" i="2"/>
  <c r="I45" i="2" a="1"/>
  <c r="I45" i="2" s="1"/>
  <c r="J45" i="2" s="1" a="1"/>
  <c r="J45" i="2" s="1"/>
  <c r="I46" i="2" a="1"/>
  <c r="I46" i="2" s="1"/>
  <c r="J46" i="2" s="1" a="1"/>
  <c r="J46" i="2" s="1"/>
  <c r="I49" i="2" a="1"/>
  <c r="I49" i="2" s="1"/>
  <c r="J49" i="2" s="1" a="1"/>
  <c r="J49" i="2" s="1"/>
  <c r="I48" i="2" a="1"/>
  <c r="I48" i="2" s="1"/>
  <c r="J48" i="2" s="1" a="1"/>
  <c r="J48" i="2" s="1"/>
  <c r="I47" i="2" a="1"/>
  <c r="I47" i="2" s="1"/>
  <c r="J47" i="2" s="1" a="1"/>
  <c r="J47" i="2" s="1"/>
  <c r="I44" i="2" a="1"/>
  <c r="I44" i="2" s="1"/>
  <c r="J44" i="2" s="1" a="1"/>
  <c r="J44" i="2" s="1"/>
  <c r="C45" i="2"/>
  <c r="C46" i="2"/>
  <c r="C49" i="2"/>
  <c r="C48" i="2"/>
  <c r="C47" i="2"/>
  <c r="C44" i="2"/>
  <c r="I52" i="2" a="1"/>
  <c r="I52" i="2" s="1"/>
  <c r="J52" i="2" s="1" a="1"/>
  <c r="J52" i="2" s="1"/>
  <c r="I53" i="2" a="1"/>
  <c r="I53" i="2" s="1"/>
  <c r="J53" i="2" s="1" a="1"/>
  <c r="J53" i="2" s="1"/>
  <c r="I56" i="2" a="1"/>
  <c r="I56" i="2" s="1"/>
  <c r="J56" i="2" s="1" a="1"/>
  <c r="J56" i="2" s="1"/>
  <c r="I55" i="2" a="1"/>
  <c r="I55" i="2" s="1"/>
  <c r="J55" i="2" s="1" a="1"/>
  <c r="J55" i="2" s="1"/>
  <c r="I54" i="2" a="1"/>
  <c r="I54" i="2" s="1"/>
  <c r="J54" i="2" s="1" a="1"/>
  <c r="J54" i="2" s="1"/>
  <c r="I51" i="2" a="1"/>
  <c r="I51" i="2" s="1"/>
  <c r="J51" i="2" s="1" a="1"/>
  <c r="J51" i="2" s="1"/>
  <c r="G53" i="2"/>
  <c r="G56" i="2"/>
  <c r="G55" i="2"/>
  <c r="G54" i="2"/>
  <c r="E52" i="2"/>
  <c r="E53" i="2"/>
  <c r="E56" i="2"/>
  <c r="E55" i="2"/>
  <c r="E54" i="2"/>
  <c r="G4" i="2"/>
  <c r="AA4" i="2" s="1"/>
  <c r="G5" i="2"/>
  <c r="AA5" i="2" s="1"/>
  <c r="G6" i="2"/>
  <c r="AA6" i="2" s="1"/>
  <c r="G7" i="2"/>
  <c r="AA7" i="2" s="1"/>
  <c r="G8" i="2"/>
  <c r="AA8" i="2" s="1"/>
  <c r="G9" i="2"/>
  <c r="AA9" i="2" s="1"/>
  <c r="G10" i="2"/>
  <c r="Z10" i="2" s="1"/>
  <c r="G11" i="2"/>
  <c r="AA11" i="2" s="1"/>
  <c r="G12" i="2"/>
  <c r="AA12" i="2" s="1"/>
  <c r="G13" i="2"/>
  <c r="AA13" i="2" s="1"/>
  <c r="G14" i="2"/>
  <c r="AA14" i="2" s="1"/>
  <c r="G15" i="2"/>
  <c r="AA15" i="2" s="1"/>
  <c r="G16" i="2"/>
  <c r="AA16" i="2" s="1"/>
  <c r="G17" i="2"/>
  <c r="AA17" i="2" s="1"/>
  <c r="G18" i="2"/>
  <c r="AA18" i="2" s="1"/>
  <c r="G19" i="2"/>
  <c r="AA19" i="2" s="1"/>
  <c r="G20" i="2"/>
  <c r="AA20" i="2" s="1"/>
  <c r="G21" i="2"/>
  <c r="AA21" i="2" s="1"/>
  <c r="G22" i="2"/>
  <c r="AA22" i="2" s="1"/>
  <c r="G23" i="2"/>
  <c r="AA23" i="2" s="1"/>
  <c r="G24" i="2"/>
  <c r="AA24" i="2" s="1"/>
  <c r="G25" i="2"/>
  <c r="AA25" i="2" s="1"/>
  <c r="G26" i="2"/>
  <c r="AA26" i="2" s="1"/>
  <c r="G27" i="2"/>
  <c r="AA27" i="2" s="1"/>
  <c r="G28" i="2"/>
  <c r="AA28" i="2" s="1"/>
  <c r="G29" i="2"/>
  <c r="AA29" i="2" s="1"/>
  <c r="G30" i="2"/>
  <c r="AA30" i="2" s="1"/>
  <c r="G31" i="2"/>
  <c r="AA31" i="2" s="1"/>
  <c r="G32" i="2"/>
  <c r="AA32" i="2" s="1"/>
  <c r="G33" i="2"/>
  <c r="AA33" i="2" s="1"/>
  <c r="G34" i="2"/>
  <c r="Z34" i="2" s="1"/>
  <c r="G35" i="2"/>
  <c r="AA35" i="2" s="1"/>
  <c r="G36" i="2"/>
  <c r="AA36" i="2" s="1"/>
  <c r="G37" i="2"/>
  <c r="AA37" i="2" s="1"/>
  <c r="G38" i="2"/>
  <c r="AA38" i="2" s="1"/>
  <c r="C51" i="2"/>
  <c r="C52" i="2"/>
  <c r="C56" i="2"/>
  <c r="C55" i="2"/>
  <c r="C54" i="2"/>
  <c r="I46" i="7" a="1"/>
  <c r="I46" i="7" s="1"/>
  <c r="J46" i="7" s="1" a="1"/>
  <c r="J46" i="7" s="1"/>
  <c r="I47" i="7" a="1"/>
  <c r="I47" i="7" s="1"/>
  <c r="J47" i="7" s="1" a="1"/>
  <c r="J47" i="7" s="1"/>
  <c r="I50" i="7" a="1"/>
  <c r="I50" i="7" s="1"/>
  <c r="J50" i="7" s="1" a="1"/>
  <c r="J50" i="7" s="1"/>
  <c r="I49" i="7" a="1"/>
  <c r="I49" i="7" s="1"/>
  <c r="J49" i="7" s="1" a="1"/>
  <c r="J49" i="7" s="1"/>
  <c r="I45" i="7" a="1"/>
  <c r="I45" i="7" s="1"/>
  <c r="J45" i="7" s="1" a="1"/>
  <c r="J45" i="7" s="1"/>
  <c r="I48" i="7" a="1"/>
  <c r="I48" i="7" s="1"/>
  <c r="J48" i="7" s="1" a="1"/>
  <c r="J48" i="7" s="1"/>
  <c r="I39" i="7" a="1"/>
  <c r="I39" i="7" s="1"/>
  <c r="J39" i="7" s="1" a="1"/>
  <c r="J39" i="7" s="1"/>
  <c r="I40" i="7" a="1"/>
  <c r="I40" i="7" s="1"/>
  <c r="J40" i="7" s="1" a="1"/>
  <c r="J40" i="7" s="1"/>
  <c r="I43" i="7" a="1"/>
  <c r="I43" i="7" s="1"/>
  <c r="J43" i="7" s="1" a="1"/>
  <c r="J43" i="7" s="1"/>
  <c r="I42" i="7" a="1"/>
  <c r="I42" i="7" s="1"/>
  <c r="J42" i="7" s="1" a="1"/>
  <c r="J42" i="7" s="1"/>
  <c r="C45" i="7"/>
  <c r="E45" i="7"/>
  <c r="G45" i="7"/>
  <c r="E48" i="7"/>
  <c r="G48" i="7"/>
  <c r="E49" i="7"/>
  <c r="G49" i="7"/>
  <c r="E50" i="7"/>
  <c r="G50" i="7"/>
  <c r="E47" i="7"/>
  <c r="G47" i="7"/>
  <c r="E46" i="7"/>
  <c r="G46" i="7"/>
  <c r="C46" i="7"/>
  <c r="C47" i="7"/>
  <c r="C50" i="7"/>
  <c r="C49" i="7"/>
  <c r="C48" i="7"/>
  <c r="C38" i="7"/>
  <c r="G42" i="7"/>
  <c r="E43" i="7"/>
  <c r="G43" i="7"/>
  <c r="C43" i="7"/>
  <c r="E40" i="7"/>
  <c r="E39" i="7"/>
  <c r="C39" i="7"/>
  <c r="C40" i="7"/>
  <c r="C42" i="7"/>
  <c r="E41" i="7"/>
  <c r="C41" i="7"/>
  <c r="E38" i="7"/>
  <c r="R3" i="8"/>
  <c r="R4" i="8"/>
  <c r="R28" i="8"/>
  <c r="R27" i="8"/>
  <c r="R26" i="8"/>
  <c r="R5" i="8"/>
  <c r="R6" i="8"/>
  <c r="R30" i="8"/>
  <c r="R7" i="8"/>
  <c r="R8" i="8"/>
  <c r="R9" i="8"/>
  <c r="R10" i="8"/>
  <c r="R29" i="8"/>
  <c r="R11" i="8"/>
  <c r="R32" i="8"/>
  <c r="R34" i="8"/>
  <c r="R31" i="8"/>
  <c r="R12" i="8"/>
  <c r="R33" i="8"/>
  <c r="R13" i="8"/>
  <c r="R35" i="8"/>
  <c r="R14" i="8"/>
  <c r="R15" i="8"/>
  <c r="R16" i="8"/>
  <c r="R17" i="8"/>
  <c r="R18" i="8"/>
  <c r="R38" i="8"/>
  <c r="R19" i="8"/>
  <c r="R20" i="8"/>
  <c r="R36" i="8"/>
  <c r="R37" i="8"/>
  <c r="R21" i="8"/>
  <c r="R22" i="8"/>
  <c r="R23" i="8"/>
  <c r="R39" i="8"/>
  <c r="R24" i="8"/>
  <c r="R44" i="8"/>
  <c r="R41" i="8"/>
  <c r="R43" i="8"/>
  <c r="R42" i="8"/>
  <c r="R45" i="8"/>
  <c r="R40" i="8"/>
  <c r="R46" i="8"/>
  <c r="R25" i="8"/>
  <c r="R47" i="8"/>
  <c r="CM33" i="15"/>
  <c r="CM50" i="15"/>
  <c r="CM30" i="15"/>
  <c r="CM37" i="15"/>
  <c r="CM10" i="15"/>
  <c r="CM38" i="15"/>
  <c r="CM25" i="15"/>
  <c r="CM5" i="15"/>
  <c r="CM45" i="15"/>
  <c r="CM11" i="15"/>
  <c r="CM21" i="15"/>
  <c r="CM2" i="15"/>
  <c r="CM7" i="15"/>
  <c r="CM31" i="15"/>
  <c r="CM19" i="15"/>
  <c r="CM51" i="15"/>
  <c r="CM29" i="15"/>
  <c r="CM52" i="15"/>
  <c r="CM22" i="15"/>
  <c r="CM3" i="15"/>
  <c r="CM15" i="15"/>
  <c r="CM44" i="15"/>
  <c r="CM17" i="15"/>
  <c r="CM47" i="15"/>
  <c r="CM16" i="15"/>
  <c r="CM46" i="15"/>
  <c r="CM20" i="15"/>
  <c r="CM35" i="15"/>
  <c r="CM8" i="15"/>
  <c r="CM13" i="15"/>
  <c r="CM24" i="15"/>
  <c r="CM34" i="15"/>
  <c r="CM42" i="15"/>
  <c r="CM9" i="15"/>
  <c r="CM27" i="15"/>
  <c r="CM4" i="15"/>
  <c r="CM36" i="15"/>
  <c r="CM40" i="15"/>
  <c r="CM18" i="15"/>
  <c r="CM48" i="15"/>
  <c r="CM14" i="15"/>
  <c r="CM49" i="15"/>
  <c r="CM12" i="15"/>
  <c r="CM53" i="15"/>
  <c r="CM43" i="15"/>
  <c r="CM28" i="15"/>
  <c r="CM41" i="15"/>
  <c r="CM26" i="15"/>
  <c r="CM23" i="15"/>
  <c r="CM39" i="15"/>
  <c r="CL33" i="15"/>
  <c r="CL50" i="15"/>
  <c r="CL30" i="15"/>
  <c r="CL37" i="15"/>
  <c r="CL10" i="15"/>
  <c r="CL38" i="15"/>
  <c r="CL25" i="15"/>
  <c r="CL5" i="15"/>
  <c r="CL45" i="15"/>
  <c r="CL11" i="15"/>
  <c r="CL21" i="15"/>
  <c r="CL2" i="15"/>
  <c r="CL7" i="15"/>
  <c r="CL31" i="15"/>
  <c r="CL19" i="15"/>
  <c r="CL51" i="15"/>
  <c r="CL29" i="15"/>
  <c r="CL6" i="15"/>
  <c r="CL52" i="15"/>
  <c r="CL22" i="15"/>
  <c r="CL3" i="15"/>
  <c r="CL15" i="15"/>
  <c r="CL44" i="15"/>
  <c r="CL17" i="15"/>
  <c r="CL47" i="15"/>
  <c r="CL16" i="15"/>
  <c r="CL46" i="15"/>
  <c r="CL20" i="15"/>
  <c r="CL35" i="15"/>
  <c r="CL8" i="15"/>
  <c r="CL13" i="15"/>
  <c r="CL24" i="15"/>
  <c r="CL34" i="15"/>
  <c r="CL42" i="15"/>
  <c r="CL9" i="15"/>
  <c r="CL27" i="15"/>
  <c r="CL4" i="15"/>
  <c r="CL36" i="15"/>
  <c r="CL40" i="15"/>
  <c r="CL18" i="15"/>
  <c r="CL48" i="15"/>
  <c r="CL14" i="15"/>
  <c r="CL49" i="15"/>
  <c r="CL12" i="15"/>
  <c r="CL53" i="15"/>
  <c r="CL43" i="15"/>
  <c r="CL28" i="15"/>
  <c r="CL41" i="15"/>
  <c r="CL26" i="15"/>
  <c r="CL23" i="15"/>
  <c r="CL39" i="15"/>
  <c r="CM32" i="15"/>
  <c r="CL32" i="15"/>
  <c r="BP33" i="15"/>
  <c r="BP50" i="15"/>
  <c r="BP30" i="15"/>
  <c r="BP37" i="15"/>
  <c r="BP10" i="15"/>
  <c r="BP38" i="15"/>
  <c r="BP25" i="15"/>
  <c r="BP5" i="15"/>
  <c r="BP45" i="15"/>
  <c r="BP11" i="15"/>
  <c r="BP21" i="15"/>
  <c r="BP2" i="15"/>
  <c r="BP7" i="15"/>
  <c r="BP31" i="15"/>
  <c r="BP19" i="15"/>
  <c r="BP51" i="15"/>
  <c r="BP29" i="15"/>
  <c r="BP6" i="15"/>
  <c r="BP52" i="15"/>
  <c r="BP22" i="15"/>
  <c r="BP3" i="15"/>
  <c r="BP15" i="15"/>
  <c r="BP44" i="15"/>
  <c r="BP17" i="15"/>
  <c r="BP47" i="15"/>
  <c r="BP16" i="15"/>
  <c r="BP46" i="15"/>
  <c r="BP20" i="15"/>
  <c r="BP35" i="15"/>
  <c r="BP8" i="15"/>
  <c r="BP13" i="15"/>
  <c r="BP24" i="15"/>
  <c r="BP34" i="15"/>
  <c r="BP42" i="15"/>
  <c r="BP9" i="15"/>
  <c r="BP27" i="15"/>
  <c r="BP4" i="15"/>
  <c r="BP36" i="15"/>
  <c r="BP40" i="15"/>
  <c r="BP18" i="15"/>
  <c r="BP48" i="15"/>
  <c r="BP14" i="15"/>
  <c r="BP49" i="15"/>
  <c r="BP12" i="15"/>
  <c r="BP53" i="15"/>
  <c r="BP43" i="15"/>
  <c r="BP28" i="15"/>
  <c r="BP41" i="15"/>
  <c r="BP26" i="15"/>
  <c r="BP23" i="15"/>
  <c r="BP39" i="15"/>
  <c r="BQ33" i="15"/>
  <c r="BQ50" i="15"/>
  <c r="BQ30" i="15"/>
  <c r="BQ37" i="15"/>
  <c r="BQ10" i="15"/>
  <c r="BQ38" i="15"/>
  <c r="BQ25" i="15"/>
  <c r="BQ5" i="15"/>
  <c r="BQ45" i="15"/>
  <c r="BQ11" i="15"/>
  <c r="BQ21" i="15"/>
  <c r="BQ2" i="15"/>
  <c r="BQ7" i="15"/>
  <c r="BQ31" i="15"/>
  <c r="BQ19" i="15"/>
  <c r="BQ51" i="15"/>
  <c r="BQ29" i="15"/>
  <c r="BQ6" i="15"/>
  <c r="BQ52" i="15"/>
  <c r="BQ22" i="15"/>
  <c r="BQ3" i="15"/>
  <c r="BQ15" i="15"/>
  <c r="BQ44" i="15"/>
  <c r="BQ17" i="15"/>
  <c r="BQ47" i="15"/>
  <c r="BQ16" i="15"/>
  <c r="BQ46" i="15"/>
  <c r="BQ20" i="15"/>
  <c r="BQ35" i="15"/>
  <c r="BQ8" i="15"/>
  <c r="BQ13" i="15"/>
  <c r="BQ24" i="15"/>
  <c r="BQ34" i="15"/>
  <c r="BQ42" i="15"/>
  <c r="BQ9" i="15"/>
  <c r="BQ27" i="15"/>
  <c r="BQ4" i="15"/>
  <c r="BQ36" i="15"/>
  <c r="BQ40" i="15"/>
  <c r="BQ18" i="15"/>
  <c r="BQ48" i="15"/>
  <c r="BQ14" i="15"/>
  <c r="BQ49" i="15"/>
  <c r="BQ12" i="15"/>
  <c r="BQ53" i="15"/>
  <c r="BQ43" i="15"/>
  <c r="BQ28" i="15"/>
  <c r="BQ41" i="15"/>
  <c r="BQ26" i="15"/>
  <c r="BQ23" i="15"/>
  <c r="BQ39" i="15"/>
  <c r="BQ32" i="15"/>
  <c r="BP32" i="15"/>
  <c r="AT32" i="15"/>
  <c r="AU33" i="15"/>
  <c r="AU50" i="15"/>
  <c r="AU30" i="15"/>
  <c r="AU37" i="15"/>
  <c r="AU10" i="15"/>
  <c r="AU38" i="15"/>
  <c r="AU25" i="15"/>
  <c r="AU5" i="15"/>
  <c r="AU45" i="15"/>
  <c r="AU11" i="15"/>
  <c r="AU21" i="15"/>
  <c r="AU2" i="15"/>
  <c r="AU7" i="15"/>
  <c r="AU31" i="15"/>
  <c r="AU19" i="15"/>
  <c r="AU51" i="15"/>
  <c r="AU29" i="15"/>
  <c r="AU6" i="15"/>
  <c r="AU52" i="15"/>
  <c r="AU22" i="15"/>
  <c r="AU3" i="15"/>
  <c r="AU15" i="15"/>
  <c r="AU44" i="15"/>
  <c r="AU17" i="15"/>
  <c r="AU47" i="15"/>
  <c r="AU16" i="15"/>
  <c r="AU46" i="15"/>
  <c r="AU20" i="15"/>
  <c r="AU35" i="15"/>
  <c r="AU8" i="15"/>
  <c r="AU13" i="15"/>
  <c r="AU24" i="15"/>
  <c r="AU34" i="15"/>
  <c r="AU42" i="15"/>
  <c r="AU9" i="15"/>
  <c r="AU27" i="15"/>
  <c r="AU4" i="15"/>
  <c r="AU36" i="15"/>
  <c r="AU40" i="15"/>
  <c r="AU18" i="15"/>
  <c r="AU48" i="15"/>
  <c r="AU14" i="15"/>
  <c r="AU49" i="15"/>
  <c r="AU12" i="15"/>
  <c r="AU53" i="15"/>
  <c r="AU43" i="15"/>
  <c r="AU28" i="15"/>
  <c r="AU41" i="15"/>
  <c r="AU26" i="15"/>
  <c r="AU23" i="15"/>
  <c r="AU39" i="15"/>
  <c r="AT33" i="15"/>
  <c r="AT50" i="15"/>
  <c r="AT30" i="15"/>
  <c r="AT37" i="15"/>
  <c r="AT10" i="15"/>
  <c r="AT38" i="15"/>
  <c r="AT25" i="15"/>
  <c r="AT5" i="15"/>
  <c r="AT45" i="15"/>
  <c r="AT11" i="15"/>
  <c r="AT21" i="15"/>
  <c r="AT2" i="15"/>
  <c r="AT7" i="15"/>
  <c r="AT31" i="15"/>
  <c r="AT19" i="15"/>
  <c r="AT51" i="15"/>
  <c r="AT29" i="15"/>
  <c r="AT6" i="15"/>
  <c r="AT52" i="15"/>
  <c r="AT22" i="15"/>
  <c r="AT3" i="15"/>
  <c r="AT15" i="15"/>
  <c r="AT44" i="15"/>
  <c r="AT17" i="15"/>
  <c r="AT47" i="15"/>
  <c r="AT16" i="15"/>
  <c r="AT46" i="15"/>
  <c r="AT20" i="15"/>
  <c r="AT35" i="15"/>
  <c r="AT8" i="15"/>
  <c r="AT13" i="15"/>
  <c r="AT24" i="15"/>
  <c r="AT34" i="15"/>
  <c r="AT42" i="15"/>
  <c r="AT9" i="15"/>
  <c r="AT27" i="15"/>
  <c r="AT4" i="15"/>
  <c r="AT36" i="15"/>
  <c r="AT40" i="15"/>
  <c r="AT18" i="15"/>
  <c r="AT48" i="15"/>
  <c r="AT14" i="15"/>
  <c r="AT49" i="15"/>
  <c r="AT12" i="15"/>
  <c r="AT53" i="15"/>
  <c r="AT43" i="15"/>
  <c r="AT28" i="15"/>
  <c r="AT41" i="15"/>
  <c r="AT26" i="15"/>
  <c r="AT23" i="15"/>
  <c r="AT39" i="15"/>
  <c r="AU32" i="15"/>
  <c r="Y50" i="15"/>
  <c r="Y51" i="15"/>
  <c r="Y52" i="15"/>
  <c r="Y48" i="15"/>
  <c r="Y49" i="15"/>
  <c r="Y53" i="15"/>
  <c r="X50" i="15"/>
  <c r="X51" i="15"/>
  <c r="X52" i="15"/>
  <c r="X48" i="15"/>
  <c r="E64" i="15" s="1" a="1"/>
  <c r="E64" i="15" s="1"/>
  <c r="F64" i="15" s="1" a="1"/>
  <c r="F64" i="15" s="1"/>
  <c r="X49" i="15"/>
  <c r="X53" i="15"/>
  <c r="E38" i="14"/>
  <c r="E37" i="14"/>
  <c r="E32" i="14"/>
  <c r="E13" i="14"/>
  <c r="E20" i="14"/>
  <c r="E8" i="14"/>
  <c r="E16" i="14"/>
  <c r="E26" i="14"/>
  <c r="E3" i="14"/>
  <c r="E10" i="14"/>
  <c r="E33" i="14"/>
  <c r="E5" i="14"/>
  <c r="E35" i="14"/>
  <c r="E31" i="14"/>
  <c r="E15" i="14"/>
  <c r="E24" i="14"/>
  <c r="E2" i="14"/>
  <c r="E12" i="14"/>
  <c r="E14" i="14"/>
  <c r="E18" i="14"/>
  <c r="E19" i="14"/>
  <c r="E21" i="14"/>
  <c r="E7" i="14"/>
  <c r="E9" i="14"/>
  <c r="E27" i="14"/>
  <c r="E6" i="14"/>
  <c r="E29" i="14"/>
  <c r="E11" i="14"/>
  <c r="E22" i="14"/>
  <c r="E17" i="14"/>
  <c r="E25" i="14"/>
  <c r="E4" i="14"/>
  <c r="E30" i="14"/>
  <c r="E23" i="14"/>
  <c r="E28" i="14"/>
  <c r="E34" i="14"/>
  <c r="E36" i="14"/>
  <c r="E43" i="13"/>
  <c r="U43" i="13" s="1" a="1"/>
  <c r="U43" i="13" s="1"/>
  <c r="E42" i="13"/>
  <c r="V42" i="13" s="1" a="1"/>
  <c r="V42" i="13" s="1"/>
  <c r="E39" i="13"/>
  <c r="U39" i="13" s="1" a="1"/>
  <c r="U39" i="13" s="1"/>
  <c r="E26" i="13"/>
  <c r="V26" i="13" s="1" a="1"/>
  <c r="V26" i="13" s="1"/>
  <c r="E11" i="13"/>
  <c r="U11" i="13" s="1" a="1"/>
  <c r="U11" i="13" s="1"/>
  <c r="E40" i="13"/>
  <c r="W40" i="13" s="1" a="1"/>
  <c r="W40" i="13" s="1"/>
  <c r="E31" i="13"/>
  <c r="U31" i="13" s="1" a="1"/>
  <c r="U31" i="13" s="1"/>
  <c r="E16" i="13"/>
  <c r="W16" i="13" s="1" a="1"/>
  <c r="W16" i="13" s="1"/>
  <c r="E9" i="13"/>
  <c r="U9" i="13" s="1" a="1"/>
  <c r="U9" i="13" s="1"/>
  <c r="E27" i="13"/>
  <c r="U27" i="13" s="1" a="1"/>
  <c r="U27" i="13" s="1"/>
  <c r="E6" i="13"/>
  <c r="V6" i="13" s="1" a="1"/>
  <c r="V6" i="13" s="1"/>
  <c r="E13" i="13"/>
  <c r="U13" i="13" s="1" a="1"/>
  <c r="U13" i="13" s="1"/>
  <c r="E41" i="13"/>
  <c r="U41" i="13" s="1" a="1"/>
  <c r="U41" i="13" s="1"/>
  <c r="E18" i="13"/>
  <c r="V18" i="13" s="1" a="1"/>
  <c r="V18" i="13" s="1"/>
  <c r="E37" i="13"/>
  <c r="U37" i="13" s="1" a="1"/>
  <c r="U37" i="13" s="1"/>
  <c r="E4" i="13"/>
  <c r="W4" i="13" s="1" a="1"/>
  <c r="W4" i="13" s="1"/>
  <c r="E23" i="13"/>
  <c r="U23" i="13" s="1" a="1"/>
  <c r="U23" i="13" s="1"/>
  <c r="E2" i="13"/>
  <c r="V2" i="13" s="1" a="1"/>
  <c r="V2" i="13" s="1"/>
  <c r="E7" i="13"/>
  <c r="U7" i="13" s="1" a="1"/>
  <c r="U7" i="13" s="1"/>
  <c r="E17" i="13"/>
  <c r="U17" i="13" s="1" a="1"/>
  <c r="U17" i="13" s="1"/>
  <c r="E14" i="13"/>
  <c r="V14" i="13" s="1" a="1"/>
  <c r="V14" i="13" s="1"/>
  <c r="E20" i="13"/>
  <c r="W20" i="13" s="1" a="1"/>
  <c r="W20" i="13" s="1"/>
  <c r="E21" i="13"/>
  <c r="U21" i="13" s="1" a="1"/>
  <c r="U21" i="13" s="1"/>
  <c r="E25" i="13"/>
  <c r="U25" i="13" s="1" a="1"/>
  <c r="U25" i="13" s="1"/>
  <c r="E35" i="13"/>
  <c r="U35" i="13" s="1" a="1"/>
  <c r="U35" i="13" s="1"/>
  <c r="E8" i="13"/>
  <c r="W8" i="13" s="1" a="1"/>
  <c r="W8" i="13" s="1"/>
  <c r="E10" i="13"/>
  <c r="U10" i="13" s="1" a="1"/>
  <c r="U10" i="13" s="1"/>
  <c r="E28" i="13"/>
  <c r="W28" i="13" s="1" a="1"/>
  <c r="W28" i="13" s="1"/>
  <c r="E22" i="13"/>
  <c r="V22" i="13" s="1" a="1"/>
  <c r="V22" i="13" s="1"/>
  <c r="E12" i="13"/>
  <c r="W12" i="13" s="1" a="1"/>
  <c r="W12" i="13" s="1"/>
  <c r="E32" i="13"/>
  <c r="W32" i="13" s="1" a="1"/>
  <c r="W32" i="13" s="1"/>
  <c r="E5" i="13"/>
  <c r="U5" i="13" s="1" a="1"/>
  <c r="U5" i="13" s="1"/>
  <c r="E30" i="13"/>
  <c r="V30" i="13" s="1" a="1"/>
  <c r="V30" i="13" s="1"/>
  <c r="E19" i="13"/>
  <c r="U19" i="13" s="1" a="1"/>
  <c r="U19" i="13" s="1"/>
  <c r="E33" i="13"/>
  <c r="U33" i="13" s="1" a="1"/>
  <c r="U33" i="13" s="1"/>
  <c r="E15" i="13"/>
  <c r="U15" i="13" s="1" a="1"/>
  <c r="U15" i="13" s="1"/>
  <c r="E3" i="13"/>
  <c r="U3" i="13" s="1" a="1"/>
  <c r="U3" i="13" s="1"/>
  <c r="E38" i="13"/>
  <c r="V38" i="13" s="1" a="1"/>
  <c r="V38" i="13" s="1"/>
  <c r="E36" i="13"/>
  <c r="W36" i="13" s="1" a="1"/>
  <c r="W36" i="13" s="1"/>
  <c r="E34" i="13"/>
  <c r="V34" i="13" s="1" a="1"/>
  <c r="V34" i="13" s="1"/>
  <c r="E24" i="13"/>
  <c r="W24" i="13" s="1" a="1"/>
  <c r="W24" i="13" s="1"/>
  <c r="E29" i="13"/>
  <c r="U29" i="13" s="1" a="1"/>
  <c r="U29" i="13" s="1"/>
  <c r="E44" i="13"/>
  <c r="W44" i="13" s="1" a="1"/>
  <c r="W44" i="13" s="1"/>
  <c r="E46" i="12"/>
  <c r="U46" i="12" s="1" a="1"/>
  <c r="U46" i="12" s="1"/>
  <c r="E43" i="12"/>
  <c r="U43" i="12" s="1" a="1"/>
  <c r="U43" i="12" s="1"/>
  <c r="E40" i="12"/>
  <c r="W40" i="12" s="1" a="1"/>
  <c r="W40" i="12" s="1"/>
  <c r="E30" i="12"/>
  <c r="U30" i="12" s="1" a="1"/>
  <c r="U30" i="12" s="1"/>
  <c r="E8" i="12"/>
  <c r="W8" i="12" s="1" a="1"/>
  <c r="W8" i="12" s="1"/>
  <c r="E32" i="12"/>
  <c r="W32" i="12" s="1" a="1"/>
  <c r="W32" i="12" s="1"/>
  <c r="E41" i="12"/>
  <c r="U41" i="12" s="1" a="1"/>
  <c r="U41" i="12" s="1"/>
  <c r="E3" i="12"/>
  <c r="U3" i="12" s="1" a="1"/>
  <c r="U3" i="12" s="1"/>
  <c r="E35" i="12"/>
  <c r="U35" i="12" s="1" a="1"/>
  <c r="U35" i="12" s="1"/>
  <c r="E10" i="12"/>
  <c r="U10" i="12" s="1" a="1"/>
  <c r="U10" i="12" s="1"/>
  <c r="E24" i="12"/>
  <c r="W24" i="12" s="1" a="1"/>
  <c r="W24" i="12" s="1"/>
  <c r="E4" i="12"/>
  <c r="W4" i="12" s="1" a="1"/>
  <c r="W4" i="12" s="1"/>
  <c r="E6" i="12"/>
  <c r="U6" i="12" s="1" a="1"/>
  <c r="U6" i="12" s="1"/>
  <c r="E45" i="12"/>
  <c r="U45" i="12" s="1" a="1"/>
  <c r="U45" i="12" s="1"/>
  <c r="E5" i="12"/>
  <c r="U5" i="12" s="1" a="1"/>
  <c r="U5" i="12" s="1"/>
  <c r="E42" i="12"/>
  <c r="U42" i="12" s="1" a="1"/>
  <c r="U42" i="12" s="1"/>
  <c r="E36" i="12"/>
  <c r="W36" i="12" s="1" a="1"/>
  <c r="W36" i="12" s="1"/>
  <c r="E11" i="12"/>
  <c r="U11" i="12" s="1" a="1"/>
  <c r="U11" i="12" s="1"/>
  <c r="E38" i="12"/>
  <c r="U38" i="12" s="1" a="1"/>
  <c r="U38" i="12" s="1"/>
  <c r="E27" i="12"/>
  <c r="U27" i="12" s="1" a="1"/>
  <c r="U27" i="12" s="1"/>
  <c r="E2" i="12"/>
  <c r="U2" i="12" s="1" a="1"/>
  <c r="U2" i="12" s="1"/>
  <c r="E15" i="12"/>
  <c r="U15" i="12" s="1" a="1"/>
  <c r="U15" i="12" s="1"/>
  <c r="E19" i="12"/>
  <c r="U19" i="12" s="1" a="1"/>
  <c r="U19" i="12" s="1"/>
  <c r="E21" i="12"/>
  <c r="U21" i="12" s="1" a="1"/>
  <c r="U21" i="12" s="1"/>
  <c r="E14" i="12"/>
  <c r="U14" i="12" s="1" a="1"/>
  <c r="U14" i="12" s="1"/>
  <c r="E20" i="12"/>
  <c r="W20" i="12" s="1" a="1"/>
  <c r="W20" i="12" s="1"/>
  <c r="E26" i="12"/>
  <c r="U26" i="12" s="1" a="1"/>
  <c r="U26" i="12" s="1"/>
  <c r="E7" i="12"/>
  <c r="E9" i="12"/>
  <c r="U9" i="12" s="1" a="1"/>
  <c r="U9" i="12" s="1"/>
  <c r="E17" i="12"/>
  <c r="U17" i="12" s="1" a="1"/>
  <c r="U17" i="12" s="1"/>
  <c r="E28" i="12"/>
  <c r="W28" i="12" s="1" a="1"/>
  <c r="W28" i="12" s="1"/>
  <c r="E31" i="12"/>
  <c r="U31" i="12" s="1" a="1"/>
  <c r="U31" i="12" s="1"/>
  <c r="E37" i="12"/>
  <c r="U37" i="12" s="1" a="1"/>
  <c r="U37" i="12" s="1"/>
  <c r="E18" i="12"/>
  <c r="U18" i="12" s="1" a="1"/>
  <c r="U18" i="12" s="1"/>
  <c r="E44" i="12"/>
  <c r="W44" i="12" s="1" a="1"/>
  <c r="W44" i="12" s="1"/>
  <c r="E13" i="12"/>
  <c r="U13" i="12" s="1" a="1"/>
  <c r="U13" i="12" s="1"/>
  <c r="E23" i="12"/>
  <c r="U23" i="12" s="1" a="1"/>
  <c r="U23" i="12" s="1"/>
  <c r="E22" i="12"/>
  <c r="U22" i="12" s="1" a="1"/>
  <c r="U22" i="12" s="1"/>
  <c r="E33" i="12"/>
  <c r="U33" i="12" s="1" a="1"/>
  <c r="U33" i="12" s="1"/>
  <c r="E12" i="12"/>
  <c r="W12" i="12" s="1" a="1"/>
  <c r="W12" i="12" s="1"/>
  <c r="E16" i="12"/>
  <c r="W16" i="12" s="1" a="1"/>
  <c r="W16" i="12" s="1"/>
  <c r="E47" i="12"/>
  <c r="U47" i="12" s="1" a="1"/>
  <c r="U47" i="12" s="1"/>
  <c r="E39" i="12"/>
  <c r="U39" i="12" s="1" a="1"/>
  <c r="U39" i="12" s="1"/>
  <c r="E34" i="12"/>
  <c r="U34" i="12" s="1" a="1"/>
  <c r="U34" i="12" s="1"/>
  <c r="E25" i="12"/>
  <c r="U25" i="12" s="1" a="1"/>
  <c r="U25" i="12" s="1"/>
  <c r="E29" i="12"/>
  <c r="U29" i="12" s="1" a="1"/>
  <c r="U29" i="12" s="1"/>
  <c r="E44" i="11"/>
  <c r="U44" i="11" s="1" a="1"/>
  <c r="U44" i="11" s="1"/>
  <c r="E45" i="11"/>
  <c r="U45" i="11" s="1" a="1"/>
  <c r="U45" i="11" s="1"/>
  <c r="E43" i="11"/>
  <c r="U43" i="11" s="1" a="1"/>
  <c r="U43" i="11" s="1"/>
  <c r="E41" i="11"/>
  <c r="U41" i="11" s="1" a="1"/>
  <c r="U41" i="11" s="1"/>
  <c r="E4" i="11"/>
  <c r="U4" i="11" s="1" a="1"/>
  <c r="U4" i="11" s="1"/>
  <c r="E11" i="11"/>
  <c r="U11" i="11" s="1" a="1"/>
  <c r="U11" i="11" s="1"/>
  <c r="E39" i="11"/>
  <c r="U39" i="11" s="1" a="1"/>
  <c r="U39" i="11" s="1"/>
  <c r="E7" i="11"/>
  <c r="U7" i="11" s="1" a="1"/>
  <c r="U7" i="11" s="1"/>
  <c r="E38" i="11"/>
  <c r="U38" i="11" s="1" a="1"/>
  <c r="U38" i="11" s="1"/>
  <c r="E14" i="11"/>
  <c r="U14" i="11" s="1" a="1"/>
  <c r="U14" i="11" s="1"/>
  <c r="E22" i="11"/>
  <c r="U22" i="11" s="1" a="1"/>
  <c r="U22" i="11" s="1"/>
  <c r="E2" i="11"/>
  <c r="U2" i="11" s="1" a="1"/>
  <c r="U2" i="11" s="1"/>
  <c r="E15" i="11"/>
  <c r="U15" i="11" s="1" a="1"/>
  <c r="U15" i="11" s="1"/>
  <c r="E36" i="11"/>
  <c r="U36" i="11" s="1" a="1"/>
  <c r="U36" i="11" s="1"/>
  <c r="E9" i="11"/>
  <c r="U9" i="11" s="1" a="1"/>
  <c r="U9" i="11" s="1"/>
  <c r="E42" i="11"/>
  <c r="U42" i="11" s="1" a="1"/>
  <c r="U42" i="11" s="1"/>
  <c r="E37" i="11"/>
  <c r="U37" i="11" s="1" a="1"/>
  <c r="U37" i="11" s="1"/>
  <c r="E5" i="11"/>
  <c r="U5" i="11" s="1" a="1"/>
  <c r="U5" i="11" s="1"/>
  <c r="E24" i="11"/>
  <c r="W24" i="11" s="1" a="1"/>
  <c r="W24" i="11" s="1"/>
  <c r="E3" i="11"/>
  <c r="U3" i="11" s="1" a="1"/>
  <c r="U3" i="11" s="1"/>
  <c r="E18" i="11"/>
  <c r="U18" i="11" s="1" a="1"/>
  <c r="U18" i="11" s="1"/>
  <c r="E19" i="11"/>
  <c r="U19" i="11" s="1" a="1"/>
  <c r="U19" i="11" s="1"/>
  <c r="E16" i="11"/>
  <c r="U16" i="11" s="1" a="1"/>
  <c r="U16" i="11" s="1"/>
  <c r="E40" i="11"/>
  <c r="U40" i="11" s="1" a="1"/>
  <c r="U40" i="11" s="1"/>
  <c r="E25" i="11"/>
  <c r="U25" i="11" s="1" a="1"/>
  <c r="U25" i="11" s="1"/>
  <c r="E30" i="11"/>
  <c r="U30" i="11" s="1" a="1"/>
  <c r="U30" i="11" s="1"/>
  <c r="E13" i="11"/>
  <c r="U13" i="11" s="1" a="1"/>
  <c r="U13" i="11" s="1"/>
  <c r="E17" i="11"/>
  <c r="U17" i="11" s="1" a="1"/>
  <c r="U17" i="11" s="1"/>
  <c r="E29" i="11"/>
  <c r="U29" i="11" s="1" a="1"/>
  <c r="U29" i="11" s="1"/>
  <c r="E23" i="11"/>
  <c r="U23" i="11" s="1" a="1"/>
  <c r="U23" i="11" s="1"/>
  <c r="E8" i="11"/>
  <c r="W8" i="11" s="1" a="1"/>
  <c r="W8" i="11" s="1"/>
  <c r="E31" i="11"/>
  <c r="U31" i="11" s="1" a="1"/>
  <c r="U31" i="11" s="1"/>
  <c r="E6" i="11"/>
  <c r="U6" i="11" s="1" a="1"/>
  <c r="U6" i="11" s="1"/>
  <c r="E21" i="11"/>
  <c r="U21" i="11" s="1" a="1"/>
  <c r="U21" i="11" s="1"/>
  <c r="E20" i="11"/>
  <c r="U20" i="11" s="1" a="1"/>
  <c r="U20" i="11" s="1"/>
  <c r="E33" i="11"/>
  <c r="U33" i="11" s="1" a="1"/>
  <c r="U33" i="11" s="1"/>
  <c r="E12" i="11"/>
  <c r="W12" i="11" s="1" a="1"/>
  <c r="W12" i="11" s="1"/>
  <c r="E27" i="11"/>
  <c r="U27" i="11" s="1" a="1"/>
  <c r="U27" i="11" s="1"/>
  <c r="E10" i="11"/>
  <c r="U10" i="11" s="1" a="1"/>
  <c r="U10" i="11" s="1"/>
  <c r="E35" i="11"/>
  <c r="U35" i="11" s="1" a="1"/>
  <c r="U35" i="11" s="1"/>
  <c r="E34" i="11"/>
  <c r="U34" i="11" s="1" a="1"/>
  <c r="U34" i="11" s="1"/>
  <c r="E26" i="11"/>
  <c r="U26" i="11" s="1" a="1"/>
  <c r="U26" i="11" s="1"/>
  <c r="E28" i="11"/>
  <c r="W28" i="11" s="1" a="1"/>
  <c r="W28" i="11" s="1"/>
  <c r="E32" i="11"/>
  <c r="U32" i="11" s="1" a="1"/>
  <c r="U32" i="11" s="1"/>
  <c r="E44" i="10"/>
  <c r="W44" i="10" s="1" a="1"/>
  <c r="W44" i="10" s="1"/>
  <c r="E42" i="10"/>
  <c r="U42" i="10" s="1" a="1"/>
  <c r="U42" i="10" s="1"/>
  <c r="E40" i="10"/>
  <c r="U40" i="10" s="1" a="1"/>
  <c r="U40" i="10" s="1"/>
  <c r="E29" i="10"/>
  <c r="U29" i="10" s="1" a="1"/>
  <c r="U29" i="10" s="1"/>
  <c r="E24" i="10"/>
  <c r="W24" i="10" s="1" a="1"/>
  <c r="W24" i="10" s="1"/>
  <c r="E25" i="10"/>
  <c r="U25" i="10" s="1" a="1"/>
  <c r="U25" i="10" s="1"/>
  <c r="E5" i="10"/>
  <c r="W5" i="10" s="1" a="1"/>
  <c r="W5" i="10" s="1"/>
  <c r="E32" i="10"/>
  <c r="U32" i="10" s="1" a="1"/>
  <c r="U32" i="10" s="1"/>
  <c r="E14" i="10"/>
  <c r="U14" i="10" s="1" a="1"/>
  <c r="U14" i="10" s="1"/>
  <c r="E3" i="10"/>
  <c r="U3" i="10" s="1" a="1"/>
  <c r="U3" i="10" s="1"/>
  <c r="E9" i="10"/>
  <c r="U9" i="10" s="1" a="1"/>
  <c r="U9" i="10" s="1"/>
  <c r="E41" i="10"/>
  <c r="U41" i="10" s="1" a="1"/>
  <c r="U41" i="10" s="1"/>
  <c r="E18" i="10"/>
  <c r="U18" i="10" s="1" a="1"/>
  <c r="U18" i="10" s="1"/>
  <c r="E23" i="10"/>
  <c r="U23" i="10" s="1" a="1"/>
  <c r="U23" i="10" s="1"/>
  <c r="E7" i="10"/>
  <c r="U7" i="10" s="1" a="1"/>
  <c r="U7" i="10" s="1"/>
  <c r="E15" i="10"/>
  <c r="W15" i="10" s="1" a="1"/>
  <c r="W15" i="10" s="1"/>
  <c r="E6" i="10"/>
  <c r="U6" i="10" s="1" a="1"/>
  <c r="U6" i="10" s="1"/>
  <c r="E30" i="10"/>
  <c r="W30" i="10" s="1" a="1"/>
  <c r="W30" i="10" s="1"/>
  <c r="E19" i="10"/>
  <c r="W19" i="10" s="1" a="1"/>
  <c r="W19" i="10" s="1"/>
  <c r="E36" i="10"/>
  <c r="U36" i="10" s="1" a="1"/>
  <c r="U36" i="10" s="1"/>
  <c r="E35" i="10"/>
  <c r="W35" i="10" s="1" a="1"/>
  <c r="W35" i="10" s="1"/>
  <c r="E33" i="10"/>
  <c r="W33" i="10" s="1" a="1"/>
  <c r="W33" i="10" s="1"/>
  <c r="E34" i="10"/>
  <c r="U34" i="10" s="1" a="1"/>
  <c r="U34" i="10" s="1"/>
  <c r="E12" i="10"/>
  <c r="U12" i="10" s="1" a="1"/>
  <c r="U12" i="10" s="1"/>
  <c r="E16" i="10"/>
  <c r="U16" i="10" s="1" a="1"/>
  <c r="U16" i="10" s="1"/>
  <c r="E10" i="10"/>
  <c r="U10" i="10" s="1" a="1"/>
  <c r="U10" i="10" s="1"/>
  <c r="E27" i="10"/>
  <c r="W27" i="10" s="1" a="1"/>
  <c r="W27" i="10" s="1"/>
  <c r="E38" i="10"/>
  <c r="U38" i="10" s="1" a="1"/>
  <c r="U38" i="10" s="1"/>
  <c r="E4" i="10"/>
  <c r="U4" i="10" s="1" a="1"/>
  <c r="U4" i="10" s="1"/>
  <c r="E28" i="10"/>
  <c r="U28" i="10" s="1" a="1"/>
  <c r="U28" i="10" s="1"/>
  <c r="E20" i="10"/>
  <c r="U20" i="10" s="1" a="1"/>
  <c r="U20" i="10" s="1"/>
  <c r="E8" i="10"/>
  <c r="U8" i="10" s="1" a="1"/>
  <c r="U8" i="10" s="1"/>
  <c r="E2" i="10"/>
  <c r="U2" i="10" s="1" a="1"/>
  <c r="U2" i="10" s="1"/>
  <c r="E13" i="10"/>
  <c r="U13" i="10" s="1" a="1"/>
  <c r="U13" i="10" s="1"/>
  <c r="E37" i="10"/>
  <c r="U37" i="10" s="1" a="1"/>
  <c r="U37" i="10" s="1"/>
  <c r="E39" i="10"/>
  <c r="U39" i="10" s="1" a="1"/>
  <c r="U39" i="10" s="1"/>
  <c r="E31" i="10"/>
  <c r="U31" i="10" s="1" a="1"/>
  <c r="U31" i="10" s="1"/>
  <c r="E26" i="10"/>
  <c r="U26" i="10" s="1" a="1"/>
  <c r="U26" i="10" s="1"/>
  <c r="E22" i="10"/>
  <c r="W22" i="10" s="1" a="1"/>
  <c r="W22" i="10" s="1"/>
  <c r="E17" i="10"/>
  <c r="U17" i="10" s="1" a="1"/>
  <c r="U17" i="10" s="1"/>
  <c r="E11" i="10"/>
  <c r="W11" i="10" s="1" a="1"/>
  <c r="W11" i="10" s="1"/>
  <c r="E21" i="10"/>
  <c r="U21" i="10" s="1" a="1"/>
  <c r="U21" i="10" s="1"/>
  <c r="E43" i="10"/>
  <c r="U43" i="10" s="1" a="1"/>
  <c r="U43" i="10" s="1"/>
  <c r="E42" i="8"/>
  <c r="W42" i="8" s="1" a="1"/>
  <c r="W42" i="8" s="1"/>
  <c r="E43" i="8"/>
  <c r="W43" i="8" s="1" a="1"/>
  <c r="W43" i="8" s="1"/>
  <c r="E41" i="8"/>
  <c r="W41" i="8" s="1" a="1"/>
  <c r="W41" i="8" s="1"/>
  <c r="E39" i="8"/>
  <c r="V39" i="8" s="1" a="1"/>
  <c r="V39" i="8" s="1"/>
  <c r="E27" i="8"/>
  <c r="W27" i="8" s="1" a="1"/>
  <c r="W27" i="8" s="1"/>
  <c r="E12" i="8"/>
  <c r="U12" i="8" s="1" a="1"/>
  <c r="U12" i="8" s="1"/>
  <c r="E9" i="8"/>
  <c r="V9" i="8" s="1" a="1"/>
  <c r="V9" i="8" s="1"/>
  <c r="E8" i="8"/>
  <c r="V8" i="8" s="1" a="1"/>
  <c r="V8" i="8" s="1"/>
  <c r="E26" i="8"/>
  <c r="W26" i="8" s="1" a="1"/>
  <c r="W26" i="8" s="1"/>
  <c r="E14" i="8"/>
  <c r="V14" i="8" s="1" a="1"/>
  <c r="V14" i="8" s="1"/>
  <c r="E4" i="8"/>
  <c r="W4" i="8" s="1" a="1"/>
  <c r="W4" i="8" s="1"/>
  <c r="E3" i="8"/>
  <c r="V3" i="8" s="1" a="1"/>
  <c r="V3" i="8" s="1"/>
  <c r="E40" i="8"/>
  <c r="U40" i="8" s="1" a="1"/>
  <c r="U40" i="8" s="1"/>
  <c r="E10" i="8"/>
  <c r="V10" i="8" s="1" a="1"/>
  <c r="V10" i="8" s="1"/>
  <c r="E45" i="8"/>
  <c r="W45" i="8" s="1" a="1"/>
  <c r="W45" i="8" s="1"/>
  <c r="E22" i="8"/>
  <c r="U22" i="8" s="1" a="1"/>
  <c r="U22" i="8" s="1"/>
  <c r="E5" i="8"/>
  <c r="U5" i="8" s="1" a="1"/>
  <c r="U5" i="8" s="1"/>
  <c r="E44" i="8"/>
  <c r="V44" i="8" s="1" a="1"/>
  <c r="V44" i="8" s="1"/>
  <c r="E18" i="8"/>
  <c r="W18" i="8" s="1" a="1"/>
  <c r="W18" i="8" s="1"/>
  <c r="E2" i="8"/>
  <c r="W2" i="8" s="1" a="1"/>
  <c r="W2" i="8" s="1"/>
  <c r="E32" i="8"/>
  <c r="W32" i="8" s="1" a="1"/>
  <c r="W32" i="8" s="1"/>
  <c r="E31" i="8"/>
  <c r="W31" i="8" s="1" a="1"/>
  <c r="W31" i="8" s="1"/>
  <c r="E47" i="8"/>
  <c r="U47" i="8" s="1" a="1"/>
  <c r="U47" i="8" s="1"/>
  <c r="E29" i="8"/>
  <c r="V29" i="8" s="1" a="1"/>
  <c r="V29" i="8" s="1"/>
  <c r="E46" i="8"/>
  <c r="U46" i="8" s="1" a="1"/>
  <c r="U46" i="8" s="1"/>
  <c r="E16" i="8"/>
  <c r="V16" i="8" s="1" a="1"/>
  <c r="V16" i="8" s="1"/>
  <c r="E13" i="8"/>
  <c r="U13" i="8" s="1" a="1"/>
  <c r="U13" i="8" s="1"/>
  <c r="E7" i="8"/>
  <c r="U7" i="8" s="1" a="1"/>
  <c r="U7" i="8" s="1"/>
  <c r="E34" i="8"/>
  <c r="W34" i="8" s="1" a="1"/>
  <c r="W34" i="8" s="1"/>
  <c r="E36" i="8"/>
  <c r="U36" i="8" s="1" a="1"/>
  <c r="U36" i="8" s="1"/>
  <c r="E6" i="8"/>
  <c r="U6" i="8" s="1" a="1"/>
  <c r="U6" i="8" s="1"/>
  <c r="E21" i="8"/>
  <c r="U21" i="8" s="1" a="1"/>
  <c r="U21" i="8" s="1"/>
  <c r="E30" i="8"/>
  <c r="U30" i="8" s="1" a="1"/>
  <c r="U30" i="8" s="1"/>
  <c r="E25" i="8"/>
  <c r="U25" i="8" s="1" a="1"/>
  <c r="U25" i="8" s="1"/>
  <c r="E11" i="8"/>
  <c r="W11" i="8" s="1" a="1"/>
  <c r="W11" i="8" s="1"/>
  <c r="E17" i="8"/>
  <c r="V17" i="8" s="1" a="1"/>
  <c r="V17" i="8" s="1"/>
  <c r="E35" i="8"/>
  <c r="U35" i="8" s="1" a="1"/>
  <c r="U35" i="8" s="1"/>
  <c r="E37" i="8"/>
  <c r="U37" i="8" s="1" a="1"/>
  <c r="U37" i="8" s="1"/>
  <c r="E33" i="8"/>
  <c r="U33" i="8" s="1" a="1"/>
  <c r="U33" i="8" s="1"/>
  <c r="E38" i="8"/>
  <c r="W38" i="8" s="1" a="1"/>
  <c r="W38" i="8" s="1"/>
  <c r="E28" i="8"/>
  <c r="W28" i="8" s="1" a="1"/>
  <c r="W28" i="8" s="1"/>
  <c r="E24" i="8"/>
  <c r="V24" i="8" s="1" a="1"/>
  <c r="V24" i="8" s="1"/>
  <c r="E23" i="8"/>
  <c r="V23" i="8" s="1" a="1"/>
  <c r="V23" i="8" s="1"/>
  <c r="E20" i="8"/>
  <c r="W20" i="8" s="1" a="1"/>
  <c r="W20" i="8" s="1"/>
  <c r="E15" i="8"/>
  <c r="V15" i="8" s="1" a="1"/>
  <c r="V15" i="8" s="1"/>
  <c r="E19" i="8"/>
  <c r="W19" i="8" s="1" a="1"/>
  <c r="W19" i="8" s="1"/>
  <c r="CN33" i="15"/>
  <c r="CN50" i="15"/>
  <c r="CN30" i="15"/>
  <c r="CN37" i="15"/>
  <c r="CN10" i="15"/>
  <c r="CN38" i="15"/>
  <c r="CN25" i="15"/>
  <c r="CN5" i="15"/>
  <c r="CN45" i="15"/>
  <c r="CN11" i="15"/>
  <c r="CN21" i="15"/>
  <c r="CN2" i="15"/>
  <c r="CN7" i="15"/>
  <c r="CN31" i="15"/>
  <c r="CN19" i="15"/>
  <c r="CN51" i="15"/>
  <c r="CN29" i="15"/>
  <c r="CN6" i="15"/>
  <c r="CN52" i="15"/>
  <c r="CN22" i="15"/>
  <c r="CN3" i="15"/>
  <c r="CN15" i="15"/>
  <c r="CN44" i="15"/>
  <c r="CN17" i="15"/>
  <c r="CN47" i="15"/>
  <c r="CN16" i="15"/>
  <c r="CN46" i="15"/>
  <c r="CN20" i="15"/>
  <c r="CN35" i="15"/>
  <c r="CN8" i="15"/>
  <c r="CN13" i="15"/>
  <c r="CN24" i="15"/>
  <c r="CN34" i="15"/>
  <c r="CN42" i="15"/>
  <c r="CN9" i="15"/>
  <c r="CN27" i="15"/>
  <c r="CN4" i="15"/>
  <c r="CN36" i="15"/>
  <c r="CN40" i="15"/>
  <c r="CN18" i="15"/>
  <c r="CN48" i="15"/>
  <c r="CN14" i="15"/>
  <c r="CN49" i="15"/>
  <c r="CN12" i="15"/>
  <c r="CN53" i="15"/>
  <c r="CN43" i="15"/>
  <c r="CN28" i="15"/>
  <c r="CN41" i="15"/>
  <c r="CN26" i="15"/>
  <c r="CN23" i="15"/>
  <c r="CN39" i="15"/>
  <c r="CN32" i="15"/>
  <c r="BR3" i="15"/>
  <c r="BR33" i="15"/>
  <c r="BR50" i="15"/>
  <c r="BR30" i="15"/>
  <c r="BR37" i="15"/>
  <c r="BR10" i="15"/>
  <c r="BR38" i="15"/>
  <c r="BR25" i="15"/>
  <c r="BR5" i="15"/>
  <c r="BR45" i="15"/>
  <c r="BR11" i="15"/>
  <c r="BR21" i="15"/>
  <c r="BR2" i="15"/>
  <c r="BR7" i="15"/>
  <c r="BR31" i="15"/>
  <c r="BR19" i="15"/>
  <c r="BR51" i="15"/>
  <c r="BR29" i="15"/>
  <c r="BR6" i="15"/>
  <c r="BR52" i="15"/>
  <c r="BR22" i="15"/>
  <c r="BR15" i="15"/>
  <c r="BR44" i="15"/>
  <c r="BR17" i="15"/>
  <c r="BR47" i="15"/>
  <c r="BR16" i="15"/>
  <c r="BR46" i="15"/>
  <c r="BR20" i="15"/>
  <c r="BR35" i="15"/>
  <c r="BR8" i="15"/>
  <c r="BR13" i="15"/>
  <c r="BR24" i="15"/>
  <c r="BR34" i="15"/>
  <c r="BR42" i="15"/>
  <c r="BR9" i="15"/>
  <c r="BR27" i="15"/>
  <c r="BR4" i="15"/>
  <c r="BR36" i="15"/>
  <c r="BR40" i="15"/>
  <c r="BR18" i="15"/>
  <c r="BR48" i="15"/>
  <c r="BR14" i="15"/>
  <c r="BR49" i="15"/>
  <c r="BR12" i="15"/>
  <c r="BR53" i="15"/>
  <c r="BR43" i="15"/>
  <c r="BR28" i="15"/>
  <c r="BR41" i="15"/>
  <c r="BR26" i="15"/>
  <c r="BR23" i="15"/>
  <c r="BR39" i="15"/>
  <c r="BR32" i="15"/>
  <c r="AV26" i="15"/>
  <c r="AV33" i="15"/>
  <c r="AV50" i="15"/>
  <c r="AV30" i="15"/>
  <c r="AV37" i="15"/>
  <c r="AV10" i="15"/>
  <c r="E66" i="15" s="1" a="1"/>
  <c r="E66" i="15" s="1"/>
  <c r="F66" i="15" s="1" a="1"/>
  <c r="F66" i="15" s="1"/>
  <c r="AV38" i="15"/>
  <c r="AV25" i="15"/>
  <c r="AV5" i="15"/>
  <c r="AV45" i="15"/>
  <c r="AV11" i="15"/>
  <c r="AV21" i="15"/>
  <c r="AV2" i="15"/>
  <c r="AV7" i="15"/>
  <c r="AV31" i="15"/>
  <c r="AV19" i="15"/>
  <c r="AV51" i="15"/>
  <c r="AV29" i="15"/>
  <c r="AV6" i="15"/>
  <c r="AV52" i="15"/>
  <c r="AV22" i="15"/>
  <c r="AV3" i="15"/>
  <c r="AV15" i="15"/>
  <c r="AV44" i="15"/>
  <c r="AV17" i="15"/>
  <c r="AV47" i="15"/>
  <c r="AV16" i="15"/>
  <c r="AV46" i="15"/>
  <c r="AV20" i="15"/>
  <c r="AV35" i="15"/>
  <c r="AV8" i="15"/>
  <c r="AV13" i="15"/>
  <c r="AV24" i="15"/>
  <c r="AV34" i="15"/>
  <c r="AV42" i="15"/>
  <c r="AV9" i="15"/>
  <c r="AV27" i="15"/>
  <c r="AV4" i="15"/>
  <c r="AV36" i="15"/>
  <c r="AV40" i="15"/>
  <c r="AV18" i="15"/>
  <c r="AV48" i="15"/>
  <c r="AV14" i="15"/>
  <c r="AV49" i="15"/>
  <c r="AV12" i="15"/>
  <c r="AV53" i="15"/>
  <c r="AV43" i="15"/>
  <c r="AV28" i="15"/>
  <c r="AV41" i="15"/>
  <c r="AV23" i="15"/>
  <c r="AV39" i="15"/>
  <c r="AV32" i="15"/>
  <c r="Z50" i="15"/>
  <c r="Z45" i="15"/>
  <c r="Z51" i="15"/>
  <c r="Z52" i="15"/>
  <c r="Z44" i="15"/>
  <c r="Z47" i="15"/>
  <c r="Z46" i="15"/>
  <c r="Z42" i="15"/>
  <c r="Z40" i="15"/>
  <c r="Z48" i="15"/>
  <c r="Z49" i="15"/>
  <c r="Z53" i="15"/>
  <c r="Z43" i="15"/>
  <c r="Z41" i="15"/>
  <c r="Z39" i="15"/>
  <c r="DA2" i="15" l="1" a="1"/>
  <c r="DA2" i="15" s="1"/>
  <c r="C60" i="15" a="1"/>
  <c r="C60" i="15" s="1"/>
  <c r="DA9" i="15" a="1"/>
  <c r="DA9" i="15" s="1"/>
  <c r="DA3" i="15" a="1"/>
  <c r="DA3" i="15" s="1"/>
  <c r="E65" i="15" a="1"/>
  <c r="E65" i="15" s="1"/>
  <c r="F65" i="15" s="1" a="1"/>
  <c r="F65" i="15" s="1"/>
  <c r="DA10" i="15" a="1"/>
  <c r="DA10" i="15" s="1"/>
  <c r="E49" i="15"/>
  <c r="CT49" i="15" s="1"/>
  <c r="E37" i="15"/>
  <c r="CQ37" i="15" s="1"/>
  <c r="E25" i="15"/>
  <c r="CU25" i="15" s="1"/>
  <c r="CY8" i="15" a="1"/>
  <c r="CY8" i="15" s="1"/>
  <c r="CZ2" i="15" a="1"/>
  <c r="CZ2" i="15" s="1"/>
  <c r="CY2" i="15" a="1"/>
  <c r="CY2" i="15" s="1"/>
  <c r="CY9" i="15" a="1"/>
  <c r="CY9" i="15" s="1"/>
  <c r="CZ8" i="15" a="1"/>
  <c r="CZ8" i="15" s="1"/>
  <c r="CY3" i="15" a="1"/>
  <c r="CY3" i="15" s="1"/>
  <c r="CY10" i="15" a="1"/>
  <c r="CY10" i="15" s="1"/>
  <c r="CZ9" i="15" a="1"/>
  <c r="CZ9" i="15" s="1"/>
  <c r="CZ3" i="15" a="1"/>
  <c r="CZ3" i="15" s="1"/>
  <c r="CY4" i="15" a="1"/>
  <c r="CY4" i="15" s="1"/>
  <c r="CZ10" i="15" a="1"/>
  <c r="CZ10" i="15" s="1"/>
  <c r="CZ4" i="15" a="1"/>
  <c r="CZ4" i="15" s="1"/>
  <c r="DA4" i="15" a="1"/>
  <c r="DA4" i="15" s="1"/>
  <c r="DA8" i="15" a="1"/>
  <c r="DA8" i="15" s="1"/>
  <c r="AC5" i="11" a="1"/>
  <c r="AC5" i="11" s="1"/>
  <c r="AC6" i="11" a="1"/>
  <c r="AC6" i="11" s="1"/>
  <c r="AC13" i="11" a="1"/>
  <c r="AC13" i="11" s="1"/>
  <c r="AC12" i="11" a="1"/>
  <c r="AC12" i="11" s="1"/>
  <c r="AC7" i="11" a="1"/>
  <c r="AC7" i="11" s="1"/>
  <c r="AC6" i="10" a="1"/>
  <c r="AC6" i="10" s="1"/>
  <c r="AC12" i="10" a="1"/>
  <c r="AC12" i="10" s="1"/>
  <c r="AC5" i="10" a="1"/>
  <c r="AC5" i="10" s="1"/>
  <c r="AK9" i="2" a="1"/>
  <c r="AK9" i="2" s="1"/>
  <c r="AK2" i="2" a="1"/>
  <c r="AK2" i="2" s="1"/>
  <c r="AI2" i="2" a="1"/>
  <c r="AI2" i="2" s="1"/>
  <c r="AH2" i="2"/>
  <c r="AA10" i="2"/>
  <c r="AJ9" i="2"/>
  <c r="AL9" i="2" a="1"/>
  <c r="AL9" i="2" s="1"/>
  <c r="AL2" i="2" a="1"/>
  <c r="AL2" i="2" s="1"/>
  <c r="AJ2" i="2"/>
  <c r="E60" i="8" a="1"/>
  <c r="E60" i="8" s="1"/>
  <c r="F60" i="8" s="1" a="1"/>
  <c r="F60" i="8" s="1"/>
  <c r="AC11" i="10" a="1"/>
  <c r="AC11" i="10" s="1"/>
  <c r="E58" i="11" a="1"/>
  <c r="E58" i="11" s="1"/>
  <c r="F58" i="11" s="1" a="1"/>
  <c r="F58" i="11" s="1"/>
  <c r="AB7" i="11" a="1"/>
  <c r="AB7" i="11" s="1"/>
  <c r="AB11" i="11" a="1"/>
  <c r="AB11" i="11" s="1"/>
  <c r="AC11" i="11" a="1"/>
  <c r="AC11" i="11" s="1"/>
  <c r="AA7" i="11" a="1"/>
  <c r="AA7" i="11" s="1"/>
  <c r="AA12" i="11" a="1"/>
  <c r="AA12" i="11" s="1"/>
  <c r="AB12" i="11" a="1"/>
  <c r="AB12" i="11" s="1"/>
  <c r="AA5" i="11" a="1"/>
  <c r="AA5" i="11" s="1"/>
  <c r="AA13" i="11" a="1"/>
  <c r="AA13" i="11" s="1"/>
  <c r="V21" i="11" a="1"/>
  <c r="V21" i="11" s="1"/>
  <c r="AB5" i="11" a="1"/>
  <c r="AB5" i="11" s="1"/>
  <c r="AB13" i="11" a="1"/>
  <c r="AB13" i="11" s="1"/>
  <c r="C54" i="11" a="1"/>
  <c r="C54" i="11" s="1"/>
  <c r="AA11" i="11" a="1"/>
  <c r="AA11" i="11" s="1"/>
  <c r="AA6" i="11" a="1"/>
  <c r="AA6" i="11" s="1"/>
  <c r="AB6" i="11" a="1"/>
  <c r="AB6" i="11" s="1"/>
  <c r="E52" i="11" a="1"/>
  <c r="E52" i="11" s="1"/>
  <c r="F52" i="11" s="1" a="1"/>
  <c r="F52" i="11" s="1"/>
  <c r="E61" i="12" a="1"/>
  <c r="E61" i="12" s="1"/>
  <c r="F61" i="12" s="1" a="1"/>
  <c r="F61" i="12" s="1"/>
  <c r="AC6" i="12" a="1"/>
  <c r="AC6" i="12" s="1"/>
  <c r="AC5" i="12" a="1"/>
  <c r="AC5" i="12" s="1"/>
  <c r="V40" i="13" a="1"/>
  <c r="V40" i="13" s="1"/>
  <c r="AA24" i="6"/>
  <c r="AH2" i="6" s="1"/>
  <c r="AK9" i="6" a="1"/>
  <c r="AK9" i="6" s="1"/>
  <c r="AI2" i="6" a="1"/>
  <c r="AI2" i="6" s="1"/>
  <c r="AG9" i="6" a="1"/>
  <c r="AG9" i="6" s="1"/>
  <c r="AI9" i="6" a="1"/>
  <c r="AI9" i="6" s="1"/>
  <c r="AK2" i="6" a="1"/>
  <c r="AK2" i="6" s="1"/>
  <c r="AG2" i="6" a="1"/>
  <c r="AG2" i="6" s="1"/>
  <c r="AJ2" i="6"/>
  <c r="X64" i="15" a="1"/>
  <c r="X64" i="15" s="1"/>
  <c r="X65" i="15" a="1"/>
  <c r="X65" i="15" s="1"/>
  <c r="X66" i="15" a="1"/>
  <c r="X66" i="15" s="1"/>
  <c r="U30" i="14" a="1"/>
  <c r="U30" i="14" s="1"/>
  <c r="V30" i="14" a="1"/>
  <c r="V30" i="14" s="1"/>
  <c r="W30" i="14" a="1"/>
  <c r="W30" i="14" s="1"/>
  <c r="U19" i="14" a="1"/>
  <c r="U19" i="14" s="1"/>
  <c r="V19" i="14" a="1"/>
  <c r="V19" i="14" s="1"/>
  <c r="W19" i="14" a="1"/>
  <c r="W19" i="14" s="1"/>
  <c r="U3" i="14" a="1"/>
  <c r="U3" i="14" s="1"/>
  <c r="V3" i="14" a="1"/>
  <c r="V3" i="14" s="1"/>
  <c r="W3" i="14" a="1"/>
  <c r="W3" i="14" s="1"/>
  <c r="U33" i="14" a="1"/>
  <c r="U33" i="14" s="1"/>
  <c r="V33" i="14" a="1"/>
  <c r="V33" i="14" s="1"/>
  <c r="W33" i="14" a="1"/>
  <c r="W33" i="14" s="1"/>
  <c r="W4" i="14" a="1"/>
  <c r="W4" i="14" s="1"/>
  <c r="U4" i="14" a="1"/>
  <c r="U4" i="14" s="1"/>
  <c r="V4" i="14" a="1"/>
  <c r="V4" i="14" s="1"/>
  <c r="U18" i="14" a="1"/>
  <c r="U18" i="14" s="1"/>
  <c r="V18" i="14" a="1"/>
  <c r="V18" i="14" s="1"/>
  <c r="W18" i="14" a="1"/>
  <c r="W18" i="14" s="1"/>
  <c r="U26" i="14" a="1"/>
  <c r="U26" i="14" s="1"/>
  <c r="V26" i="14" a="1"/>
  <c r="V26" i="14" s="1"/>
  <c r="W26" i="14" a="1"/>
  <c r="W26" i="14" s="1"/>
  <c r="U7" i="14" a="1"/>
  <c r="U7" i="14" s="1"/>
  <c r="V7" i="14" a="1"/>
  <c r="V7" i="14" s="1"/>
  <c r="W7" i="14" a="1"/>
  <c r="W7" i="14" s="1"/>
  <c r="U21" i="14" a="1"/>
  <c r="U21" i="14" s="1"/>
  <c r="V21" i="14" a="1"/>
  <c r="V21" i="14" s="1"/>
  <c r="W21" i="14" a="1"/>
  <c r="W21" i="14" s="1"/>
  <c r="U25" i="14" a="1"/>
  <c r="U25" i="14" s="1"/>
  <c r="W25" i="14" a="1"/>
  <c r="W25" i="14" s="1"/>
  <c r="V25" i="14" a="1"/>
  <c r="V25" i="14" s="1"/>
  <c r="U14" i="14" a="1"/>
  <c r="U14" i="14" s="1"/>
  <c r="V14" i="14" a="1"/>
  <c r="V14" i="14" s="1"/>
  <c r="W14" i="14" a="1"/>
  <c r="W14" i="14" s="1"/>
  <c r="W16" i="14" a="1"/>
  <c r="W16" i="14" s="1"/>
  <c r="U16" i="14" a="1"/>
  <c r="U16" i="14" s="1"/>
  <c r="V16" i="14" a="1"/>
  <c r="V16" i="14" s="1"/>
  <c r="U17" i="14" a="1"/>
  <c r="U17" i="14" s="1"/>
  <c r="V17" i="14" a="1"/>
  <c r="V17" i="14" s="1"/>
  <c r="W17" i="14" a="1"/>
  <c r="W17" i="14" s="1"/>
  <c r="W12" i="14" a="1"/>
  <c r="W12" i="14" s="1"/>
  <c r="U12" i="14" a="1"/>
  <c r="U12" i="14" s="1"/>
  <c r="V12" i="14" a="1"/>
  <c r="V12" i="14" s="1"/>
  <c r="U8" i="14" a="1"/>
  <c r="U8" i="14" s="1"/>
  <c r="W8" i="14" a="1"/>
  <c r="W8" i="14" s="1"/>
  <c r="V8" i="14" a="1"/>
  <c r="V8" i="14" s="1"/>
  <c r="U2" i="14" a="1"/>
  <c r="U2" i="14" s="1"/>
  <c r="V2" i="14" a="1"/>
  <c r="V2" i="14" s="1"/>
  <c r="W2" i="14" a="1"/>
  <c r="W2" i="14" s="1"/>
  <c r="W20" i="14" a="1"/>
  <c r="W20" i="14" s="1"/>
  <c r="U20" i="14" a="1"/>
  <c r="U20" i="14" s="1"/>
  <c r="V20" i="14" a="1"/>
  <c r="V20" i="14" s="1"/>
  <c r="U11" i="14" a="1"/>
  <c r="U11" i="14" s="1"/>
  <c r="V11" i="14" a="1"/>
  <c r="V11" i="14" s="1"/>
  <c r="W11" i="14" a="1"/>
  <c r="W11" i="14" s="1"/>
  <c r="W24" i="14" a="1"/>
  <c r="W24" i="14" s="1"/>
  <c r="U24" i="14" a="1"/>
  <c r="U24" i="14" s="1"/>
  <c r="V24" i="14" a="1"/>
  <c r="V24" i="14" s="1"/>
  <c r="U13" i="14" a="1"/>
  <c r="U13" i="14" s="1"/>
  <c r="V13" i="14" a="1"/>
  <c r="V13" i="14" s="1"/>
  <c r="W13" i="14" a="1"/>
  <c r="W13" i="14" s="1"/>
  <c r="U22" i="14" a="1"/>
  <c r="U22" i="14" s="1"/>
  <c r="V22" i="14" a="1"/>
  <c r="V22" i="14" s="1"/>
  <c r="W22" i="14" a="1"/>
  <c r="W22" i="14" s="1"/>
  <c r="W29" i="14" a="1"/>
  <c r="W29" i="14" s="1"/>
  <c r="U29" i="14" a="1"/>
  <c r="U29" i="14" s="1"/>
  <c r="V29" i="14" a="1"/>
  <c r="V29" i="14" s="1"/>
  <c r="U15" i="14" a="1"/>
  <c r="U15" i="14" s="1"/>
  <c r="V15" i="14" a="1"/>
  <c r="V15" i="14" s="1"/>
  <c r="W15" i="14" a="1"/>
  <c r="W15" i="14" s="1"/>
  <c r="W32" i="14" a="1"/>
  <c r="W32" i="14" s="1"/>
  <c r="U32" i="14" a="1"/>
  <c r="U32" i="14" s="1"/>
  <c r="V32" i="14" a="1"/>
  <c r="V32" i="14" s="1"/>
  <c r="U6" i="14" a="1"/>
  <c r="U6" i="14" s="1"/>
  <c r="V6" i="14" a="1"/>
  <c r="V6" i="14" s="1"/>
  <c r="W6" i="14" a="1"/>
  <c r="W6" i="14" s="1"/>
  <c r="U31" i="14" a="1"/>
  <c r="U31" i="14" s="1"/>
  <c r="V31" i="14" a="1"/>
  <c r="V31" i="14" s="1"/>
  <c r="W31" i="14" a="1"/>
  <c r="W31" i="14" s="1"/>
  <c r="U37" i="14" a="1"/>
  <c r="U37" i="14" s="1"/>
  <c r="V37" i="14" a="1"/>
  <c r="V37" i="14" s="1"/>
  <c r="W37" i="14" a="1"/>
  <c r="W37" i="14" s="1"/>
  <c r="U23" i="14" a="1"/>
  <c r="U23" i="14" s="1"/>
  <c r="V23" i="14" a="1"/>
  <c r="V23" i="14" s="1"/>
  <c r="W23" i="14" a="1"/>
  <c r="W23" i="14" s="1"/>
  <c r="U36" i="14" a="1"/>
  <c r="U36" i="14" s="1"/>
  <c r="W36" i="14" a="1"/>
  <c r="W36" i="14" s="1"/>
  <c r="V36" i="14" a="1"/>
  <c r="V36" i="14" s="1"/>
  <c r="U27" i="14" a="1"/>
  <c r="U27" i="14" s="1"/>
  <c r="V27" i="14" a="1"/>
  <c r="V27" i="14" s="1"/>
  <c r="W27" i="14" a="1"/>
  <c r="W27" i="14" s="1"/>
  <c r="U35" i="14" a="1"/>
  <c r="U35" i="14" s="1"/>
  <c r="V35" i="14" a="1"/>
  <c r="V35" i="14" s="1"/>
  <c r="W35" i="14" a="1"/>
  <c r="W35" i="14" s="1"/>
  <c r="U38" i="14" a="1"/>
  <c r="U38" i="14" s="1"/>
  <c r="V38" i="14" a="1"/>
  <c r="V38" i="14" s="1"/>
  <c r="W38" i="14" a="1"/>
  <c r="W38" i="14" s="1"/>
  <c r="W28" i="14" a="1"/>
  <c r="W28" i="14" s="1"/>
  <c r="U28" i="14" a="1"/>
  <c r="U28" i="14" s="1"/>
  <c r="V28" i="14" a="1"/>
  <c r="V28" i="14" s="1"/>
  <c r="U10" i="14" a="1"/>
  <c r="U10" i="14" s="1"/>
  <c r="V10" i="14" a="1"/>
  <c r="V10" i="14" s="1"/>
  <c r="W10" i="14" a="1"/>
  <c r="W10" i="14" s="1"/>
  <c r="U34" i="14" a="1"/>
  <c r="U34" i="14" s="1"/>
  <c r="V34" i="14" a="1"/>
  <c r="V34" i="14" s="1"/>
  <c r="W34" i="14" a="1"/>
  <c r="W34" i="14" s="1"/>
  <c r="U9" i="14" a="1"/>
  <c r="U9" i="14" s="1"/>
  <c r="V9" i="14" a="1"/>
  <c r="V9" i="14" s="1"/>
  <c r="W9" i="14" a="1"/>
  <c r="W9" i="14" s="1"/>
  <c r="U5" i="14" a="1"/>
  <c r="U5" i="14" s="1"/>
  <c r="V5" i="14" a="1"/>
  <c r="V5" i="14" s="1"/>
  <c r="W5" i="14" a="1"/>
  <c r="W5" i="14" s="1"/>
  <c r="AB12" i="14" a="1"/>
  <c r="AB12" i="14" s="1"/>
  <c r="AB11" i="14" a="1"/>
  <c r="AB11" i="14" s="1"/>
  <c r="AA12" i="14" a="1"/>
  <c r="AA12" i="14" s="1"/>
  <c r="AA5" i="14" a="1"/>
  <c r="AA5" i="14" s="1"/>
  <c r="AA13" i="14" a="1"/>
  <c r="AA13" i="14" s="1"/>
  <c r="AB5" i="14" a="1"/>
  <c r="AB5" i="14" s="1"/>
  <c r="AB13" i="14" a="1"/>
  <c r="AB13" i="14" s="1"/>
  <c r="AA6" i="14" a="1"/>
  <c r="AA6" i="14" s="1"/>
  <c r="AB6" i="14" a="1"/>
  <c r="AB6" i="14" s="1"/>
  <c r="AA7" i="14" a="1"/>
  <c r="AA7" i="14" s="1"/>
  <c r="AA11" i="14" a="1"/>
  <c r="AA11" i="14" s="1"/>
  <c r="AB7" i="14" a="1"/>
  <c r="AB7" i="14" s="1"/>
  <c r="E47" i="14" a="1"/>
  <c r="E47" i="14" s="1"/>
  <c r="F47" i="14" s="1" a="1"/>
  <c r="F47" i="14" s="1"/>
  <c r="E53" i="14" a="1"/>
  <c r="E53" i="14" s="1"/>
  <c r="F53" i="14" s="1" a="1"/>
  <c r="F53" i="14" s="1"/>
  <c r="C47" i="14" a="1"/>
  <c r="C47" i="14" s="1"/>
  <c r="D47" i="14" a="1"/>
  <c r="D47" i="14" s="1"/>
  <c r="D51" i="14" a="1"/>
  <c r="D51" i="14" s="1"/>
  <c r="C51" i="14" a="1"/>
  <c r="C51" i="14" s="1"/>
  <c r="E51" i="14" a="1"/>
  <c r="E51" i="14" s="1"/>
  <c r="F51" i="14" s="1" a="1"/>
  <c r="F51" i="14" s="1"/>
  <c r="C45" i="14" a="1"/>
  <c r="C45" i="14" s="1"/>
  <c r="C52" i="14" a="1"/>
  <c r="C52" i="14" s="1"/>
  <c r="D45" i="14" a="1"/>
  <c r="D45" i="14" s="1"/>
  <c r="D52" i="14" a="1"/>
  <c r="D52" i="14" s="1"/>
  <c r="C46" i="14" a="1"/>
  <c r="C46" i="14" s="1"/>
  <c r="C53" i="14" a="1"/>
  <c r="C53" i="14" s="1"/>
  <c r="D46" i="14" a="1"/>
  <c r="D46" i="14" s="1"/>
  <c r="D53" i="14" a="1"/>
  <c r="D53" i="14" s="1"/>
  <c r="V23" i="13" a="1"/>
  <c r="V23" i="13" s="1"/>
  <c r="V16" i="13" a="1"/>
  <c r="V16" i="13" s="1"/>
  <c r="U42" i="13" a="1"/>
  <c r="U42" i="13" s="1"/>
  <c r="V32" i="13" a="1"/>
  <c r="V32" i="13" s="1"/>
  <c r="U16" i="13" a="1"/>
  <c r="U16" i="13" s="1"/>
  <c r="V7" i="13" a="1"/>
  <c r="V7" i="13" s="1"/>
  <c r="U32" i="13" a="1"/>
  <c r="U32" i="13" s="1"/>
  <c r="V44" i="13" a="1"/>
  <c r="V44" i="13" s="1"/>
  <c r="AC12" i="13" a="1"/>
  <c r="AC12" i="13" s="1"/>
  <c r="V35" i="13" a="1"/>
  <c r="V35" i="13" s="1"/>
  <c r="V12" i="13" a="1"/>
  <c r="V12" i="13" s="1"/>
  <c r="U44" i="13" a="1"/>
  <c r="U44" i="13" s="1"/>
  <c r="U38" i="13" a="1"/>
  <c r="U38" i="13" s="1"/>
  <c r="U22" i="13" a="1"/>
  <c r="U22" i="13" s="1"/>
  <c r="U12" i="13" a="1"/>
  <c r="U12" i="13" s="1"/>
  <c r="V3" i="13" a="1"/>
  <c r="V3" i="13" s="1"/>
  <c r="U18" i="13" a="1"/>
  <c r="U18" i="13" s="1"/>
  <c r="U6" i="13" a="1"/>
  <c r="U6" i="13" s="1"/>
  <c r="E52" i="13" a="1"/>
  <c r="E52" i="13" s="1"/>
  <c r="F52" i="13" s="1" a="1"/>
  <c r="F52" i="13" s="1"/>
  <c r="V24" i="13" a="1"/>
  <c r="V24" i="13" s="1"/>
  <c r="AC11" i="13" a="1"/>
  <c r="AC11" i="13" s="1"/>
  <c r="V31" i="13" a="1"/>
  <c r="V31" i="13" s="1"/>
  <c r="U24" i="13" a="1"/>
  <c r="U24" i="13" s="1"/>
  <c r="V8" i="13" a="1"/>
  <c r="V8" i="13" s="1"/>
  <c r="U14" i="13" a="1"/>
  <c r="U14" i="13" s="1"/>
  <c r="U8" i="13" a="1"/>
  <c r="U8" i="13" s="1"/>
  <c r="U2" i="13" a="1"/>
  <c r="U2" i="13" s="1"/>
  <c r="V43" i="13" a="1"/>
  <c r="V43" i="13" s="1"/>
  <c r="U40" i="13" a="1"/>
  <c r="U40" i="13" s="1"/>
  <c r="V11" i="13" a="1"/>
  <c r="V11" i="13" s="1"/>
  <c r="U30" i="13" a="1"/>
  <c r="U30" i="13" s="1"/>
  <c r="AC5" i="13" a="1"/>
  <c r="AC5" i="13" s="1"/>
  <c r="U34" i="13" a="1"/>
  <c r="U34" i="13" s="1"/>
  <c r="V36" i="13" a="1"/>
  <c r="V36" i="13" s="1"/>
  <c r="V28" i="13" a="1"/>
  <c r="V28" i="13" s="1"/>
  <c r="V20" i="13" a="1"/>
  <c r="V20" i="13" s="1"/>
  <c r="V4" i="13" a="1"/>
  <c r="V4" i="13" s="1"/>
  <c r="W41" i="13" a="1"/>
  <c r="W41" i="13" s="1"/>
  <c r="W37" i="13" a="1"/>
  <c r="W37" i="13" s="1"/>
  <c r="W33" i="13" a="1"/>
  <c r="W33" i="13" s="1"/>
  <c r="W29" i="13" a="1"/>
  <c r="W29" i="13" s="1"/>
  <c r="W25" i="13" a="1"/>
  <c r="W25" i="13" s="1"/>
  <c r="W21" i="13" a="1"/>
  <c r="W21" i="13" s="1"/>
  <c r="W17" i="13" a="1"/>
  <c r="W17" i="13" s="1"/>
  <c r="W13" i="13" a="1"/>
  <c r="W13" i="13" s="1"/>
  <c r="W9" i="13" a="1"/>
  <c r="W9" i="13" s="1"/>
  <c r="W5" i="13" a="1"/>
  <c r="W5" i="13" s="1"/>
  <c r="U36" i="13" a="1"/>
  <c r="U36" i="13" s="1"/>
  <c r="V41" i="13" a="1"/>
  <c r="V41" i="13" s="1"/>
  <c r="V37" i="13" a="1"/>
  <c r="V37" i="13" s="1"/>
  <c r="V33" i="13" a="1"/>
  <c r="V33" i="13" s="1"/>
  <c r="V29" i="13" a="1"/>
  <c r="V29" i="13" s="1"/>
  <c r="V25" i="13" a="1"/>
  <c r="V25" i="13" s="1"/>
  <c r="V21" i="13" a="1"/>
  <c r="V21" i="13" s="1"/>
  <c r="V17" i="13" a="1"/>
  <c r="V17" i="13" s="1"/>
  <c r="V13" i="13" a="1"/>
  <c r="V13" i="13" s="1"/>
  <c r="V9" i="13" a="1"/>
  <c r="V9" i="13" s="1"/>
  <c r="V5" i="13" a="1"/>
  <c r="V5" i="13" s="1"/>
  <c r="W42" i="13" a="1"/>
  <c r="W42" i="13" s="1"/>
  <c r="W38" i="13" a="1"/>
  <c r="W38" i="13" s="1"/>
  <c r="W34" i="13" a="1"/>
  <c r="W34" i="13" s="1"/>
  <c r="W30" i="13" a="1"/>
  <c r="W30" i="13" s="1"/>
  <c r="W26" i="13" a="1"/>
  <c r="W26" i="13" s="1"/>
  <c r="W22" i="13" a="1"/>
  <c r="W22" i="13" s="1"/>
  <c r="W18" i="13" a="1"/>
  <c r="W18" i="13" s="1"/>
  <c r="W14" i="13" a="1"/>
  <c r="W14" i="13" s="1"/>
  <c r="W10" i="13" a="1"/>
  <c r="W10" i="13" s="1"/>
  <c r="W6" i="13" a="1"/>
  <c r="W6" i="13" s="1"/>
  <c r="W2" i="13" a="1"/>
  <c r="W2" i="13" s="1"/>
  <c r="U28" i="13" a="1"/>
  <c r="U28" i="13" s="1"/>
  <c r="U26" i="13" a="1"/>
  <c r="U26" i="13" s="1"/>
  <c r="U20" i="13" a="1"/>
  <c r="U20" i="13" s="1"/>
  <c r="U4" i="13" a="1"/>
  <c r="U4" i="13" s="1"/>
  <c r="V10" i="13" a="1"/>
  <c r="V10" i="13" s="1"/>
  <c r="W43" i="13" a="1"/>
  <c r="W43" i="13" s="1"/>
  <c r="W39" i="13" a="1"/>
  <c r="W39" i="13" s="1"/>
  <c r="W35" i="13" a="1"/>
  <c r="W35" i="13" s="1"/>
  <c r="W31" i="13" a="1"/>
  <c r="W31" i="13" s="1"/>
  <c r="W27" i="13" a="1"/>
  <c r="W27" i="13" s="1"/>
  <c r="W23" i="13" a="1"/>
  <c r="W23" i="13" s="1"/>
  <c r="W19" i="13" a="1"/>
  <c r="W19" i="13" s="1"/>
  <c r="W15" i="13" a="1"/>
  <c r="W15" i="13" s="1"/>
  <c r="W11" i="13" a="1"/>
  <c r="W11" i="13" s="1"/>
  <c r="W7" i="13" a="1"/>
  <c r="W7" i="13" s="1"/>
  <c r="W3" i="13" a="1"/>
  <c r="W3" i="13" s="1"/>
  <c r="V27" i="13" a="1"/>
  <c r="V27" i="13" s="1"/>
  <c r="V15" i="13" a="1"/>
  <c r="V15" i="13" s="1"/>
  <c r="V39" i="13" a="1"/>
  <c r="V39" i="13" s="1"/>
  <c r="V19" i="13" a="1"/>
  <c r="V19" i="13" s="1"/>
  <c r="E51" i="13" a="1"/>
  <c r="E51" i="13" s="1"/>
  <c r="F51" i="13" s="1" a="1"/>
  <c r="F51" i="13" s="1"/>
  <c r="E53" i="13" a="1"/>
  <c r="E53" i="13" s="1"/>
  <c r="F53" i="13" s="1" a="1"/>
  <c r="F53" i="13" s="1"/>
  <c r="E59" i="13" a="1"/>
  <c r="E59" i="13" s="1"/>
  <c r="F59" i="13" s="1" a="1"/>
  <c r="F59" i="13" s="1"/>
  <c r="AA6" i="13" a="1"/>
  <c r="AA6" i="13" s="1"/>
  <c r="E57" i="13" a="1"/>
  <c r="E57" i="13" s="1"/>
  <c r="F57" i="13" s="1" a="1"/>
  <c r="F57" i="13" s="1"/>
  <c r="AC13" i="13" a="1"/>
  <c r="AC13" i="13" s="1"/>
  <c r="AC7" i="13" a="1"/>
  <c r="AC7" i="13" s="1"/>
  <c r="D51" i="13" a="1"/>
  <c r="D51" i="13" s="1"/>
  <c r="D58" i="13" a="1"/>
  <c r="D58" i="13" s="1"/>
  <c r="AC6" i="13" a="1"/>
  <c r="AC6" i="13" s="1"/>
  <c r="C51" i="13" a="1"/>
  <c r="C51" i="13" s="1"/>
  <c r="E58" i="13" a="1"/>
  <c r="E58" i="13" s="1"/>
  <c r="F58" i="13" s="1" a="1"/>
  <c r="F58" i="13" s="1"/>
  <c r="AA7" i="13" a="1"/>
  <c r="AA7" i="13" s="1"/>
  <c r="AA11" i="13" a="1"/>
  <c r="AA11" i="13" s="1"/>
  <c r="C52" i="13" a="1"/>
  <c r="C52" i="13" s="1"/>
  <c r="C59" i="13" a="1"/>
  <c r="C59" i="13" s="1"/>
  <c r="AB7" i="13" a="1"/>
  <c r="AB7" i="13" s="1"/>
  <c r="AB11" i="13" a="1"/>
  <c r="AB11" i="13" s="1"/>
  <c r="D52" i="13" a="1"/>
  <c r="D52" i="13" s="1"/>
  <c r="D59" i="13" a="1"/>
  <c r="D59" i="13" s="1"/>
  <c r="AA12" i="13" a="1"/>
  <c r="AA12" i="13" s="1"/>
  <c r="C53" i="13" a="1"/>
  <c r="C53" i="13" s="1"/>
  <c r="AB12" i="13" a="1"/>
  <c r="AB12" i="13" s="1"/>
  <c r="D53" i="13" a="1"/>
  <c r="D53" i="13" s="1"/>
  <c r="C58" i="13" a="1"/>
  <c r="C58" i="13" s="1"/>
  <c r="AA5" i="13" a="1"/>
  <c r="AA5" i="13" s="1"/>
  <c r="AA13" i="13" a="1"/>
  <c r="AA13" i="13" s="1"/>
  <c r="AB6" i="13" a="1"/>
  <c r="AB6" i="13" s="1"/>
  <c r="C57" i="13" a="1"/>
  <c r="C57" i="13" s="1"/>
  <c r="AB5" i="13" a="1"/>
  <c r="AB5" i="13" s="1"/>
  <c r="AB13" i="13" a="1"/>
  <c r="AB13" i="13" s="1"/>
  <c r="D57" i="13" a="1"/>
  <c r="D57" i="13" s="1"/>
  <c r="AC12" i="12" a="1"/>
  <c r="AC12" i="12" s="1"/>
  <c r="E62" i="12" a="1"/>
  <c r="E62" i="12" s="1"/>
  <c r="F62" i="12" s="1" a="1"/>
  <c r="F62" i="12" s="1"/>
  <c r="AC13" i="12" a="1"/>
  <c r="AC13" i="12" s="1"/>
  <c r="E56" i="12" a="1"/>
  <c r="E56" i="12" s="1"/>
  <c r="F56" i="12" s="1" a="1"/>
  <c r="F56" i="12" s="1"/>
  <c r="AC7" i="12" a="1"/>
  <c r="AC7" i="12" s="1"/>
  <c r="AC11" i="12" a="1"/>
  <c r="AC11" i="12" s="1"/>
  <c r="V44" i="12" a="1"/>
  <c r="V44" i="12" s="1"/>
  <c r="V40" i="12" a="1"/>
  <c r="V40" i="12" s="1"/>
  <c r="V36" i="12" a="1"/>
  <c r="V36" i="12" s="1"/>
  <c r="V32" i="12" a="1"/>
  <c r="V32" i="12" s="1"/>
  <c r="V28" i="12" a="1"/>
  <c r="V28" i="12" s="1"/>
  <c r="V24" i="12" a="1"/>
  <c r="V24" i="12" s="1"/>
  <c r="V20" i="12" a="1"/>
  <c r="V20" i="12" s="1"/>
  <c r="V16" i="12" a="1"/>
  <c r="V16" i="12" s="1"/>
  <c r="V12" i="12" a="1"/>
  <c r="V12" i="12" s="1"/>
  <c r="V8" i="12" a="1"/>
  <c r="V8" i="12" s="1"/>
  <c r="V4" i="12" a="1"/>
  <c r="V4" i="12" s="1"/>
  <c r="W45" i="12" a="1"/>
  <c r="W45" i="12" s="1"/>
  <c r="W41" i="12" a="1"/>
  <c r="W41" i="12" s="1"/>
  <c r="W37" i="12" a="1"/>
  <c r="W37" i="12" s="1"/>
  <c r="W33" i="12" a="1"/>
  <c r="W33" i="12" s="1"/>
  <c r="W29" i="12" a="1"/>
  <c r="W29" i="12" s="1"/>
  <c r="W25" i="12" a="1"/>
  <c r="W25" i="12" s="1"/>
  <c r="W21" i="12" a="1"/>
  <c r="W21" i="12" s="1"/>
  <c r="W17" i="12" a="1"/>
  <c r="W17" i="12" s="1"/>
  <c r="W13" i="12" a="1"/>
  <c r="W13" i="12" s="1"/>
  <c r="W9" i="12" a="1"/>
  <c r="W9" i="12" s="1"/>
  <c r="W5" i="12" a="1"/>
  <c r="W5" i="12" s="1"/>
  <c r="C61" i="12" a="1"/>
  <c r="C61" i="12" s="1"/>
  <c r="U44" i="12" a="1"/>
  <c r="U44" i="12" s="1"/>
  <c r="U40" i="12" a="1"/>
  <c r="U40" i="12" s="1"/>
  <c r="U36" i="12" a="1"/>
  <c r="U36" i="12" s="1"/>
  <c r="U32" i="12" a="1"/>
  <c r="U32" i="12" s="1"/>
  <c r="U28" i="12" a="1"/>
  <c r="U28" i="12" s="1"/>
  <c r="U24" i="12" a="1"/>
  <c r="U24" i="12" s="1"/>
  <c r="U20" i="12" a="1"/>
  <c r="U20" i="12" s="1"/>
  <c r="U16" i="12" a="1"/>
  <c r="U16" i="12" s="1"/>
  <c r="U12" i="12" a="1"/>
  <c r="U12" i="12" s="1"/>
  <c r="U8" i="12" a="1"/>
  <c r="U8" i="12" s="1"/>
  <c r="U4" i="12" a="1"/>
  <c r="U4" i="12" s="1"/>
  <c r="V45" i="12" a="1"/>
  <c r="V45" i="12" s="1"/>
  <c r="V41" i="12" a="1"/>
  <c r="V41" i="12" s="1"/>
  <c r="V37" i="12" a="1"/>
  <c r="V37" i="12" s="1"/>
  <c r="V33" i="12" a="1"/>
  <c r="V33" i="12" s="1"/>
  <c r="V29" i="12" a="1"/>
  <c r="V29" i="12" s="1"/>
  <c r="V25" i="12" a="1"/>
  <c r="V25" i="12" s="1"/>
  <c r="V21" i="12" a="1"/>
  <c r="V21" i="12" s="1"/>
  <c r="V17" i="12" a="1"/>
  <c r="V17" i="12" s="1"/>
  <c r="V13" i="12" a="1"/>
  <c r="V13" i="12" s="1"/>
  <c r="V9" i="12" a="1"/>
  <c r="V9" i="12" s="1"/>
  <c r="V5" i="12" a="1"/>
  <c r="V5" i="12" s="1"/>
  <c r="W46" i="12" a="1"/>
  <c r="W46" i="12" s="1"/>
  <c r="W42" i="12" a="1"/>
  <c r="W42" i="12" s="1"/>
  <c r="W38" i="12" a="1"/>
  <c r="W38" i="12" s="1"/>
  <c r="W34" i="12" a="1"/>
  <c r="W34" i="12" s="1"/>
  <c r="W30" i="12" a="1"/>
  <c r="W30" i="12" s="1"/>
  <c r="W26" i="12" a="1"/>
  <c r="W26" i="12" s="1"/>
  <c r="W22" i="12" a="1"/>
  <c r="W22" i="12" s="1"/>
  <c r="W18" i="12" a="1"/>
  <c r="W18" i="12" s="1"/>
  <c r="W14" i="12" a="1"/>
  <c r="W14" i="12" s="1"/>
  <c r="W10" i="12" a="1"/>
  <c r="W10" i="12" s="1"/>
  <c r="W6" i="12" a="1"/>
  <c r="W6" i="12" s="1"/>
  <c r="W2" i="12" a="1"/>
  <c r="W2" i="12" s="1"/>
  <c r="V46" i="12" a="1"/>
  <c r="V46" i="12" s="1"/>
  <c r="V42" i="12" a="1"/>
  <c r="V42" i="12" s="1"/>
  <c r="V38" i="12" a="1"/>
  <c r="V38" i="12" s="1"/>
  <c r="V34" i="12" a="1"/>
  <c r="V34" i="12" s="1"/>
  <c r="V30" i="12" a="1"/>
  <c r="V30" i="12" s="1"/>
  <c r="V26" i="12" a="1"/>
  <c r="V26" i="12" s="1"/>
  <c r="V22" i="12" a="1"/>
  <c r="V22" i="12" s="1"/>
  <c r="V18" i="12" a="1"/>
  <c r="V18" i="12" s="1"/>
  <c r="V14" i="12" a="1"/>
  <c r="V14" i="12" s="1"/>
  <c r="V10" i="12" a="1"/>
  <c r="V10" i="12" s="1"/>
  <c r="V6" i="12" a="1"/>
  <c r="V6" i="12" s="1"/>
  <c r="V2" i="12" a="1"/>
  <c r="V2" i="12" s="1"/>
  <c r="W47" i="12" a="1"/>
  <c r="W47" i="12" s="1"/>
  <c r="W43" i="12" a="1"/>
  <c r="W43" i="12" s="1"/>
  <c r="W39" i="12" a="1"/>
  <c r="W39" i="12" s="1"/>
  <c r="W35" i="12" a="1"/>
  <c r="W35" i="12" s="1"/>
  <c r="W31" i="12" a="1"/>
  <c r="W31" i="12" s="1"/>
  <c r="W27" i="12" a="1"/>
  <c r="W27" i="12" s="1"/>
  <c r="W23" i="12" a="1"/>
  <c r="W23" i="12" s="1"/>
  <c r="W19" i="12" a="1"/>
  <c r="W19" i="12" s="1"/>
  <c r="W15" i="12" a="1"/>
  <c r="W15" i="12" s="1"/>
  <c r="W11" i="12" a="1"/>
  <c r="W11" i="12" s="1"/>
  <c r="W7" i="12" a="1"/>
  <c r="W7" i="12" s="1"/>
  <c r="W3" i="12" a="1"/>
  <c r="W3" i="12" s="1"/>
  <c r="AB11" i="12" a="1"/>
  <c r="AB11" i="12" s="1"/>
  <c r="V47" i="12" a="1"/>
  <c r="V47" i="12" s="1"/>
  <c r="V43" i="12" a="1"/>
  <c r="V43" i="12" s="1"/>
  <c r="V39" i="12" a="1"/>
  <c r="V39" i="12" s="1"/>
  <c r="V35" i="12" a="1"/>
  <c r="V35" i="12" s="1"/>
  <c r="V31" i="12" a="1"/>
  <c r="V31" i="12" s="1"/>
  <c r="V27" i="12" a="1"/>
  <c r="V27" i="12" s="1"/>
  <c r="V23" i="12" a="1"/>
  <c r="V23" i="12" s="1"/>
  <c r="V19" i="12" a="1"/>
  <c r="V19" i="12" s="1"/>
  <c r="V15" i="12" a="1"/>
  <c r="V15" i="12" s="1"/>
  <c r="V11" i="12" a="1"/>
  <c r="V11" i="12" s="1"/>
  <c r="V7" i="12" a="1"/>
  <c r="V7" i="12" s="1"/>
  <c r="V3" i="12" a="1"/>
  <c r="V3" i="12" s="1"/>
  <c r="U7" i="12" a="1"/>
  <c r="U7" i="12" s="1"/>
  <c r="AA12" i="12" a="1"/>
  <c r="AA12" i="12" s="1"/>
  <c r="C54" i="12" a="1"/>
  <c r="C54" i="12" s="1"/>
  <c r="D61" i="12" a="1"/>
  <c r="D61" i="12" s="1"/>
  <c r="AB12" i="12" a="1"/>
  <c r="AB12" i="12" s="1"/>
  <c r="D54" i="12" a="1"/>
  <c r="D54" i="12" s="1"/>
  <c r="E54" i="12" a="1"/>
  <c r="E54" i="12" s="1"/>
  <c r="F54" i="12" s="1" a="1"/>
  <c r="F54" i="12" s="1"/>
  <c r="C62" i="12" a="1"/>
  <c r="C62" i="12" s="1"/>
  <c r="AA5" i="12" a="1"/>
  <c r="AA5" i="12" s="1"/>
  <c r="AA13" i="12" a="1"/>
  <c r="AA13" i="12" s="1"/>
  <c r="C55" i="12" a="1"/>
  <c r="C55" i="12" s="1"/>
  <c r="D62" i="12" a="1"/>
  <c r="D62" i="12" s="1"/>
  <c r="AB5" i="12" a="1"/>
  <c r="AB5" i="12" s="1"/>
  <c r="AB13" i="12" a="1"/>
  <c r="AB13" i="12" s="1"/>
  <c r="D55" i="12" a="1"/>
  <c r="D55" i="12" s="1"/>
  <c r="C60" i="12" a="1"/>
  <c r="C60" i="12" s="1"/>
  <c r="AA6" i="12" a="1"/>
  <c r="AA6" i="12" s="1"/>
  <c r="C56" i="12" a="1"/>
  <c r="C56" i="12" s="1"/>
  <c r="AB6" i="12" a="1"/>
  <c r="AB6" i="12" s="1"/>
  <c r="D56" i="12" a="1"/>
  <c r="D56" i="12" s="1"/>
  <c r="AA7" i="12" a="1"/>
  <c r="AA7" i="12" s="1"/>
  <c r="AA11" i="12" a="1"/>
  <c r="AA11" i="12" s="1"/>
  <c r="D60" i="12" a="1"/>
  <c r="D60" i="12" s="1"/>
  <c r="AB7" i="12" a="1"/>
  <c r="AB7" i="12" s="1"/>
  <c r="E60" i="12" a="1"/>
  <c r="E60" i="12" s="1"/>
  <c r="F60" i="12" s="1" a="1"/>
  <c r="F60" i="12" s="1"/>
  <c r="W18" i="11" a="1"/>
  <c r="W18" i="11" s="1"/>
  <c r="W4" i="11" a="1"/>
  <c r="W4" i="11" s="1"/>
  <c r="E59" i="11" a="1"/>
  <c r="E59" i="11" s="1"/>
  <c r="F59" i="11" s="1" a="1"/>
  <c r="F59" i="11" s="1"/>
  <c r="W36" i="11" a="1"/>
  <c r="W36" i="11" s="1"/>
  <c r="V7" i="11" a="1"/>
  <c r="V7" i="11" s="1"/>
  <c r="V4" i="11" a="1"/>
  <c r="V4" i="11" s="1"/>
  <c r="V45" i="11" a="1"/>
  <c r="V45" i="11" s="1"/>
  <c r="V36" i="11" a="1"/>
  <c r="V36" i="11" s="1"/>
  <c r="V27" i="11" a="1"/>
  <c r="V27" i="11" s="1"/>
  <c r="E53" i="11" a="1"/>
  <c r="E53" i="11" s="1"/>
  <c r="F53" i="11" s="1" a="1"/>
  <c r="F53" i="11" s="1"/>
  <c r="W30" i="11" a="1"/>
  <c r="W30" i="11" s="1"/>
  <c r="W20" i="11" a="1"/>
  <c r="W20" i="11" s="1"/>
  <c r="W14" i="11" a="1"/>
  <c r="W14" i="11" s="1"/>
  <c r="V20" i="11" a="1"/>
  <c r="V20" i="11" s="1"/>
  <c r="W38" i="11" a="1"/>
  <c r="W38" i="11" s="1"/>
  <c r="W32" i="11" a="1"/>
  <c r="W32" i="11" s="1"/>
  <c r="W6" i="11" a="1"/>
  <c r="W6" i="11" s="1"/>
  <c r="W44" i="11" a="1"/>
  <c r="W44" i="11" s="1"/>
  <c r="V32" i="11" a="1"/>
  <c r="V32" i="11" s="1"/>
  <c r="V29" i="11" a="1"/>
  <c r="V29" i="11" s="1"/>
  <c r="W22" i="11" a="1"/>
  <c r="W22" i="11" s="1"/>
  <c r="W16" i="11" a="1"/>
  <c r="W16" i="11" s="1"/>
  <c r="W40" i="11" a="1"/>
  <c r="W40" i="11" s="1"/>
  <c r="V19" i="11" a="1"/>
  <c r="V19" i="11" s="1"/>
  <c r="V16" i="11" a="1"/>
  <c r="V16" i="11" s="1"/>
  <c r="V40" i="11" a="1"/>
  <c r="V40" i="11" s="1"/>
  <c r="V37" i="11" a="1"/>
  <c r="V37" i="11" s="1"/>
  <c r="V43" i="11" a="1"/>
  <c r="V43" i="11" s="1"/>
  <c r="W34" i="11" a="1"/>
  <c r="W34" i="11" s="1"/>
  <c r="V31" i="11" a="1"/>
  <c r="V31" i="11" s="1"/>
  <c r="V44" i="11" a="1"/>
  <c r="V44" i="11" s="1"/>
  <c r="V28" i="11" a="1"/>
  <c r="V28" i="11" s="1"/>
  <c r="W45" i="11" a="1"/>
  <c r="W45" i="11" s="1"/>
  <c r="W41" i="11" a="1"/>
  <c r="W41" i="11" s="1"/>
  <c r="W37" i="11" a="1"/>
  <c r="W37" i="11" s="1"/>
  <c r="W33" i="11" a="1"/>
  <c r="W33" i="11" s="1"/>
  <c r="W29" i="11" a="1"/>
  <c r="W29" i="11" s="1"/>
  <c r="W25" i="11" a="1"/>
  <c r="W25" i="11" s="1"/>
  <c r="W21" i="11" a="1"/>
  <c r="W21" i="11" s="1"/>
  <c r="W17" i="11" a="1"/>
  <c r="W17" i="11" s="1"/>
  <c r="W13" i="11" a="1"/>
  <c r="W13" i="11" s="1"/>
  <c r="W9" i="11" a="1"/>
  <c r="W9" i="11" s="1"/>
  <c r="W5" i="11" a="1"/>
  <c r="W5" i="11" s="1"/>
  <c r="V24" i="11" a="1"/>
  <c r="V24" i="11" s="1"/>
  <c r="V12" i="11" a="1"/>
  <c r="V12" i="11" s="1"/>
  <c r="V8" i="11" a="1"/>
  <c r="V8" i="11" s="1"/>
  <c r="U28" i="11" a="1"/>
  <c r="U28" i="11" s="1"/>
  <c r="U24" i="11" a="1"/>
  <c r="U24" i="11" s="1"/>
  <c r="U12" i="11" a="1"/>
  <c r="U12" i="11" s="1"/>
  <c r="U8" i="11" a="1"/>
  <c r="U8" i="11" s="1"/>
  <c r="V41" i="11" a="1"/>
  <c r="V41" i="11" s="1"/>
  <c r="V33" i="11" a="1"/>
  <c r="V33" i="11" s="1"/>
  <c r="V25" i="11" a="1"/>
  <c r="V25" i="11" s="1"/>
  <c r="V17" i="11" a="1"/>
  <c r="V17" i="11" s="1"/>
  <c r="V13" i="11" a="1"/>
  <c r="V13" i="11" s="1"/>
  <c r="V9" i="11" a="1"/>
  <c r="V9" i="11" s="1"/>
  <c r="V5" i="11" a="1"/>
  <c r="V5" i="11" s="1"/>
  <c r="W10" i="11" a="1"/>
  <c r="W10" i="11" s="1"/>
  <c r="W2" i="11" a="1"/>
  <c r="W2" i="11" s="1"/>
  <c r="V42" i="11" a="1"/>
  <c r="V42" i="11" s="1"/>
  <c r="V38" i="11" a="1"/>
  <c r="V38" i="11" s="1"/>
  <c r="V34" i="11" a="1"/>
  <c r="V34" i="11" s="1"/>
  <c r="V30" i="11" a="1"/>
  <c r="V30" i="11" s="1"/>
  <c r="V26" i="11" a="1"/>
  <c r="V26" i="11" s="1"/>
  <c r="V22" i="11" a="1"/>
  <c r="V22" i="11" s="1"/>
  <c r="V18" i="11" a="1"/>
  <c r="V18" i="11" s="1"/>
  <c r="V14" i="11" a="1"/>
  <c r="V14" i="11" s="1"/>
  <c r="V10" i="11" a="1"/>
  <c r="V10" i="11" s="1"/>
  <c r="V6" i="11" a="1"/>
  <c r="V6" i="11" s="1"/>
  <c r="V2" i="11" a="1"/>
  <c r="V2" i="11" s="1"/>
  <c r="W42" i="11" a="1"/>
  <c r="W42" i="11" s="1"/>
  <c r="W26" i="11" a="1"/>
  <c r="W26" i="11" s="1"/>
  <c r="W43" i="11" a="1"/>
  <c r="W43" i="11" s="1"/>
  <c r="W39" i="11" a="1"/>
  <c r="W39" i="11" s="1"/>
  <c r="W35" i="11" a="1"/>
  <c r="W35" i="11" s="1"/>
  <c r="W31" i="11" a="1"/>
  <c r="W31" i="11" s="1"/>
  <c r="W27" i="11" a="1"/>
  <c r="W27" i="11" s="1"/>
  <c r="W23" i="11" a="1"/>
  <c r="W23" i="11" s="1"/>
  <c r="W19" i="11" a="1"/>
  <c r="W19" i="11" s="1"/>
  <c r="W15" i="11" a="1"/>
  <c r="W15" i="11" s="1"/>
  <c r="W11" i="11" a="1"/>
  <c r="W11" i="11" s="1"/>
  <c r="W7" i="11" a="1"/>
  <c r="W7" i="11" s="1"/>
  <c r="W3" i="11" a="1"/>
  <c r="W3" i="11" s="1"/>
  <c r="V39" i="11" a="1"/>
  <c r="V39" i="11" s="1"/>
  <c r="V35" i="11" a="1"/>
  <c r="V35" i="11" s="1"/>
  <c r="V23" i="11" a="1"/>
  <c r="V23" i="11" s="1"/>
  <c r="V15" i="11" a="1"/>
  <c r="V15" i="11" s="1"/>
  <c r="V11" i="11" a="1"/>
  <c r="V11" i="11" s="1"/>
  <c r="V3" i="11" a="1"/>
  <c r="V3" i="11" s="1"/>
  <c r="E60" i="11" a="1"/>
  <c r="E60" i="11" s="1"/>
  <c r="F60" i="11" s="1" a="1"/>
  <c r="F60" i="11" s="1"/>
  <c r="E54" i="11" a="1"/>
  <c r="E54" i="11" s="1"/>
  <c r="F54" i="11" s="1" a="1"/>
  <c r="F54" i="11" s="1"/>
  <c r="C52" i="11" a="1"/>
  <c r="C52" i="11" s="1"/>
  <c r="D58" i="11" a="1"/>
  <c r="D58" i="11" s="1"/>
  <c r="D52" i="11" a="1"/>
  <c r="D52" i="11" s="1"/>
  <c r="D59" i="11" a="1"/>
  <c r="D59" i="11" s="1"/>
  <c r="C53" i="11" a="1"/>
  <c r="C53" i="11" s="1"/>
  <c r="D60" i="11" a="1"/>
  <c r="D60" i="11" s="1"/>
  <c r="D53" i="11" a="1"/>
  <c r="D53" i="11" s="1"/>
  <c r="C60" i="11" a="1"/>
  <c r="C60" i="11" s="1"/>
  <c r="C59" i="11" a="1"/>
  <c r="C59" i="11" s="1"/>
  <c r="D54" i="11" a="1"/>
  <c r="D54" i="11" s="1"/>
  <c r="C58" i="11" a="1"/>
  <c r="C58" i="11" s="1"/>
  <c r="V44" i="10" a="1"/>
  <c r="V44" i="10" s="1"/>
  <c r="V24" i="10" a="1"/>
  <c r="V24" i="10" s="1"/>
  <c r="V22" i="10" a="1"/>
  <c r="V22" i="10" s="1"/>
  <c r="V19" i="10" a="1"/>
  <c r="V19" i="10" s="1"/>
  <c r="V15" i="10" a="1"/>
  <c r="V15" i="10" s="1"/>
  <c r="V11" i="10" a="1"/>
  <c r="V11" i="10" s="1"/>
  <c r="V35" i="10" a="1"/>
  <c r="V35" i="10" s="1"/>
  <c r="V33" i="10" a="1"/>
  <c r="V33" i="10" s="1"/>
  <c r="V30" i="10" a="1"/>
  <c r="V30" i="10" s="1"/>
  <c r="V5" i="10" a="1"/>
  <c r="V5" i="10" s="1"/>
  <c r="V27" i="10" a="1"/>
  <c r="V27" i="10" s="1"/>
  <c r="W25" i="10" a="1"/>
  <c r="W25" i="10" s="1"/>
  <c r="W23" i="10" a="1"/>
  <c r="W23" i="10" s="1"/>
  <c r="W20" i="10" a="1"/>
  <c r="W20" i="10" s="1"/>
  <c r="W17" i="10" a="1"/>
  <c r="W17" i="10" s="1"/>
  <c r="W12" i="10" a="1"/>
  <c r="W12" i="10" s="1"/>
  <c r="W36" i="10" a="1"/>
  <c r="W36" i="10" s="1"/>
  <c r="W9" i="10" a="1"/>
  <c r="W9" i="10" s="1"/>
  <c r="W8" i="10" a="1"/>
  <c r="W8" i="10" s="1"/>
  <c r="W6" i="10" a="1"/>
  <c r="W6" i="10" s="1"/>
  <c r="W3" i="10" a="1"/>
  <c r="W3" i="10" s="1"/>
  <c r="U44" i="10" a="1"/>
  <c r="U44" i="10" s="1"/>
  <c r="U24" i="10" a="1"/>
  <c r="U24" i="10" s="1"/>
  <c r="U22" i="10" a="1"/>
  <c r="U22" i="10" s="1"/>
  <c r="U19" i="10" a="1"/>
  <c r="U19" i="10" s="1"/>
  <c r="U15" i="10" a="1"/>
  <c r="U15" i="10" s="1"/>
  <c r="U11" i="10" a="1"/>
  <c r="U11" i="10" s="1"/>
  <c r="U35" i="10" a="1"/>
  <c r="U35" i="10" s="1"/>
  <c r="U33" i="10" a="1"/>
  <c r="U33" i="10" s="1"/>
  <c r="U30" i="10" a="1"/>
  <c r="U30" i="10" s="1"/>
  <c r="U5" i="10" a="1"/>
  <c r="U5" i="10" s="1"/>
  <c r="U27" i="10" a="1"/>
  <c r="U27" i="10" s="1"/>
  <c r="V25" i="10" a="1"/>
  <c r="V25" i="10" s="1"/>
  <c r="V23" i="10" a="1"/>
  <c r="V23" i="10" s="1"/>
  <c r="V20" i="10" a="1"/>
  <c r="V20" i="10" s="1"/>
  <c r="V17" i="10" a="1"/>
  <c r="V17" i="10" s="1"/>
  <c r="V12" i="10" a="1"/>
  <c r="V12" i="10" s="1"/>
  <c r="V36" i="10" a="1"/>
  <c r="V36" i="10" s="1"/>
  <c r="V9" i="10" a="1"/>
  <c r="V9" i="10" s="1"/>
  <c r="V8" i="10" a="1"/>
  <c r="V8" i="10" s="1"/>
  <c r="V6" i="10" a="1"/>
  <c r="V6" i="10" s="1"/>
  <c r="V3" i="10" a="1"/>
  <c r="V3" i="10" s="1"/>
  <c r="W42" i="10" a="1"/>
  <c r="W42" i="10" s="1"/>
  <c r="W40" i="10" a="1"/>
  <c r="W40" i="10" s="1"/>
  <c r="W21" i="10" a="1"/>
  <c r="W21" i="10" s="1"/>
  <c r="W38" i="10" a="1"/>
  <c r="W38" i="10" s="1"/>
  <c r="W13" i="10" a="1"/>
  <c r="W13" i="10" s="1"/>
  <c r="W16" i="10" a="1"/>
  <c r="W16" i="10" s="1"/>
  <c r="W34" i="10" a="1"/>
  <c r="W34" i="10" s="1"/>
  <c r="W31" i="10" a="1"/>
  <c r="W31" i="10" s="1"/>
  <c r="W29" i="10" a="1"/>
  <c r="W29" i="10" s="1"/>
  <c r="W4" i="10" a="1"/>
  <c r="W4" i="10" s="1"/>
  <c r="W26" i="10" a="1"/>
  <c r="W26" i="10" s="1"/>
  <c r="V42" i="10" a="1"/>
  <c r="V42" i="10" s="1"/>
  <c r="V40" i="10" a="1"/>
  <c r="V40" i="10" s="1"/>
  <c r="V21" i="10" a="1"/>
  <c r="V21" i="10" s="1"/>
  <c r="V38" i="10" a="1"/>
  <c r="V38" i="10" s="1"/>
  <c r="V13" i="10" a="1"/>
  <c r="V13" i="10" s="1"/>
  <c r="V16" i="10" a="1"/>
  <c r="V16" i="10" s="1"/>
  <c r="V34" i="10" a="1"/>
  <c r="V34" i="10" s="1"/>
  <c r="V31" i="10" a="1"/>
  <c r="V31" i="10" s="1"/>
  <c r="V29" i="10" a="1"/>
  <c r="V29" i="10" s="1"/>
  <c r="V4" i="10" a="1"/>
  <c r="V4" i="10" s="1"/>
  <c r="V26" i="10" a="1"/>
  <c r="V26" i="10" s="1"/>
  <c r="W43" i="10" a="1"/>
  <c r="W43" i="10" s="1"/>
  <c r="W41" i="10" a="1"/>
  <c r="W41" i="10" s="1"/>
  <c r="W39" i="10" a="1"/>
  <c r="W39" i="10" s="1"/>
  <c r="W18" i="10" a="1"/>
  <c r="W18" i="10" s="1"/>
  <c r="W14" i="10" a="1"/>
  <c r="W14" i="10" s="1"/>
  <c r="W37" i="10" a="1"/>
  <c r="W37" i="10" s="1"/>
  <c r="W10" i="10" a="1"/>
  <c r="W10" i="10" s="1"/>
  <c r="W32" i="10" a="1"/>
  <c r="W32" i="10" s="1"/>
  <c r="W7" i="10" a="1"/>
  <c r="W7" i="10" s="1"/>
  <c r="W28" i="10" a="1"/>
  <c r="W28" i="10" s="1"/>
  <c r="W2" i="10" a="1"/>
  <c r="W2" i="10" s="1"/>
  <c r="V43" i="10" a="1"/>
  <c r="V43" i="10" s="1"/>
  <c r="V41" i="10" a="1"/>
  <c r="V41" i="10" s="1"/>
  <c r="V39" i="10" a="1"/>
  <c r="V39" i="10" s="1"/>
  <c r="V18" i="10" a="1"/>
  <c r="V18" i="10" s="1"/>
  <c r="V14" i="10" a="1"/>
  <c r="V14" i="10" s="1"/>
  <c r="V37" i="10" a="1"/>
  <c r="V37" i="10" s="1"/>
  <c r="V10" i="10" a="1"/>
  <c r="V10" i="10" s="1"/>
  <c r="V32" i="10" a="1"/>
  <c r="V32" i="10" s="1"/>
  <c r="V7" i="10" a="1"/>
  <c r="V7" i="10" s="1"/>
  <c r="V28" i="10" a="1"/>
  <c r="V28" i="10" s="1"/>
  <c r="V2" i="10" a="1"/>
  <c r="V2" i="10" s="1"/>
  <c r="AC13" i="10" a="1"/>
  <c r="AC13" i="10" s="1"/>
  <c r="AC7" i="10" a="1"/>
  <c r="AC7" i="10" s="1"/>
  <c r="AA5" i="10" a="1"/>
  <c r="AA5" i="10" s="1"/>
  <c r="AB12" i="10" a="1"/>
  <c r="AB12" i="10" s="1"/>
  <c r="AA13" i="10" a="1"/>
  <c r="AA13" i="10" s="1"/>
  <c r="AB5" i="10" a="1"/>
  <c r="AB5" i="10" s="1"/>
  <c r="AB13" i="10" a="1"/>
  <c r="AB13" i="10" s="1"/>
  <c r="AA6" i="10" a="1"/>
  <c r="AA6" i="10" s="1"/>
  <c r="AB6" i="10" a="1"/>
  <c r="AB6" i="10" s="1"/>
  <c r="AA7" i="10" a="1"/>
  <c r="AA7" i="10" s="1"/>
  <c r="AA11" i="10" a="1"/>
  <c r="AA11" i="10" s="1"/>
  <c r="AB7" i="10" a="1"/>
  <c r="AB7" i="10" s="1"/>
  <c r="AB11" i="10" a="1"/>
  <c r="AB11" i="10" s="1"/>
  <c r="AA12" i="10" a="1"/>
  <c r="AA12" i="10" s="1"/>
  <c r="E53" i="10" a="1"/>
  <c r="E53" i="10" s="1"/>
  <c r="F53" i="10" s="1" a="1"/>
  <c r="F53" i="10" s="1"/>
  <c r="E52" i="10" a="1"/>
  <c r="E52" i="10" s="1"/>
  <c r="F52" i="10" s="1" a="1"/>
  <c r="F52" i="10" s="1"/>
  <c r="E58" i="10" a="1"/>
  <c r="E58" i="10" s="1"/>
  <c r="F58" i="10" s="1" a="1"/>
  <c r="F58" i="10" s="1"/>
  <c r="E51" i="10" a="1"/>
  <c r="E51" i="10" s="1"/>
  <c r="F51" i="10" s="1" a="1"/>
  <c r="F51" i="10" s="1"/>
  <c r="E57" i="10" a="1"/>
  <c r="E57" i="10" s="1"/>
  <c r="F57" i="10" s="1" a="1"/>
  <c r="F57" i="10" s="1"/>
  <c r="E59" i="10" a="1"/>
  <c r="E59" i="10" s="1"/>
  <c r="F59" i="10" s="1" a="1"/>
  <c r="F59" i="10" s="1"/>
  <c r="C51" i="10" a="1"/>
  <c r="C51" i="10" s="1"/>
  <c r="C57" i="10" a="1"/>
  <c r="C57" i="10" s="1"/>
  <c r="D51" i="10" a="1"/>
  <c r="D51" i="10" s="1"/>
  <c r="D57" i="10" a="1"/>
  <c r="D57" i="10" s="1"/>
  <c r="D52" i="10" a="1"/>
  <c r="D52" i="10" s="1"/>
  <c r="D58" i="10" a="1"/>
  <c r="D58" i="10" s="1"/>
  <c r="C52" i="10" a="1"/>
  <c r="C52" i="10" s="1"/>
  <c r="C53" i="10" a="1"/>
  <c r="C53" i="10" s="1"/>
  <c r="C59" i="10" a="1"/>
  <c r="C59" i="10" s="1"/>
  <c r="D53" i="10" a="1"/>
  <c r="D53" i="10" s="1"/>
  <c r="D59" i="10" a="1"/>
  <c r="D59" i="10" s="1"/>
  <c r="C58" i="10" a="1"/>
  <c r="C58" i="10" s="1"/>
  <c r="AC11" i="8" a="1"/>
  <c r="AC11" i="8" s="1"/>
  <c r="AC12" i="8" a="1"/>
  <c r="AC12" i="8" s="1"/>
  <c r="AC13" i="8" a="1"/>
  <c r="AC13" i="8" s="1"/>
  <c r="F63" i="15" a="1"/>
  <c r="F63" i="15" s="1"/>
  <c r="E55" i="8" a="1"/>
  <c r="E55" i="8" s="1"/>
  <c r="F55" i="8" s="1" a="1"/>
  <c r="F55" i="8" s="1"/>
  <c r="E56" i="8" a="1"/>
  <c r="E56" i="8" s="1"/>
  <c r="F56" i="8" s="1" a="1"/>
  <c r="F56" i="8" s="1"/>
  <c r="AC5" i="8" a="1"/>
  <c r="AC5" i="8" s="1"/>
  <c r="D60" i="8" a="1"/>
  <c r="D60" i="8" s="1"/>
  <c r="E61" i="8" a="1"/>
  <c r="E61" i="8" s="1"/>
  <c r="F61" i="8" s="1" a="1"/>
  <c r="F61" i="8" s="1"/>
  <c r="F67" i="15" a="1"/>
  <c r="F67" i="15" s="1"/>
  <c r="AA6" i="8" a="1"/>
  <c r="AA6" i="8" s="1"/>
  <c r="D61" i="8" a="1"/>
  <c r="D61" i="8" s="1"/>
  <c r="F68" i="15" a="1"/>
  <c r="F68" i="15" s="1"/>
  <c r="AB6" i="8" a="1"/>
  <c r="AB6" i="8" s="1"/>
  <c r="C54" i="8" a="1"/>
  <c r="C54" i="8" s="1"/>
  <c r="D62" i="8" a="1"/>
  <c r="D62" i="8" s="1"/>
  <c r="E62" i="8" a="1"/>
  <c r="E62" i="8" s="1"/>
  <c r="F62" i="8" s="1" a="1"/>
  <c r="F62" i="8" s="1"/>
  <c r="F69" i="15" a="1"/>
  <c r="F69" i="15" s="1"/>
  <c r="AC6" i="8" a="1"/>
  <c r="AC6" i="8" s="1"/>
  <c r="C55" i="8" a="1"/>
  <c r="C55" i="8" s="1"/>
  <c r="E54" i="8" a="1"/>
  <c r="E54" i="8" s="1"/>
  <c r="F54" i="8" s="1" a="1"/>
  <c r="F54" i="8" s="1"/>
  <c r="F70" i="15" a="1"/>
  <c r="F70" i="15" s="1"/>
  <c r="AA7" i="8" a="1"/>
  <c r="AA7" i="8" s="1"/>
  <c r="AA11" i="8" a="1"/>
  <c r="AA11" i="8" s="1"/>
  <c r="AB11" i="8" a="1"/>
  <c r="AB11" i="8" s="1"/>
  <c r="C60" i="8" a="1"/>
  <c r="C60" i="8" s="1"/>
  <c r="AA13" i="8" a="1"/>
  <c r="AA13" i="8" s="1"/>
  <c r="C56" i="8" a="1"/>
  <c r="C56" i="8" s="1"/>
  <c r="AC7" i="8" a="1"/>
  <c r="AC7" i="8" s="1"/>
  <c r="C61" i="8" a="1"/>
  <c r="C61" i="8" s="1"/>
  <c r="AB13" i="8" a="1"/>
  <c r="AB13" i="8" s="1"/>
  <c r="C62" i="8" a="1"/>
  <c r="C62" i="8" s="1"/>
  <c r="D54" i="8" a="1"/>
  <c r="D54" i="8" s="1"/>
  <c r="AA5" i="8" a="1"/>
  <c r="AA5" i="8" s="1"/>
  <c r="AA12" i="8" a="1"/>
  <c r="AA12" i="8" s="1"/>
  <c r="AB7" i="8" a="1"/>
  <c r="AB7" i="8" s="1"/>
  <c r="D55" i="8" a="1"/>
  <c r="D55" i="8" s="1"/>
  <c r="F62" i="15" a="1"/>
  <c r="F62" i="15" s="1"/>
  <c r="AB5" i="8" a="1"/>
  <c r="AB5" i="8" s="1"/>
  <c r="AB12" i="8" a="1"/>
  <c r="AB12" i="8" s="1"/>
  <c r="D56" i="8" a="1"/>
  <c r="D56" i="8" s="1"/>
  <c r="G44" i="6"/>
  <c r="I50" i="2" a="1"/>
  <c r="I50" i="2" s="1"/>
  <c r="J50" i="2" s="1" a="1"/>
  <c r="J50" i="2" s="1"/>
  <c r="G44" i="7"/>
  <c r="E58" i="15" a="1"/>
  <c r="E58" i="15" s="1"/>
  <c r="E59" i="15" a="1"/>
  <c r="E59" i="15" s="1"/>
  <c r="D66" i="15" a="1"/>
  <c r="D66" i="15" s="1"/>
  <c r="E60" i="15" a="1"/>
  <c r="E60" i="15" s="1"/>
  <c r="D65" i="15" a="1"/>
  <c r="D65" i="15" s="1"/>
  <c r="C59" i="15" a="1"/>
  <c r="C59" i="15" s="1"/>
  <c r="D59" i="15" a="1"/>
  <c r="D59" i="15" s="1"/>
  <c r="C64" i="15" a="1"/>
  <c r="C64" i="15" s="1"/>
  <c r="C66" i="15" a="1"/>
  <c r="C66" i="15" s="1"/>
  <c r="D64" i="15" a="1"/>
  <c r="D64" i="15" s="1"/>
  <c r="E5" i="15"/>
  <c r="CT5" i="15" s="1"/>
  <c r="E3" i="15"/>
  <c r="CT3" i="15" s="1"/>
  <c r="C58" i="15" a="1"/>
  <c r="C58" i="15" s="1"/>
  <c r="D58" i="15" a="1"/>
  <c r="D58" i="15" s="1"/>
  <c r="D60" i="15" a="1"/>
  <c r="D60" i="15" s="1"/>
  <c r="E47" i="15"/>
  <c r="CQ47" i="15" s="1"/>
  <c r="E35" i="15"/>
  <c r="CT35" i="15" s="1"/>
  <c r="E23" i="15"/>
  <c r="CU23" i="15" s="1"/>
  <c r="E8" i="15"/>
  <c r="CU8" i="15" s="1"/>
  <c r="E51" i="15"/>
  <c r="CT51" i="15" s="1"/>
  <c r="E39" i="15"/>
  <c r="CT39" i="15" s="1"/>
  <c r="E27" i="15"/>
  <c r="CS27" i="15" s="1"/>
  <c r="E11" i="15"/>
  <c r="E12" i="15"/>
  <c r="CT12" i="15" s="1"/>
  <c r="E34" i="15"/>
  <c r="CS34" i="15" s="1"/>
  <c r="E15" i="15"/>
  <c r="CQ15" i="15" s="1"/>
  <c r="E44" i="15"/>
  <c r="CT44" i="15" s="1"/>
  <c r="E32" i="15"/>
  <c r="CS32" i="15" s="1"/>
  <c r="E20" i="15"/>
  <c r="CT20" i="15" s="1"/>
  <c r="E7" i="15"/>
  <c r="CR7" i="15" s="1"/>
  <c r="E42" i="15"/>
  <c r="CT42" i="15" s="1"/>
  <c r="E30" i="15"/>
  <c r="CU30" i="15" s="1"/>
  <c r="E18" i="15"/>
  <c r="CU18" i="15" s="1"/>
  <c r="E4" i="15"/>
  <c r="CU4" i="15" s="1"/>
  <c r="E22" i="15"/>
  <c r="CT22" i="15" s="1"/>
  <c r="E53" i="15"/>
  <c r="CU53" i="15" s="1"/>
  <c r="E41" i="15"/>
  <c r="CQ41" i="15" s="1"/>
  <c r="E29" i="15"/>
  <c r="CU29" i="15" s="1"/>
  <c r="E16" i="15"/>
  <c r="CT16" i="15" s="1"/>
  <c r="E9" i="15"/>
  <c r="CT9" i="15" s="1"/>
  <c r="E45" i="15"/>
  <c r="CU45" i="15" s="1"/>
  <c r="E33" i="15"/>
  <c r="CS33" i="15" s="1"/>
  <c r="E21" i="15"/>
  <c r="CT21" i="15" s="1"/>
  <c r="E13" i="15"/>
  <c r="CQ13" i="15" s="1"/>
  <c r="E46" i="15"/>
  <c r="CS46" i="15" s="1"/>
  <c r="E52" i="15"/>
  <c r="CU52" i="15" s="1"/>
  <c r="E40" i="15"/>
  <c r="CT40" i="15" s="1"/>
  <c r="E28" i="15"/>
  <c r="CU28" i="15" s="1"/>
  <c r="E14" i="15"/>
  <c r="CQ14" i="15" s="1"/>
  <c r="I44" i="7" a="1"/>
  <c r="I44" i="7" s="1"/>
  <c r="CQ3" i="15"/>
  <c r="CP3" i="15"/>
  <c r="E6" i="15"/>
  <c r="CU6" i="15" s="1"/>
  <c r="E2" i="15"/>
  <c r="G38" i="3"/>
  <c r="G45" i="3"/>
  <c r="H38" i="3" a="1"/>
  <c r="H38" i="3" s="1"/>
  <c r="Z25" i="6"/>
  <c r="F51" i="6" a="1"/>
  <c r="F51" i="6" s="1"/>
  <c r="Z24" i="6"/>
  <c r="H51" i="6" a="1"/>
  <c r="H51" i="6" s="1"/>
  <c r="E51" i="6"/>
  <c r="G51" i="6"/>
  <c r="Z22" i="2"/>
  <c r="AA34" i="2"/>
  <c r="E50" i="2" s="1"/>
  <c r="F43" i="2" a="1"/>
  <c r="F43" i="2" s="1"/>
  <c r="H43" i="2" a="1"/>
  <c r="H43" i="2" s="1"/>
  <c r="Z33" i="2"/>
  <c r="Z21" i="2"/>
  <c r="Z9" i="2"/>
  <c r="I43" i="2" a="1"/>
  <c r="I43" i="2" s="1"/>
  <c r="J43" i="2" s="1" a="1"/>
  <c r="J43" i="2" s="1"/>
  <c r="Z32" i="2"/>
  <c r="Z20" i="2"/>
  <c r="Z8" i="2"/>
  <c r="Z31" i="2"/>
  <c r="Z19" i="2"/>
  <c r="Z7" i="2"/>
  <c r="Z30" i="2"/>
  <c r="Z18" i="2"/>
  <c r="Z6" i="2"/>
  <c r="Z29" i="2"/>
  <c r="Z17" i="2"/>
  <c r="Z5" i="2"/>
  <c r="Z2" i="2"/>
  <c r="Z28" i="2"/>
  <c r="Z16" i="2"/>
  <c r="Z4" i="2"/>
  <c r="Z27" i="2"/>
  <c r="Z15" i="2"/>
  <c r="Z3" i="2"/>
  <c r="Z38" i="2"/>
  <c r="Z26" i="2"/>
  <c r="Z14" i="2"/>
  <c r="Z37" i="2"/>
  <c r="Z25" i="2"/>
  <c r="Z13" i="2"/>
  <c r="Z36" i="2"/>
  <c r="Z24" i="2"/>
  <c r="Z12" i="2"/>
  <c r="Z35" i="2"/>
  <c r="Z23" i="2"/>
  <c r="Z11" i="2"/>
  <c r="G50" i="2"/>
  <c r="H45" i="3" a="1"/>
  <c r="H45" i="3" s="1"/>
  <c r="H44" i="6" a="1"/>
  <c r="H44" i="6" s="1"/>
  <c r="G43" i="2"/>
  <c r="H50" i="2" a="1"/>
  <c r="H50" i="2" s="1"/>
  <c r="U2" i="8" a="1"/>
  <c r="U2" i="8" s="1"/>
  <c r="V2" i="8" a="1"/>
  <c r="V2" i="8" s="1"/>
  <c r="CR9" i="15"/>
  <c r="F61" i="15" a="1"/>
  <c r="F61" i="15" s="1"/>
  <c r="CP18" i="15"/>
  <c r="CS18" i="15"/>
  <c r="CQ50" i="15"/>
  <c r="CQ46" i="15"/>
  <c r="CT37" i="15"/>
  <c r="CT15" i="15"/>
  <c r="CP31" i="15"/>
  <c r="CT17" i="15"/>
  <c r="CP26" i="15"/>
  <c r="CS13" i="15"/>
  <c r="CQ36" i="15"/>
  <c r="CS10" i="15"/>
  <c r="CU3" i="15"/>
  <c r="CS3" i="15"/>
  <c r="CS31" i="15"/>
  <c r="CU11" i="15"/>
  <c r="CS26" i="15"/>
  <c r="CR49" i="15"/>
  <c r="CR22" i="15"/>
  <c r="CR5" i="15"/>
  <c r="CU49" i="15"/>
  <c r="CU22" i="15"/>
  <c r="CU5" i="15"/>
  <c r="CP30" i="15"/>
  <c r="CP25" i="15"/>
  <c r="CP9" i="15"/>
  <c r="CQ34" i="15"/>
  <c r="CR43" i="15"/>
  <c r="CR40" i="15"/>
  <c r="CR21" i="15"/>
  <c r="CS53" i="15"/>
  <c r="CS25" i="15"/>
  <c r="CS9" i="15"/>
  <c r="CT50" i="15"/>
  <c r="CT36" i="15"/>
  <c r="CT46" i="15"/>
  <c r="CT13" i="15"/>
  <c r="CU43" i="15"/>
  <c r="CU16" i="15"/>
  <c r="CP29" i="15"/>
  <c r="CP24" i="15"/>
  <c r="CP11" i="15"/>
  <c r="CQ32" i="15"/>
  <c r="CQ48" i="15"/>
  <c r="CQ19" i="15"/>
  <c r="CQ10" i="15"/>
  <c r="CR42" i="15"/>
  <c r="CR39" i="15"/>
  <c r="CR20" i="15"/>
  <c r="CR17" i="15"/>
  <c r="CS29" i="15"/>
  <c r="CS24" i="15"/>
  <c r="CS11" i="15"/>
  <c r="CT33" i="15"/>
  <c r="CT34" i="15"/>
  <c r="CU39" i="15"/>
  <c r="CU20" i="15"/>
  <c r="CU17" i="15"/>
  <c r="CP45" i="15"/>
  <c r="CP23" i="15"/>
  <c r="CQ31" i="15"/>
  <c r="CQ26" i="15"/>
  <c r="CQ18" i="15"/>
  <c r="CR51" i="15"/>
  <c r="CR38" i="15"/>
  <c r="CR35" i="15"/>
  <c r="CS45" i="15"/>
  <c r="CS28" i="15"/>
  <c r="CS12" i="15"/>
  <c r="CT48" i="15"/>
  <c r="CT19" i="15"/>
  <c r="CT10" i="15"/>
  <c r="CU51" i="15"/>
  <c r="CU38" i="15"/>
  <c r="CU35" i="15"/>
  <c r="CP49" i="15"/>
  <c r="CP22" i="15"/>
  <c r="CP5" i="15"/>
  <c r="CQ53" i="15"/>
  <c r="CQ25" i="15"/>
  <c r="CQ9" i="15"/>
  <c r="CR37" i="15"/>
  <c r="CR15" i="15"/>
  <c r="CS44" i="15"/>
  <c r="CS49" i="15"/>
  <c r="CS22" i="15"/>
  <c r="CS5" i="15"/>
  <c r="CT31" i="15"/>
  <c r="CT26" i="15"/>
  <c r="CT18" i="15"/>
  <c r="CU37" i="15"/>
  <c r="CU47" i="15"/>
  <c r="CP43" i="15"/>
  <c r="CP40" i="15"/>
  <c r="CQ52" i="15"/>
  <c r="CQ24" i="15"/>
  <c r="CQ11" i="15"/>
  <c r="CR50" i="15"/>
  <c r="CR36" i="15"/>
  <c r="CR46" i="15"/>
  <c r="CR13" i="15"/>
  <c r="CS43" i="15"/>
  <c r="CS40" i="15"/>
  <c r="CT53" i="15"/>
  <c r="CT25" i="15"/>
  <c r="CU50" i="15"/>
  <c r="CU36" i="15"/>
  <c r="CU46" i="15"/>
  <c r="CU13" i="15"/>
  <c r="CP39" i="15"/>
  <c r="CP20" i="15"/>
  <c r="CP17" i="15"/>
  <c r="CQ45" i="15"/>
  <c r="CQ23" i="15"/>
  <c r="CR33" i="15"/>
  <c r="CR27" i="15"/>
  <c r="CR34" i="15"/>
  <c r="CS39" i="15"/>
  <c r="CS20" i="15"/>
  <c r="CS17" i="15"/>
  <c r="CT29" i="15"/>
  <c r="CT24" i="15"/>
  <c r="CT11" i="15"/>
  <c r="CT6" i="15"/>
  <c r="CU33" i="15"/>
  <c r="CU27" i="15"/>
  <c r="CU34" i="15"/>
  <c r="CU7" i="15"/>
  <c r="CP51" i="15"/>
  <c r="CP38" i="15"/>
  <c r="CP35" i="15"/>
  <c r="CQ49" i="15"/>
  <c r="CQ22" i="15"/>
  <c r="CQ5" i="15"/>
  <c r="CR48" i="15"/>
  <c r="CR19" i="15"/>
  <c r="CR10" i="15"/>
  <c r="CS51" i="15"/>
  <c r="CS38" i="15"/>
  <c r="CS35" i="15"/>
  <c r="CT45" i="15"/>
  <c r="CT23" i="15"/>
  <c r="CU32" i="15"/>
  <c r="CU48" i="15"/>
  <c r="CU19" i="15"/>
  <c r="CU10" i="15"/>
  <c r="CP37" i="15"/>
  <c r="CP47" i="15"/>
  <c r="CP15" i="15"/>
  <c r="CQ43" i="15"/>
  <c r="CQ40" i="15"/>
  <c r="CQ16" i="15"/>
  <c r="CR31" i="15"/>
  <c r="CR26" i="15"/>
  <c r="CR18" i="15"/>
  <c r="CS37" i="15"/>
  <c r="CS47" i="15"/>
  <c r="CS15" i="15"/>
  <c r="CP50" i="15"/>
  <c r="CP36" i="15"/>
  <c r="CP46" i="15"/>
  <c r="CQ42" i="15"/>
  <c r="CQ20" i="15"/>
  <c r="CQ17" i="15"/>
  <c r="CR53" i="15"/>
  <c r="CR30" i="15"/>
  <c r="CR25" i="15"/>
  <c r="CP33" i="15"/>
  <c r="CP34" i="15"/>
  <c r="CP7" i="15"/>
  <c r="CQ51" i="15"/>
  <c r="CQ38" i="15"/>
  <c r="CQ8" i="15"/>
  <c r="CR29" i="15"/>
  <c r="CR24" i="15"/>
  <c r="CR11" i="15"/>
  <c r="CP32" i="15"/>
  <c r="CP48" i="15"/>
  <c r="CP19" i="15"/>
  <c r="CP10" i="15"/>
  <c r="CR45" i="15"/>
  <c r="CR28" i="15"/>
  <c r="CR12" i="15"/>
  <c r="E43" i="2"/>
  <c r="U45" i="8" a="1"/>
  <c r="U45" i="8" s="1"/>
  <c r="U20" i="8" a="1"/>
  <c r="U20" i="8" s="1"/>
  <c r="U31" i="8" a="1"/>
  <c r="U31" i="8" s="1"/>
  <c r="U26" i="8" a="1"/>
  <c r="U26" i="8" s="1"/>
  <c r="V47" i="8" a="1"/>
  <c r="V47" i="8" s="1"/>
  <c r="V22" i="8" a="1"/>
  <c r="V22" i="8" s="1"/>
  <c r="V35" i="8" a="1"/>
  <c r="V35" i="8" s="1"/>
  <c r="V7" i="8" a="1"/>
  <c r="V7" i="8" s="1"/>
  <c r="W44" i="8" a="1"/>
  <c r="W44" i="8" s="1"/>
  <c r="W17" i="8" a="1"/>
  <c r="W17" i="8" s="1"/>
  <c r="W29" i="8" a="1"/>
  <c r="W29" i="8" s="1"/>
  <c r="W3" i="8" a="1"/>
  <c r="W3" i="8" s="1"/>
  <c r="U42" i="8" a="1"/>
  <c r="U42" i="8" s="1"/>
  <c r="U19" i="8" a="1"/>
  <c r="U19" i="8" s="1"/>
  <c r="U34" i="8" a="1"/>
  <c r="U34" i="8" s="1"/>
  <c r="U27" i="8" a="1"/>
  <c r="U27" i="8" s="1"/>
  <c r="V25" i="8" a="1"/>
  <c r="V25" i="8" s="1"/>
  <c r="V21" i="8" a="1"/>
  <c r="V21" i="8" s="1"/>
  <c r="V13" i="8" a="1"/>
  <c r="V13" i="8" s="1"/>
  <c r="V30" i="8" a="1"/>
  <c r="V30" i="8" s="1"/>
  <c r="W24" i="8" a="1"/>
  <c r="W24" i="8" s="1"/>
  <c r="W16" i="8" a="1"/>
  <c r="W16" i="8" s="1"/>
  <c r="W10" i="8" a="1"/>
  <c r="W10" i="8" s="1"/>
  <c r="U43" i="8" a="1"/>
  <c r="U43" i="8" s="1"/>
  <c r="U38" i="8" a="1"/>
  <c r="U38" i="8" s="1"/>
  <c r="U32" i="8" a="1"/>
  <c r="U32" i="8" s="1"/>
  <c r="U28" i="8" a="1"/>
  <c r="U28" i="8" s="1"/>
  <c r="V46" i="8" a="1"/>
  <c r="V46" i="8" s="1"/>
  <c r="V37" i="8" a="1"/>
  <c r="V37" i="8" s="1"/>
  <c r="V33" i="8" a="1"/>
  <c r="V33" i="8" s="1"/>
  <c r="V6" i="8" a="1"/>
  <c r="V6" i="8" s="1"/>
  <c r="W39" i="8" a="1"/>
  <c r="W39" i="8" s="1"/>
  <c r="W15" i="8" a="1"/>
  <c r="W15" i="8" s="1"/>
  <c r="W9" i="8" a="1"/>
  <c r="W9" i="8" s="1"/>
  <c r="U41" i="8" a="1"/>
  <c r="U41" i="8" s="1"/>
  <c r="U18" i="8" a="1"/>
  <c r="U18" i="8" s="1"/>
  <c r="U11" i="8" a="1"/>
  <c r="U11" i="8" s="1"/>
  <c r="U4" i="8" a="1"/>
  <c r="U4" i="8" s="1"/>
  <c r="V40" i="8" a="1"/>
  <c r="V40" i="8" s="1"/>
  <c r="V36" i="8" a="1"/>
  <c r="V36" i="8" s="1"/>
  <c r="V12" i="8" a="1"/>
  <c r="V12" i="8" s="1"/>
  <c r="V5" i="8" a="1"/>
  <c r="V5" i="8" s="1"/>
  <c r="W23" i="8" a="1"/>
  <c r="W23" i="8" s="1"/>
  <c r="W14" i="8" a="1"/>
  <c r="W14" i="8" s="1"/>
  <c r="W8" i="8" a="1"/>
  <c r="W8" i="8" s="1"/>
  <c r="U44" i="8" a="1"/>
  <c r="U44" i="8" s="1"/>
  <c r="U17" i="8" a="1"/>
  <c r="U17" i="8" s="1"/>
  <c r="U29" i="8" a="1"/>
  <c r="U29" i="8" s="1"/>
  <c r="U3" i="8" a="1"/>
  <c r="U3" i="8" s="1"/>
  <c r="V45" i="8" a="1"/>
  <c r="V45" i="8" s="1"/>
  <c r="V20" i="8" a="1"/>
  <c r="V20" i="8" s="1"/>
  <c r="V31" i="8" a="1"/>
  <c r="V31" i="8" s="1"/>
  <c r="V26" i="8" a="1"/>
  <c r="V26" i="8" s="1"/>
  <c r="W47" i="8" a="1"/>
  <c r="W47" i="8" s="1"/>
  <c r="W22" i="8" a="1"/>
  <c r="W22" i="8" s="1"/>
  <c r="W35" i="8" a="1"/>
  <c r="W35" i="8" s="1"/>
  <c r="W7" i="8" a="1"/>
  <c r="W7" i="8" s="1"/>
  <c r="U24" i="8" a="1"/>
  <c r="U24" i="8" s="1"/>
  <c r="U16" i="8" a="1"/>
  <c r="U16" i="8" s="1"/>
  <c r="U10" i="8" a="1"/>
  <c r="U10" i="8" s="1"/>
  <c r="V42" i="8" a="1"/>
  <c r="V42" i="8" s="1"/>
  <c r="V19" i="8" a="1"/>
  <c r="V19" i="8" s="1"/>
  <c r="V34" i="8" a="1"/>
  <c r="V34" i="8" s="1"/>
  <c r="V27" i="8" a="1"/>
  <c r="V27" i="8" s="1"/>
  <c r="W25" i="8" a="1"/>
  <c r="W25" i="8" s="1"/>
  <c r="W21" i="8" a="1"/>
  <c r="W21" i="8" s="1"/>
  <c r="W13" i="8" a="1"/>
  <c r="W13" i="8" s="1"/>
  <c r="W30" i="8" a="1"/>
  <c r="W30" i="8" s="1"/>
  <c r="U39" i="8" a="1"/>
  <c r="U39" i="8" s="1"/>
  <c r="U15" i="8" a="1"/>
  <c r="U15" i="8" s="1"/>
  <c r="U9" i="8" a="1"/>
  <c r="U9" i="8" s="1"/>
  <c r="V43" i="8" a="1"/>
  <c r="V43" i="8" s="1"/>
  <c r="V38" i="8" a="1"/>
  <c r="V38" i="8" s="1"/>
  <c r="V32" i="8" a="1"/>
  <c r="V32" i="8" s="1"/>
  <c r="V28" i="8" a="1"/>
  <c r="V28" i="8" s="1"/>
  <c r="W46" i="8" a="1"/>
  <c r="W46" i="8" s="1"/>
  <c r="W37" i="8" a="1"/>
  <c r="W37" i="8" s="1"/>
  <c r="W33" i="8" a="1"/>
  <c r="W33" i="8" s="1"/>
  <c r="W6" i="8" a="1"/>
  <c r="W6" i="8" s="1"/>
  <c r="U23" i="8" a="1"/>
  <c r="U23" i="8" s="1"/>
  <c r="U14" i="8" a="1"/>
  <c r="U14" i="8" s="1"/>
  <c r="U8" i="8" a="1"/>
  <c r="U8" i="8" s="1"/>
  <c r="V41" i="8" a="1"/>
  <c r="V41" i="8" s="1"/>
  <c r="V18" i="8" a="1"/>
  <c r="V18" i="8" s="1"/>
  <c r="V11" i="8" a="1"/>
  <c r="V11" i="8" s="1"/>
  <c r="V4" i="8" a="1"/>
  <c r="V4" i="8" s="1"/>
  <c r="W40" i="8" a="1"/>
  <c r="W40" i="8" s="1"/>
  <c r="W36" i="8" a="1"/>
  <c r="W36" i="8" s="1"/>
  <c r="W12" i="8" a="1"/>
  <c r="W12" i="8" s="1"/>
  <c r="W5" i="8" a="1"/>
  <c r="W5" i="8" s="1"/>
  <c r="CP13" i="15" l="1"/>
  <c r="CQ21" i="15"/>
  <c r="CT28" i="15"/>
  <c r="CQ44" i="15"/>
  <c r="CT52" i="15"/>
  <c r="CS16" i="15"/>
  <c r="CP16" i="15"/>
  <c r="CU21" i="15"/>
  <c r="CU44" i="15"/>
  <c r="CS21" i="15"/>
  <c r="CP21" i="15"/>
  <c r="CP44" i="15"/>
  <c r="CR8" i="15"/>
  <c r="CP27" i="15"/>
  <c r="CU42" i="15"/>
  <c r="CQ27" i="15"/>
  <c r="CS2" i="15"/>
  <c r="CP2" i="15"/>
  <c r="CQ2" i="15"/>
  <c r="CR2" i="15"/>
  <c r="CT2" i="15"/>
  <c r="CU2" i="15"/>
  <c r="CP42" i="15"/>
  <c r="CS42" i="15"/>
  <c r="CR44" i="15"/>
  <c r="CU15" i="15"/>
  <c r="CR47" i="15"/>
  <c r="CQ33" i="15"/>
  <c r="CU12" i="15"/>
  <c r="CT27" i="15"/>
  <c r="CT8" i="15"/>
  <c r="CS4" i="15"/>
  <c r="CR52" i="15"/>
  <c r="CR32" i="15"/>
  <c r="CQ12" i="15"/>
  <c r="CQ30" i="15"/>
  <c r="CT32" i="15"/>
  <c r="CP12" i="15"/>
  <c r="CS30" i="15"/>
  <c r="CP53" i="15"/>
  <c r="CU9" i="15"/>
  <c r="CT47" i="15"/>
  <c r="CR23" i="15"/>
  <c r="CQ35" i="15"/>
  <c r="CQ39" i="15"/>
  <c r="CR3" i="15"/>
  <c r="CQ28" i="15"/>
  <c r="CT30" i="15"/>
  <c r="CQ29" i="15"/>
  <c r="CS23" i="15"/>
  <c r="CP28" i="15"/>
  <c r="CS52" i="15"/>
  <c r="CP52" i="15"/>
  <c r="CR16" i="15"/>
  <c r="F50" i="2" a="1"/>
  <c r="F50" i="2" s="1"/>
  <c r="AG2" i="2" a="1"/>
  <c r="AG2" i="2" s="1"/>
  <c r="AF9" i="2"/>
  <c r="AH9" i="2"/>
  <c r="AF2" i="2"/>
  <c r="AG9" i="2" a="1"/>
  <c r="AG9" i="2" s="1"/>
  <c r="AI9" i="2" a="1"/>
  <c r="AI9" i="2" s="1"/>
  <c r="AF2" i="6"/>
  <c r="X58" i="15" a="1"/>
  <c r="X58" i="15" s="1"/>
  <c r="F58" i="15" a="1"/>
  <c r="F58" i="15" s="1"/>
  <c r="F59" i="15" a="1"/>
  <c r="F59" i="15" s="1"/>
  <c r="X59" i="15" a="1"/>
  <c r="X59" i="15" s="1"/>
  <c r="F60" i="15" a="1"/>
  <c r="F60" i="15" s="1"/>
  <c r="X60" i="15" a="1"/>
  <c r="X60" i="15" s="1"/>
  <c r="DA12" i="15" a="1"/>
  <c r="DA12" i="15" s="1"/>
  <c r="CZ12" i="15" a="1"/>
  <c r="CZ12" i="15" s="1"/>
  <c r="CY12" i="15" a="1"/>
  <c r="CY12" i="15" s="1"/>
  <c r="E68" i="15" a="1"/>
  <c r="E68" i="15" s="1"/>
  <c r="X68" i="15" s="1" a="1"/>
  <c r="X68" i="15" s="1"/>
  <c r="C68" i="15" a="1"/>
  <c r="C68" i="15" s="1"/>
  <c r="D68" i="15" a="1"/>
  <c r="D68" i="15" s="1"/>
  <c r="D51" i="6" a="1"/>
  <c r="D51" i="6" s="1"/>
  <c r="D45" i="3" a="1"/>
  <c r="D45" i="3" s="1"/>
  <c r="D38" i="3" a="1"/>
  <c r="D38" i="3" s="1"/>
  <c r="C45" i="3"/>
  <c r="F38" i="3" a="1"/>
  <c r="F38" i="3" s="1"/>
  <c r="F45" i="3" a="1"/>
  <c r="F45" i="3" s="1"/>
  <c r="F44" i="6" a="1"/>
  <c r="F44" i="6" s="1"/>
  <c r="D44" i="6" a="1"/>
  <c r="D44" i="6" s="1"/>
  <c r="D50" i="2" a="1"/>
  <c r="D50" i="2" s="1"/>
  <c r="D43" i="2" a="1"/>
  <c r="D43" i="2" s="1"/>
  <c r="C44" i="7"/>
  <c r="E44" i="7"/>
  <c r="CQ4" i="15"/>
  <c r="CT4" i="15"/>
  <c r="CP4" i="15"/>
  <c r="CR4" i="15"/>
  <c r="CR6" i="15"/>
  <c r="CS8" i="15"/>
  <c r="CP8" i="15"/>
  <c r="CQ7" i="15"/>
  <c r="CT7" i="15"/>
  <c r="CS7" i="15"/>
  <c r="CS6" i="15"/>
  <c r="CU14" i="15"/>
  <c r="CR14" i="15"/>
  <c r="CP6" i="15"/>
  <c r="CS41" i="15"/>
  <c r="CT14" i="15"/>
  <c r="CQ6" i="15"/>
  <c r="CU41" i="15"/>
  <c r="CS14" i="15"/>
  <c r="CP41" i="15"/>
  <c r="CR41" i="15"/>
  <c r="CP14" i="15"/>
  <c r="D67" i="15" s="1" a="1"/>
  <c r="D67" i="15" s="1"/>
  <c r="CT41" i="15"/>
  <c r="CU40" i="15"/>
  <c r="C43" i="2"/>
  <c r="C38" i="3"/>
  <c r="E45" i="3"/>
  <c r="E38" i="3"/>
  <c r="C51" i="6"/>
  <c r="C44" i="6"/>
  <c r="E44" i="6"/>
  <c r="C50" i="2"/>
  <c r="H44" i="7" a="1"/>
  <c r="H44" i="7" s="1"/>
  <c r="J38" i="7" a="1"/>
  <c r="J38" i="7" s="1"/>
  <c r="I37" i="7" a="1"/>
  <c r="I37" i="7" s="1"/>
  <c r="J37" i="7" s="1" a="1"/>
  <c r="J37" i="7" s="1"/>
  <c r="H45" i="7" a="1"/>
  <c r="H45" i="7" s="1"/>
  <c r="G38" i="7"/>
  <c r="G41" i="7"/>
  <c r="H38" i="7" a="1"/>
  <c r="H38" i="7" s="1"/>
  <c r="CY5" i="15" l="1" a="1"/>
  <c r="CY5" i="15" s="1"/>
  <c r="DA13" i="15" a="1"/>
  <c r="DA13" i="15" s="1"/>
  <c r="C67" i="15" a="1"/>
  <c r="C67" i="15" s="1"/>
  <c r="DA6" i="15" a="1"/>
  <c r="DA6" i="15" s="1"/>
  <c r="E67" i="15" a="1"/>
  <c r="E67" i="15" s="1"/>
  <c r="X67" i="15" s="1" a="1"/>
  <c r="X67" i="15" s="1"/>
  <c r="CY11" i="15" a="1"/>
  <c r="CY11" i="15" s="1"/>
  <c r="CZ11" i="15" a="1"/>
  <c r="CZ11" i="15" s="1"/>
  <c r="DA11" i="15" a="1"/>
  <c r="DA11" i="15" s="1"/>
  <c r="D61" i="15" a="1"/>
  <c r="D61" i="15" s="1"/>
  <c r="C61" i="15" a="1"/>
  <c r="C61" i="15" s="1"/>
  <c r="E61" i="15" a="1"/>
  <c r="E61" i="15" s="1"/>
  <c r="X61" i="15" s="1" a="1"/>
  <c r="X61" i="15" s="1"/>
  <c r="E62" i="15" a="1"/>
  <c r="E62" i="15" s="1"/>
  <c r="X62" i="15" s="1" a="1"/>
  <c r="X62" i="15" s="1"/>
  <c r="DA5" i="15" a="1"/>
  <c r="DA5" i="15" s="1"/>
  <c r="CZ5" i="15" a="1"/>
  <c r="CZ5" i="15" s="1"/>
  <c r="E63" i="15" a="1"/>
  <c r="E63" i="15" s="1"/>
  <c r="X63" i="15" s="1" a="1"/>
  <c r="X63" i="15" s="1"/>
  <c r="D63" i="15" a="1"/>
  <c r="D63" i="15" s="1"/>
  <c r="CY7" i="15" a="1"/>
  <c r="CY7" i="15" s="1"/>
  <c r="CZ7" i="15" a="1"/>
  <c r="CZ7" i="15" s="1"/>
  <c r="DA7" i="15" a="1"/>
  <c r="DA7" i="15" s="1"/>
  <c r="C62" i="15" a="1"/>
  <c r="C62" i="15" s="1"/>
  <c r="D62" i="15" a="1"/>
  <c r="D62" i="15" s="1"/>
  <c r="D69" i="15" a="1"/>
  <c r="D69" i="15" s="1"/>
  <c r="CY6" i="15" a="1"/>
  <c r="CY6" i="15" s="1"/>
  <c r="C69" i="15" a="1"/>
  <c r="C69" i="15" s="1"/>
  <c r="CZ6" i="15" a="1"/>
  <c r="CZ6" i="15" s="1"/>
  <c r="E69" i="15" a="1"/>
  <c r="E69" i="15" s="1"/>
  <c r="X69" i="15" s="1" a="1"/>
  <c r="X69" i="15" s="1"/>
  <c r="CY13" i="15" a="1"/>
  <c r="CY13" i="15" s="1"/>
  <c r="C63" i="15" a="1"/>
  <c r="C63" i="15" s="1"/>
  <c r="CZ13" i="15" a="1"/>
  <c r="CZ13" i="15" s="1"/>
  <c r="J44" i="7" a="1"/>
  <c r="J44" i="7" s="1"/>
  <c r="F44" i="7" a="1"/>
  <c r="F44" i="7" s="1"/>
  <c r="D44" i="7" a="1"/>
  <c r="D44" i="7" s="1"/>
  <c r="G37" i="7"/>
  <c r="E37" i="7"/>
  <c r="H37" i="7" a="1"/>
  <c r="H37" i="7" s="1"/>
  <c r="F37" i="7" a="1"/>
  <c r="F37" i="7" s="1"/>
  <c r="D37" i="7" l="1" a="1"/>
  <c r="D37" i="7" s="1"/>
  <c r="C37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F2B773-6145-48BA-B745-0568AEA511DB}" keepAlive="1" name="ThisWorkbookDataModel" description="Model danych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58AA71A8-A05A-4C68-B81E-759C26D0B38E}" name="WorksheetConnection_Gymnastics-in-Poland.xlsx!floor_exercise" type="102" refreshedVersion="8" minRefreshableVersion="5">
    <extLst>
      <ext xmlns:x15="http://schemas.microsoft.com/office/spreadsheetml/2010/11/main" uri="{DE250136-89BD-433C-8126-D09CA5730AF9}">
        <x15:connection id="floor_exercise">
          <x15:rangePr sourceName="_xlcn.WorksheetConnection_GymnasticsinPoland.xlsxfloor_exercise1"/>
        </x15:connection>
      </ext>
    </extLst>
  </connection>
  <connection id="3" xr16:uid="{2AFB7810-5980-464C-A154-59D9DEF043CB}" name="WorksheetConnection_Gymnastics-in-Poland.xlsx!pommel_horse" type="102" refreshedVersion="8" minRefreshableVersion="5">
    <extLst>
      <ext xmlns:x15="http://schemas.microsoft.com/office/spreadsheetml/2010/11/main" uri="{DE250136-89BD-433C-8126-D09CA5730AF9}">
        <x15:connection id="pommel_horse">
          <x15:rangePr sourceName="_xlcn.WorksheetConnection_GymnasticsinPoland.xlsxpommel_horse1"/>
        </x15:connection>
      </ext>
    </extLst>
  </connection>
  <connection id="4" xr16:uid="{4C6E3975-1F2A-41F5-9BCA-F38EB28B9EDF}" keepAlive="1" name="Zapytanie — AA" description="Połączenie z zapytaniem „AA” w skoroszycie." type="5" refreshedVersion="8" background="1" saveData="1">
    <dbPr connection="Provider=Microsoft.Mashup.OleDb.1;Data Source=$Workbook$;Location=AA;Extended Properties=&quot;&quot;" command="SELECT * FROM [AA]"/>
  </connection>
  <connection id="5" xr16:uid="{BAAC0120-44BE-1A49-AF7A-1534797353C0}" keepAlive="1" name="Zapytanie — all_around_2022" description="Połączenie z zapytaniem „all_around_2022” w skoroszycie." type="5" refreshedVersion="8" background="1" saveData="1">
    <dbPr connection="Provider=Microsoft.Mashup.OleDb.1;Data Source=$Workbook$;Location=all_around_2022;Extended Properties=&quot;&quot;" command="SELECT * FROM [all_around_2022]"/>
  </connection>
  <connection id="6" xr16:uid="{58EB5386-BFF2-4E45-A921-B91A72D963D9}" keepAlive="1" name="Zapytanie — bydgoszcz_2022" description="Połączenie z zapytaniem „bydgoszcz_2022” w skoroszycie." type="5" refreshedVersion="0" background="1">
    <dbPr connection="Provider=Microsoft.Mashup.OleDb.1;Data Source=$Workbook$;Location=bydgoszcz_2022;Extended Properties=&quot;&quot;" command="SELECT * FROM [bydgoszcz_2022]"/>
  </connection>
  <connection id="7" xr16:uid="{E76DE2B7-F425-9A43-98EB-4F82DB3DD3C0}" keepAlive="1" name="Zapytanie — bydgoszcz_2022 (2)" description="Połączenie z zapytaniem „bydgoszcz_2022 (2)” w skoroszycie." type="5" refreshedVersion="8" background="1" saveData="1">
    <dbPr connection="Provider=Microsoft.Mashup.OleDb.1;Data Source=$Workbook$;Location=&quot;bydgoszcz_2022 (2)&quot;;Extended Properties=&quot;&quot;" command="SELECT * FROM [bydgoszcz_2022 (2)]"/>
  </connection>
  <connection id="8" xr16:uid="{5238F854-CF6B-4AAB-A762-FE6558096420}" keepAlive="1" name="Zapytanie — Bydgoszcz_result" description="Połączenie z zapytaniem „Bydgoszcz_result” w skoroszycie." type="5" refreshedVersion="8" background="1" saveData="1">
    <dbPr connection="Provider=Microsoft.Mashup.OleDb.1;Data Source=$Workbook$;Location=Bydgoszcz_result;Extended Properties=&quot;&quot;" command="SELECT * FROM [Bydgoszcz_result]"/>
  </connection>
  <connection id="9" xr16:uid="{80E82DCE-A7F6-4B66-A763-8285C313E7D2}" keepAlive="1" name="Zapytanie — Bydgoszcz_result (4)" description="Połączenie z zapytaniem „Bydgoszcz_result (4)” w skoroszycie." type="5" refreshedVersion="8" background="1" saveData="1">
    <dbPr connection="Provider=Microsoft.Mashup.OleDb.1;Data Source=$Workbook$;Location=&quot;Bydgoszcz_result (4)&quot;;Extended Properties=&quot;&quot;" command="SELECT * FROM [Bydgoszcz_result (4)]"/>
  </connection>
  <connection id="10" xr16:uid="{6DD07A7C-7CBB-450D-B6D2-F8B168AB813C}" keepAlive="1" name="Zapytanie — Cracow_result" description="Połączenie z zapytaniem „Cracow_result” w skoroszycie." type="5" refreshedVersion="8" background="1" saveData="1">
    <dbPr connection="Provider=Microsoft.Mashup.OleDb.1;Data Source=$Workbook$;Location=Cracow_result;Extended Properties=&quot;&quot;" command="SELECT * FROM [Cracow_result]"/>
  </connection>
  <connection id="11" xr16:uid="{6FC4A064-035D-EC46-B464-F1E98F836987}" keepAlive="1" name="Zapytanie — floor_exercise_2022" description="Połączenie z zapytaniem „floor_exercise_2022” w skoroszycie." type="5" refreshedVersion="8" background="1" saveData="1">
    <dbPr connection="Provider=Microsoft.Mashup.OleDb.1;Data Source=$Workbook$;Location=floor_exercise_2022;Extended Properties=&quot;&quot;" command="SELECT * FROM [floor_exercise_2022]"/>
  </connection>
  <connection id="12" xr16:uid="{C186C312-FD46-4969-8F34-59949513BE72}" keepAlive="1" name="Zapytanie — FX" description="Połączenie z zapytaniem „FX” w skoroszycie." type="5" refreshedVersion="8" background="1" saveData="1">
    <dbPr connection="Provider=Microsoft.Mashup.OleDb.1;Data Source=$Workbook$;Location=FX;Extended Properties=&quot;&quot;" command="SELECT * FROM [FX]"/>
  </connection>
  <connection id="13" xr16:uid="{B31EC910-7249-4702-848E-97FA762C2EDD}" keepAlive="1" name="Zapytanie — FX (2)" description="Połączenie z zapytaniem „FX (2)” w skoroszycie." type="5" refreshedVersion="0" background="1" saveData="1">
    <dbPr connection="Provider=Microsoft.Mashup.OleDb.1;Data Source=$Workbook$;Location=&quot;FX (2)&quot;;Extended Properties=&quot;&quot;" command="SELECT * FROM [FX (2)]"/>
  </connection>
  <connection id="14" xr16:uid="{A19AB94F-CE7F-444B-8710-24E5CE3A6EA6}" keepAlive="1" name="Zapytanie — FX (3)" description="Połączenie z zapytaniem „FX (3)” w skoroszycie." type="5" refreshedVersion="8" background="1" saveData="1">
    <dbPr connection="Provider=Microsoft.Mashup.OleDb.1;Data Source=$Workbook$;Location=&quot;FX (3)&quot;;Extended Properties=&quot;&quot;" command="SELECT * FROM [FX (3)]"/>
  </connection>
  <connection id="15" xr16:uid="{BD5F5795-DE6B-4100-8E70-ED1EBA7E9228}" keepAlive="1" name="Zapytanie — FX (4)" description="Połączenie z zapytaniem „FX (4)” w skoroszycie." type="5" refreshedVersion="8" background="1" saveData="1">
    <dbPr connection="Provider=Microsoft.Mashup.OleDb.1;Data Source=$Workbook$;Location=&quot;FX (4)&quot;;Extended Properties=&quot;&quot;" command="SELECT * FROM [FX (4)]"/>
  </connection>
  <connection id="16" xr16:uid="{2DC2E839-DC09-CB44-AEB2-89C872F2B963}" keepAlive="1" name="Zapytanie — gdansk_2022" description="Połączenie z zapytaniem „gdansk_2022” w skoroszycie." type="5" refreshedVersion="8" background="1" saveData="1">
    <dbPr connection="Provider=Microsoft.Mashup.OleDb.1;Data Source=$Workbook$;Location=gdansk_2022;Extended Properties=&quot;&quot;" command="SELECT * FROM [gdansk_2022]"/>
  </connection>
  <connection id="17" xr16:uid="{D74E0487-0EBB-432B-9CA2-3EF591AAD4E5}" keepAlive="1" name="Zapytanie — Gdansk_result" description="Połączenie z zapytaniem „Gdansk_result” w skoroszycie." type="5" refreshedVersion="0" background="1" saveData="1">
    <dbPr connection="Provider=Microsoft.Mashup.OleDb.1;Data Source=$Workbook$;Location=Gdansk_result;Extended Properties=&quot;&quot;" command="SELECT * FROM [Gdansk_result]"/>
  </connection>
  <connection id="18" xr16:uid="{70CD8D1D-F0C7-41C2-8EFC-1D3A482FC8EE}" keepAlive="1" name="Zapytanie — Gdansk_result (2)" description="Połączenie z zapytaniem „Gdansk_result (2)” w skoroszycie." type="5" refreshedVersion="8" background="1" saveData="1">
    <dbPr connection="Provider=Microsoft.Mashup.OleDb.1;Data Source=$Workbook$;Location=&quot;Gdansk_result (2)&quot;;Extended Properties=&quot;&quot;" command="SELECT * FROM [Gdansk_result (2)]"/>
  </connection>
  <connection id="19" xr16:uid="{2594D5B5-296F-4E2B-9F18-C9DCAB010753}" keepAlive="1" name="Zapytanie — HB" description="Połączenie z zapytaniem „HB” w skoroszycie." type="5" refreshedVersion="8" background="1" saveData="1">
    <dbPr connection="Provider=Microsoft.Mashup.OleDb.1;Data Source=$Workbook$;Location=HB;Extended Properties=&quot;&quot;" command="SELECT * FROM [HB]"/>
  </connection>
  <connection id="20" xr16:uid="{7C7B89C2-3378-3647-B15F-420F24B2B6D2}" keepAlive="1" name="Zapytanie — horizontal_bar_2022" description="Połączenie z zapytaniem „horizontal_bar_2022” w skoroszycie." type="5" refreshedVersion="8" background="1" saveData="1">
    <dbPr connection="Provider=Microsoft.Mashup.OleDb.1;Data Source=$Workbook$;Location=horizontal_bar_2022;Extended Properties=&quot;&quot;" command="SELECT * FROM [horizontal_bar_2022]"/>
  </connection>
  <connection id="21" xr16:uid="{7D3208CA-FAC0-3E42-A8AE-1B68B149B3E8}" keepAlive="1" name="Zapytanie — krakow_2022" description="Połączenie z zapytaniem „krakow_2022” w skoroszycie." type="5" refreshedVersion="0" background="1">
    <dbPr connection="Provider=Microsoft.Mashup.OleDb.1;Data Source=$Workbook$;Location=krakow_2022;Extended Properties=&quot;&quot;" command="SELECT * FROM [krakow_2022]"/>
  </connection>
  <connection id="22" xr16:uid="{2FD19CA3-FCEE-B04C-B52C-DD09D6AA5736}" keepAlive="1" name="Zapytanie — krakow_2022 (2)" description="Połączenie z zapytaniem „krakow_2022 (2)” w skoroszycie." type="5" refreshedVersion="8" background="1" saveData="1">
    <dbPr connection="Provider=Microsoft.Mashup.OleDb.1;Data Source=$Workbook$;Location=&quot;krakow_2022 (2)&quot;;Extended Properties=&quot;&quot;" command="SELECT * FROM [krakow_2022 (2)]"/>
  </connection>
  <connection id="23" xr16:uid="{32163624-E310-D04C-A3CB-8E90395A5E8F}" keepAlive="1" name="Zapytanie — pararell_bars_2022" description="Połączenie z zapytaniem „pararell_bars_2022” w skoroszycie." type="5" refreshedVersion="8" background="1" saveData="1">
    <dbPr connection="Provider=Microsoft.Mashup.OleDb.1;Data Source=$Workbook$;Location=pararell_bars_2022;Extended Properties=&quot;&quot;" command="SELECT * FROM [pararell_bars_2022]"/>
  </connection>
  <connection id="24" xr16:uid="{239E6510-A166-41DB-A8EB-DF996D48EFAD}" keepAlive="1" name="Zapytanie — PB" description="Połączenie z zapytaniem „PB” w skoroszycie." type="5" refreshedVersion="8" background="1" saveData="1">
    <dbPr connection="Provider=Microsoft.Mashup.OleDb.1;Data Source=$Workbook$;Location=PB;Extended Properties=&quot;&quot;" command="SELECT * FROM [PB]"/>
  </connection>
  <connection id="25" xr16:uid="{64CC03FE-4171-466D-A58B-04CDA0FDC991}" keepAlive="1" name="Zapytanie — PH" description="Połączenie z zapytaniem „PH” w skoroszycie." type="5" refreshedVersion="8" background="1" saveData="1">
    <dbPr connection="Provider=Microsoft.Mashup.OleDb.1;Data Source=$Workbook$;Location=PH;Extended Properties=&quot;&quot;" command="SELECT * FROM [PH]"/>
  </connection>
  <connection id="26" xr16:uid="{347ED1AA-2895-E14E-B507-CDA2F1D7DD32}" keepAlive="1" name="Zapytanie — pommel_horse_2022" description="Połączenie z zapytaniem „pommel_horse_2022” w skoroszycie." type="5" refreshedVersion="8" background="1" saveData="1">
    <dbPr connection="Provider=Microsoft.Mashup.OleDb.1;Data Source=$Workbook$;Location=pommel_horse_2022;Extended Properties=&quot;&quot;" command="SELECT * FROM [pommel_horse_2022]"/>
  </connection>
  <connection id="27" xr16:uid="{CF65ED0C-E1AF-409B-87D8-9C3FDFFDFD48}" keepAlive="1" name="Zapytanie — SR" description="Połączenie z zapytaniem „SR” w skoroszycie." type="5" refreshedVersion="8" background="1" saveData="1">
    <dbPr connection="Provider=Microsoft.Mashup.OleDb.1;Data Source=$Workbook$;Location=SR;Extended Properties=&quot;&quot;" command="SELECT * FROM [SR]"/>
  </connection>
  <connection id="28" xr16:uid="{3F4182D9-F1D0-1F4C-BDCE-9F1AB6CEC988}" keepAlive="1" name="Zapytanie — Still_ring_2022" description="Połączenie z zapytaniem „Still_ring_2022” w skoroszycie." type="5" refreshedVersion="8" background="1" saveData="1">
    <dbPr connection="Provider=Microsoft.Mashup.OleDb.1;Data Source=$Workbook$;Location=Still_ring_2022;Extended Properties=&quot;&quot;" command="SELECT * FROM [Still_ring_2022]"/>
  </connection>
  <connection id="29" xr16:uid="{E6C44DBE-6790-C049-AC76-357FA18B5ABD}" keepAlive="1" name="Zapytanie — Vault_2022" description="Połączenie z zapytaniem „Vault_2022” w skoroszycie." type="5" refreshedVersion="8" background="1" saveData="1">
    <dbPr connection="Provider=Microsoft.Mashup.OleDb.1;Data Source=$Workbook$;Location=Vault_2022;Extended Properties=&quot;&quot;" command="SELECT * FROM [Vault_2022]"/>
  </connection>
  <connection id="30" xr16:uid="{F0F2595F-D12E-4039-8771-BE832B333AC9}" keepAlive="1" name="Zapytanie — VT" description="Połączenie z zapytaniem „VT” w skoroszycie." type="5" refreshedVersion="0" background="1" saveData="1">
    <dbPr connection="Provider=Microsoft.Mashup.OleDb.1;Data Source=$Workbook$;Location=VT;Extended Properties=&quot;&quot;" command="SELECT * FROM [VT]"/>
  </connection>
  <connection id="31" xr16:uid="{91D4F1AB-9702-465F-A536-0A8C32923977}" keepAlive="1" name="Zapytanie — VT (2)" description="Połączenie z zapytaniem „VT (2)” w skoroszycie." type="5" refreshedVersion="8" background="1" saveData="1">
    <dbPr connection="Provider=Microsoft.Mashup.OleDb.1;Data Source=$Workbook$;Location=&quot;VT (2)&quot;;Extended Properties=&quot;&quot;" command="SELECT * FROM [VT (2)]"/>
  </connection>
  <connection id="32" xr16:uid="{FF45004B-BF42-D34C-A86E-189A76838E19}" keepAlive="1" name="Zapytanie — Zabrze_2022" description="Połączenie z zapytaniem „Zabrze_2022” w skoroszycie." type="5" refreshedVersion="8" background="1" saveData="1">
    <dbPr connection="Provider=Microsoft.Mashup.OleDb.1;Data Source=$Workbook$;Location=Zabrze_2022;Extended Properties=&quot;&quot;" command="SELECT * FROM [Zabrze_2022]"/>
  </connection>
  <connection id="33" xr16:uid="{E70C5306-6935-4E69-877E-A1A870BEA9B8}" keepAlive="1" name="Zapytanie — Zabrze_result" description="Połączenie z zapytaniem „Zabrze_result” w skoroszycie." type="5" refreshedVersion="0" background="1" saveData="1">
    <dbPr connection="Provider=Microsoft.Mashup.OleDb.1;Data Source=$Workbook$;Location=Zabrze_result;Extended Properties=&quot;&quot;" command="SELECT * FROM [Zabrze_result]"/>
  </connection>
  <connection id="34" xr16:uid="{8ABBAA07-436C-4409-A7A8-54D75856763B}" keepAlive="1" name="Zapytanie — Zabrze_result (2)" description="Połączenie z zapytaniem „Zabrze_result (2)” w skoroszycie." type="5" refreshedVersion="8" background="1" saveData="1">
    <dbPr connection="Provider=Microsoft.Mashup.OleDb.1;Data Source=$Workbook$;Location=&quot;Zabrze_result (2)&quot;;Extended Properties=&quot;&quot;" command="SELECT * FROM [Zabrze_result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<sst xmlns="http://schemas.openxmlformats.org/spreadsheetml/2006/main" count="53418" uniqueCount="356">
  <si>
    <t>Rk</t>
  </si>
  <si>
    <t>Name</t>
  </si>
  <si>
    <t>Category</t>
  </si>
  <si>
    <t>Birth_year</t>
  </si>
  <si>
    <t>License_number</t>
  </si>
  <si>
    <t>Club</t>
  </si>
  <si>
    <t>FX_Dscore</t>
  </si>
  <si>
    <t>FX_Escore</t>
  </si>
  <si>
    <t>FX_total_score</t>
  </si>
  <si>
    <t>PH_Dscore</t>
  </si>
  <si>
    <t>PH_Escore</t>
  </si>
  <si>
    <t>PH_Total_Score</t>
  </si>
  <si>
    <t>SR_Dscore</t>
  </si>
  <si>
    <t>SR_Escore</t>
  </si>
  <si>
    <t>SR_Total_Score</t>
  </si>
  <si>
    <t>VT_Dscore</t>
  </si>
  <si>
    <t>VT_Escore</t>
  </si>
  <si>
    <t>VT_total_score</t>
  </si>
  <si>
    <t>PB_Dscore</t>
  </si>
  <si>
    <t>PB_Escore</t>
  </si>
  <si>
    <t>PB_total_score</t>
  </si>
  <si>
    <t>HB_Dscore</t>
  </si>
  <si>
    <t>HB_Escore</t>
  </si>
  <si>
    <t>HB_total_score</t>
  </si>
  <si>
    <t>Total_Score</t>
  </si>
  <si>
    <t>LEKHAC Tomasz</t>
  </si>
  <si>
    <t>junior</t>
  </si>
  <si>
    <t>Z/08/00007</t>
  </si>
  <si>
    <t>CWZS Zawisza KG Bydgoszcz</t>
  </si>
  <si>
    <t>CZARNECKI Aleksander</t>
  </si>
  <si>
    <t>30195</t>
  </si>
  <si>
    <t>MKS Kusy Szczecin</t>
  </si>
  <si>
    <t>KWIATKOWSKI Michał</t>
  </si>
  <si>
    <t>30185</t>
  </si>
  <si>
    <t>KUZDRA Christian</t>
  </si>
  <si>
    <t>33663</t>
  </si>
  <si>
    <t>MKS Gdańsk</t>
  </si>
  <si>
    <t>KORBIEL Franciszek</t>
  </si>
  <si>
    <t>33134</t>
  </si>
  <si>
    <t>KS AZS AWF Kraków</t>
  </si>
  <si>
    <t>KOPERSKI Filip</t>
  </si>
  <si>
    <t>Z/07/00266</t>
  </si>
  <si>
    <t>JANKOWSKI Dominik</t>
  </si>
  <si>
    <t>330115</t>
  </si>
  <si>
    <t>KOŁODZIEJCZYK Karol</t>
  </si>
  <si>
    <t>32980</t>
  </si>
  <si>
    <t>ŻEMEŁKA Dawid</t>
  </si>
  <si>
    <t>Z/06/00087</t>
  </si>
  <si>
    <t>MOSKAL Błażej</t>
  </si>
  <si>
    <t>330111</t>
  </si>
  <si>
    <t>AZUMI Vincent</t>
  </si>
  <si>
    <t>Z/07/00342</t>
  </si>
  <si>
    <t>KUBALA Kacper</t>
  </si>
  <si>
    <t>330113</t>
  </si>
  <si>
    <t>RZEŹNICKI Gracjan</t>
  </si>
  <si>
    <t>Z/08/00032</t>
  </si>
  <si>
    <t>KS Iskra Zabrze</t>
  </si>
  <si>
    <t>MARCZEWSKI Stanisław</t>
  </si>
  <si>
    <t>32361</t>
  </si>
  <si>
    <t>GARNCZAREK Kacper</t>
  </si>
  <si>
    <t>senior</t>
  </si>
  <si>
    <t>32211</t>
  </si>
  <si>
    <t>KS AZS AWF Katowice</t>
  </si>
  <si>
    <t>SASNAL Filip</t>
  </si>
  <si>
    <t>32804</t>
  </si>
  <si>
    <t>WROŃSKI Filip</t>
  </si>
  <si>
    <t>32670</t>
  </si>
  <si>
    <t>NTG Nysa</t>
  </si>
  <si>
    <t>KUROWSKI Jakub</t>
  </si>
  <si>
    <t>30190</t>
  </si>
  <si>
    <t>KORNIICHUK Yehor</t>
  </si>
  <si>
    <t>Z/2001/135</t>
  </si>
  <si>
    <t>KS AZS AWFiS Gdańsk</t>
  </si>
  <si>
    <t>LUDYNIA Marceli</t>
  </si>
  <si>
    <t>32213</t>
  </si>
  <si>
    <t>LAKHIN Yaroslav</t>
  </si>
  <si>
    <t>Z/2003/308</t>
  </si>
  <si>
    <t>BOBER Michał</t>
  </si>
  <si>
    <t>33750</t>
  </si>
  <si>
    <t>UKS SP7 Łódź</t>
  </si>
  <si>
    <t>BRACKI Borys</t>
  </si>
  <si>
    <t>32570</t>
  </si>
  <si>
    <t>WIERZBA Kacper</t>
  </si>
  <si>
    <t>32450</t>
  </si>
  <si>
    <t>CHRUŚCIEL Szymon</t>
  </si>
  <si>
    <t>33132</t>
  </si>
  <si>
    <t>JAKUBOWSKI Jakub</t>
  </si>
  <si>
    <t>33661</t>
  </si>
  <si>
    <t>KUZDRA Konrad</t>
  </si>
  <si>
    <t>33664</t>
  </si>
  <si>
    <t>PAWŁOWSKI Jakub</t>
  </si>
  <si>
    <t>33097</t>
  </si>
  <si>
    <t>SZYMCZYK Radosław</t>
  </si>
  <si>
    <t>33928</t>
  </si>
  <si>
    <t>FRONT Filip</t>
  </si>
  <si>
    <t>30170</t>
  </si>
  <si>
    <t>IAREMCHUK Vladyslav</t>
  </si>
  <si>
    <t>Z/02/00023</t>
  </si>
  <si>
    <t>HERASYMOV Mykyta</t>
  </si>
  <si>
    <t>Z/2003/338</t>
  </si>
  <si>
    <t>SIEDZIAKO Igor</t>
  </si>
  <si>
    <t>30189</t>
  </si>
  <si>
    <t>PIETRUSZKIEWICZ Jakub</t>
  </si>
  <si>
    <t>30192</t>
  </si>
  <si>
    <t>BIAŁOWĄS Oliwier</t>
  </si>
  <si>
    <t>33662</t>
  </si>
  <si>
    <t>KUŹMIŃSKI Bartosz</t>
  </si>
  <si>
    <t>30186</t>
  </si>
  <si>
    <t>SIUTA Jakub</t>
  </si>
  <si>
    <t>Z/2000/105</t>
  </si>
  <si>
    <t>KLIMCZUK Paweł</t>
  </si>
  <si>
    <t>330103</t>
  </si>
  <si>
    <t>MISHCHENKO Oleksandr</t>
  </si>
  <si>
    <t>33333</t>
  </si>
  <si>
    <t>KLIMCZUK Michał</t>
  </si>
  <si>
    <t>330118</t>
  </si>
  <si>
    <t>GAWROŃSKI Sebastian</t>
  </si>
  <si>
    <t>32203</t>
  </si>
  <si>
    <t>LUKIANIENKO Illia</t>
  </si>
  <si>
    <t>Z/2000/104</t>
  </si>
  <si>
    <t>ĆWIEK Tymoteusz</t>
  </si>
  <si>
    <t>Z/06/00130</t>
  </si>
  <si>
    <t>ŁUCKI Miłosz</t>
  </si>
  <si>
    <t>32453</t>
  </si>
  <si>
    <t>KG Radlin</t>
  </si>
  <si>
    <t>SADZA Jakub</t>
  </si>
  <si>
    <t>326132</t>
  </si>
  <si>
    <t>KAŚKÓW Paweł</t>
  </si>
  <si>
    <t>33059</t>
  </si>
  <si>
    <t>LESIŃSKI Piotr</t>
  </si>
  <si>
    <t>Z/1999/55</t>
  </si>
  <si>
    <t>FX_Total_Score</t>
  </si>
  <si>
    <t>SZCZUBIAŁ Bartłomiej</t>
  </si>
  <si>
    <t>222222</t>
  </si>
  <si>
    <t>KLIMCZUK Michal</t>
  </si>
  <si>
    <t>KOLORZ Maks</t>
  </si>
  <si>
    <t>111111</t>
  </si>
  <si>
    <t>RUS Gracjan</t>
  </si>
  <si>
    <t>111112</t>
  </si>
  <si>
    <t>MYSZI Dominik</t>
  </si>
  <si>
    <t>111113</t>
  </si>
  <si>
    <t>KAŚKOW Paweł</t>
  </si>
  <si>
    <t>NOWAK Maciej</t>
  </si>
  <si>
    <t>32524</t>
  </si>
  <si>
    <t>YAREMCHUK Vladyslav</t>
  </si>
  <si>
    <t>bydgoszcz_FX_Dscore</t>
  </si>
  <si>
    <t>bydgoszcz_FX_Escore</t>
  </si>
  <si>
    <t>bydgoszcz_FX_Total_Score</t>
  </si>
  <si>
    <t>zabrze_FX_Dscore</t>
  </si>
  <si>
    <t>zabrze_FX_Escore</t>
  </si>
  <si>
    <t>zabrze_FX_Total_Score</t>
  </si>
  <si>
    <t>cracow_FX_Dscore</t>
  </si>
  <si>
    <t>cracow_FX_Escore</t>
  </si>
  <si>
    <t>cracow_FX_Total_Score</t>
  </si>
  <si>
    <t>gdansk_FX_Dscore</t>
  </si>
  <si>
    <t>gdansk_FX_Escore</t>
  </si>
  <si>
    <t>gdansk_FX_Total_Score</t>
  </si>
  <si>
    <t>bydgoszcz_PH_Dscore</t>
  </si>
  <si>
    <t>bydgoszcz_PH_Escore</t>
  </si>
  <si>
    <t>bydgoszcz_PH_Total_Score</t>
  </si>
  <si>
    <t>zabrze_PH_Dscore</t>
  </si>
  <si>
    <t>zabrze_PH_Escore</t>
  </si>
  <si>
    <t>zabrze_PH_Total_Score</t>
  </si>
  <si>
    <t>cracow_PH_Dscore</t>
  </si>
  <si>
    <t>cracow_PH_Escore</t>
  </si>
  <si>
    <t>cracow_PH_Total_Score</t>
  </si>
  <si>
    <t>gdansk_PH_Dscore</t>
  </si>
  <si>
    <t>gdansk_PH_Escore</t>
  </si>
  <si>
    <t>gdansk_PH_Total_Score</t>
  </si>
  <si>
    <t>bydgoszcz_SR_Dscore</t>
  </si>
  <si>
    <t>bydgoszcz_SR_Escore</t>
  </si>
  <si>
    <t>bydgoszcz_SR_Total_Score</t>
  </si>
  <si>
    <t>zabrze_SR_Dscore</t>
  </si>
  <si>
    <t>zabrze_SR_Escore</t>
  </si>
  <si>
    <t>zabrze_SR_Total_Score</t>
  </si>
  <si>
    <t>cracow_SR_Dscore</t>
  </si>
  <si>
    <t>cracow_SR_Escore</t>
  </si>
  <si>
    <t>cracow_SR_Total_Score</t>
  </si>
  <si>
    <t>gdansk_SR_Dscore</t>
  </si>
  <si>
    <t>gdansk_SR_Escore</t>
  </si>
  <si>
    <t>gdansk_SR_Total_Score</t>
  </si>
  <si>
    <t>bydgoszcz_VT_Dscore</t>
  </si>
  <si>
    <t>bydgoszcz_VT_Escore</t>
  </si>
  <si>
    <t>bydgoszcz_VT_Total_Score</t>
  </si>
  <si>
    <t>zabrze_VT_Dscore</t>
  </si>
  <si>
    <t>zabrze_VT_Escore</t>
  </si>
  <si>
    <t>zabrze_VT_Total_Score</t>
  </si>
  <si>
    <t>cracow_VT_Dscore</t>
  </si>
  <si>
    <t>cracow_VT_Escore</t>
  </si>
  <si>
    <t>cracow_VT_Total_Score</t>
  </si>
  <si>
    <t>gdansk_VT_Dscore</t>
  </si>
  <si>
    <t>gdansk_VT_Escore</t>
  </si>
  <si>
    <t>gdansk_VT_Total_Score</t>
  </si>
  <si>
    <t>bydgoszcz_PB_Dscore</t>
  </si>
  <si>
    <t>bydgoszcz_PB_Escore</t>
  </si>
  <si>
    <t>bydgoszcz_PB_Total_Score</t>
  </si>
  <si>
    <t>zabrze_PB_Dscore</t>
  </si>
  <si>
    <t>zabrze_PB_Escore</t>
  </si>
  <si>
    <t>zabrze_PB_Total_Score</t>
  </si>
  <si>
    <t>cracow_PB_Dscore</t>
  </si>
  <si>
    <t>cracow_PB_Escore</t>
  </si>
  <si>
    <t>cracow_PB_Total_Score</t>
  </si>
  <si>
    <t>gdansk_PB_Dscore</t>
  </si>
  <si>
    <t>gdansk_PB_Escore</t>
  </si>
  <si>
    <t>gdansk_PB_Total_Score</t>
  </si>
  <si>
    <t>bydgoszcz_HB_Dscore</t>
  </si>
  <si>
    <t>bydgoszcz_HB_Escore</t>
  </si>
  <si>
    <t>bydgoszcz_HB_Total_Score</t>
  </si>
  <si>
    <t>zabrze_HB_Dscore</t>
  </si>
  <si>
    <t>zabrze_HB_Escore</t>
  </si>
  <si>
    <t>zabrze_HB_Total_Score</t>
  </si>
  <si>
    <t>cracow_HB_Dscore</t>
  </si>
  <si>
    <t>cracow_HB_Escore</t>
  </si>
  <si>
    <t>cracow_HB_Total_Score</t>
  </si>
  <si>
    <t>gdansk_HB_Dscore</t>
  </si>
  <si>
    <t>gdansk_HB_Escore</t>
  </si>
  <si>
    <t>gdansk_HB_Total_Score</t>
  </si>
  <si>
    <t>Apparatus</t>
  </si>
  <si>
    <t>Floor Exercise</t>
  </si>
  <si>
    <t>Year_Dscore</t>
  </si>
  <si>
    <t>Year_Escore</t>
  </si>
  <si>
    <t>Year_Total_Score</t>
  </si>
  <si>
    <t>bydgoszcz_Escore</t>
  </si>
  <si>
    <t>bydgoszcz_Total_Score</t>
  </si>
  <si>
    <t>zabrze_Total_Score</t>
  </si>
  <si>
    <t>cracow_Total_Score</t>
  </si>
  <si>
    <t>gdansk_Total_Score</t>
  </si>
  <si>
    <t>Number_of_competition</t>
  </si>
  <si>
    <t>Number_of_Competition</t>
  </si>
  <si>
    <t>bydgoszcz_DScore</t>
  </si>
  <si>
    <t>zabrze_Dscore</t>
  </si>
  <si>
    <t>zabrze_Escore</t>
  </si>
  <si>
    <t>cracow_Dscore</t>
  </si>
  <si>
    <t>gdansk_Dscore</t>
  </si>
  <si>
    <t>gdansk_Escore</t>
  </si>
  <si>
    <t>AVG_Dscore</t>
  </si>
  <si>
    <t>AVG_Escore</t>
  </si>
  <si>
    <t>AVG_Total_Score</t>
  </si>
  <si>
    <t>Pommel Horse</t>
  </si>
  <si>
    <t>Still Rings</t>
  </si>
  <si>
    <t>Vault</t>
  </si>
  <si>
    <t>Pararell Bars</t>
  </si>
  <si>
    <t>Horizontal Bar</t>
  </si>
  <si>
    <t>All Around</t>
  </si>
  <si>
    <t>AVG D Score</t>
  </si>
  <si>
    <t>AVG Escore</t>
  </si>
  <si>
    <t>AVG Total Score</t>
  </si>
  <si>
    <t>AA_Dscore</t>
  </si>
  <si>
    <t>AA_Escore</t>
  </si>
  <si>
    <t>SD D score</t>
  </si>
  <si>
    <t>SD E score</t>
  </si>
  <si>
    <t>SD Total Score</t>
  </si>
  <si>
    <t>Top Score</t>
  </si>
  <si>
    <t>Gymnasts</t>
  </si>
  <si>
    <t>cracow_Escore</t>
  </si>
  <si>
    <t>All around competition</t>
  </si>
  <si>
    <t>Bydgoszcz_all_around</t>
  </si>
  <si>
    <t>Cracow_all_around</t>
  </si>
  <si>
    <t>Zabrze_all_around</t>
  </si>
  <si>
    <t>Gdansk_all_Around</t>
  </si>
  <si>
    <t>AVG_AA_Dscore</t>
  </si>
  <si>
    <t>AVG_AA_Escore</t>
  </si>
  <si>
    <t>AVG_AA_Total_Score</t>
  </si>
  <si>
    <t>Year_AA_Dscore</t>
  </si>
  <si>
    <t>Year_AA_Escore</t>
  </si>
  <si>
    <t>Year_AA_Total_Score</t>
  </si>
  <si>
    <t>Score Type</t>
  </si>
  <si>
    <t>Execution Score</t>
  </si>
  <si>
    <t>Total Score</t>
  </si>
  <si>
    <t>Difficult Score</t>
  </si>
  <si>
    <t>Top</t>
  </si>
  <si>
    <t>AVG Score</t>
  </si>
  <si>
    <t>SD</t>
  </si>
  <si>
    <t>AVG</t>
  </si>
  <si>
    <t>TOP</t>
  </si>
  <si>
    <t>Year Difficult Score</t>
  </si>
  <si>
    <t>Year Execution Score</t>
  </si>
  <si>
    <t>Year Total Score</t>
  </si>
  <si>
    <t>Kolumna1</t>
  </si>
  <si>
    <t>Kolumna2</t>
  </si>
  <si>
    <t>Kolumna3</t>
  </si>
  <si>
    <t>Kolumna4</t>
  </si>
  <si>
    <t>Kolumna5</t>
  </si>
  <si>
    <t>Kolumna6</t>
  </si>
  <si>
    <t>Kolumna7</t>
  </si>
  <si>
    <t>Kolumna8</t>
  </si>
  <si>
    <t>Kolumna9</t>
  </si>
  <si>
    <t>Kolumna10</t>
  </si>
  <si>
    <t>Kolumna11</t>
  </si>
  <si>
    <t>Kolumna12</t>
  </si>
  <si>
    <t>Kolumna13</t>
  </si>
  <si>
    <t>Kolumna14</t>
  </si>
  <si>
    <t>Kolumna15</t>
  </si>
  <si>
    <t>Kolumna16</t>
  </si>
  <si>
    <t>Kolumna17</t>
  </si>
  <si>
    <t>Best Gymnasts</t>
  </si>
  <si>
    <t>BEST GYMNAST</t>
  </si>
  <si>
    <t>2nd GYMNAST</t>
  </si>
  <si>
    <t>3rd GYMNAST</t>
  </si>
  <si>
    <t>Hardest routine</t>
  </si>
  <si>
    <t>Performer</t>
  </si>
  <si>
    <t>&gt; 1 SD D Score</t>
  </si>
  <si>
    <t>&gt; 1 SD Total Score</t>
  </si>
  <si>
    <t>No requirements :(</t>
  </si>
  <si>
    <t>&gt; 1 SD E AA Score</t>
  </si>
  <si>
    <t>Yes</t>
  </si>
  <si>
    <t>No</t>
  </si>
  <si>
    <t>Value</t>
  </si>
  <si>
    <t>Dscore</t>
  </si>
  <si>
    <t>Escore</t>
  </si>
  <si>
    <t>Suma końcowa</t>
  </si>
  <si>
    <t>Liczba z Value</t>
  </si>
  <si>
    <t>AA_Score</t>
  </si>
  <si>
    <t xml:space="preserve">Score Type </t>
  </si>
  <si>
    <t>Paralell Bars</t>
  </si>
  <si>
    <t>&lt;2,6</t>
  </si>
  <si>
    <t>Competition place</t>
  </si>
  <si>
    <t>Bydgoszcz</t>
  </si>
  <si>
    <t>2,6-3,1</t>
  </si>
  <si>
    <t>3,1-3,6</t>
  </si>
  <si>
    <t>3,6-4,1</t>
  </si>
  <si>
    <t>4,1-4,6</t>
  </si>
  <si>
    <t>4,6-5,1</t>
  </si>
  <si>
    <t>5,1-5,6</t>
  </si>
  <si>
    <t>5,6-6,1</t>
  </si>
  <si>
    <t>Zabrze</t>
  </si>
  <si>
    <t>AA Dscore</t>
  </si>
  <si>
    <t>AA Escore</t>
  </si>
  <si>
    <t>AA Sscore</t>
  </si>
  <si>
    <t>AA Score</t>
  </si>
  <si>
    <t>Cracow</t>
  </si>
  <si>
    <t>Gdansk</t>
  </si>
  <si>
    <t>Score</t>
  </si>
  <si>
    <t>Place of competition</t>
  </si>
  <si>
    <t>6,1-6,6</t>
  </si>
  <si>
    <t>6,6-7,1</t>
  </si>
  <si>
    <t>7,1-7,6</t>
  </si>
  <si>
    <t>7,6-8,1</t>
  </si>
  <si>
    <t>8,1-8,6</t>
  </si>
  <si>
    <t>8,6-9,1</t>
  </si>
  <si>
    <t>9,1-9,6</t>
  </si>
  <si>
    <t>Year</t>
  </si>
  <si>
    <t>Place of Competition</t>
  </si>
  <si>
    <t>Gdańsk</t>
  </si>
  <si>
    <t>Avg</t>
  </si>
  <si>
    <t xml:space="preserve">Place of competition </t>
  </si>
  <si>
    <t>Score value</t>
  </si>
  <si>
    <t>Place of competiton</t>
  </si>
  <si>
    <t>54-57</t>
  </si>
  <si>
    <t>60-63</t>
  </si>
  <si>
    <t>63-66</t>
  </si>
  <si>
    <t>66-69</t>
  </si>
  <si>
    <t>69-72</t>
  </si>
  <si>
    <t>72-75</t>
  </si>
  <si>
    <t>75-78</t>
  </si>
  <si>
    <t>Średnia z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</si>
</sst>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5" formatCode="0.000"/>
  </numFmts>
  <fonts count="17" x14ac:knownFonts="1">
    <font>
      <sz val="12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2"/>
      <color theme="5"/>
      <name val="Calibri"/>
      <family val="2"/>
      <charset val="238"/>
      <scheme val="minor"/>
    </font>
    <font>
      <sz val="12"/>
      <color theme="9" tint="-0.499984740745262"/>
      <name val="Calibri"/>
      <family val="2"/>
      <charset val="238"/>
      <scheme val="minor"/>
    </font>
    <font>
      <sz val="12"/>
      <color theme="5" tint="-0.499984740745262"/>
      <name val="Calibri"/>
      <family val="2"/>
      <charset val="238"/>
      <scheme val="minor"/>
    </font>
    <font>
      <sz val="12"/>
      <color rgb="FF7030A0"/>
      <name val="Calibri"/>
      <family val="2"/>
      <charset val="238"/>
      <scheme val="minor"/>
    </font>
    <font>
      <sz val="12"/>
      <color rgb="FFC00000"/>
      <name val="Calibri"/>
      <family val="2"/>
      <charset val="238"/>
      <scheme val="minor"/>
    </font>
    <font>
      <sz val="12"/>
      <color theme="7" tint="0.79998168889431442"/>
      <name val="Calibri"/>
      <family val="2"/>
      <charset val="238"/>
      <scheme val="minor"/>
    </font>
    <font>
      <sz val="12"/>
      <color theme="5" tint="0.79998168889431442"/>
      <name val="Calibri"/>
      <family val="2"/>
      <charset val="238"/>
      <scheme val="minor"/>
    </font>
    <font>
      <sz val="12"/>
      <color rgb="FFFFCCFF"/>
      <name val="Calibri"/>
      <family val="2"/>
      <charset val="238"/>
      <scheme val="minor"/>
    </font>
    <font>
      <sz val="12"/>
      <color theme="7"/>
      <name val="Calibri"/>
      <family val="2"/>
      <charset val="238"/>
      <scheme val="minor"/>
    </font>
    <font>
      <b/>
      <sz val="12"/>
      <color theme="4" tint="-0.249977111117893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18"/>
      <color theme="1"/>
      <name val="Calibri"/>
      <family val="2"/>
      <charset val="238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5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0" fontId="0" fillId="0" borderId="0" xfId="0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165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65" fontId="2" fillId="2" borderId="3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2" fillId="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0" fontId="8" fillId="8" borderId="5" xfId="0" applyFont="1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4" fillId="13" borderId="5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/>
    </xf>
    <xf numFmtId="0" fontId="12" fillId="0" borderId="9" xfId="0" applyFont="1" applyBorder="1"/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/>
    <xf numFmtId="0" fontId="13" fillId="0" borderId="0" xfId="0" pivotButton="1" applyFont="1"/>
    <xf numFmtId="0" fontId="13" fillId="0" borderId="0" xfId="0" applyFont="1"/>
    <xf numFmtId="0" fontId="13" fillId="0" borderId="0" xfId="0" applyFont="1" applyAlignment="1">
      <alignment horizontal="left"/>
    </xf>
    <xf numFmtId="0" fontId="13" fillId="0" borderId="0" xfId="0" applyNumberFormat="1" applyFont="1"/>
    <xf numFmtId="0" fontId="13" fillId="0" borderId="0" xfId="0" applyFont="1" applyAlignment="1">
      <alignment horizontal="left" indent="1"/>
    </xf>
    <xf numFmtId="0" fontId="14" fillId="0" borderId="0" xfId="0" pivotButton="1" applyFont="1"/>
    <xf numFmtId="0" fontId="15" fillId="0" borderId="0" xfId="0" pivotButton="1" applyFont="1"/>
    <xf numFmtId="0" fontId="16" fillId="0" borderId="0" xfId="0" applyFont="1"/>
    <xf numFmtId="0" fontId="16" fillId="0" borderId="0" xfId="0" pivotButton="1" applyFont="1"/>
    <xf numFmtId="0" fontId="16" fillId="0" borderId="0" xfId="0" applyFont="1" applyAlignment="1">
      <alignment horizontal="left"/>
    </xf>
    <xf numFmtId="0" fontId="16" fillId="0" borderId="0" xfId="0" applyNumberFormat="1" applyFont="1"/>
    <xf numFmtId="0" fontId="16" fillId="0" borderId="0" xfId="0" applyFont="1" applyAlignment="1">
      <alignment horizontal="left" indent="1"/>
    </xf>
    <xf numFmtId="165" fontId="13" fillId="0" borderId="0" xfId="0" applyNumberFormat="1" applyFont="1"/>
    <xf numFmtId="164" fontId="13" fillId="0" borderId="0" xfId="0" applyNumberFormat="1" applyFont="1"/>
  </cellXfs>
  <cellStyles count="1">
    <cellStyle name="Normalny" xfId="0" builtinId="0"/>
  </cellStyles>
  <dxfs count="1331"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font>
        <sz val="16"/>
      </font>
    </dxf>
    <dxf>
      <font>
        <b/>
      </font>
    </dxf>
    <dxf>
      <font>
        <sz val="16"/>
      </font>
    </dxf>
    <dxf>
      <font>
        <b/>
      </font>
    </dxf>
    <dxf>
      <font>
        <sz val="16"/>
      </font>
    </dxf>
    <dxf>
      <font>
        <b/>
      </font>
    </dxf>
    <dxf>
      <font>
        <sz val="16"/>
      </font>
    </dxf>
    <dxf>
      <font>
        <b/>
      </font>
    </dxf>
    <dxf>
      <font>
        <sz val="16"/>
      </font>
    </dxf>
    <dxf>
      <font>
        <b/>
      </font>
    </dxf>
    <dxf>
      <font>
        <sz val="16"/>
      </font>
    </dxf>
    <dxf>
      <font>
        <b/>
      </font>
    </dxf>
    <dxf>
      <font>
        <sz val="16"/>
      </font>
    </dxf>
    <dxf>
      <font>
        <b/>
      </font>
    </dxf>
    <dxf>
      <font>
        <sz val="16"/>
      </font>
    </dxf>
    <dxf>
      <font>
        <b/>
      </font>
    </dxf>
    <dxf>
      <font>
        <b/>
      </font>
    </dxf>
    <dxf>
      <font>
        <b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2" formatCode="0.00"/>
    </dxf>
    <dxf>
      <numFmt numFmtId="165" formatCode="0.000"/>
    </dxf>
    <dxf>
      <numFmt numFmtId="165" formatCode="0.000"/>
    </dxf>
    <dxf>
      <numFmt numFmtId="172" formatCode="0.0000"/>
    </dxf>
    <dxf>
      <numFmt numFmtId="171" formatCode="0.00000"/>
    </dxf>
    <dxf>
      <numFmt numFmtId="170" formatCode="0.000000"/>
    </dxf>
    <dxf>
      <numFmt numFmtId="169" formatCode="0.0000000"/>
    </dxf>
    <dxf>
      <numFmt numFmtId="168" formatCode="0.00000000"/>
    </dxf>
    <dxf>
      <numFmt numFmtId="167" formatCode="0.000000000"/>
    </dxf>
    <dxf>
      <numFmt numFmtId="2" formatCode="0.00"/>
    </dxf>
    <dxf>
      <numFmt numFmtId="164" formatCode="0.0"/>
    </dxf>
    <dxf>
      <numFmt numFmtId="165" formatCode="0.000"/>
    </dxf>
    <dxf>
      <numFmt numFmtId="172" formatCode="0.0000"/>
    </dxf>
    <dxf>
      <numFmt numFmtId="171" formatCode="0.00000"/>
    </dxf>
    <dxf>
      <numFmt numFmtId="170" formatCode="0.000000"/>
    </dxf>
    <dxf>
      <numFmt numFmtId="169" formatCode="0.0000000"/>
    </dxf>
    <dxf>
      <numFmt numFmtId="168" formatCode="0.00000000"/>
    </dxf>
    <dxf>
      <numFmt numFmtId="167" formatCode="0.0000000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72" formatCode="0.0000"/>
    </dxf>
    <dxf>
      <numFmt numFmtId="165" formatCode="0.000"/>
    </dxf>
    <dxf>
      <numFmt numFmtId="172" formatCode="0.0000"/>
    </dxf>
    <dxf>
      <numFmt numFmtId="165" formatCode="0.000"/>
    </dxf>
    <dxf>
      <numFmt numFmtId="171" formatCode="0.00000"/>
    </dxf>
    <dxf>
      <numFmt numFmtId="171" formatCode="0.00000"/>
    </dxf>
    <dxf>
      <numFmt numFmtId="170" formatCode="0.000000"/>
    </dxf>
    <dxf>
      <numFmt numFmtId="170" formatCode="0.000000"/>
    </dxf>
    <dxf>
      <numFmt numFmtId="169" formatCode="0.0000000"/>
    </dxf>
    <dxf>
      <numFmt numFmtId="169" formatCode="0.0000000"/>
    </dxf>
    <dxf>
      <numFmt numFmtId="168" formatCode="0.00000000"/>
    </dxf>
    <dxf>
      <numFmt numFmtId="168" formatCode="0.00000000"/>
    </dxf>
    <dxf>
      <numFmt numFmtId="2" formatCode="0.00"/>
    </dxf>
    <dxf>
      <numFmt numFmtId="164" formatCode="0.0"/>
    </dxf>
    <dxf>
      <numFmt numFmtId="165" formatCode="0.000"/>
    </dxf>
    <dxf>
      <numFmt numFmtId="172" formatCode="0.0000"/>
    </dxf>
    <dxf>
      <numFmt numFmtId="171" formatCode="0.00000"/>
    </dxf>
    <dxf>
      <numFmt numFmtId="170" formatCode="0.000000"/>
    </dxf>
    <dxf>
      <numFmt numFmtId="169" formatCode="0.0000000"/>
    </dxf>
    <dxf>
      <numFmt numFmtId="168" formatCode="0.00000000"/>
    </dxf>
    <dxf>
      <numFmt numFmtId="167" formatCode="0.000000000"/>
    </dxf>
    <dxf>
      <numFmt numFmtId="166" formatCode="0.0000000000"/>
    </dxf>
    <dxf>
      <numFmt numFmtId="173" formatCode="0.00000000000"/>
    </dxf>
    <dxf>
      <numFmt numFmtId="174" formatCode="0.000000000000"/>
    </dxf>
    <dxf>
      <numFmt numFmtId="173" formatCode="0.00000000000"/>
    </dxf>
    <dxf>
      <numFmt numFmtId="166" formatCode="0.0000000000"/>
    </dxf>
    <dxf>
      <numFmt numFmtId="172" formatCode="0.0000"/>
    </dxf>
    <dxf>
      <numFmt numFmtId="165" formatCode="0.000"/>
    </dxf>
    <dxf>
      <numFmt numFmtId="172" formatCode="0.0000"/>
    </dxf>
    <dxf>
      <numFmt numFmtId="165" formatCode="0.000"/>
    </dxf>
    <dxf>
      <numFmt numFmtId="171" formatCode="0.00000"/>
    </dxf>
    <dxf>
      <numFmt numFmtId="171" formatCode="0.00000"/>
    </dxf>
    <dxf>
      <numFmt numFmtId="170" formatCode="0.000000"/>
    </dxf>
    <dxf>
      <numFmt numFmtId="170" formatCode="0.000000"/>
    </dxf>
    <dxf>
      <numFmt numFmtId="169" formatCode="0.0000000"/>
    </dxf>
    <dxf>
      <numFmt numFmtId="169" formatCode="0.0000000"/>
    </dxf>
    <dxf>
      <numFmt numFmtId="168" formatCode="0.00000000"/>
    </dxf>
    <dxf>
      <numFmt numFmtId="168" formatCode="0.00000000"/>
    </dxf>
    <dxf>
      <numFmt numFmtId="167" formatCode="0.000000000"/>
    </dxf>
    <dxf>
      <numFmt numFmtId="167" formatCode="0.000000000"/>
    </dxf>
    <dxf>
      <numFmt numFmtId="166" formatCode="0.0000000000"/>
    </dxf>
    <dxf>
      <numFmt numFmtId="166" formatCode="0.0000000000"/>
    </dxf>
    <dxf>
      <numFmt numFmtId="167" formatCode="0.000000000"/>
    </dxf>
    <dxf>
      <numFmt numFmtId="167" formatCode="0.000000000"/>
    </dxf>
    <dxf>
      <numFmt numFmtId="168" formatCode="0.00000000"/>
    </dxf>
    <dxf>
      <numFmt numFmtId="168" formatCode="0.00000000"/>
    </dxf>
    <dxf>
      <numFmt numFmtId="2" formatCode="0.00"/>
    </dxf>
    <dxf>
      <numFmt numFmtId="164" formatCode="0.0"/>
    </dxf>
    <dxf>
      <numFmt numFmtId="165" formatCode="0.000"/>
    </dxf>
    <dxf>
      <numFmt numFmtId="172" formatCode="0.0000"/>
    </dxf>
    <dxf>
      <numFmt numFmtId="171" formatCode="0.00000"/>
    </dxf>
    <dxf>
      <numFmt numFmtId="170" formatCode="0.000000"/>
    </dxf>
    <dxf>
      <numFmt numFmtId="169" formatCode="0.0000000"/>
    </dxf>
    <dxf>
      <numFmt numFmtId="168" formatCode="0.00000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font>
        <sz val="16"/>
      </font>
    </dxf>
    <dxf>
      <numFmt numFmtId="164" formatCode="0.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2" formatCode="0.00"/>
    </dxf>
    <dxf>
      <numFmt numFmtId="165" formatCode="0.000"/>
    </dxf>
    <dxf>
      <numFmt numFmtId="164" formatCode="0.0"/>
    </dxf>
    <dxf>
      <numFmt numFmtId="2" formatCode="0.00"/>
    </dxf>
    <dxf>
      <numFmt numFmtId="164" formatCode="0.0"/>
    </dxf>
    <dxf>
      <numFmt numFmtId="164" formatCode="0.0"/>
    </dxf>
    <dxf>
      <numFmt numFmtId="1" formatCode="0"/>
    </dxf>
    <dxf>
      <font>
        <sz val="16"/>
      </font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4" formatCode="0.0"/>
    </dxf>
    <dxf>
      <numFmt numFmtId="165" formatCode="0.000"/>
    </dxf>
    <dxf>
      <numFmt numFmtId="164" formatCode="0.0"/>
    </dxf>
    <dxf>
      <numFmt numFmtId="164" formatCode="0.0"/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0"/>
      </font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FFCCFF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0"/>
      </font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FFCCFF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0"/>
      </font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FFCCFF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0"/>
      </font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FFCCFF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0"/>
      </font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b/>
      </font>
    </dxf>
    <dxf>
      <font>
        <b/>
      </font>
    </dxf>
    <dxf>
      <font>
        <sz val="16"/>
      </font>
    </dxf>
    <dxf>
      <font>
        <b/>
      </font>
    </dxf>
    <dxf>
      <font>
        <b/>
      </font>
    </dxf>
    <dxf>
      <font>
        <b/>
      </font>
    </dxf>
    <dxf>
      <font>
        <sz val="16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38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38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38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38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38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left style="thin">
          <color theme="1"/>
        </left>
        <top style="thin">
          <color theme="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38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textRotation="0" wrapText="0" indent="0" justifyLastLine="0" shrinkToFit="0" readingOrder="0"/>
    </dxf>
    <dxf>
      <numFmt numFmtId="164" formatCode="0.0"/>
      <alignment horizontal="center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textRotation="0" wrapText="0" indent="0" justifyLastLine="0" shrinkToFit="0" readingOrder="0"/>
    </dxf>
    <dxf>
      <numFmt numFmtId="164" formatCode="0.0"/>
      <alignment horizontal="center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164" formatCode="0.0"/>
      <alignment horizontal="center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textRotation="0" wrapText="0" indent="0" justifyLastLine="0" shrinkToFit="0" readingOrder="0"/>
    </dxf>
    <dxf>
      <numFmt numFmtId="164" formatCode="0.0"/>
      <alignment horizontal="center" textRotation="0" wrapText="0" indent="0" justifyLastLine="0" shrinkToFit="0" readingOrder="0"/>
    </dxf>
    <dxf>
      <numFmt numFmtId="165" formatCode="0.000"/>
      <alignment horizontal="center" textRotation="0" wrapText="0" indent="0" justifyLastLine="0" shrinkToFit="0" readingOrder="0"/>
    </dxf>
    <dxf>
      <numFmt numFmtId="165" formatCode="0.000"/>
      <alignment horizontal="center" textRotation="0" wrapText="0" indent="0" justifyLastLine="0" shrinkToFit="0" readingOrder="0"/>
    </dxf>
    <dxf>
      <numFmt numFmtId="164" formatCode="0.0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164" formatCode="0.0"/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color theme="1"/>
      </font>
      <border>
        <bottom style="thin">
          <color theme="5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i val="0"/>
        <color theme="1"/>
      </font>
      <border>
        <bottom style="thin">
          <color theme="4"/>
        </bottom>
        <vertical/>
        <horizontal/>
      </border>
    </dxf>
    <dxf>
      <font>
        <sz val="11"/>
        <color theme="1"/>
      </font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2" defaultTableStyle="TableStyleMedium2" defaultPivotStyle="PivotStyleLight16">
    <tableStyle name="SlicerStyleLight1 2" pivot="0" table="0" count="10" xr9:uid="{1DD15BAC-C201-41D3-9E22-B1DA073F8430}">
      <tableStyleElement type="wholeTable" dxfId="1330"/>
      <tableStyleElement type="headerRow" dxfId="1329"/>
    </tableStyle>
    <tableStyle name="SlicerStyleLight2 2" pivot="0" table="0" count="10" xr9:uid="{C52AB326-0745-431F-AF48-21AF473744F0}">
      <tableStyleElement type="wholeTable" dxfId="1328"/>
      <tableStyleElement type="headerRow" dxfId="1327"/>
    </tableStyle>
  </tableStyles>
  <colors>
    <mruColors>
      <color rgb="FFFFCCFF"/>
      <color rgb="FFFF9999"/>
      <color rgb="FF9933FF"/>
      <color rgb="FFFFCC00"/>
      <color rgb="FFFF7C80"/>
      <color rgb="FFFB7575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5" tint="0.79998168889431442"/>
              <bgColor theme="5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5" tint="0.59999389629810485"/>
              <bgColor theme="5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2.xml"/><Relationship Id="rId21" Type="http://schemas.openxmlformats.org/officeDocument/2006/relationships/pivotCacheDefinition" Target="pivotCache/pivotCacheDefinition8.xml"/><Relationship Id="rId42" Type="http://schemas.microsoft.com/office/2007/relationships/slicerCache" Target="slicerCaches/slicerCache18.xml"/><Relationship Id="rId47" Type="http://schemas.microsoft.com/office/2007/relationships/slicerCache" Target="slicerCaches/slicerCache23.xml"/><Relationship Id="rId63" Type="http://schemas.openxmlformats.org/officeDocument/2006/relationships/calcChain" Target="calcChain.xml"/><Relationship Id="rId68" Type="http://schemas.openxmlformats.org/officeDocument/2006/relationships/customXml" Target="../customXml/item5.xml"/><Relationship Id="rId16" Type="http://schemas.openxmlformats.org/officeDocument/2006/relationships/pivotCacheDefinition" Target="pivotCache/pivotCacheDefinition3.xml"/><Relationship Id="rId11" Type="http://schemas.openxmlformats.org/officeDocument/2006/relationships/worksheet" Target="worksheets/sheet11.xml"/><Relationship Id="rId32" Type="http://schemas.microsoft.com/office/2007/relationships/slicerCache" Target="slicerCaches/slicerCache8.xml"/><Relationship Id="rId37" Type="http://schemas.microsoft.com/office/2007/relationships/slicerCache" Target="slicerCaches/slicerCache13.xml"/><Relationship Id="rId53" Type="http://schemas.microsoft.com/office/2007/relationships/slicerCache" Target="slicerCaches/slicerCache29.xml"/><Relationship Id="rId58" Type="http://schemas.openxmlformats.org/officeDocument/2006/relationships/styles" Target="styles.xml"/><Relationship Id="rId74" Type="http://schemas.openxmlformats.org/officeDocument/2006/relationships/customXml" Target="../customXml/item11.xml"/><Relationship Id="rId79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61" Type="http://schemas.openxmlformats.org/officeDocument/2006/relationships/powerPivotData" Target="model/item.data"/><Relationship Id="rId82" Type="http://schemas.microsoft.com/office/2006/relationships/vbaProject" Target="vbaProject.bin"/><Relationship Id="rId19" Type="http://schemas.openxmlformats.org/officeDocument/2006/relationships/pivotCacheDefinition" Target="pivotCache/pivotCacheDefinition6.xml"/><Relationship Id="rId14" Type="http://schemas.openxmlformats.org/officeDocument/2006/relationships/pivotCacheDefinition" Target="pivotCache/pivotCacheDefinition1.xml"/><Relationship Id="rId22" Type="http://schemas.openxmlformats.org/officeDocument/2006/relationships/pivotCacheDefinition" Target="pivotCache/pivotCacheDefinition9.xml"/><Relationship Id="rId27" Type="http://schemas.microsoft.com/office/2007/relationships/slicerCache" Target="slicerCaches/slicerCache3.xml"/><Relationship Id="rId30" Type="http://schemas.microsoft.com/office/2007/relationships/slicerCache" Target="slicerCaches/slicerCache6.xml"/><Relationship Id="rId35" Type="http://schemas.microsoft.com/office/2007/relationships/slicerCache" Target="slicerCaches/slicerCache11.xml"/><Relationship Id="rId43" Type="http://schemas.microsoft.com/office/2007/relationships/slicerCache" Target="slicerCaches/slicerCache19.xml"/><Relationship Id="rId48" Type="http://schemas.microsoft.com/office/2007/relationships/slicerCache" Target="slicerCaches/slicerCache24.xml"/><Relationship Id="rId56" Type="http://schemas.openxmlformats.org/officeDocument/2006/relationships/theme" Target="theme/theme1.xml"/><Relationship Id="rId64" Type="http://schemas.openxmlformats.org/officeDocument/2006/relationships/customXml" Target="../customXml/item1.xml"/><Relationship Id="rId69" Type="http://schemas.openxmlformats.org/officeDocument/2006/relationships/customXml" Target="../customXml/item6.xml"/><Relationship Id="rId77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51" Type="http://schemas.microsoft.com/office/2007/relationships/slicerCache" Target="slicerCaches/slicerCache27.xml"/><Relationship Id="rId72" Type="http://schemas.openxmlformats.org/officeDocument/2006/relationships/customXml" Target="../customXml/item9.xml"/><Relationship Id="rId80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microsoft.com/office/2007/relationships/slicerCache" Target="slicerCaches/slicerCache1.xml"/><Relationship Id="rId33" Type="http://schemas.microsoft.com/office/2007/relationships/slicerCache" Target="slicerCaches/slicerCache9.xml"/><Relationship Id="rId38" Type="http://schemas.microsoft.com/office/2007/relationships/slicerCache" Target="slicerCaches/slicerCache14.xml"/><Relationship Id="rId46" Type="http://schemas.microsoft.com/office/2007/relationships/slicerCache" Target="slicerCaches/slicerCache22.xml"/><Relationship Id="rId59" Type="http://schemas.openxmlformats.org/officeDocument/2006/relationships/sharedStrings" Target="sharedStrings.xml"/><Relationship Id="rId67" Type="http://schemas.openxmlformats.org/officeDocument/2006/relationships/customXml" Target="../customXml/item4.xml"/><Relationship Id="rId20" Type="http://schemas.openxmlformats.org/officeDocument/2006/relationships/pivotCacheDefinition" Target="pivotCache/pivotCacheDefinition7.xml"/><Relationship Id="rId41" Type="http://schemas.microsoft.com/office/2007/relationships/slicerCache" Target="slicerCaches/slicerCache17.xml"/><Relationship Id="rId54" Type="http://schemas.microsoft.com/office/2007/relationships/slicerCache" Target="slicerCaches/slicerCache30.xml"/><Relationship Id="rId62" Type="http://schemas.microsoft.com/office/2017/10/relationships/person" Target="persons/person.xml"/><Relationship Id="rId70" Type="http://schemas.openxmlformats.org/officeDocument/2006/relationships/customXml" Target="../customXml/item7.xml"/><Relationship Id="rId75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2.xml"/><Relationship Id="rId23" Type="http://schemas.openxmlformats.org/officeDocument/2006/relationships/pivotCacheDefinition" Target="pivotCache/pivotCacheDefinition10.xml"/><Relationship Id="rId28" Type="http://schemas.microsoft.com/office/2007/relationships/slicerCache" Target="slicerCaches/slicerCache4.xml"/><Relationship Id="rId36" Type="http://schemas.microsoft.com/office/2007/relationships/slicerCache" Target="slicerCaches/slicerCache12.xml"/><Relationship Id="rId49" Type="http://schemas.microsoft.com/office/2007/relationships/slicerCache" Target="slicerCaches/slicerCache25.xml"/><Relationship Id="rId57" Type="http://schemas.openxmlformats.org/officeDocument/2006/relationships/connections" Target="connections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7.xml"/><Relationship Id="rId44" Type="http://schemas.microsoft.com/office/2007/relationships/slicerCache" Target="slicerCaches/slicerCache20.xml"/><Relationship Id="rId52" Type="http://schemas.microsoft.com/office/2007/relationships/slicerCache" Target="slicerCaches/slicerCache28.xml"/><Relationship Id="rId60" Type="http://schemas.openxmlformats.org/officeDocument/2006/relationships/sheetMetadata" Target="metadata.xml"/><Relationship Id="rId65" Type="http://schemas.openxmlformats.org/officeDocument/2006/relationships/customXml" Target="../customXml/item2.xml"/><Relationship Id="rId73" Type="http://schemas.openxmlformats.org/officeDocument/2006/relationships/customXml" Target="../customXml/item10.xml"/><Relationship Id="rId78" Type="http://schemas.openxmlformats.org/officeDocument/2006/relationships/customXml" Target="../customXml/item15.xml"/><Relationship Id="rId81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39" Type="http://schemas.microsoft.com/office/2007/relationships/slicerCache" Target="slicerCaches/slicerCache15.xml"/><Relationship Id="rId34" Type="http://schemas.microsoft.com/office/2007/relationships/slicerCache" Target="slicerCaches/slicerCache10.xml"/><Relationship Id="rId50" Type="http://schemas.microsoft.com/office/2007/relationships/slicerCache" Target="slicerCaches/slicerCache26.xml"/><Relationship Id="rId55" Type="http://schemas.microsoft.com/office/2007/relationships/slicerCache" Target="slicerCaches/slicerCache31.xml"/><Relationship Id="rId76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8.xml"/><Relationship Id="rId2" Type="http://schemas.openxmlformats.org/officeDocument/2006/relationships/worksheet" Target="worksheets/sheet2.xml"/><Relationship Id="rId29" Type="http://schemas.microsoft.com/office/2007/relationships/slicerCache" Target="slicerCaches/slicerCache5.xml"/><Relationship Id="rId24" Type="http://schemas.openxmlformats.org/officeDocument/2006/relationships/pivotCacheDefinition" Target="pivotCache/pivotCacheDefinition11.xml"/><Relationship Id="rId40" Type="http://schemas.microsoft.com/office/2007/relationships/slicerCache" Target="slicerCaches/slicerCache16.xml"/><Relationship Id="rId45" Type="http://schemas.microsoft.com/office/2007/relationships/slicerCache" Target="slicerCaches/slicerCache21.xml"/><Relationship Id="rId66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[Gymnastics-in-Poland.xlsx.xlsm]Bydgoszcz_2022!Tabela przestawna2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dLbl>
      </c:pivotFmt>
      <c:pivotFmt>
        <c:idx val="1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4788016725771449E-2"/>
          <c:y val="0.15939387004323299"/>
          <c:w val="0.89558135084626378"/>
          <c:h val="0.668565590642628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Bydgoszcz_2022!$AH$19:$AH$21</c:f>
              <c:strCache>
                <c:ptCount val="1"/>
                <c:pt idx="0">
                  <c:v>Dscore - junior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Bydgoszcz_2022!$AF$22:$AG$36</c:f>
              <c:multiLvlStrCache>
                <c:ptCount val="14"/>
                <c:lvl>
                  <c:pt idx="0">
                    <c:v>RUS Gracjan</c:v>
                  </c:pt>
                  <c:pt idx="1">
                    <c:v>MYSZI Dominik</c:v>
                  </c:pt>
                  <c:pt idx="2">
                    <c:v>KOLORZ Maks</c:v>
                  </c:pt>
                  <c:pt idx="3">
                    <c:v>KLIMCZUK Michal</c:v>
                  </c:pt>
                  <c:pt idx="4">
                    <c:v>MOSKAL Błażej</c:v>
                  </c:pt>
                  <c:pt idx="5">
                    <c:v>MARCZEWSKI Stanisław</c:v>
                  </c:pt>
                  <c:pt idx="6">
                    <c:v>KOŁODZIEJCZYK Karol</c:v>
                  </c:pt>
                  <c:pt idx="7">
                    <c:v>CZARNECKI Aleksander</c:v>
                  </c:pt>
                  <c:pt idx="8">
                    <c:v>KWIATKOWSKI Michał</c:v>
                  </c:pt>
                  <c:pt idx="9">
                    <c:v>KORBIEL Franciszek</c:v>
                  </c:pt>
                  <c:pt idx="10">
                    <c:v>KUZDRA Christian</c:v>
                  </c:pt>
                  <c:pt idx="11">
                    <c:v>MISHCHENKO Oleksandr</c:v>
                  </c:pt>
                  <c:pt idx="12">
                    <c:v>SZCZUBIAŁ Bartłomiej</c:v>
                  </c:pt>
                  <c:pt idx="13">
                    <c:v>LEKHAC Tomasz</c:v>
                  </c:pt>
                </c:lvl>
                <c:lvl>
                  <c:pt idx="0">
                    <c:v>Horizontal Bar</c:v>
                  </c:pt>
                </c:lvl>
              </c:multiLvlStrCache>
            </c:multiLvlStrRef>
          </c:cat>
          <c:val>
            <c:numRef>
              <c:f>Bydgoszcz_2022!$AH$22:$AH$36</c:f>
              <c:numCache>
                <c:formatCode>0.0</c:formatCode>
                <c:ptCount val="14"/>
                <c:pt idx="0">
                  <c:v>0.1</c:v>
                </c:pt>
                <c:pt idx="1">
                  <c:v>1</c:v>
                </c:pt>
                <c:pt idx="2">
                  <c:v>1.5</c:v>
                </c:pt>
                <c:pt idx="3">
                  <c:v>1.8</c:v>
                </c:pt>
                <c:pt idx="4">
                  <c:v>1.9</c:v>
                </c:pt>
                <c:pt idx="5">
                  <c:v>1.9</c:v>
                </c:pt>
                <c:pt idx="6">
                  <c:v>2.4</c:v>
                </c:pt>
                <c:pt idx="7">
                  <c:v>2.4</c:v>
                </c:pt>
                <c:pt idx="8">
                  <c:v>3.1</c:v>
                </c:pt>
                <c:pt idx="9">
                  <c:v>3</c:v>
                </c:pt>
                <c:pt idx="10">
                  <c:v>3.4</c:v>
                </c:pt>
                <c:pt idx="11">
                  <c:v>3.4</c:v>
                </c:pt>
                <c:pt idx="12">
                  <c:v>2.4</c:v>
                </c:pt>
                <c:pt idx="13">
                  <c:v>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30C-4C0B-92E9-7FC3003982A6}"/>
            </c:ext>
          </c:extLst>
        </c:ser>
        <c:ser>
          <c:idx val="1"/>
          <c:order val="1"/>
          <c:tx>
            <c:strRef>
              <c:f>Bydgoszcz_2022!$AI$19:$AI$21</c:f>
              <c:strCache>
                <c:ptCount val="1"/>
                <c:pt idx="0">
                  <c:v>Escore - junior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Bydgoszcz_2022!$AF$22:$AG$36</c:f>
              <c:multiLvlStrCache>
                <c:ptCount val="14"/>
                <c:lvl>
                  <c:pt idx="0">
                    <c:v>RUS Gracjan</c:v>
                  </c:pt>
                  <c:pt idx="1">
                    <c:v>MYSZI Dominik</c:v>
                  </c:pt>
                  <c:pt idx="2">
                    <c:v>KOLORZ Maks</c:v>
                  </c:pt>
                  <c:pt idx="3">
                    <c:v>KLIMCZUK Michal</c:v>
                  </c:pt>
                  <c:pt idx="4">
                    <c:v>MOSKAL Błażej</c:v>
                  </c:pt>
                  <c:pt idx="5">
                    <c:v>MARCZEWSKI Stanisław</c:v>
                  </c:pt>
                  <c:pt idx="6">
                    <c:v>KOŁODZIEJCZYK Karol</c:v>
                  </c:pt>
                  <c:pt idx="7">
                    <c:v>CZARNECKI Aleksander</c:v>
                  </c:pt>
                  <c:pt idx="8">
                    <c:v>KWIATKOWSKI Michał</c:v>
                  </c:pt>
                  <c:pt idx="9">
                    <c:v>KORBIEL Franciszek</c:v>
                  </c:pt>
                  <c:pt idx="10">
                    <c:v>KUZDRA Christian</c:v>
                  </c:pt>
                  <c:pt idx="11">
                    <c:v>MISHCHENKO Oleksandr</c:v>
                  </c:pt>
                  <c:pt idx="12">
                    <c:v>SZCZUBIAŁ Bartłomiej</c:v>
                  </c:pt>
                  <c:pt idx="13">
                    <c:v>LEKHAC Tomasz</c:v>
                  </c:pt>
                </c:lvl>
                <c:lvl>
                  <c:pt idx="0">
                    <c:v>Horizontal Bar</c:v>
                  </c:pt>
                </c:lvl>
              </c:multiLvlStrCache>
            </c:multiLvlStrRef>
          </c:cat>
          <c:val>
            <c:numRef>
              <c:f>Bydgoszcz_2022!$AI$22:$AI$36</c:f>
              <c:numCache>
                <c:formatCode>0.000</c:formatCode>
                <c:ptCount val="14"/>
                <c:pt idx="0">
                  <c:v>1</c:v>
                </c:pt>
                <c:pt idx="1">
                  <c:v>3.1</c:v>
                </c:pt>
                <c:pt idx="2">
                  <c:v>5</c:v>
                </c:pt>
                <c:pt idx="3">
                  <c:v>8</c:v>
                </c:pt>
                <c:pt idx="4">
                  <c:v>8</c:v>
                </c:pt>
                <c:pt idx="5">
                  <c:v>8.1</c:v>
                </c:pt>
                <c:pt idx="6">
                  <c:v>7.8</c:v>
                </c:pt>
                <c:pt idx="7">
                  <c:v>7.9</c:v>
                </c:pt>
                <c:pt idx="8">
                  <c:v>7.7</c:v>
                </c:pt>
                <c:pt idx="9">
                  <c:v>7.8</c:v>
                </c:pt>
                <c:pt idx="10">
                  <c:v>7.4</c:v>
                </c:pt>
                <c:pt idx="11">
                  <c:v>7.8</c:v>
                </c:pt>
                <c:pt idx="12">
                  <c:v>9.1</c:v>
                </c:pt>
                <c:pt idx="1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30C-4C0B-92E9-7FC3003982A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70986175"/>
        <c:axId val="1318598383"/>
      </c:barChart>
      <c:catAx>
        <c:axId val="1370986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18598383"/>
        <c:crosses val="autoZero"/>
        <c:auto val="1"/>
        <c:lblAlgn val="ctr"/>
        <c:lblOffset val="100"/>
        <c:noMultiLvlLbl val="0"/>
      </c:catAx>
      <c:valAx>
        <c:axId val="1318598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70986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aseline="0"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[Gymnastics-in-Poland.xlsx.xlsm]Zabrze_2022!Tabela przestawna4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8791749659100078E-2"/>
          <c:y val="0.15695637855154038"/>
          <c:w val="0.89042747720058857"/>
          <c:h val="0.729591030208676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Zabrze_2022!$AH$19:$AH$21</c:f>
              <c:strCache>
                <c:ptCount val="1"/>
                <c:pt idx="0">
                  <c:v>AA Dscore - senior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Zabrze_2022!$AF$22:$AG$46</c:f>
              <c:multiLvlStrCache>
                <c:ptCount val="24"/>
                <c:lvl>
                  <c:pt idx="0">
                    <c:v>KLIMCZUK Paweł</c:v>
                  </c:pt>
                  <c:pt idx="1">
                    <c:v>SIUTA Jakub</c:v>
                  </c:pt>
                  <c:pt idx="2">
                    <c:v>KUŹMIŃSKI Bartosz</c:v>
                  </c:pt>
                  <c:pt idx="3">
                    <c:v>BIAŁOWĄS Oliwier</c:v>
                  </c:pt>
                  <c:pt idx="4">
                    <c:v>PIETRUSZKIEWICZ Jakub</c:v>
                  </c:pt>
                  <c:pt idx="5">
                    <c:v>SIEDZIAKO Igor</c:v>
                  </c:pt>
                  <c:pt idx="6">
                    <c:v>HERASYMOV Mykyta</c:v>
                  </c:pt>
                  <c:pt idx="7">
                    <c:v>IAREMCHUK Vladyslav</c:v>
                  </c:pt>
                  <c:pt idx="8">
                    <c:v>FRONT Filip</c:v>
                  </c:pt>
                  <c:pt idx="9">
                    <c:v>SZYMCZYK Radosław</c:v>
                  </c:pt>
                  <c:pt idx="10">
                    <c:v>PAWŁOWSKI Jakub</c:v>
                  </c:pt>
                  <c:pt idx="11">
                    <c:v>KUZDRA Konrad</c:v>
                  </c:pt>
                  <c:pt idx="12">
                    <c:v>JAKUBOWSKI Jakub</c:v>
                  </c:pt>
                  <c:pt idx="13">
                    <c:v>CHRUŚCIEL Szymon</c:v>
                  </c:pt>
                  <c:pt idx="14">
                    <c:v>WIERZBA Kacper</c:v>
                  </c:pt>
                  <c:pt idx="15">
                    <c:v>BRACKI Borys</c:v>
                  </c:pt>
                  <c:pt idx="16">
                    <c:v>BOBER Michał</c:v>
                  </c:pt>
                  <c:pt idx="17">
                    <c:v>LAKHIN Yaroslav</c:v>
                  </c:pt>
                  <c:pt idx="18">
                    <c:v>LUDYNIA Marceli</c:v>
                  </c:pt>
                  <c:pt idx="19">
                    <c:v>KORNIICHUK Yehor</c:v>
                  </c:pt>
                  <c:pt idx="20">
                    <c:v>KUROWSKI Jakub</c:v>
                  </c:pt>
                  <c:pt idx="21">
                    <c:v>WROŃSKI Filip</c:v>
                  </c:pt>
                  <c:pt idx="22">
                    <c:v>SASNAL Filip</c:v>
                  </c:pt>
                  <c:pt idx="23">
                    <c:v>GARNCZAREK Kacper</c:v>
                  </c:pt>
                </c:lvl>
                <c:lvl>
                  <c:pt idx="0">
                    <c:v>All Around</c:v>
                  </c:pt>
                </c:lvl>
              </c:multiLvlStrCache>
            </c:multiLvlStrRef>
          </c:cat>
          <c:val>
            <c:numRef>
              <c:f>Zabrze_2022!$AH$22:$AH$46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20.9</c:v>
                </c:pt>
                <c:pt idx="14">
                  <c:v>21.900000000000002</c:v>
                </c:pt>
                <c:pt idx="15">
                  <c:v>20.9</c:v>
                </c:pt>
                <c:pt idx="16">
                  <c:v>21.1</c:v>
                </c:pt>
                <c:pt idx="17">
                  <c:v>20.7</c:v>
                </c:pt>
                <c:pt idx="18">
                  <c:v>20.999999999999996</c:v>
                </c:pt>
                <c:pt idx="19">
                  <c:v>25.6</c:v>
                </c:pt>
                <c:pt idx="20">
                  <c:v>21.5</c:v>
                </c:pt>
                <c:pt idx="21">
                  <c:v>21.3</c:v>
                </c:pt>
                <c:pt idx="22">
                  <c:v>28.299999999999997</c:v>
                </c:pt>
                <c:pt idx="23">
                  <c:v>28.299999999999997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40-4CE8-8499-A1494167F451}"/>
            </c:ext>
          </c:extLst>
        </c:ser>
        <c:ser>
          <c:idx val="1"/>
          <c:order val="1"/>
          <c:tx>
            <c:strRef>
              <c:f>Zabrze_2022!$AI$19:$AI$21</c:f>
              <c:strCache>
                <c:ptCount val="1"/>
                <c:pt idx="0">
                  <c:v>AA Escore - senior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Zabrze_2022!$AF$22:$AG$46</c:f>
              <c:multiLvlStrCache>
                <c:ptCount val="24"/>
                <c:lvl>
                  <c:pt idx="0">
                    <c:v>KLIMCZUK Paweł</c:v>
                  </c:pt>
                  <c:pt idx="1">
                    <c:v>SIUTA Jakub</c:v>
                  </c:pt>
                  <c:pt idx="2">
                    <c:v>KUŹMIŃSKI Bartosz</c:v>
                  </c:pt>
                  <c:pt idx="3">
                    <c:v>BIAŁOWĄS Oliwier</c:v>
                  </c:pt>
                  <c:pt idx="4">
                    <c:v>PIETRUSZKIEWICZ Jakub</c:v>
                  </c:pt>
                  <c:pt idx="5">
                    <c:v>SIEDZIAKO Igor</c:v>
                  </c:pt>
                  <c:pt idx="6">
                    <c:v>HERASYMOV Mykyta</c:v>
                  </c:pt>
                  <c:pt idx="7">
                    <c:v>IAREMCHUK Vladyslav</c:v>
                  </c:pt>
                  <c:pt idx="8">
                    <c:v>FRONT Filip</c:v>
                  </c:pt>
                  <c:pt idx="9">
                    <c:v>SZYMCZYK Radosław</c:v>
                  </c:pt>
                  <c:pt idx="10">
                    <c:v>PAWŁOWSKI Jakub</c:v>
                  </c:pt>
                  <c:pt idx="11">
                    <c:v>KUZDRA Konrad</c:v>
                  </c:pt>
                  <c:pt idx="12">
                    <c:v>JAKUBOWSKI Jakub</c:v>
                  </c:pt>
                  <c:pt idx="13">
                    <c:v>CHRUŚCIEL Szymon</c:v>
                  </c:pt>
                  <c:pt idx="14">
                    <c:v>WIERZBA Kacper</c:v>
                  </c:pt>
                  <c:pt idx="15">
                    <c:v>BRACKI Borys</c:v>
                  </c:pt>
                  <c:pt idx="16">
                    <c:v>BOBER Michał</c:v>
                  </c:pt>
                  <c:pt idx="17">
                    <c:v>LAKHIN Yaroslav</c:v>
                  </c:pt>
                  <c:pt idx="18">
                    <c:v>LUDYNIA Marceli</c:v>
                  </c:pt>
                  <c:pt idx="19">
                    <c:v>KORNIICHUK Yehor</c:v>
                  </c:pt>
                  <c:pt idx="20">
                    <c:v>KUROWSKI Jakub</c:v>
                  </c:pt>
                  <c:pt idx="21">
                    <c:v>WROŃSKI Filip</c:v>
                  </c:pt>
                  <c:pt idx="22">
                    <c:v>SASNAL Filip</c:v>
                  </c:pt>
                  <c:pt idx="23">
                    <c:v>GARNCZAREK Kacper</c:v>
                  </c:pt>
                </c:lvl>
                <c:lvl>
                  <c:pt idx="0">
                    <c:v>All Around</c:v>
                  </c:pt>
                </c:lvl>
              </c:multiLvlStrCache>
            </c:multiLvlStrRef>
          </c:cat>
          <c:val>
            <c:numRef>
              <c:f>Zabrze_2022!$AI$22:$AI$46</c:f>
              <c:numCache>
                <c:formatCode>0.000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43.05</c:v>
                </c:pt>
                <c:pt idx="14">
                  <c:v>46.95</c:v>
                </c:pt>
                <c:pt idx="15">
                  <c:v>47.999999999999993</c:v>
                </c:pt>
                <c:pt idx="16">
                  <c:v>47.85</c:v>
                </c:pt>
                <c:pt idx="17">
                  <c:v>48.949999999999996</c:v>
                </c:pt>
                <c:pt idx="18">
                  <c:v>48.9</c:v>
                </c:pt>
                <c:pt idx="19">
                  <c:v>44.8</c:v>
                </c:pt>
                <c:pt idx="20">
                  <c:v>49.949999999999996</c:v>
                </c:pt>
                <c:pt idx="21">
                  <c:v>50.750000000000007</c:v>
                </c:pt>
                <c:pt idx="22">
                  <c:v>45.7</c:v>
                </c:pt>
                <c:pt idx="23">
                  <c:v>47.85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34F-4CD7-A7D1-F5985F400B09}"/>
            </c:ext>
          </c:extLst>
        </c:ser>
        <c:ser>
          <c:idx val="2"/>
          <c:order val="2"/>
          <c:tx>
            <c:strRef>
              <c:f>Zabrze_2022!$AJ$19:$AJ$21</c:f>
              <c:strCache>
                <c:ptCount val="1"/>
                <c:pt idx="0">
                  <c:v>AA Sscore - senior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Zabrze_2022!$AF$22:$AG$46</c:f>
              <c:multiLvlStrCache>
                <c:ptCount val="24"/>
                <c:lvl>
                  <c:pt idx="0">
                    <c:v>KLIMCZUK Paweł</c:v>
                  </c:pt>
                  <c:pt idx="1">
                    <c:v>SIUTA Jakub</c:v>
                  </c:pt>
                  <c:pt idx="2">
                    <c:v>KUŹMIŃSKI Bartosz</c:v>
                  </c:pt>
                  <c:pt idx="3">
                    <c:v>BIAŁOWĄS Oliwier</c:v>
                  </c:pt>
                  <c:pt idx="4">
                    <c:v>PIETRUSZKIEWICZ Jakub</c:v>
                  </c:pt>
                  <c:pt idx="5">
                    <c:v>SIEDZIAKO Igor</c:v>
                  </c:pt>
                  <c:pt idx="6">
                    <c:v>HERASYMOV Mykyta</c:v>
                  </c:pt>
                  <c:pt idx="7">
                    <c:v>IAREMCHUK Vladyslav</c:v>
                  </c:pt>
                  <c:pt idx="8">
                    <c:v>FRONT Filip</c:v>
                  </c:pt>
                  <c:pt idx="9">
                    <c:v>SZYMCZYK Radosław</c:v>
                  </c:pt>
                  <c:pt idx="10">
                    <c:v>PAWŁOWSKI Jakub</c:v>
                  </c:pt>
                  <c:pt idx="11">
                    <c:v>KUZDRA Konrad</c:v>
                  </c:pt>
                  <c:pt idx="12">
                    <c:v>JAKUBOWSKI Jakub</c:v>
                  </c:pt>
                  <c:pt idx="13">
                    <c:v>CHRUŚCIEL Szymon</c:v>
                  </c:pt>
                  <c:pt idx="14">
                    <c:v>WIERZBA Kacper</c:v>
                  </c:pt>
                  <c:pt idx="15">
                    <c:v>BRACKI Borys</c:v>
                  </c:pt>
                  <c:pt idx="16">
                    <c:v>BOBER Michał</c:v>
                  </c:pt>
                  <c:pt idx="17">
                    <c:v>LAKHIN Yaroslav</c:v>
                  </c:pt>
                  <c:pt idx="18">
                    <c:v>LUDYNIA Marceli</c:v>
                  </c:pt>
                  <c:pt idx="19">
                    <c:v>KORNIICHUK Yehor</c:v>
                  </c:pt>
                  <c:pt idx="20">
                    <c:v>KUROWSKI Jakub</c:v>
                  </c:pt>
                  <c:pt idx="21">
                    <c:v>WROŃSKI Filip</c:v>
                  </c:pt>
                  <c:pt idx="22">
                    <c:v>SASNAL Filip</c:v>
                  </c:pt>
                  <c:pt idx="23">
                    <c:v>GARNCZAREK Kacper</c:v>
                  </c:pt>
                </c:lvl>
                <c:lvl>
                  <c:pt idx="0">
                    <c:v>All Around</c:v>
                  </c:pt>
                </c:lvl>
              </c:multiLvlStrCache>
            </c:multiLvlStrRef>
          </c:cat>
          <c:val>
            <c:numRef>
              <c:f>Zabrze_2022!$AJ$22:$AJ$46</c:f>
              <c:numCache>
                <c:formatCode>0.000</c:formatCode>
                <c:ptCount val="24"/>
                <c:pt idx="0">
                  <c:v>9.1</c:v>
                </c:pt>
                <c:pt idx="1">
                  <c:v>16</c:v>
                </c:pt>
                <c:pt idx="2">
                  <c:v>22.25</c:v>
                </c:pt>
                <c:pt idx="3">
                  <c:v>22.7</c:v>
                </c:pt>
                <c:pt idx="4">
                  <c:v>22.95</c:v>
                </c:pt>
                <c:pt idx="5">
                  <c:v>29.15</c:v>
                </c:pt>
                <c:pt idx="6">
                  <c:v>31</c:v>
                </c:pt>
                <c:pt idx="7">
                  <c:v>35.1</c:v>
                </c:pt>
                <c:pt idx="8">
                  <c:v>36.549999999999997</c:v>
                </c:pt>
                <c:pt idx="9">
                  <c:v>36.85</c:v>
                </c:pt>
                <c:pt idx="10">
                  <c:v>37.65</c:v>
                </c:pt>
                <c:pt idx="11">
                  <c:v>38.599999999999994</c:v>
                </c:pt>
                <c:pt idx="12">
                  <c:v>39.600000000000009</c:v>
                </c:pt>
                <c:pt idx="13">
                  <c:v>63.95</c:v>
                </c:pt>
                <c:pt idx="14">
                  <c:v>68.849999999999994</c:v>
                </c:pt>
                <c:pt idx="15">
                  <c:v>68.900000000000006</c:v>
                </c:pt>
                <c:pt idx="16">
                  <c:v>68.95</c:v>
                </c:pt>
                <c:pt idx="17">
                  <c:v>69.649999999999991</c:v>
                </c:pt>
                <c:pt idx="18">
                  <c:v>69.900000000000006</c:v>
                </c:pt>
                <c:pt idx="19">
                  <c:v>70.400000000000006</c:v>
                </c:pt>
                <c:pt idx="20">
                  <c:v>71.45</c:v>
                </c:pt>
                <c:pt idx="21">
                  <c:v>72.050000000000011</c:v>
                </c:pt>
                <c:pt idx="22">
                  <c:v>74</c:v>
                </c:pt>
                <c:pt idx="23">
                  <c:v>76.150000000000006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34F-4CD7-A7D1-F5985F400B0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03816223"/>
        <c:axId val="1608827071"/>
      </c:barChart>
      <c:catAx>
        <c:axId val="30381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08827071"/>
        <c:crosses val="autoZero"/>
        <c:auto val="1"/>
        <c:lblAlgn val="ctr"/>
        <c:lblOffset val="100"/>
        <c:noMultiLvlLbl val="0"/>
      </c:catAx>
      <c:valAx>
        <c:axId val="160882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03816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aseline="0"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[Gymnastics-in-Poland.xlsx.xlsm]Cracow_2022!Tabela przestawna5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0128803300562659E-2"/>
          <c:y val="0.15412019850144651"/>
          <c:w val="0.92650495786355591"/>
          <c:h val="0.730276534711669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Cracow_2022!$AH$20:$AH$22</c:f>
              <c:strCache>
                <c:ptCount val="1"/>
                <c:pt idx="0">
                  <c:v>Escore - senior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Cracow_2022!$AF$23:$AG$34</c:f>
              <c:multiLvlStrCache>
                <c:ptCount val="11"/>
                <c:lvl>
                  <c:pt idx="0">
                    <c:v>LUDYNIA Marceli</c:v>
                  </c:pt>
                  <c:pt idx="1">
                    <c:v>CHRUŚCIEL Szymon</c:v>
                  </c:pt>
                  <c:pt idx="2">
                    <c:v>GAWROŃSKI Sebastian</c:v>
                  </c:pt>
                  <c:pt idx="3">
                    <c:v>BOBER Michał</c:v>
                  </c:pt>
                  <c:pt idx="4">
                    <c:v>SASNAL Filip</c:v>
                  </c:pt>
                  <c:pt idx="5">
                    <c:v>KAŚKÓW Paweł</c:v>
                  </c:pt>
                  <c:pt idx="6">
                    <c:v>BRACKI Borys</c:v>
                  </c:pt>
                  <c:pt idx="7">
                    <c:v>KUROWSKI Jakub</c:v>
                  </c:pt>
                  <c:pt idx="8">
                    <c:v>LUKIANIENKO Illia</c:v>
                  </c:pt>
                  <c:pt idx="9">
                    <c:v>GARNCZAREK Kacper</c:v>
                  </c:pt>
                  <c:pt idx="10">
                    <c:v>LAKHIN Yaroslav</c:v>
                  </c:pt>
                </c:lvl>
                <c:lvl>
                  <c:pt idx="0">
                    <c:v>Pommel Horse</c:v>
                  </c:pt>
                </c:lvl>
              </c:multiLvlStrCache>
            </c:multiLvlStrRef>
          </c:cat>
          <c:val>
            <c:numRef>
              <c:f>Cracow_2022!$AH$23:$AH$34</c:f>
              <c:numCache>
                <c:formatCode>0.0</c:formatCode>
                <c:ptCount val="11"/>
                <c:pt idx="0">
                  <c:v>3.05</c:v>
                </c:pt>
                <c:pt idx="1">
                  <c:v>4.5999999999999996</c:v>
                </c:pt>
                <c:pt idx="2">
                  <c:v>6.5</c:v>
                </c:pt>
                <c:pt idx="3">
                  <c:v>7</c:v>
                </c:pt>
                <c:pt idx="4">
                  <c:v>7</c:v>
                </c:pt>
                <c:pt idx="5">
                  <c:v>7.2</c:v>
                </c:pt>
                <c:pt idx="6">
                  <c:v>8</c:v>
                </c:pt>
                <c:pt idx="7">
                  <c:v>8</c:v>
                </c:pt>
                <c:pt idx="8">
                  <c:v>7.7</c:v>
                </c:pt>
                <c:pt idx="9">
                  <c:v>7.7</c:v>
                </c:pt>
                <c:pt idx="10">
                  <c:v>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B1-45C3-B601-2FE325CAA9AA}"/>
            </c:ext>
          </c:extLst>
        </c:ser>
        <c:ser>
          <c:idx val="1"/>
          <c:order val="1"/>
          <c:tx>
            <c:strRef>
              <c:f>Cracow_2022!$AI$20:$AI$22</c:f>
              <c:strCache>
                <c:ptCount val="1"/>
                <c:pt idx="0">
                  <c:v>Total Score - senior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Cracow_2022!$AF$23:$AG$34</c:f>
              <c:multiLvlStrCache>
                <c:ptCount val="11"/>
                <c:lvl>
                  <c:pt idx="0">
                    <c:v>LUDYNIA Marceli</c:v>
                  </c:pt>
                  <c:pt idx="1">
                    <c:v>CHRUŚCIEL Szymon</c:v>
                  </c:pt>
                  <c:pt idx="2">
                    <c:v>GAWROŃSKI Sebastian</c:v>
                  </c:pt>
                  <c:pt idx="3">
                    <c:v>BOBER Michał</c:v>
                  </c:pt>
                  <c:pt idx="4">
                    <c:v>SASNAL Filip</c:v>
                  </c:pt>
                  <c:pt idx="5">
                    <c:v>KAŚKÓW Paweł</c:v>
                  </c:pt>
                  <c:pt idx="6">
                    <c:v>BRACKI Borys</c:v>
                  </c:pt>
                  <c:pt idx="7">
                    <c:v>KUROWSKI Jakub</c:v>
                  </c:pt>
                  <c:pt idx="8">
                    <c:v>LUKIANIENKO Illia</c:v>
                  </c:pt>
                  <c:pt idx="9">
                    <c:v>GARNCZAREK Kacper</c:v>
                  </c:pt>
                  <c:pt idx="10">
                    <c:v>LAKHIN Yaroslav</c:v>
                  </c:pt>
                </c:lvl>
                <c:lvl>
                  <c:pt idx="0">
                    <c:v>Pommel Horse</c:v>
                  </c:pt>
                </c:lvl>
              </c:multiLvlStrCache>
            </c:multiLvlStrRef>
          </c:cat>
          <c:val>
            <c:numRef>
              <c:f>Cracow_2022!$AI$23:$AI$34</c:f>
              <c:numCache>
                <c:formatCode>0.000</c:formatCode>
                <c:ptCount val="11"/>
                <c:pt idx="0">
                  <c:v>6.15</c:v>
                </c:pt>
                <c:pt idx="1">
                  <c:v>7.8</c:v>
                </c:pt>
                <c:pt idx="2">
                  <c:v>10.7</c:v>
                </c:pt>
                <c:pt idx="3">
                  <c:v>10.7</c:v>
                </c:pt>
                <c:pt idx="4">
                  <c:v>11.4</c:v>
                </c:pt>
                <c:pt idx="5">
                  <c:v>11.6</c:v>
                </c:pt>
                <c:pt idx="6">
                  <c:v>11.6</c:v>
                </c:pt>
                <c:pt idx="7">
                  <c:v>11.8</c:v>
                </c:pt>
                <c:pt idx="8">
                  <c:v>12.3</c:v>
                </c:pt>
                <c:pt idx="9">
                  <c:v>12.9</c:v>
                </c:pt>
                <c:pt idx="10">
                  <c:v>12.7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3AC-4230-ABBC-1B4026FFCC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06165695"/>
        <c:axId val="1608828991"/>
      </c:barChart>
      <c:catAx>
        <c:axId val="14061656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08828991"/>
        <c:crosses val="autoZero"/>
        <c:auto val="1"/>
        <c:lblAlgn val="ctr"/>
        <c:lblOffset val="100"/>
        <c:noMultiLvlLbl val="0"/>
      </c:catAx>
      <c:valAx>
        <c:axId val="1608828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061656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aseline="0"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[Gymnastics-in-Poland.xlsx.xlsm]Gdansk_2022!Tabela przestawna6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4470782982577245E-2"/>
          <c:y val="0.14561584520628207"/>
          <c:w val="0.9068717442314097"/>
          <c:h val="0.704647812852794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Gdansk_2022!$AH$18:$AH$20</c:f>
              <c:strCache>
                <c:ptCount val="1"/>
                <c:pt idx="0">
                  <c:v>AA Dscore - junior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Gdansk_2022!$AF$21:$AG$32</c:f>
              <c:multiLvlStrCache>
                <c:ptCount val="11"/>
                <c:lvl>
                  <c:pt idx="0">
                    <c:v>ŻEMEŁKA Dawid</c:v>
                  </c:pt>
                  <c:pt idx="1">
                    <c:v>MOSKAL Błażej</c:v>
                  </c:pt>
                  <c:pt idx="2">
                    <c:v>JANKOWSKI Dominik</c:v>
                  </c:pt>
                  <c:pt idx="3">
                    <c:v>KORBIEL Franciszek</c:v>
                  </c:pt>
                  <c:pt idx="4">
                    <c:v>MISHCHENKO Oleksandr</c:v>
                  </c:pt>
                  <c:pt idx="5">
                    <c:v>KOPERSKI Filip</c:v>
                  </c:pt>
                  <c:pt idx="6">
                    <c:v>KOŁODZIEJCZYK Karol</c:v>
                  </c:pt>
                  <c:pt idx="7">
                    <c:v>KUZDRA Christian</c:v>
                  </c:pt>
                  <c:pt idx="8">
                    <c:v>CZARNECKI Aleksander</c:v>
                  </c:pt>
                  <c:pt idx="9">
                    <c:v>KWIATKOWSKI Michał</c:v>
                  </c:pt>
                  <c:pt idx="10">
                    <c:v>LEKHAC Tomasz</c:v>
                  </c:pt>
                </c:lvl>
                <c:lvl>
                  <c:pt idx="0">
                    <c:v>All Around</c:v>
                  </c:pt>
                </c:lvl>
              </c:multiLvlStrCache>
            </c:multiLvlStrRef>
          </c:cat>
          <c:val>
            <c:numRef>
              <c:f>Gdansk_2022!$AH$21:$AH$32</c:f>
              <c:numCache>
                <c:formatCode>0.0</c:formatCode>
                <c:ptCount val="11"/>
                <c:pt idx="0">
                  <c:v>12.600000000000001</c:v>
                </c:pt>
                <c:pt idx="1">
                  <c:v>13.9</c:v>
                </c:pt>
                <c:pt idx="2">
                  <c:v>15.000000000000002</c:v>
                </c:pt>
                <c:pt idx="3">
                  <c:v>17.900000000000002</c:v>
                </c:pt>
                <c:pt idx="4">
                  <c:v>19.5</c:v>
                </c:pt>
                <c:pt idx="5">
                  <c:v>17.599999999999998</c:v>
                </c:pt>
                <c:pt idx="6">
                  <c:v>15.7</c:v>
                </c:pt>
                <c:pt idx="7">
                  <c:v>19.099999999999998</c:v>
                </c:pt>
                <c:pt idx="8">
                  <c:v>20.399999999999999</c:v>
                </c:pt>
                <c:pt idx="9">
                  <c:v>20.099999999999998</c:v>
                </c:pt>
                <c:pt idx="10">
                  <c:v>19.599999999999998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B50-498F-B5D5-41A1385589BB}"/>
            </c:ext>
          </c:extLst>
        </c:ser>
        <c:ser>
          <c:idx val="1"/>
          <c:order val="1"/>
          <c:tx>
            <c:strRef>
              <c:f>Gdansk_2022!$AI$18:$AI$20</c:f>
              <c:strCache>
                <c:ptCount val="1"/>
                <c:pt idx="0">
                  <c:v>AA Escore - junior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Gdansk_2022!$AF$21:$AG$32</c:f>
              <c:multiLvlStrCache>
                <c:ptCount val="11"/>
                <c:lvl>
                  <c:pt idx="0">
                    <c:v>ŻEMEŁKA Dawid</c:v>
                  </c:pt>
                  <c:pt idx="1">
                    <c:v>MOSKAL Błażej</c:v>
                  </c:pt>
                  <c:pt idx="2">
                    <c:v>JANKOWSKI Dominik</c:v>
                  </c:pt>
                  <c:pt idx="3">
                    <c:v>KORBIEL Franciszek</c:v>
                  </c:pt>
                  <c:pt idx="4">
                    <c:v>MISHCHENKO Oleksandr</c:v>
                  </c:pt>
                  <c:pt idx="5">
                    <c:v>KOPERSKI Filip</c:v>
                  </c:pt>
                  <c:pt idx="6">
                    <c:v>KOŁODZIEJCZYK Karol</c:v>
                  </c:pt>
                  <c:pt idx="7">
                    <c:v>KUZDRA Christian</c:v>
                  </c:pt>
                  <c:pt idx="8">
                    <c:v>CZARNECKI Aleksander</c:v>
                  </c:pt>
                  <c:pt idx="9">
                    <c:v>KWIATKOWSKI Michał</c:v>
                  </c:pt>
                  <c:pt idx="10">
                    <c:v>LEKHAC Tomasz</c:v>
                  </c:pt>
                </c:lvl>
                <c:lvl>
                  <c:pt idx="0">
                    <c:v>All Around</c:v>
                  </c:pt>
                </c:lvl>
              </c:multiLvlStrCache>
            </c:multiLvlStrRef>
          </c:cat>
          <c:val>
            <c:numRef>
              <c:f>Gdansk_2022!$AI$21:$AI$32</c:f>
              <c:numCache>
                <c:formatCode>0.000</c:formatCode>
                <c:ptCount val="11"/>
                <c:pt idx="0">
                  <c:v>40.299999999999997</c:v>
                </c:pt>
                <c:pt idx="1">
                  <c:v>48.2</c:v>
                </c:pt>
                <c:pt idx="2">
                  <c:v>47.699999999999996</c:v>
                </c:pt>
                <c:pt idx="3">
                  <c:v>45.199999999999996</c:v>
                </c:pt>
                <c:pt idx="4">
                  <c:v>43.8</c:v>
                </c:pt>
                <c:pt idx="5">
                  <c:v>46.2</c:v>
                </c:pt>
                <c:pt idx="6">
                  <c:v>48.5</c:v>
                </c:pt>
                <c:pt idx="7">
                  <c:v>45.4</c:v>
                </c:pt>
                <c:pt idx="8">
                  <c:v>45.900000000000006</c:v>
                </c:pt>
                <c:pt idx="9">
                  <c:v>46.3</c:v>
                </c:pt>
                <c:pt idx="10">
                  <c:v>50.400000000000006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B50-498F-B5D5-41A1385589BB}"/>
            </c:ext>
          </c:extLst>
        </c:ser>
        <c:ser>
          <c:idx val="2"/>
          <c:order val="2"/>
          <c:tx>
            <c:strRef>
              <c:f>Gdansk_2022!$AJ$18:$AJ$20</c:f>
              <c:strCache>
                <c:ptCount val="1"/>
                <c:pt idx="0">
                  <c:v>AA Score - junior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Gdansk_2022!$AF$21:$AG$32</c:f>
              <c:multiLvlStrCache>
                <c:ptCount val="11"/>
                <c:lvl>
                  <c:pt idx="0">
                    <c:v>ŻEMEŁKA Dawid</c:v>
                  </c:pt>
                  <c:pt idx="1">
                    <c:v>MOSKAL Błażej</c:v>
                  </c:pt>
                  <c:pt idx="2">
                    <c:v>JANKOWSKI Dominik</c:v>
                  </c:pt>
                  <c:pt idx="3">
                    <c:v>KORBIEL Franciszek</c:v>
                  </c:pt>
                  <c:pt idx="4">
                    <c:v>MISHCHENKO Oleksandr</c:v>
                  </c:pt>
                  <c:pt idx="5">
                    <c:v>KOPERSKI Filip</c:v>
                  </c:pt>
                  <c:pt idx="6">
                    <c:v>KOŁODZIEJCZYK Karol</c:v>
                  </c:pt>
                  <c:pt idx="7">
                    <c:v>KUZDRA Christian</c:v>
                  </c:pt>
                  <c:pt idx="8">
                    <c:v>CZARNECKI Aleksander</c:v>
                  </c:pt>
                  <c:pt idx="9">
                    <c:v>KWIATKOWSKI Michał</c:v>
                  </c:pt>
                  <c:pt idx="10">
                    <c:v>LEKHAC Tomasz</c:v>
                  </c:pt>
                </c:lvl>
                <c:lvl>
                  <c:pt idx="0">
                    <c:v>All Around</c:v>
                  </c:pt>
                </c:lvl>
              </c:multiLvlStrCache>
            </c:multiLvlStrRef>
          </c:cat>
          <c:val>
            <c:numRef>
              <c:f>Gdansk_2022!$AJ$21:$AJ$32</c:f>
              <c:numCache>
                <c:formatCode>0.000</c:formatCode>
                <c:ptCount val="11"/>
                <c:pt idx="0">
                  <c:v>52.9</c:v>
                </c:pt>
                <c:pt idx="1">
                  <c:v>62.1</c:v>
                </c:pt>
                <c:pt idx="2">
                  <c:v>62.7</c:v>
                </c:pt>
                <c:pt idx="3">
                  <c:v>63.1</c:v>
                </c:pt>
                <c:pt idx="4">
                  <c:v>63.3</c:v>
                </c:pt>
                <c:pt idx="5">
                  <c:v>63.8</c:v>
                </c:pt>
                <c:pt idx="6">
                  <c:v>64.2</c:v>
                </c:pt>
                <c:pt idx="7">
                  <c:v>64.5</c:v>
                </c:pt>
                <c:pt idx="8">
                  <c:v>66.3</c:v>
                </c:pt>
                <c:pt idx="9">
                  <c:v>66.400000000000006</c:v>
                </c:pt>
                <c:pt idx="1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B50-498F-B5D5-41A1385589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7699391"/>
        <c:axId val="323299775"/>
      </c:barChart>
      <c:catAx>
        <c:axId val="167699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23299775"/>
        <c:crosses val="autoZero"/>
        <c:auto val="1"/>
        <c:lblAlgn val="ctr"/>
        <c:lblOffset val="100"/>
        <c:noMultiLvlLbl val="0"/>
      </c:catAx>
      <c:valAx>
        <c:axId val="323299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7699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aseline="0"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[Gymnastics-in-Poland.xlsx.xlsm]FX_2022!Tabela przestawna8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316046408659185E-2"/>
          <c:y val="0.10591158809766912"/>
          <c:w val="0.91687674628206173"/>
          <c:h val="0.7465123601418087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FX_2022!$AA$27:$AA$28</c:f>
              <c:strCache>
                <c:ptCount val="1"/>
                <c:pt idx="0">
                  <c:v>junior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FX_2022!$Z$29:$Z$38</c:f>
              <c:multiLvlStrCache>
                <c:ptCount val="9"/>
                <c:lvl>
                  <c:pt idx="0">
                    <c:v>4,1-4,6</c:v>
                  </c:pt>
                  <c:pt idx="1">
                    <c:v>5,1-5,6</c:v>
                  </c:pt>
                  <c:pt idx="2">
                    <c:v>5,6-6,1</c:v>
                  </c:pt>
                  <c:pt idx="3">
                    <c:v>6,1-6,6</c:v>
                  </c:pt>
                  <c:pt idx="4">
                    <c:v>6,6-7,1</c:v>
                  </c:pt>
                  <c:pt idx="5">
                    <c:v>7,1-7,6</c:v>
                  </c:pt>
                  <c:pt idx="6">
                    <c:v>7,6-8,1</c:v>
                  </c:pt>
                  <c:pt idx="7">
                    <c:v>8,1-8,6</c:v>
                  </c:pt>
                  <c:pt idx="8">
                    <c:v>8,6-9,1</c:v>
                  </c:pt>
                </c:lvl>
                <c:lvl>
                  <c:pt idx="0">
                    <c:v>Escore</c:v>
                  </c:pt>
                </c:lvl>
              </c:multiLvlStrCache>
            </c:multiLvlStrRef>
          </c:cat>
          <c:val>
            <c:numRef>
              <c:f>FX_2022!$AA$29:$AA$38</c:f>
              <c:numCache>
                <c:formatCode>General</c:formatCode>
                <c:ptCount val="9"/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12</c:v>
                </c:pt>
                <c:pt idx="6">
                  <c:v>13</c:v>
                </c:pt>
                <c:pt idx="7">
                  <c:v>19</c:v>
                </c:pt>
                <c:pt idx="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C4-4653-86D9-3CC6BEAF1F87}"/>
            </c:ext>
          </c:extLst>
        </c:ser>
        <c:ser>
          <c:idx val="1"/>
          <c:order val="1"/>
          <c:tx>
            <c:strRef>
              <c:f>FX_2022!$AB$27:$AB$28</c:f>
              <c:strCache>
                <c:ptCount val="1"/>
                <c:pt idx="0">
                  <c:v>senior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FX_2022!$Z$29:$Z$38</c:f>
              <c:multiLvlStrCache>
                <c:ptCount val="9"/>
                <c:lvl>
                  <c:pt idx="0">
                    <c:v>4,1-4,6</c:v>
                  </c:pt>
                  <c:pt idx="1">
                    <c:v>5,1-5,6</c:v>
                  </c:pt>
                  <c:pt idx="2">
                    <c:v>5,6-6,1</c:v>
                  </c:pt>
                  <c:pt idx="3">
                    <c:v>6,1-6,6</c:v>
                  </c:pt>
                  <c:pt idx="4">
                    <c:v>6,6-7,1</c:v>
                  </c:pt>
                  <c:pt idx="5">
                    <c:v>7,1-7,6</c:v>
                  </c:pt>
                  <c:pt idx="6">
                    <c:v>7,6-8,1</c:v>
                  </c:pt>
                  <c:pt idx="7">
                    <c:v>8,1-8,6</c:v>
                  </c:pt>
                  <c:pt idx="8">
                    <c:v>8,6-9,1</c:v>
                  </c:pt>
                </c:lvl>
                <c:lvl>
                  <c:pt idx="0">
                    <c:v>Escore</c:v>
                  </c:pt>
                </c:lvl>
              </c:multiLvlStrCache>
            </c:multiLvlStrRef>
          </c:cat>
          <c:val>
            <c:numRef>
              <c:f>FX_2022!$AB$29:$AB$38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7</c:v>
                </c:pt>
                <c:pt idx="5">
                  <c:v>16</c:v>
                </c:pt>
                <c:pt idx="6">
                  <c:v>14</c:v>
                </c:pt>
                <c:pt idx="7">
                  <c:v>11</c:v>
                </c:pt>
                <c:pt idx="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C4-4653-86D9-3CC6BEAF1F8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50640415"/>
        <c:axId val="687938463"/>
      </c:barChart>
      <c:catAx>
        <c:axId val="1050640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87938463"/>
        <c:crosses val="autoZero"/>
        <c:auto val="1"/>
        <c:lblAlgn val="ctr"/>
        <c:lblOffset val="100"/>
        <c:noMultiLvlLbl val="0"/>
      </c:catAx>
      <c:valAx>
        <c:axId val="687938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50640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[Gymnastics-in-Poland.xlsx.xlsm]PH_2022!Tabela przestawna9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294794834977755E-2"/>
          <c:y val="0.13846683688693476"/>
          <c:w val="0.91266718335886265"/>
          <c:h val="0.691367425966167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PH_2022!$AA$26:$AA$27</c:f>
              <c:strCache>
                <c:ptCount val="1"/>
                <c:pt idx="0">
                  <c:v>junior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PH_2022!$Z$28:$Z$35</c:f>
              <c:multiLvlStrCache>
                <c:ptCount val="7"/>
                <c:lvl>
                  <c:pt idx="0">
                    <c:v>&lt;2,6</c:v>
                  </c:pt>
                  <c:pt idx="1">
                    <c:v>2,6-3,1</c:v>
                  </c:pt>
                  <c:pt idx="2">
                    <c:v>3,1-3,6</c:v>
                  </c:pt>
                  <c:pt idx="3">
                    <c:v>3,6-4,1</c:v>
                  </c:pt>
                  <c:pt idx="4">
                    <c:v>4,1-4,6</c:v>
                  </c:pt>
                  <c:pt idx="5">
                    <c:v>4,6-5,1</c:v>
                  </c:pt>
                  <c:pt idx="6">
                    <c:v>5,1-5,6</c:v>
                  </c:pt>
                </c:lvl>
                <c:lvl>
                  <c:pt idx="0">
                    <c:v>Dscore</c:v>
                  </c:pt>
                </c:lvl>
              </c:multiLvlStrCache>
            </c:multiLvlStrRef>
          </c:cat>
          <c:val>
            <c:numRef>
              <c:f>PH_2022!$AA$28:$AA$35</c:f>
              <c:numCache>
                <c:formatCode>General</c:formatCode>
                <c:ptCount val="7"/>
                <c:pt idx="0">
                  <c:v>12</c:v>
                </c:pt>
                <c:pt idx="1">
                  <c:v>21</c:v>
                </c:pt>
                <c:pt idx="2">
                  <c:v>3</c:v>
                </c:pt>
                <c:pt idx="3">
                  <c:v>14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3-471D-AC89-012BD06FE394}"/>
            </c:ext>
          </c:extLst>
        </c:ser>
        <c:ser>
          <c:idx val="1"/>
          <c:order val="1"/>
          <c:tx>
            <c:strRef>
              <c:f>PH_2022!$AB$26:$AB$27</c:f>
              <c:strCache>
                <c:ptCount val="1"/>
                <c:pt idx="0">
                  <c:v>senior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PH_2022!$Z$28:$Z$35</c:f>
              <c:multiLvlStrCache>
                <c:ptCount val="7"/>
                <c:lvl>
                  <c:pt idx="0">
                    <c:v>&lt;2,6</c:v>
                  </c:pt>
                  <c:pt idx="1">
                    <c:v>2,6-3,1</c:v>
                  </c:pt>
                  <c:pt idx="2">
                    <c:v>3,1-3,6</c:v>
                  </c:pt>
                  <c:pt idx="3">
                    <c:v>3,6-4,1</c:v>
                  </c:pt>
                  <c:pt idx="4">
                    <c:v>4,1-4,6</c:v>
                  </c:pt>
                  <c:pt idx="5">
                    <c:v>4,6-5,1</c:v>
                  </c:pt>
                  <c:pt idx="6">
                    <c:v>5,1-5,6</c:v>
                  </c:pt>
                </c:lvl>
                <c:lvl>
                  <c:pt idx="0">
                    <c:v>Dscore</c:v>
                  </c:pt>
                </c:lvl>
              </c:multiLvlStrCache>
            </c:multiLvlStrRef>
          </c:cat>
          <c:val>
            <c:numRef>
              <c:f>PH_2022!$AB$28:$AB$35</c:f>
              <c:numCache>
                <c:formatCode>General</c:formatCode>
                <c:ptCount val="7"/>
                <c:pt idx="0">
                  <c:v>3</c:v>
                </c:pt>
                <c:pt idx="1">
                  <c:v>7</c:v>
                </c:pt>
                <c:pt idx="2">
                  <c:v>16</c:v>
                </c:pt>
                <c:pt idx="3">
                  <c:v>15</c:v>
                </c:pt>
                <c:pt idx="4">
                  <c:v>13</c:v>
                </c:pt>
                <c:pt idx="5">
                  <c:v>5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03-471D-AC89-012BD06FE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8735727"/>
        <c:axId val="1169254543"/>
      </c:barChart>
      <c:catAx>
        <c:axId val="1048735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69254543"/>
        <c:crosses val="autoZero"/>
        <c:auto val="1"/>
        <c:lblAlgn val="ctr"/>
        <c:lblOffset val="100"/>
        <c:noMultiLvlLbl val="0"/>
      </c:catAx>
      <c:valAx>
        <c:axId val="1169254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48735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[Gymnastics-in-Poland.xlsx.xlsm]SR_2022!Tabela przestawna11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51759223519706E-2"/>
          <c:y val="0.14123106274959984"/>
          <c:w val="0.88005376072439689"/>
          <c:h val="0.687729631845300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SR_2022!$AA$26:$AA$27</c:f>
              <c:strCache>
                <c:ptCount val="1"/>
                <c:pt idx="0">
                  <c:v>junior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SR_2022!$Z$28:$Z$35</c:f>
              <c:multiLvlStrCache>
                <c:ptCount val="7"/>
                <c:lvl>
                  <c:pt idx="0">
                    <c:v>&lt;2,6</c:v>
                  </c:pt>
                  <c:pt idx="1">
                    <c:v>2,6-3,1</c:v>
                  </c:pt>
                  <c:pt idx="2">
                    <c:v>3,1-3,6</c:v>
                  </c:pt>
                  <c:pt idx="3">
                    <c:v>3,6-4,1</c:v>
                  </c:pt>
                  <c:pt idx="4">
                    <c:v>4,1-4,6</c:v>
                  </c:pt>
                  <c:pt idx="5">
                    <c:v>4,6-5,1</c:v>
                  </c:pt>
                  <c:pt idx="6">
                    <c:v>5,1-5,6</c:v>
                  </c:pt>
                </c:lvl>
                <c:lvl>
                  <c:pt idx="0">
                    <c:v>Dscore</c:v>
                  </c:pt>
                </c:lvl>
              </c:multiLvlStrCache>
            </c:multiLvlStrRef>
          </c:cat>
          <c:val>
            <c:numRef>
              <c:f>SR_2022!$AA$28:$AA$35</c:f>
              <c:numCache>
                <c:formatCode>General</c:formatCode>
                <c:ptCount val="7"/>
                <c:pt idx="0">
                  <c:v>27</c:v>
                </c:pt>
                <c:pt idx="1">
                  <c:v>10</c:v>
                </c:pt>
                <c:pt idx="2">
                  <c:v>8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8B-4643-A4CB-073610C6C10A}"/>
            </c:ext>
          </c:extLst>
        </c:ser>
        <c:ser>
          <c:idx val="1"/>
          <c:order val="1"/>
          <c:tx>
            <c:strRef>
              <c:f>SR_2022!$AB$26:$AB$27</c:f>
              <c:strCache>
                <c:ptCount val="1"/>
                <c:pt idx="0">
                  <c:v>senior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SR_2022!$Z$28:$Z$35</c:f>
              <c:multiLvlStrCache>
                <c:ptCount val="7"/>
                <c:lvl>
                  <c:pt idx="0">
                    <c:v>&lt;2,6</c:v>
                  </c:pt>
                  <c:pt idx="1">
                    <c:v>2,6-3,1</c:v>
                  </c:pt>
                  <c:pt idx="2">
                    <c:v>3,1-3,6</c:v>
                  </c:pt>
                  <c:pt idx="3">
                    <c:v>3,6-4,1</c:v>
                  </c:pt>
                  <c:pt idx="4">
                    <c:v>4,1-4,6</c:v>
                  </c:pt>
                  <c:pt idx="5">
                    <c:v>4,6-5,1</c:v>
                  </c:pt>
                  <c:pt idx="6">
                    <c:v>5,1-5,6</c:v>
                  </c:pt>
                </c:lvl>
                <c:lvl>
                  <c:pt idx="0">
                    <c:v>Dscore</c:v>
                  </c:pt>
                </c:lvl>
              </c:multiLvlStrCache>
            </c:multiLvlStrRef>
          </c:cat>
          <c:val>
            <c:numRef>
              <c:f>SR_2022!$AB$28:$AB$35</c:f>
              <c:numCache>
                <c:formatCode>General</c:formatCode>
                <c:ptCount val="7"/>
                <c:pt idx="0">
                  <c:v>4</c:v>
                </c:pt>
                <c:pt idx="1">
                  <c:v>13</c:v>
                </c:pt>
                <c:pt idx="2">
                  <c:v>8</c:v>
                </c:pt>
                <c:pt idx="3">
                  <c:v>23</c:v>
                </c:pt>
                <c:pt idx="4">
                  <c:v>8</c:v>
                </c:pt>
                <c:pt idx="5">
                  <c:v>3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8B-4643-A4CB-073610C6C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25383263"/>
        <c:axId val="1169253103"/>
      </c:barChart>
      <c:catAx>
        <c:axId val="1225383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69253103"/>
        <c:crosses val="autoZero"/>
        <c:auto val="1"/>
        <c:lblAlgn val="ctr"/>
        <c:lblOffset val="100"/>
        <c:noMultiLvlLbl val="0"/>
      </c:catAx>
      <c:valAx>
        <c:axId val="116925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25383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[Gymnastics-in-Poland.xlsx.xlsm]VT_2022!Tabela przestawna12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5243951417119544E-2"/>
          <c:y val="0.16593368997203917"/>
          <c:w val="0.90392930353486467"/>
          <c:h val="0.6900951359487977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VT_2022!$AA$26:$AA$27</c:f>
              <c:strCache>
                <c:ptCount val="1"/>
                <c:pt idx="0">
                  <c:v>junior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VT_2022!$Z$28:$Z$35</c:f>
              <c:multiLvlStrCache>
                <c:ptCount val="7"/>
                <c:lvl>
                  <c:pt idx="0">
                    <c:v>&lt;2,6</c:v>
                  </c:pt>
                  <c:pt idx="1">
                    <c:v>2,6-3,1</c:v>
                  </c:pt>
                  <c:pt idx="2">
                    <c:v>3,1-3,6</c:v>
                  </c:pt>
                  <c:pt idx="3">
                    <c:v>3,6-4,1</c:v>
                  </c:pt>
                  <c:pt idx="4">
                    <c:v>4,1-4,6</c:v>
                  </c:pt>
                  <c:pt idx="5">
                    <c:v>4,6-5,1</c:v>
                  </c:pt>
                  <c:pt idx="6">
                    <c:v>5,1-5,6</c:v>
                  </c:pt>
                </c:lvl>
                <c:lvl>
                  <c:pt idx="0">
                    <c:v>Dscore</c:v>
                  </c:pt>
                </c:lvl>
              </c:multiLvlStrCache>
            </c:multiLvlStrRef>
          </c:cat>
          <c:val>
            <c:numRef>
              <c:f>VT_2022!$AA$28:$AA$35</c:f>
              <c:numCache>
                <c:formatCode>General</c:formatCode>
                <c:ptCount val="7"/>
                <c:pt idx="0">
                  <c:v>32</c:v>
                </c:pt>
                <c:pt idx="1">
                  <c:v>8</c:v>
                </c:pt>
                <c:pt idx="2">
                  <c:v>7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65-4D22-AE09-98175DB8EB32}"/>
            </c:ext>
          </c:extLst>
        </c:ser>
        <c:ser>
          <c:idx val="1"/>
          <c:order val="1"/>
          <c:tx>
            <c:strRef>
              <c:f>VT_2022!$AB$26:$AB$27</c:f>
              <c:strCache>
                <c:ptCount val="1"/>
                <c:pt idx="0">
                  <c:v>senior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VT_2022!$Z$28:$Z$35</c:f>
              <c:multiLvlStrCache>
                <c:ptCount val="7"/>
                <c:lvl>
                  <c:pt idx="0">
                    <c:v>&lt;2,6</c:v>
                  </c:pt>
                  <c:pt idx="1">
                    <c:v>2,6-3,1</c:v>
                  </c:pt>
                  <c:pt idx="2">
                    <c:v>3,1-3,6</c:v>
                  </c:pt>
                  <c:pt idx="3">
                    <c:v>3,6-4,1</c:v>
                  </c:pt>
                  <c:pt idx="4">
                    <c:v>4,1-4,6</c:v>
                  </c:pt>
                  <c:pt idx="5">
                    <c:v>4,6-5,1</c:v>
                  </c:pt>
                  <c:pt idx="6">
                    <c:v>5,1-5,6</c:v>
                  </c:pt>
                </c:lvl>
                <c:lvl>
                  <c:pt idx="0">
                    <c:v>Dscore</c:v>
                  </c:pt>
                </c:lvl>
              </c:multiLvlStrCache>
            </c:multiLvlStrRef>
          </c:cat>
          <c:val>
            <c:numRef>
              <c:f>VT_2022!$AB$28:$AB$35</c:f>
              <c:numCache>
                <c:formatCode>General</c:formatCode>
                <c:ptCount val="7"/>
                <c:pt idx="0">
                  <c:v>2</c:v>
                </c:pt>
                <c:pt idx="1">
                  <c:v>6</c:v>
                </c:pt>
                <c:pt idx="2">
                  <c:v>13</c:v>
                </c:pt>
                <c:pt idx="3">
                  <c:v>24</c:v>
                </c:pt>
                <c:pt idx="4">
                  <c:v>4</c:v>
                </c:pt>
                <c:pt idx="5">
                  <c:v>2</c:v>
                </c:pt>
                <c:pt idx="6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65-4D22-AE09-98175DB8E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5310863"/>
        <c:axId val="2012121967"/>
      </c:barChart>
      <c:catAx>
        <c:axId val="136531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12121967"/>
        <c:crosses val="autoZero"/>
        <c:auto val="1"/>
        <c:lblAlgn val="ctr"/>
        <c:lblOffset val="100"/>
        <c:noMultiLvlLbl val="0"/>
      </c:catAx>
      <c:valAx>
        <c:axId val="201212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65310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[Gymnastics-in-Poland.xlsx.xlsm]PB_2022!Tabela przestawna13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4321798014373931E-2"/>
          <c:y val="0.1400637956794907"/>
          <c:w val="0.90743873508880857"/>
          <c:h val="0.6798364997364547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PB_2022!$AA$26:$AA$27</c:f>
              <c:strCache>
                <c:ptCount val="1"/>
                <c:pt idx="0">
                  <c:v>junior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PB_2022!$Z$28:$Z$35</c:f>
              <c:multiLvlStrCache>
                <c:ptCount val="7"/>
                <c:lvl>
                  <c:pt idx="0">
                    <c:v>&lt;2,6</c:v>
                  </c:pt>
                  <c:pt idx="1">
                    <c:v>2,6-3,1</c:v>
                  </c:pt>
                  <c:pt idx="2">
                    <c:v>3,1-3,6</c:v>
                  </c:pt>
                  <c:pt idx="3">
                    <c:v>3,6-4,1</c:v>
                  </c:pt>
                  <c:pt idx="4">
                    <c:v>4,1-4,6</c:v>
                  </c:pt>
                  <c:pt idx="5">
                    <c:v>4,6-5,1</c:v>
                  </c:pt>
                  <c:pt idx="6">
                    <c:v>5,1-5,6</c:v>
                  </c:pt>
                </c:lvl>
                <c:lvl>
                  <c:pt idx="0">
                    <c:v>Dscore</c:v>
                  </c:pt>
                </c:lvl>
              </c:multiLvlStrCache>
            </c:multiLvlStrRef>
          </c:cat>
          <c:val>
            <c:numRef>
              <c:f>PB_2022!$AA$28:$AA$35</c:f>
              <c:numCache>
                <c:formatCode>General</c:formatCode>
                <c:ptCount val="7"/>
                <c:pt idx="0">
                  <c:v>14</c:v>
                </c:pt>
                <c:pt idx="1">
                  <c:v>7</c:v>
                </c:pt>
                <c:pt idx="2">
                  <c:v>25</c:v>
                </c:pt>
                <c:pt idx="3">
                  <c:v>2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27-4C93-B573-94A5ECB02DC8}"/>
            </c:ext>
          </c:extLst>
        </c:ser>
        <c:ser>
          <c:idx val="1"/>
          <c:order val="1"/>
          <c:tx>
            <c:strRef>
              <c:f>PB_2022!$AB$26:$AB$27</c:f>
              <c:strCache>
                <c:ptCount val="1"/>
                <c:pt idx="0">
                  <c:v>senior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PB_2022!$Z$28:$Z$35</c:f>
              <c:multiLvlStrCache>
                <c:ptCount val="7"/>
                <c:lvl>
                  <c:pt idx="0">
                    <c:v>&lt;2,6</c:v>
                  </c:pt>
                  <c:pt idx="1">
                    <c:v>2,6-3,1</c:v>
                  </c:pt>
                  <c:pt idx="2">
                    <c:v>3,1-3,6</c:v>
                  </c:pt>
                  <c:pt idx="3">
                    <c:v>3,6-4,1</c:v>
                  </c:pt>
                  <c:pt idx="4">
                    <c:v>4,1-4,6</c:v>
                  </c:pt>
                  <c:pt idx="5">
                    <c:v>4,6-5,1</c:v>
                  </c:pt>
                  <c:pt idx="6">
                    <c:v>5,1-5,6</c:v>
                  </c:pt>
                </c:lvl>
                <c:lvl>
                  <c:pt idx="0">
                    <c:v>Dscore</c:v>
                  </c:pt>
                </c:lvl>
              </c:multiLvlStrCache>
            </c:multiLvlStrRef>
          </c:cat>
          <c:val>
            <c:numRef>
              <c:f>PB_2022!$AB$28:$AB$35</c:f>
              <c:numCache>
                <c:formatCode>General</c:formatCode>
                <c:ptCount val="7"/>
                <c:pt idx="0">
                  <c:v>6</c:v>
                </c:pt>
                <c:pt idx="1">
                  <c:v>13</c:v>
                </c:pt>
                <c:pt idx="2">
                  <c:v>11</c:v>
                </c:pt>
                <c:pt idx="3">
                  <c:v>14</c:v>
                </c:pt>
                <c:pt idx="4">
                  <c:v>10</c:v>
                </c:pt>
                <c:pt idx="5">
                  <c:v>2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27-4C93-B573-94A5ECB02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5887951"/>
        <c:axId val="1169261263"/>
      </c:barChart>
      <c:catAx>
        <c:axId val="1325887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69261263"/>
        <c:crosses val="autoZero"/>
        <c:auto val="1"/>
        <c:lblAlgn val="ctr"/>
        <c:lblOffset val="100"/>
        <c:noMultiLvlLbl val="0"/>
      </c:catAx>
      <c:valAx>
        <c:axId val="1169261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25887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[Gymnastics-in-Poland.xlsx.xlsm]HB_2022!Tabela przestawna14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5164440835027453E-2"/>
          <c:y val="0.12755405555467425"/>
          <c:w val="0.90423189629745238"/>
          <c:h val="0.697637729957538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HB_2022!$AA$26:$AA$27</c:f>
              <c:strCache>
                <c:ptCount val="1"/>
                <c:pt idx="0">
                  <c:v>junior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HB_2022!$Z$28:$Z$34</c:f>
              <c:multiLvlStrCache>
                <c:ptCount val="6"/>
                <c:lvl>
                  <c:pt idx="0">
                    <c:v>5,6-6,1</c:v>
                  </c:pt>
                  <c:pt idx="1">
                    <c:v>6,6-7,1</c:v>
                  </c:pt>
                  <c:pt idx="2">
                    <c:v>7,1-7,6</c:v>
                  </c:pt>
                  <c:pt idx="3">
                    <c:v>7,6-8,1</c:v>
                  </c:pt>
                  <c:pt idx="4">
                    <c:v>8,1-8,6</c:v>
                  </c:pt>
                  <c:pt idx="5">
                    <c:v>9,1-9,6</c:v>
                  </c:pt>
                </c:lvl>
                <c:lvl>
                  <c:pt idx="0">
                    <c:v>Escore</c:v>
                  </c:pt>
                </c:lvl>
              </c:multiLvlStrCache>
            </c:multiLvlStrRef>
          </c:cat>
          <c:val>
            <c:numRef>
              <c:f>HB_2022!$AA$28:$AA$34</c:f>
              <c:numCache>
                <c:formatCode>General</c:formatCode>
                <c:ptCount val="6"/>
                <c:pt idx="0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25-47BC-AB4F-4A2070630B53}"/>
            </c:ext>
          </c:extLst>
        </c:ser>
        <c:ser>
          <c:idx val="1"/>
          <c:order val="1"/>
          <c:tx>
            <c:strRef>
              <c:f>HB_2022!$AB$26:$AB$27</c:f>
              <c:strCache>
                <c:ptCount val="1"/>
                <c:pt idx="0">
                  <c:v>senior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HB_2022!$Z$28:$Z$34</c:f>
              <c:multiLvlStrCache>
                <c:ptCount val="6"/>
                <c:lvl>
                  <c:pt idx="0">
                    <c:v>5,6-6,1</c:v>
                  </c:pt>
                  <c:pt idx="1">
                    <c:v>6,6-7,1</c:v>
                  </c:pt>
                  <c:pt idx="2">
                    <c:v>7,1-7,6</c:v>
                  </c:pt>
                  <c:pt idx="3">
                    <c:v>7,6-8,1</c:v>
                  </c:pt>
                  <c:pt idx="4">
                    <c:v>8,1-8,6</c:v>
                  </c:pt>
                  <c:pt idx="5">
                    <c:v>9,1-9,6</c:v>
                  </c:pt>
                </c:lvl>
                <c:lvl>
                  <c:pt idx="0">
                    <c:v>Escore</c:v>
                  </c:pt>
                </c:lvl>
              </c:multiLvlStrCache>
            </c:multiLvlStrRef>
          </c:cat>
          <c:val>
            <c:numRef>
              <c:f>HB_2022!$AB$28:$AB$34</c:f>
              <c:numCache>
                <c:formatCode>General</c:formatCode>
                <c:ptCount val="6"/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25-47BC-AB4F-4A2070630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758992"/>
        <c:axId val="2012120527"/>
      </c:barChart>
      <c:catAx>
        <c:axId val="10875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12120527"/>
        <c:crosses val="autoZero"/>
        <c:auto val="1"/>
        <c:lblAlgn val="ctr"/>
        <c:lblOffset val="100"/>
        <c:noMultiLvlLbl val="0"/>
      </c:catAx>
      <c:valAx>
        <c:axId val="2012120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875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[Gymnastics-in-Poland.xlsx.xlsm]AA_2022!Tabela przestawna15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562593877871801E-2"/>
          <c:y val="0.16905813602567971"/>
          <c:w val="0.91591531903406365"/>
          <c:h val="0.647884807082041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AA_2022!$CY$27:$CY$28</c:f>
              <c:strCache>
                <c:ptCount val="1"/>
                <c:pt idx="0">
                  <c:v>junior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AA_2022!$CX$29:$CX$36</c:f>
              <c:multiLvlStrCache>
                <c:ptCount val="7"/>
                <c:lvl>
                  <c:pt idx="0">
                    <c:v>54-57</c:v>
                  </c:pt>
                  <c:pt idx="1">
                    <c:v>60-63</c:v>
                  </c:pt>
                  <c:pt idx="2">
                    <c:v>63-66</c:v>
                  </c:pt>
                  <c:pt idx="3">
                    <c:v>66-69</c:v>
                  </c:pt>
                  <c:pt idx="4">
                    <c:v>69-72</c:v>
                  </c:pt>
                  <c:pt idx="5">
                    <c:v>72-75</c:v>
                  </c:pt>
                  <c:pt idx="6">
                    <c:v>75-78</c:v>
                  </c:pt>
                </c:lvl>
                <c:lvl>
                  <c:pt idx="0">
                    <c:v>Total Score</c:v>
                  </c:pt>
                </c:lvl>
              </c:multiLvlStrCache>
            </c:multiLvlStrRef>
          </c:cat>
          <c:val>
            <c:numRef>
              <c:f>AA_2022!$CY$29:$CY$36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5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2E-4AEB-8BB3-DDB84995A7A8}"/>
            </c:ext>
          </c:extLst>
        </c:ser>
        <c:ser>
          <c:idx val="1"/>
          <c:order val="1"/>
          <c:tx>
            <c:strRef>
              <c:f>AA_2022!$CZ$27:$CZ$28</c:f>
              <c:strCache>
                <c:ptCount val="1"/>
                <c:pt idx="0">
                  <c:v>senior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AA_2022!$CX$29:$CX$36</c:f>
              <c:multiLvlStrCache>
                <c:ptCount val="7"/>
                <c:lvl>
                  <c:pt idx="0">
                    <c:v>54-57</c:v>
                  </c:pt>
                  <c:pt idx="1">
                    <c:v>60-63</c:v>
                  </c:pt>
                  <c:pt idx="2">
                    <c:v>63-66</c:v>
                  </c:pt>
                  <c:pt idx="3">
                    <c:v>66-69</c:v>
                  </c:pt>
                  <c:pt idx="4">
                    <c:v>69-72</c:v>
                  </c:pt>
                  <c:pt idx="5">
                    <c:v>72-75</c:v>
                  </c:pt>
                  <c:pt idx="6">
                    <c:v>75-78</c:v>
                  </c:pt>
                </c:lvl>
                <c:lvl>
                  <c:pt idx="0">
                    <c:v>Total Score</c:v>
                  </c:pt>
                </c:lvl>
              </c:multiLvlStrCache>
            </c:multiLvlStrRef>
          </c:cat>
          <c:val>
            <c:numRef>
              <c:f>AA_2022!$CZ$29:$CZ$36</c:f>
              <c:numCache>
                <c:formatCode>General</c:formatCode>
                <c:ptCount val="7"/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2E-4AEB-8BB3-DDB84995A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5874495"/>
        <c:axId val="1318596463"/>
      </c:barChart>
      <c:catAx>
        <c:axId val="132587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18596463"/>
        <c:crosses val="autoZero"/>
        <c:auto val="1"/>
        <c:lblAlgn val="ctr"/>
        <c:lblOffset val="100"/>
        <c:noMultiLvlLbl val="0"/>
      </c:catAx>
      <c:valAx>
        <c:axId val="131859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25874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401407</xdr:colOff>
      <xdr:row>35</xdr:row>
      <xdr:rowOff>54429</xdr:rowOff>
    </xdr:from>
    <xdr:to>
      <xdr:col>25</xdr:col>
      <xdr:colOff>544286</xdr:colOff>
      <xdr:row>54</xdr:row>
      <xdr:rowOff>13607</xdr:rowOff>
    </xdr:to>
    <xdr:graphicFrame macro="">
      <xdr:nvGraphicFramePr>
        <xdr:cNvPr id="9" name="Wykres 8">
          <a:extLst>
            <a:ext uri="{FF2B5EF4-FFF2-40B4-BE49-F238E27FC236}">
              <a16:creationId xmlns:a16="http://schemas.microsoft.com/office/drawing/2014/main" id="{51A141B8-370C-5240-3F2C-0392D8039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25</xdr:col>
      <xdr:colOff>567419</xdr:colOff>
      <xdr:row>35</xdr:row>
      <xdr:rowOff>57151</xdr:rowOff>
    </xdr:from>
    <xdr:to>
      <xdr:col>28</xdr:col>
      <xdr:colOff>246291</xdr:colOff>
      <xdr:row>45</xdr:row>
      <xdr:rowOff>204106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0" name="Apparatus">
              <a:extLst>
                <a:ext uri="{FF2B5EF4-FFF2-40B4-BE49-F238E27FC236}">
                  <a16:creationId xmlns:a16="http://schemas.microsoft.com/office/drawing/2014/main" id="{F93B6ED5-23A3-76E2-3AB3-6E2AF44BE1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paratu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271562" y="8357508"/>
              <a:ext cx="1828800" cy="364399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567416</xdr:colOff>
      <xdr:row>45</xdr:row>
      <xdr:rowOff>206828</xdr:rowOff>
    </xdr:from>
    <xdr:to>
      <xdr:col>28</xdr:col>
      <xdr:colOff>272143</xdr:colOff>
      <xdr:row>52</xdr:row>
      <xdr:rowOff>312963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1" name="Score Type ">
              <a:extLst>
                <a:ext uri="{FF2B5EF4-FFF2-40B4-BE49-F238E27FC236}">
                  <a16:creationId xmlns:a16="http://schemas.microsoft.com/office/drawing/2014/main" id="{0BEC15D8-E63F-EA4A-F5AD-EBDF31691A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core Type 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271559" y="12004221"/>
              <a:ext cx="1854655" cy="28275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628650</xdr:colOff>
      <xdr:row>35</xdr:row>
      <xdr:rowOff>104775</xdr:rowOff>
    </xdr:from>
    <xdr:to>
      <xdr:col>14</xdr:col>
      <xdr:colOff>727104</xdr:colOff>
      <xdr:row>37</xdr:row>
      <xdr:rowOff>108856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2" name="Category">
              <a:extLst>
                <a:ext uri="{FF2B5EF4-FFF2-40B4-BE49-F238E27FC236}">
                  <a16:creationId xmlns:a16="http://schemas.microsoft.com/office/drawing/2014/main" id="{8683584D-4898-0A1B-2127-1788ECE1C27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868400" y="8405132"/>
              <a:ext cx="1568025" cy="6708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126545</xdr:colOff>
      <xdr:row>35</xdr:row>
      <xdr:rowOff>112940</xdr:rowOff>
    </xdr:from>
    <xdr:to>
      <xdr:col>12</xdr:col>
      <xdr:colOff>689357</xdr:colOff>
      <xdr:row>37</xdr:row>
      <xdr:rowOff>163286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3" name="All Around">
              <a:extLst>
                <a:ext uri="{FF2B5EF4-FFF2-40B4-BE49-F238E27FC236}">
                  <a16:creationId xmlns:a16="http://schemas.microsoft.com/office/drawing/2014/main" id="{C607B0C9-75C0-7D60-5531-B43AA4E0F4C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ll Around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77081" y="8413297"/>
              <a:ext cx="1352026" cy="7170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146049</xdr:colOff>
      <xdr:row>39</xdr:row>
      <xdr:rowOff>190500</xdr:rowOff>
    </xdr:from>
    <xdr:to>
      <xdr:col>26</xdr:col>
      <xdr:colOff>571500</xdr:colOff>
      <xdr:row>61</xdr:row>
      <xdr:rowOff>241300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C707F16-630A-8BC1-C050-4ECCB7AE09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619125</xdr:colOff>
      <xdr:row>40</xdr:row>
      <xdr:rowOff>0</xdr:rowOff>
    </xdr:from>
    <xdr:to>
      <xdr:col>13</xdr:col>
      <xdr:colOff>193251</xdr:colOff>
      <xdr:row>41</xdr:row>
      <xdr:rowOff>381000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All Around 1">
              <a:extLst>
                <a:ext uri="{FF2B5EF4-FFF2-40B4-BE49-F238E27FC236}">
                  <a16:creationId xmlns:a16="http://schemas.microsoft.com/office/drawing/2014/main" id="{F64A953C-FF4A-AF22-88DD-3FD64E3EF88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ll Around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433425" y="9525000"/>
              <a:ext cx="1568026" cy="647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27</xdr:col>
      <xdr:colOff>15875</xdr:colOff>
      <xdr:row>39</xdr:row>
      <xdr:rowOff>209550</xdr:rowOff>
    </xdr:from>
    <xdr:to>
      <xdr:col>29</xdr:col>
      <xdr:colOff>422275</xdr:colOff>
      <xdr:row>51</xdr:row>
      <xdr:rowOff>12700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Apparatus 1">
              <a:extLst>
                <a:ext uri="{FF2B5EF4-FFF2-40B4-BE49-F238E27FC236}">
                  <a16:creationId xmlns:a16="http://schemas.microsoft.com/office/drawing/2014/main" id="{D334F6D1-A172-68DE-FDE5-E08ADED3113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paratus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01975" y="9467850"/>
              <a:ext cx="1828800" cy="3143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27</xdr:col>
      <xdr:colOff>22225</xdr:colOff>
      <xdr:row>52</xdr:row>
      <xdr:rowOff>25400</xdr:rowOff>
    </xdr:from>
    <xdr:to>
      <xdr:col>29</xdr:col>
      <xdr:colOff>428625</xdr:colOff>
      <xdr:row>60</xdr:row>
      <xdr:rowOff>165100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7" name="Score Type  1">
              <a:extLst>
                <a:ext uri="{FF2B5EF4-FFF2-40B4-BE49-F238E27FC236}">
                  <a16:creationId xmlns:a16="http://schemas.microsoft.com/office/drawing/2014/main" id="{C410B2F1-EBAA-F9B4-92B1-B883292EFCA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core Type 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08325" y="12890500"/>
              <a:ext cx="1828800" cy="2273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155575</xdr:colOff>
      <xdr:row>39</xdr:row>
      <xdr:rowOff>260350</xdr:rowOff>
    </xdr:from>
    <xdr:to>
      <xdr:col>15</xdr:col>
      <xdr:colOff>555201</xdr:colOff>
      <xdr:row>41</xdr:row>
      <xdr:rowOff>381000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8" name="Category 1">
              <a:extLst>
                <a:ext uri="{FF2B5EF4-FFF2-40B4-BE49-F238E27FC236}">
                  <a16:creationId xmlns:a16="http://schemas.microsoft.com/office/drawing/2014/main" id="{52A0160A-3243-CE55-D6AF-7C33228CD8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63775" y="9518650"/>
              <a:ext cx="1568026" cy="6540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374194</xdr:colOff>
      <xdr:row>42</xdr:row>
      <xdr:rowOff>29934</xdr:rowOff>
    </xdr:from>
    <xdr:to>
      <xdr:col>24</xdr:col>
      <xdr:colOff>1102177</xdr:colOff>
      <xdr:row>65</xdr:row>
      <xdr:rowOff>231321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1C9E5839-1D77-AE53-B362-A2B3F7FE11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25</xdr:col>
      <xdr:colOff>68035</xdr:colOff>
      <xdr:row>42</xdr:row>
      <xdr:rowOff>57150</xdr:rowOff>
    </xdr:from>
    <xdr:to>
      <xdr:col>27</xdr:col>
      <xdr:colOff>653143</xdr:colOff>
      <xdr:row>54</xdr:row>
      <xdr:rowOff>81642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pparatus 2">
              <a:extLst>
                <a:ext uri="{FF2B5EF4-FFF2-40B4-BE49-F238E27FC236}">
                  <a16:creationId xmlns:a16="http://schemas.microsoft.com/office/drawing/2014/main" id="{C541DCD7-4AD2-4163-0BFE-85065FD0E0A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paratu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758821" y="8629650"/>
              <a:ext cx="1945822" cy="7658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40822</xdr:colOff>
      <xdr:row>54</xdr:row>
      <xdr:rowOff>125185</xdr:rowOff>
    </xdr:from>
    <xdr:to>
      <xdr:col>27</xdr:col>
      <xdr:colOff>612321</xdr:colOff>
      <xdr:row>66</xdr:row>
      <xdr:rowOff>81643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Score Type  2">
              <a:extLst>
                <a:ext uri="{FF2B5EF4-FFF2-40B4-BE49-F238E27FC236}">
                  <a16:creationId xmlns:a16="http://schemas.microsoft.com/office/drawing/2014/main" id="{CAAE5D24-3CC3-15BA-C202-1F6FCB7B85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core Type 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364215" y="13895614"/>
              <a:ext cx="1932213" cy="32221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254454</xdr:colOff>
      <xdr:row>42</xdr:row>
      <xdr:rowOff>166008</xdr:rowOff>
    </xdr:from>
    <xdr:to>
      <xdr:col>12</xdr:col>
      <xdr:colOff>815551</xdr:colOff>
      <xdr:row>44</xdr:row>
      <xdr:rowOff>190501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Category 2">
              <a:extLst>
                <a:ext uri="{FF2B5EF4-FFF2-40B4-BE49-F238E27FC236}">
                  <a16:creationId xmlns:a16="http://schemas.microsoft.com/office/drawing/2014/main" id="{8F64D1A1-9B41-9F67-00F9-257A5AAA6DA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820775" y="10303329"/>
              <a:ext cx="1568026" cy="6912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771524</xdr:colOff>
      <xdr:row>42</xdr:row>
      <xdr:rowOff>166008</xdr:rowOff>
    </xdr:from>
    <xdr:to>
      <xdr:col>13</xdr:col>
      <xdr:colOff>842764</xdr:colOff>
      <xdr:row>44</xdr:row>
      <xdr:rowOff>176894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All Around 2">
              <a:extLst>
                <a:ext uri="{FF2B5EF4-FFF2-40B4-BE49-F238E27FC236}">
                  <a16:creationId xmlns:a16="http://schemas.microsoft.com/office/drawing/2014/main" id="{5CC02522-A336-A25F-AF16-18565B22EAA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ll Around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344774" y="10303329"/>
              <a:ext cx="1568026" cy="6776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133348</xdr:colOff>
      <xdr:row>35</xdr:row>
      <xdr:rowOff>25400</xdr:rowOff>
    </xdr:from>
    <xdr:to>
      <xdr:col>25</xdr:col>
      <xdr:colOff>761999</xdr:colOff>
      <xdr:row>58</xdr:row>
      <xdr:rowOff>228600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5F50EA76-DED8-6D8F-E840-071CF66D3F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15875</xdr:colOff>
      <xdr:row>35</xdr:row>
      <xdr:rowOff>38100</xdr:rowOff>
    </xdr:from>
    <xdr:to>
      <xdr:col>28</xdr:col>
      <xdr:colOff>114301</xdr:colOff>
      <xdr:row>47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pparatus 3">
              <a:extLst>
                <a:ext uri="{FF2B5EF4-FFF2-40B4-BE49-F238E27FC236}">
                  <a16:creationId xmlns:a16="http://schemas.microsoft.com/office/drawing/2014/main" id="{57A060E0-BB2C-8B57-2221-1C3A2311052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paratu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939875" y="7302500"/>
              <a:ext cx="1673226" cy="6908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26</xdr:col>
      <xdr:colOff>12701</xdr:colOff>
      <xdr:row>47</xdr:row>
      <xdr:rowOff>184150</xdr:rowOff>
    </xdr:from>
    <xdr:to>
      <xdr:col>28</xdr:col>
      <xdr:colOff>152400</xdr:colOff>
      <xdr:row>55</xdr:row>
      <xdr:rowOff>317500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Score Type  3">
              <a:extLst>
                <a:ext uri="{FF2B5EF4-FFF2-40B4-BE49-F238E27FC236}">
                  <a16:creationId xmlns:a16="http://schemas.microsoft.com/office/drawing/2014/main" id="{C7D07FA3-F0B6-C353-6699-B0FC5518203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core Type 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140401" y="11639550"/>
              <a:ext cx="1714499" cy="2673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295275</xdr:colOff>
      <xdr:row>35</xdr:row>
      <xdr:rowOff>101600</xdr:rowOff>
    </xdr:from>
    <xdr:to>
      <xdr:col>15</xdr:col>
      <xdr:colOff>288501</xdr:colOff>
      <xdr:row>37</xdr:row>
      <xdr:rowOff>254000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Category 3">
              <a:extLst>
                <a:ext uri="{FF2B5EF4-FFF2-40B4-BE49-F238E27FC236}">
                  <a16:creationId xmlns:a16="http://schemas.microsoft.com/office/drawing/2014/main" id="{D5F14F91-6247-830B-9CB1-70F3301735B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983075" y="8356600"/>
              <a:ext cx="1568026" cy="685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327025</xdr:colOff>
      <xdr:row>35</xdr:row>
      <xdr:rowOff>107950</xdr:rowOff>
    </xdr:from>
    <xdr:to>
      <xdr:col>13</xdr:col>
      <xdr:colOff>320251</xdr:colOff>
      <xdr:row>38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All Around 3">
              <a:extLst>
                <a:ext uri="{FF2B5EF4-FFF2-40B4-BE49-F238E27FC236}">
                  <a16:creationId xmlns:a16="http://schemas.microsoft.com/office/drawing/2014/main" id="{43E8F38B-EB45-C30C-D515-B52A26C9F5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ll Around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440025" y="8362950"/>
              <a:ext cx="1568026" cy="692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333373</xdr:colOff>
      <xdr:row>49</xdr:row>
      <xdr:rowOff>43541</xdr:rowOff>
    </xdr:from>
    <xdr:to>
      <xdr:col>20</xdr:col>
      <xdr:colOff>517071</xdr:colOff>
      <xdr:row>75</xdr:row>
      <xdr:rowOff>136070</xdr:rowOff>
    </xdr:to>
    <xdr:graphicFrame macro="">
      <xdr:nvGraphicFramePr>
        <xdr:cNvPr id="13" name="Wykres 12">
          <a:extLst>
            <a:ext uri="{FF2B5EF4-FFF2-40B4-BE49-F238E27FC236}">
              <a16:creationId xmlns:a16="http://schemas.microsoft.com/office/drawing/2014/main" id="{1933FEC6-0FED-88BF-512A-E9A2E747F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609600</xdr:colOff>
      <xdr:row>48</xdr:row>
      <xdr:rowOff>201385</xdr:rowOff>
    </xdr:from>
    <xdr:to>
      <xdr:col>23</xdr:col>
      <xdr:colOff>492579</xdr:colOff>
      <xdr:row>59</xdr:row>
      <xdr:rowOff>27215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4" name="Place of competition">
              <a:extLst>
                <a:ext uri="{FF2B5EF4-FFF2-40B4-BE49-F238E27FC236}">
                  <a16:creationId xmlns:a16="http://schemas.microsoft.com/office/drawing/2014/main" id="{8DBFF585-939F-C678-696D-828B092313A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lace of competitio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231600" y="11304814"/>
              <a:ext cx="1828800" cy="343172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704849</xdr:colOff>
      <xdr:row>49</xdr:row>
      <xdr:rowOff>92528</xdr:rowOff>
    </xdr:from>
    <xdr:to>
      <xdr:col>20</xdr:col>
      <xdr:colOff>476249</xdr:colOff>
      <xdr:row>51</xdr:row>
      <xdr:rowOff>54429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5" name="Score Type">
              <a:extLst>
                <a:ext uri="{FF2B5EF4-FFF2-40B4-BE49-F238E27FC236}">
                  <a16:creationId xmlns:a16="http://schemas.microsoft.com/office/drawing/2014/main" id="{997B3175-B9DC-86D1-0C75-01BAF80E866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core Typ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72563" y="11400064"/>
              <a:ext cx="4125686" cy="64225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476248</xdr:colOff>
      <xdr:row>46</xdr:row>
      <xdr:rowOff>146048</xdr:rowOff>
    </xdr:from>
    <xdr:to>
      <xdr:col>20</xdr:col>
      <xdr:colOff>25399</xdr:colOff>
      <xdr:row>63</xdr:row>
      <xdr:rowOff>12699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5636E985-4B25-DB2A-8533-332FC8D545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187325</xdr:colOff>
      <xdr:row>46</xdr:row>
      <xdr:rowOff>177800</xdr:rowOff>
    </xdr:from>
    <xdr:to>
      <xdr:col>23</xdr:col>
      <xdr:colOff>203201</xdr:colOff>
      <xdr:row>55</xdr:row>
      <xdr:rowOff>342900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Place of competition ">
              <a:extLst>
                <a:ext uri="{FF2B5EF4-FFF2-40B4-BE49-F238E27FC236}">
                  <a16:creationId xmlns:a16="http://schemas.microsoft.com/office/drawing/2014/main" id="{E93DCAFF-886A-627E-69F3-F95BC3988EA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lace of competition 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80825" y="10858500"/>
              <a:ext cx="1844676" cy="381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206374</xdr:colOff>
      <xdr:row>47</xdr:row>
      <xdr:rowOff>44450</xdr:rowOff>
    </xdr:from>
    <xdr:to>
      <xdr:col>20</xdr:col>
      <xdr:colOff>25399</xdr:colOff>
      <xdr:row>49</xdr:row>
      <xdr:rowOff>50800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Score Type 1">
              <a:extLst>
                <a:ext uri="{FF2B5EF4-FFF2-40B4-BE49-F238E27FC236}">
                  <a16:creationId xmlns:a16="http://schemas.microsoft.com/office/drawing/2014/main" id="{4E5BC7C6-C716-01D1-D510-2C10FB9F17F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core Typ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564474" y="10991850"/>
              <a:ext cx="3654425" cy="717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95248</xdr:colOff>
      <xdr:row>46</xdr:row>
      <xdr:rowOff>88900</xdr:rowOff>
    </xdr:from>
    <xdr:to>
      <xdr:col>18</xdr:col>
      <xdr:colOff>165100</xdr:colOff>
      <xdr:row>70</xdr:row>
      <xdr:rowOff>25400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88AB4192-274D-B9E9-1E17-9B1E36A142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276224</xdr:colOff>
      <xdr:row>46</xdr:row>
      <xdr:rowOff>95250</xdr:rowOff>
    </xdr:from>
    <xdr:to>
      <xdr:col>23</xdr:col>
      <xdr:colOff>368300</xdr:colOff>
      <xdr:row>60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Place of competition 1">
              <a:extLst>
                <a:ext uri="{FF2B5EF4-FFF2-40B4-BE49-F238E27FC236}">
                  <a16:creationId xmlns:a16="http://schemas.microsoft.com/office/drawing/2014/main" id="{863B0F8F-B35C-793F-5931-C384CDA9D43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lace of competition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37624" y="10775950"/>
              <a:ext cx="2695576" cy="3892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393700</xdr:colOff>
      <xdr:row>46</xdr:row>
      <xdr:rowOff>165100</xdr:rowOff>
    </xdr:from>
    <xdr:to>
      <xdr:col>18</xdr:col>
      <xdr:colOff>88899</xdr:colOff>
      <xdr:row>49</xdr:row>
      <xdr:rowOff>38100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Score Type 2">
              <a:extLst>
                <a:ext uri="{FF2B5EF4-FFF2-40B4-BE49-F238E27FC236}">
                  <a16:creationId xmlns:a16="http://schemas.microsoft.com/office/drawing/2014/main" id="{780C4C9D-A8C9-63E5-FC1A-033DB8C010F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core Type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262600" y="10845800"/>
              <a:ext cx="3187699" cy="673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450848</xdr:colOff>
      <xdr:row>49</xdr:row>
      <xdr:rowOff>31748</xdr:rowOff>
    </xdr:from>
    <xdr:to>
      <xdr:col>18</xdr:col>
      <xdr:colOff>355599</xdr:colOff>
      <xdr:row>68</xdr:row>
      <xdr:rowOff>228599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9FC5BF42-2586-DC63-4A3F-BE3EF37347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501650</xdr:colOff>
      <xdr:row>49</xdr:row>
      <xdr:rowOff>0</xdr:rowOff>
    </xdr:from>
    <xdr:to>
      <xdr:col>22</xdr:col>
      <xdr:colOff>431800</xdr:colOff>
      <xdr:row>63</xdr:row>
      <xdr:rowOff>88900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Place of competiton">
              <a:extLst>
                <a:ext uri="{FF2B5EF4-FFF2-40B4-BE49-F238E27FC236}">
                  <a16:creationId xmlns:a16="http://schemas.microsoft.com/office/drawing/2014/main" id="{9F21B56D-8092-B3B7-4FCB-3ED205E071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lace of competito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875750" y="11480800"/>
              <a:ext cx="2317750" cy="3822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876300</xdr:colOff>
      <xdr:row>49</xdr:row>
      <xdr:rowOff>82550</xdr:rowOff>
    </xdr:from>
    <xdr:to>
      <xdr:col>18</xdr:col>
      <xdr:colOff>279400</xdr:colOff>
      <xdr:row>51</xdr:row>
      <xdr:rowOff>241300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Score Type 3">
              <a:extLst>
                <a:ext uri="{FF2B5EF4-FFF2-40B4-BE49-F238E27FC236}">
                  <a16:creationId xmlns:a16="http://schemas.microsoft.com/office/drawing/2014/main" id="{FFC17A8C-8E29-ADED-E1FB-54D1534694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core Type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167100" y="11563350"/>
              <a:ext cx="5486400" cy="692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107949</xdr:colOff>
      <xdr:row>46</xdr:row>
      <xdr:rowOff>6348</xdr:rowOff>
    </xdr:from>
    <xdr:to>
      <xdr:col>20</xdr:col>
      <xdr:colOff>50800</xdr:colOff>
      <xdr:row>68</xdr:row>
      <xdr:rowOff>12700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5EFB5418-6509-9F34-9926-A06B9917AF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161925</xdr:colOff>
      <xdr:row>46</xdr:row>
      <xdr:rowOff>12700</xdr:rowOff>
    </xdr:from>
    <xdr:to>
      <xdr:col>23</xdr:col>
      <xdr:colOff>12700</xdr:colOff>
      <xdr:row>60</xdr:row>
      <xdr:rowOff>139700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Place of competition 2">
              <a:extLst>
                <a:ext uri="{FF2B5EF4-FFF2-40B4-BE49-F238E27FC236}">
                  <a16:creationId xmlns:a16="http://schemas.microsoft.com/office/drawing/2014/main" id="{AA6BCDB5-97E0-DA04-F127-4AC7A07BC33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lace of competition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497925" y="10693400"/>
              <a:ext cx="1717675" cy="3860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117474</xdr:colOff>
      <xdr:row>46</xdr:row>
      <xdr:rowOff>57150</xdr:rowOff>
    </xdr:from>
    <xdr:to>
      <xdr:col>20</xdr:col>
      <xdr:colOff>12699</xdr:colOff>
      <xdr:row>48</xdr:row>
      <xdr:rowOff>203200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Score Type 4">
              <a:extLst>
                <a:ext uri="{FF2B5EF4-FFF2-40B4-BE49-F238E27FC236}">
                  <a16:creationId xmlns:a16="http://schemas.microsoft.com/office/drawing/2014/main" id="{E8F76B5E-D047-2401-B190-0D829E6556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core Type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614774" y="10737850"/>
              <a:ext cx="4733925" cy="679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425449</xdr:colOff>
      <xdr:row>39</xdr:row>
      <xdr:rowOff>260348</xdr:rowOff>
    </xdr:from>
    <xdr:to>
      <xdr:col>20</xdr:col>
      <xdr:colOff>546101</xdr:colOff>
      <xdr:row>62</xdr:row>
      <xdr:rowOff>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88F6A3E7-4712-8599-4FE5-CE43D603B1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21</xdr:col>
      <xdr:colOff>57150</xdr:colOff>
      <xdr:row>40</xdr:row>
      <xdr:rowOff>12700</xdr:rowOff>
    </xdr:from>
    <xdr:to>
      <xdr:col>23</xdr:col>
      <xdr:colOff>774700</xdr:colOff>
      <xdr:row>56</xdr:row>
      <xdr:rowOff>241300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Place of Competition 3">
              <a:extLst>
                <a:ext uri="{FF2B5EF4-FFF2-40B4-BE49-F238E27FC236}">
                  <a16:creationId xmlns:a16="http://schemas.microsoft.com/office/drawing/2014/main" id="{8628492B-5959-B217-F15B-29E0301771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lace of Competition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545550" y="9093200"/>
              <a:ext cx="1911350" cy="4495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50800</xdr:colOff>
      <xdr:row>40</xdr:row>
      <xdr:rowOff>82550</xdr:rowOff>
    </xdr:from>
    <xdr:to>
      <xdr:col>20</xdr:col>
      <xdr:colOff>533400</xdr:colOff>
      <xdr:row>42</xdr:row>
      <xdr:rowOff>177800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Score Type 5">
              <a:extLst>
                <a:ext uri="{FF2B5EF4-FFF2-40B4-BE49-F238E27FC236}">
                  <a16:creationId xmlns:a16="http://schemas.microsoft.com/office/drawing/2014/main" id="{0E745768-EFF3-8C42-D97E-2F2259B15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core Type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957800" y="9163050"/>
              <a:ext cx="3467100" cy="628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183696</xdr:colOff>
      <xdr:row>56</xdr:row>
      <xdr:rowOff>84365</xdr:rowOff>
    </xdr:from>
    <xdr:to>
      <xdr:col>97</xdr:col>
      <xdr:colOff>503464</xdr:colOff>
      <xdr:row>76</xdr:row>
      <xdr:rowOff>108857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909FC1A7-6A41-DA70-3691-DBB6FDA6A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97</xdr:col>
      <xdr:colOff>575581</xdr:colOff>
      <xdr:row>69</xdr:row>
      <xdr:rowOff>217715</xdr:rowOff>
    </xdr:from>
    <xdr:to>
      <xdr:col>100</xdr:col>
      <xdr:colOff>299357</xdr:colOff>
      <xdr:row>74</xdr:row>
      <xdr:rowOff>95251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All around competition">
              <a:extLst>
                <a:ext uri="{FF2B5EF4-FFF2-40B4-BE49-F238E27FC236}">
                  <a16:creationId xmlns:a16="http://schemas.microsoft.com/office/drawing/2014/main" id="{BEE2F90D-413D-DDA1-9C13-EA0CBA47A26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ll around competitio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959581" y="17226644"/>
              <a:ext cx="1792062" cy="1238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97</xdr:col>
      <xdr:colOff>561973</xdr:colOff>
      <xdr:row>56</xdr:row>
      <xdr:rowOff>89808</xdr:rowOff>
    </xdr:from>
    <xdr:to>
      <xdr:col>100</xdr:col>
      <xdr:colOff>322487</xdr:colOff>
      <xdr:row>69</xdr:row>
      <xdr:rowOff>190500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Place of competition 4">
              <a:extLst>
                <a:ext uri="{FF2B5EF4-FFF2-40B4-BE49-F238E27FC236}">
                  <a16:creationId xmlns:a16="http://schemas.microsoft.com/office/drawing/2014/main" id="{5F5EC768-CF6C-3FDC-42A8-528D6AD4E8D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lace of competition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945973" y="13560879"/>
              <a:ext cx="1828800" cy="3638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93</xdr:col>
      <xdr:colOff>99332</xdr:colOff>
      <xdr:row>57</xdr:row>
      <xdr:rowOff>8166</xdr:rowOff>
    </xdr:from>
    <xdr:to>
      <xdr:col>97</xdr:col>
      <xdr:colOff>489857</xdr:colOff>
      <xdr:row>59</xdr:row>
      <xdr:rowOff>176894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Score Type 6">
              <a:extLst>
                <a:ext uri="{FF2B5EF4-FFF2-40B4-BE49-F238E27FC236}">
                  <a16:creationId xmlns:a16="http://schemas.microsoft.com/office/drawing/2014/main" id="{EFEAA4BF-91FD-417E-E119-088C6375036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core Type 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034046" y="13751380"/>
              <a:ext cx="2839811" cy="71301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" refreshedDate="45160.442860763891" createdVersion="8" refreshedVersion="8" minRefreshableVersion="3" recordCount="672" xr:uid="{5AFD6EF4-292F-4BEE-91E3-0256C71DC600}">
  <cacheSource type="worksheet">
    <worksheetSource name="Bydgoszcz_Pivoted"/>
  </cacheSource>
  <cacheFields count="10">
    <cacheField name="Name" numFmtId="0">
      <sharedItems count="32">
        <s v="SASNAL Filip"/>
        <s v="KAŚKOW Paweł"/>
        <s v="NOWAK Maciej"/>
        <s v="BRACKI Borys"/>
        <s v="BOBER Michał"/>
        <s v="LUDYNIA Marceli"/>
        <s v="CHRUŚCIEL Szymon"/>
        <s v="SIEDZIAKO Igor"/>
        <s v="JAKUBOWSKI Jakub"/>
        <s v="HERASYMOV Mykyta"/>
        <s v="LESIŃSKI Piotr"/>
        <s v="YAREMCHUK Vladyslav"/>
        <s v="KUROWSKI Jakub"/>
        <s v="KUŹMIŃSKI Bartosz"/>
        <s v="SZYMCZYK Radosław"/>
        <s v="LEKHAC Tomasz"/>
        <s v="MISHCHENKO Oleksandr"/>
        <s v="KUZDRA Christian"/>
        <s v="KWIATKOWSKI Michał"/>
        <s v="KORBIEL Franciszek"/>
        <s v="KOŁODZIEJCZYK Karol"/>
        <s v="CZARNECKI Aleksander"/>
        <s v="SZCZUBIAŁ Bartłomiej"/>
        <s v="MOSKAL Błażej"/>
        <s v="MARCZEWSKI Stanisław"/>
        <s v="ĆWIEK Tymoteusz"/>
        <s v="JANKOWSKI Dominik"/>
        <s v="KLIMCZUK Michal"/>
        <s v="KOLORZ Maks"/>
        <s v="RUS Gracjan"/>
        <s v="MYSZI Dominik"/>
        <s v="KUBALA Kacper"/>
      </sharedItems>
    </cacheField>
    <cacheField name="Category" numFmtId="0">
      <sharedItems count="2">
        <s v="senior"/>
        <s v="junior"/>
      </sharedItems>
    </cacheField>
    <cacheField name="Birth_year" numFmtId="0">
      <sharedItems containsSemiMixedTypes="0" containsString="0" containsNumber="1" containsInteger="1" minValue="1997" maxValue="2008"/>
    </cacheField>
    <cacheField name="Club" numFmtId="0">
      <sharedItems/>
    </cacheField>
    <cacheField name="All Around" numFmtId="0">
      <sharedItems count="2">
        <s v="Yes"/>
        <s v="No"/>
      </sharedItems>
    </cacheField>
    <cacheField name="Competition place" numFmtId="0">
      <sharedItems/>
    </cacheField>
    <cacheField name="Apparatus" numFmtId="0">
      <sharedItems count="7">
        <s v="Floor Exercise"/>
        <s v="Pommel Horse"/>
        <s v="Still Rings"/>
        <s v="Vault"/>
        <s v="Paralell Bars"/>
        <s v="Horizontal Bar"/>
        <s v="All Around"/>
      </sharedItems>
    </cacheField>
    <cacheField name="Score Type " numFmtId="0">
      <sharedItems count="6">
        <s v="Dscore"/>
        <s v="Escore"/>
        <s v="Total Score"/>
        <s v="AA_Dscore"/>
        <s v="AA_Escore"/>
        <s v="AA_Score"/>
      </sharedItems>
    </cacheField>
    <cacheField name="Value" numFmtId="0">
      <sharedItems containsSemiMixedTypes="0" containsString="0" containsNumber="1" minValue="0" maxValue="75.600000000000009" count="231">
        <n v="5.8"/>
        <n v="7.8"/>
        <n v="13.6"/>
        <n v="4.4000000000000004"/>
        <n v="7.1"/>
        <n v="11.5"/>
        <n v="4.5999999999999996"/>
        <n v="7.2"/>
        <n v="11.8"/>
        <n v="4.8"/>
        <n v="8.6999999999999993"/>
        <n v="13.5"/>
        <n v="4.2"/>
        <n v="8.6"/>
        <n v="12.8"/>
        <n v="8"/>
        <n v="12.4"/>
        <n v="28.199999999999996"/>
        <n v="47.4"/>
        <n v="75.600000000000009"/>
        <n v="13.1"/>
        <n v="12.2"/>
        <n v="3.8"/>
        <n v="8.1999999999999993"/>
        <n v="12"/>
        <n v="4"/>
        <n v="9"/>
        <n v="13"/>
        <n v="7.55"/>
        <n v="11.35"/>
        <n v="4.0999999999999996"/>
        <n v="8.4"/>
        <n v="12.5"/>
        <n v="24.300000000000004"/>
        <n v="49.849999999999994"/>
        <n v="74.150000000000006"/>
        <n v="4.5"/>
        <n v="13.2"/>
        <n v="7.9"/>
        <n v="11.7"/>
        <n v="2.7"/>
        <n v="10.7"/>
        <n v="3.2"/>
        <n v="9.5"/>
        <n v="12.7"/>
        <n v="3.4"/>
        <n v="11.3"/>
        <n v="3.6"/>
        <n v="11.6"/>
        <n v="21.2"/>
        <n v="50"/>
        <n v="71.199999999999989"/>
        <n v="12.6"/>
        <n v="11.15"/>
        <n v="3.9"/>
        <n v="6.4"/>
        <n v="10.3"/>
        <n v="3.7"/>
        <n v="8.4499999999999993"/>
        <n v="12.15"/>
        <n v="3"/>
        <n v="7.6"/>
        <n v="10.6"/>
        <n v="21.4"/>
        <n v="68.8"/>
        <n v="6.3"/>
        <n v="10.5"/>
        <n v="7.3"/>
        <n v="11.4"/>
        <n v="8.15"/>
        <n v="10.199999999999999"/>
        <n v="22.7"/>
        <n v="44.550000000000004"/>
        <n v="67.25"/>
        <n v="4.7"/>
        <n v="8.1"/>
        <n v="9.3000000000000007"/>
        <n v="7.7"/>
        <n v="10.4"/>
        <n v="3.5"/>
        <n v="3.1"/>
        <n v="21"/>
        <n v="45.999999999999993"/>
        <n v="67"/>
        <n v="7.35"/>
        <n v="11.85"/>
        <n v="6.1"/>
        <n v="7.5"/>
        <n v="11.1"/>
        <n v="12.3"/>
        <n v="7.85"/>
        <n v="11.55"/>
        <n v="45.300000000000004"/>
        <n v="66.5"/>
        <n v="4.3"/>
        <n v="7.4"/>
        <n v="2.4"/>
        <n v="1.1000000000000001"/>
        <n v="2.9"/>
        <n v="7"/>
        <n v="9.9"/>
        <n v="11"/>
        <n v="7.75"/>
        <n v="10.65"/>
        <n v="6.8"/>
        <n v="18.400000000000002"/>
        <n v="37.85"/>
        <n v="56.25"/>
        <n v="10.9"/>
        <n v="6.7"/>
        <n v="2.8"/>
        <n v="9.1999999999999993"/>
        <n v="2.6"/>
        <n v="5.65"/>
        <n v="8.25"/>
        <n v="0"/>
        <n v="54.150000000000006"/>
        <n v="3.3"/>
        <n v="7.65"/>
        <n v="10.85"/>
        <n v="2.5"/>
        <n v="8.8000000000000007"/>
        <n v="10"/>
        <n v="39.549999999999997"/>
        <n v="9.25"/>
        <n v="13.25"/>
        <n v="8.65"/>
        <n v="36.299999999999997"/>
        <n v="4.1500000000000004"/>
        <n v="7.95"/>
        <n v="32.65"/>
        <n v="6.85"/>
        <n v="9.5500000000000007"/>
        <n v="2.1"/>
        <n v="30.65"/>
        <n v="2.2999999999999998"/>
        <n v="2"/>
        <n v="7.45"/>
        <n v="9.9499999999999993"/>
        <n v="26.55"/>
        <n v="12.65"/>
        <n v="8.9499999999999993"/>
        <n v="12.95"/>
        <n v="12.75"/>
        <n v="8.85"/>
        <n v="11.65"/>
        <n v="2.2000000000000002"/>
        <n v="9.4"/>
        <n v="8.5500000000000007"/>
        <n v="19.5"/>
        <n v="53.7"/>
        <n v="73.2"/>
        <n v="10.75"/>
        <n v="8.5"/>
        <n v="11.75"/>
        <n v="11.2"/>
        <n v="20.5"/>
        <n v="48.4"/>
        <n v="68.900000000000006"/>
        <n v="1.6"/>
        <n v="10.8"/>
        <n v="19.999999999999996"/>
        <n v="48.3"/>
        <n v="68.3"/>
        <n v="11.45"/>
        <n v="20.900000000000002"/>
        <n v="47.35"/>
        <n v="68.25"/>
        <n v="8.3000000000000007"/>
        <n v="12.25"/>
        <n v="9.6"/>
        <n v="11.25"/>
        <n v="18.5"/>
        <n v="48.599999999999994"/>
        <n v="67.100000000000009"/>
        <n v="17"/>
        <n v="49.3"/>
        <n v="66.3"/>
        <n v="6.65"/>
        <n v="6.9"/>
        <n v="18.299999999999997"/>
        <n v="47.449999999999996"/>
        <n v="65.75"/>
        <n v="7.15"/>
        <n v="9.4499999999999993"/>
        <n v="9.1"/>
        <n v="8.0500000000000007"/>
        <n v="11.05"/>
        <n v="16.7"/>
        <n v="48.800000000000004"/>
        <n v="65.5"/>
        <n v="1.9"/>
        <n v="16.3"/>
        <n v="42.8"/>
        <n v="59.099999999999994"/>
        <n v="6"/>
        <n v="5.7"/>
        <n v="14.600000000000001"/>
        <n v="43.9"/>
        <n v="58.5"/>
        <n v="10.55"/>
        <n v="50.649999999999991"/>
        <n v="11.9"/>
        <n v="44.6"/>
        <n v="4.9000000000000004"/>
        <n v="1.8"/>
        <n v="9.8000000000000007"/>
        <n v="39"/>
        <n v="1.3"/>
        <n v="5.2"/>
        <n v="1.4"/>
        <n v="1.7"/>
        <n v="1.5"/>
        <n v="5"/>
        <n v="6.5"/>
        <n v="11.600000000000001"/>
        <n v="27.2"/>
        <n v="38.800000000000004"/>
        <n v="0.6"/>
        <n v="2.85"/>
        <n v="4.75"/>
        <n v="0.1"/>
        <n v="1"/>
        <n v="24.450000000000003"/>
        <n v="3.45"/>
        <n v="5.45"/>
        <n v="30.849999999999994"/>
        <n v="6.6"/>
        <n v="10.1"/>
        <n v="8.75"/>
        <n v="28.549999999999997"/>
      </sharedItems>
    </cacheField>
    <cacheField name="Pole1" numFmtId="0" formula=" 0" databaseField="0"/>
  </cacheFields>
  <extLst>
    <ext xmlns:x14="http://schemas.microsoft.com/office/spreadsheetml/2009/9/main" uri="{725AE2AE-9491-48be-B2B4-4EB974FC3084}">
      <x14:pivotCacheDefinition pivotCacheId="92501926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" refreshedDate="45160.509665625003" createdVersion="8" refreshedVersion="8" minRefreshableVersion="3" recordCount="777" xr:uid="{90148952-9824-41FC-8764-6D7393840C97}">
  <cacheSource type="worksheet">
    <worksheetSource name="Zabrze_pivoted"/>
  </cacheSource>
  <cacheFields count="9">
    <cacheField name="Name" numFmtId="0">
      <sharedItems count="37">
        <s v="GARNCZAREK Kacper"/>
        <s v="SASNAL Filip"/>
        <s v="WROŃSKI Filip"/>
        <s v="KUROWSKI Jakub"/>
        <s v="KORNIICHUK Yehor"/>
        <s v="LUDYNIA Marceli"/>
        <s v="LAKHIN Yaroslav"/>
        <s v="BOBER Michał"/>
        <s v="BRACKI Borys"/>
        <s v="WIERZBA Kacper"/>
        <s v="CHRUŚCIEL Szymon"/>
        <s v="JAKUBOWSKI Jakub"/>
        <s v="KUZDRA Konrad"/>
        <s v="PAWŁOWSKI Jakub"/>
        <s v="SZYMCZYK Radosław"/>
        <s v="FRONT Filip"/>
        <s v="IAREMCHUK Vladyslav"/>
        <s v="HERASYMOV Mykyta"/>
        <s v="SIEDZIAKO Igor"/>
        <s v="PIETRUSZKIEWICZ Jakub"/>
        <s v="BIAŁOWĄS Oliwier"/>
        <s v="KUŹMIŃSKI Bartosz"/>
        <s v="SIUTA Jakub"/>
        <s v="KLIMCZUK Paweł"/>
        <s v="LEKHAC Tomasz"/>
        <s v="CZARNECKI Aleksander"/>
        <s v="KWIATKOWSKI Michał"/>
        <s v="KUZDRA Christian"/>
        <s v="KORBIEL Franciszek"/>
        <s v="KOPERSKI Filip"/>
        <s v="JANKOWSKI Dominik"/>
        <s v="KOŁODZIEJCZYK Karol"/>
        <s v="ŻEMEŁKA Dawid"/>
        <s v="MOSKAL Błażej"/>
        <s v="AZUMI Vincent"/>
        <s v="KUBALA Kacper"/>
        <s v="RZEŹNICKI Gracjan"/>
      </sharedItems>
    </cacheField>
    <cacheField name="Category" numFmtId="0">
      <sharedItems count="2">
        <s v="senior"/>
        <s v="junior"/>
      </sharedItems>
    </cacheField>
    <cacheField name="Birth_year" numFmtId="0">
      <sharedItems containsSemiMixedTypes="0" containsString="0" containsNumber="1" containsInteger="1" minValue="1997" maxValue="2008"/>
    </cacheField>
    <cacheField name="Club" numFmtId="0">
      <sharedItems/>
    </cacheField>
    <cacheField name="Competition place" numFmtId="0">
      <sharedItems/>
    </cacheField>
    <cacheField name="All Around" numFmtId="0">
      <sharedItems count="2">
        <s v="Yes"/>
        <s v="No"/>
      </sharedItems>
    </cacheField>
    <cacheField name="Apparatus" numFmtId="0">
      <sharedItems count="7">
        <s v="Floor Exercise"/>
        <s v="Pommel Horse"/>
        <s v="Still Rings"/>
        <s v="Vault"/>
        <s v="Paralell Bars"/>
        <s v="Horizontal Bar"/>
        <s v="All Around"/>
      </sharedItems>
    </cacheField>
    <cacheField name="Score Type " numFmtId="0">
      <sharedItems count="6">
        <s v="Dscore"/>
        <s v="Escore"/>
        <s v="Total Score"/>
        <s v="AA Dscore"/>
        <s v="AA Escore"/>
        <s v="AA Sscore"/>
      </sharedItems>
    </cacheField>
    <cacheField name="Value" numFmtId="0">
      <sharedItems containsSemiMixedTypes="0" containsString="0" containsNumber="1" minValue="0" maxValue="76.150000000000006" count="231">
        <n v="5.3"/>
        <n v="8.15"/>
        <n v="13.45"/>
        <n v="4.9000000000000004"/>
        <n v="7.4"/>
        <n v="12.3"/>
        <n v="4.0999999999999996"/>
        <n v="8.35"/>
        <n v="12.45"/>
        <n v="4.4000000000000004"/>
        <n v="9.1"/>
        <n v="13.5"/>
        <n v="5"/>
        <n v="7.45"/>
        <n v="4.5999999999999996"/>
        <n v="12"/>
        <n v="28.299999999999997"/>
        <n v="47.85"/>
        <n v="76.150000000000006"/>
        <n v="6"/>
        <n v="6.6"/>
        <n v="12.6"/>
        <n v="6.4"/>
        <n v="11"/>
        <n v="3.9"/>
        <n v="8.1"/>
        <n v="5.2"/>
        <n v="9.6"/>
        <n v="14.8"/>
        <n v="4.2"/>
        <n v="8.1999999999999993"/>
        <n v="12.4"/>
        <n v="6.8"/>
        <n v="11.2"/>
        <n v="45.7"/>
        <n v="74"/>
        <n v="3.8"/>
        <n v="8.4"/>
        <n v="12.2"/>
        <n v="3"/>
        <n v="11.4"/>
        <n v="4"/>
        <n v="13.1"/>
        <n v="9.35"/>
        <n v="12.35"/>
        <n v="3.6"/>
        <n v="7.1"/>
        <n v="10.7"/>
        <n v="21.3"/>
        <n v="50.750000000000007"/>
        <n v="72.050000000000011"/>
        <n v="12.55"/>
        <n v="7.75"/>
        <n v="11.55"/>
        <n v="7.7"/>
        <n v="11.5"/>
        <n v="13.6"/>
        <n v="3.5"/>
        <n v="8.6999999999999993"/>
        <n v="2.2000000000000002"/>
        <n v="7.85"/>
        <n v="10.050000000000001"/>
        <n v="21.5"/>
        <n v="49.949999999999996"/>
        <n v="71.45"/>
        <n v="11.8"/>
        <n v="3.3"/>
        <n v="9.3000000000000007"/>
        <n v="7.6"/>
        <n v="11.7"/>
        <n v="8.25"/>
        <n v="4.3"/>
        <n v="12.5"/>
        <n v="3.7"/>
        <n v="7.95"/>
        <n v="11.65"/>
        <n v="25.6"/>
        <n v="44.8"/>
        <n v="70.400000000000006"/>
        <n v="4.7"/>
        <n v="13.4"/>
        <n v="7.5"/>
        <n v="10.5"/>
        <n v="2.5"/>
        <n v="10.65"/>
        <n v="7.9"/>
        <n v="2.7"/>
        <n v="7.55"/>
        <n v="10.25"/>
        <n v="20.999999999999996"/>
        <n v="48.9"/>
        <n v="69.900000000000006"/>
        <n v="7.3"/>
        <n v="11.1"/>
        <n v="7.8"/>
        <n v="11.6"/>
        <n v="3.2"/>
        <n v="9.4499999999999993"/>
        <n v="12.65"/>
        <n v="8.0500000000000007"/>
        <n v="10.3"/>
        <n v="20.7"/>
        <n v="48.949999999999996"/>
        <n v="69.649999999999991"/>
        <n v="11.75"/>
        <n v="6.2"/>
        <n v="10"/>
        <n v="9.15"/>
        <n v="8.75"/>
        <n v="2.6"/>
        <n v="10.1"/>
        <n v="21.1"/>
        <n v="68.95"/>
        <n v="3.4"/>
        <n v="12.1"/>
        <n v="6.7"/>
        <n v="10.8"/>
        <n v="8.65"/>
        <n v="12.25"/>
        <n v="10.4"/>
        <n v="20.9"/>
        <n v="47.999999999999993"/>
        <n v="68.900000000000006"/>
        <n v="5.5"/>
        <n v="8.9"/>
        <n v="11.3"/>
        <n v="13.3"/>
        <n v="21.900000000000002"/>
        <n v="46.95"/>
        <n v="68.849999999999994"/>
        <n v="6.25"/>
        <n v="10.35"/>
        <n v="4.75"/>
        <n v="9.25"/>
        <n v="2.8"/>
        <n v="8"/>
        <n v="43.05"/>
        <n v="63.95"/>
        <n v="11.9"/>
        <n v="5.6"/>
        <n v="0"/>
        <n v="39.600000000000009"/>
        <n v="7"/>
        <n v="9.6999999999999993"/>
        <n v="7.2"/>
        <n v="10.199999999999999"/>
        <n v="2.1"/>
        <n v="6.9"/>
        <n v="9"/>
        <n v="38.599999999999994"/>
        <n v="11.85"/>
        <n v="37.65"/>
        <n v="8.6"/>
        <n v="12.9"/>
        <n v="36.85"/>
        <n v="9.4"/>
        <n v="3.1"/>
        <n v="8.85"/>
        <n v="11.95"/>
        <n v="36.549999999999997"/>
        <n v="4.5"/>
        <n v="12.7"/>
        <n v="10.6"/>
        <n v="35.1"/>
        <n v="2.9"/>
        <n v="2.4"/>
        <n v="31"/>
        <n v="10.45"/>
        <n v="2"/>
        <n v="29.15"/>
        <n v="12.85"/>
        <n v="22.95"/>
        <n v="8.8000000000000007"/>
        <n v="22.7"/>
        <n v="9.0500000000000007"/>
        <n v="22.25"/>
        <n v="1.7"/>
        <n v="16"/>
        <n v="11.25"/>
        <n v="19.5"/>
        <n v="53.050000000000004"/>
        <n v="72.55"/>
        <n v="8.9499999999999993"/>
        <n v="12.95"/>
        <n v="10.9"/>
        <n v="21.2"/>
        <n v="49.8"/>
        <n v="71"/>
        <n v="8.5500000000000007"/>
        <n v="12.75"/>
        <n v="9.8000000000000007"/>
        <n v="11.35"/>
        <n v="20.799999999999997"/>
        <n v="48.95"/>
        <n v="69.75"/>
        <n v="11.15"/>
        <n v="21"/>
        <n v="47.050000000000004"/>
        <n v="68.05"/>
        <n v="8.3000000000000007"/>
        <n v="19.900000000000002"/>
        <n v="48.000000000000007"/>
        <n v="67.899999999999991"/>
        <n v="19.399999999999999"/>
        <n v="47.75"/>
        <n v="67.150000000000006"/>
        <n v="1.8"/>
        <n v="16.099999999999998"/>
        <n v="50.85"/>
        <n v="66.95"/>
        <n v="11.45"/>
        <n v="10.15"/>
        <n v="49.4"/>
        <n v="65.399999999999991"/>
        <n v="5.75"/>
        <n v="8.5"/>
        <n v="1.6"/>
        <n v="9.5"/>
        <n v="12.600000000000001"/>
        <n v="46.050000000000004"/>
        <n v="58.65"/>
        <n v="1.95"/>
        <n v="4.6500000000000004"/>
        <n v="6.5"/>
        <n v="1.9"/>
        <n v="15"/>
        <n v="42.099999999999994"/>
        <n v="57.1"/>
        <n v="34.5"/>
        <n v="19.799999999999997"/>
        <n v="9.9"/>
      </sharedItems>
    </cacheField>
  </cacheFields>
  <extLst>
    <ext xmlns:x14="http://schemas.microsoft.com/office/spreadsheetml/2009/9/main" uri="{725AE2AE-9491-48be-B2B4-4EB974FC3084}">
      <x14:pivotCacheDefinition pivotCacheId="864761450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" refreshedDate="45160.547239583335" createdVersion="8" refreshedVersion="8" minRefreshableVersion="3" recordCount="819" xr:uid="{35A54D50-F2E4-4902-BEB7-439431AFDDB8}">
  <cacheSource type="worksheet">
    <worksheetSource name="Cracow_Pivoted"/>
  </cacheSource>
  <cacheFields count="8">
    <cacheField name="Name" numFmtId="0">
      <sharedItems count="39">
        <s v="SASNAL Filip"/>
        <s v="GARNCZAREK Kacper"/>
        <s v="KUROWSKI Jakub"/>
        <s v="LUKIANIENKO Illia"/>
        <s v="GAWROŃSKI Sebastian"/>
        <s v="KAŚKÓW Paweł"/>
        <s v="LAKHIN Yaroslav"/>
        <s v="BRACKI Borys"/>
        <s v="BOBER Michał"/>
        <s v="LUDYNIA Marceli"/>
        <s v="CHRUŚCIEL Szymon"/>
        <s v="KORNIICHUK Yehor"/>
        <s v="WIERZBA Kacper"/>
        <s v="PAWŁOWSKI Jakub"/>
        <s v="SZYMCZYK Radosław"/>
        <s v="HERASYMOV Mykyta"/>
        <s v="IAREMCHUK Vladyslav"/>
        <s v="FRONT Filip"/>
        <s v="LESIŃSKI Piotr"/>
        <s v="JAKUBOWSKI Jakub"/>
        <s v="SIEDZIAKO Igor"/>
        <s v="KUŹMIŃSKI Bartosz"/>
        <s v="SIUTA Jakub"/>
        <s v="KLIMCZUK Paweł"/>
        <s v="LEKHAC Tomasz"/>
        <s v="KUZDRA Christian"/>
        <s v="KOPERSKI Filip"/>
        <s v="KWIATKOWSKI Michał"/>
        <s v="KOŁODZIEJCZYK Karol"/>
        <s v="JANKOWSKI Dominik"/>
        <s v="KORBIEL Franciszek"/>
        <s v="MOSKAL Błażej"/>
        <s v="ŻEMEŁKA Dawid"/>
        <s v="KLIMCZUK Michał"/>
        <s v="ĆWIEK Tymoteusz"/>
        <s v="ŁUCKI Miłosz"/>
        <s v="AZUMI Vincent"/>
        <s v="KUBALA Kacper"/>
        <s v="SADZA Jakub"/>
      </sharedItems>
    </cacheField>
    <cacheField name="Category" numFmtId="0">
      <sharedItems count="2">
        <s v="senior"/>
        <s v="junior"/>
      </sharedItems>
    </cacheField>
    <cacheField name="Birth_year" numFmtId="0">
      <sharedItems containsSemiMixedTypes="0" containsString="0" containsNumber="1" containsInteger="1" minValue="1996" maxValue="2008"/>
    </cacheField>
    <cacheField name="Club" numFmtId="0">
      <sharedItems/>
    </cacheField>
    <cacheField name="All Around" numFmtId="0">
      <sharedItems count="2">
        <s v="Yes"/>
        <s v="No"/>
      </sharedItems>
    </cacheField>
    <cacheField name="Apparatus" numFmtId="0">
      <sharedItems count="7">
        <s v="Floor Exercise"/>
        <s v="Pommel Horse"/>
        <s v="Still Rings"/>
        <s v="Vault"/>
        <s v="Paralell Bars"/>
        <s v="Horizontal Bar"/>
        <s v="All Around"/>
      </sharedItems>
    </cacheField>
    <cacheField name="Score Type " numFmtId="0">
      <sharedItems count="6">
        <s v="Dscore"/>
        <s v="Escore"/>
        <s v="Total Score"/>
        <s v="AA Dscore"/>
        <s v="AA Escore"/>
        <s v="AA Score"/>
      </sharedItems>
    </cacheField>
    <cacheField name="Value" numFmtId="0">
      <sharedItems containsSemiMixedTypes="0" containsString="0" containsNumber="1" minValue="0" maxValue="75.849999999999994" count="247">
        <n v="5.6"/>
        <n v="7.65"/>
        <n v="13.25"/>
        <n v="4.4000000000000004"/>
        <n v="7"/>
        <n v="11.4"/>
        <n v="4.3"/>
        <n v="7.85"/>
        <n v="12.15"/>
        <n v="5.2"/>
        <n v="8.0500000000000007"/>
        <n v="4.2"/>
        <n v="8.8000000000000007"/>
        <n v="13"/>
        <n v="8.4"/>
        <n v="12.8"/>
        <n v="28.1"/>
        <n v="47.75"/>
        <n v="75.849999999999994"/>
        <n v="5.3"/>
        <n v="7.25"/>
        <n v="12.55"/>
        <n v="7.7"/>
        <n v="12.9"/>
        <n v="4.0999999999999996"/>
        <n v="8.1"/>
        <n v="12.2"/>
        <n v="9.15"/>
        <n v="13.55"/>
        <n v="6.6"/>
        <n v="11.9"/>
        <n v="4.5999999999999996"/>
        <n v="8.15"/>
        <n v="12.75"/>
        <n v="28.9"/>
        <n v="46.949999999999996"/>
        <n v="4.5"/>
        <n v="8"/>
        <n v="12.5"/>
        <n v="3.8"/>
        <n v="11.8"/>
        <n v="8.5500000000000007"/>
        <n v="12.35"/>
        <n v="4"/>
        <n v="9.35"/>
        <n v="13.35"/>
        <n v="3.4"/>
        <n v="8.75"/>
        <n v="2.6"/>
        <n v="8.9"/>
        <n v="11.5"/>
        <n v="22.1"/>
        <n v="51.55"/>
        <n v="73.650000000000006"/>
        <n v="4.8"/>
        <n v="12.3"/>
        <n v="11.65"/>
        <n v="9.3000000000000007"/>
        <n v="13.3"/>
        <n v="7.1"/>
        <n v="3.7"/>
        <n v="11.85"/>
        <n v="25.4"/>
        <n v="47.6"/>
        <n v="73"/>
        <n v="5.4"/>
        <n v="8.25"/>
        <n v="13.65"/>
        <n v="6.5"/>
        <n v="10.7"/>
        <n v="5"/>
        <n v="13.1"/>
        <n v="6.45"/>
        <n v="10.95"/>
        <n v="6.65"/>
        <n v="11.25"/>
        <n v="44.050000000000004"/>
        <n v="72.95"/>
        <n v="10.8"/>
        <n v="7.2"/>
        <n v="11.6"/>
        <n v="8.35"/>
        <n v="13.15"/>
        <n v="8.3000000000000007"/>
        <n v="12.05"/>
        <n v="23.900000000000002"/>
        <n v="48.149999999999991"/>
        <n v="72.05"/>
        <n v="3.9"/>
        <n v="7.9"/>
        <n v="8.5"/>
        <n v="12.7"/>
        <n v="11.1"/>
        <n v="3.2"/>
        <n v="9.0500000000000007"/>
        <n v="12.25"/>
        <n v="3.5"/>
        <n v="9.1"/>
        <n v="12.6"/>
        <n v="2.5"/>
        <n v="10.65"/>
        <n v="20.7"/>
        <n v="50.4"/>
        <n v="71.099999999999994"/>
        <n v="3.6"/>
        <n v="12"/>
        <n v="8.1999999999999993"/>
        <n v="12.1"/>
        <n v="8.65"/>
        <n v="12.65"/>
        <n v="8.85"/>
        <n v="12.85"/>
        <n v="9.6999999999999993"/>
        <n v="21.6"/>
        <n v="49.300000000000004"/>
        <n v="70.900000000000006"/>
        <n v="3"/>
        <n v="21.4"/>
        <n v="48.7"/>
        <n v="70.099999999999994"/>
        <n v="3.1"/>
        <n v="3.05"/>
        <n v="6.15"/>
        <n v="2.8"/>
        <n v="9.9"/>
        <n v="6.85"/>
        <n v="10.55"/>
        <n v="2.7"/>
        <n v="10.9"/>
        <n v="20.799999999999997"/>
        <n v="42.7"/>
        <n v="63.5"/>
        <n v="7.8"/>
        <n v="2.9"/>
        <n v="10.15"/>
        <n v="19.899999999999999"/>
        <n v="43.6"/>
        <n v="4.9000000000000004"/>
        <n v="7.6"/>
        <n v="6.7"/>
        <n v="10.3"/>
        <n v="0"/>
        <n v="7.4"/>
        <n v="58.65"/>
        <n v="7.15"/>
        <n v="9.65"/>
        <n v="57.3"/>
        <n v="6.35"/>
        <n v="9.25"/>
        <n v="53.8"/>
        <n v="7.95"/>
        <n v="13.75"/>
        <n v="38.35"/>
        <n v="3.3"/>
        <n v="4.1500000000000004"/>
        <n v="7.45"/>
        <n v="6.55"/>
        <n v="8.6999999999999993"/>
        <n v="11.2"/>
        <n v="6.95"/>
        <n v="9.5500000000000007"/>
        <n v="37.25"/>
        <n v="4.7"/>
        <n v="6.8"/>
        <n v="11"/>
        <n v="35.200000000000003"/>
        <n v="11.55"/>
        <n v="35.1"/>
        <n v="7.05"/>
        <n v="11.45"/>
        <n v="11.35"/>
        <n v="34.049999999999997"/>
        <n v="7.55"/>
        <n v="11.75"/>
        <n v="10.1"/>
        <n v="11.95"/>
        <n v="2.1"/>
        <n v="10.6"/>
        <n v="22.55"/>
        <n v="21.85"/>
        <n v="5.75"/>
        <n v="19.600000000000001"/>
        <n v="8.4499999999999993"/>
        <n v="12.45"/>
        <n v="2.2000000000000002"/>
        <n v="8.6"/>
        <n v="9.4499999999999993"/>
        <n v="19.7"/>
        <n v="52.5"/>
        <n v="72.2"/>
        <n v="11.15"/>
        <n v="11.7"/>
        <n v="21.2"/>
        <n v="49.4"/>
        <n v="70.599999999999994"/>
        <n v="11.05"/>
        <n v="11.3"/>
        <n v="10.25"/>
        <n v="19.3"/>
        <n v="48.55"/>
        <n v="67.849999999999994"/>
        <n v="9.1999999999999993"/>
        <n v="12.4"/>
        <n v="20.399999999999999"/>
        <n v="45.900000000000006"/>
        <n v="66.3"/>
        <n v="2.2999999999999998"/>
        <n v="10.199999999999999"/>
        <n v="10.85"/>
        <n v="17.2"/>
        <n v="47.5"/>
        <n v="64.7"/>
        <n v="2.4"/>
        <n v="10.45"/>
        <n v="1.8"/>
        <n v="16.5"/>
        <n v="64"/>
        <n v="10.75"/>
        <n v="17.8"/>
        <n v="45.9"/>
        <n v="63.7"/>
        <n v="4.95"/>
        <n v="1.9"/>
        <n v="10.5"/>
        <n v="15.6"/>
        <n v="44.150000000000006"/>
        <n v="59.75"/>
        <n v="2.75"/>
        <n v="1.6"/>
        <n v="9"/>
        <n v="7.75"/>
        <n v="14"/>
        <n v="42.45"/>
        <n v="56.45"/>
        <n v="1.7"/>
        <n v="10.4"/>
        <n v="51.2"/>
        <n v="5.7"/>
        <n v="9.75"/>
        <n v="47.05"/>
        <n v="2"/>
        <n v="7.35"/>
        <n v="39.6"/>
        <n v="34.549999999999997"/>
        <n v="6.2"/>
        <n v="30.95"/>
        <n v="22.75"/>
      </sharedItems>
    </cacheField>
  </cacheFields>
  <extLst>
    <ext xmlns:x14="http://schemas.microsoft.com/office/spreadsheetml/2009/9/main" uri="{725AE2AE-9491-48be-B2B4-4EB974FC3084}">
      <x14:pivotCacheDefinition pivotCacheId="717721964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" refreshedDate="45160.554308333332" createdVersion="8" refreshedVersion="8" minRefreshableVersion="3" recordCount="693" xr:uid="{48BC611F-2A78-4939-9FC4-76B8DE64F0A5}">
  <cacheSource type="worksheet">
    <worksheetSource name="Gdansk_result__2"/>
  </cacheSource>
  <cacheFields count="8">
    <cacheField name="Name" numFmtId="0">
      <sharedItems count="33">
        <s v="SASNAL Filip"/>
        <s v="GARNCZAREK Kacper"/>
        <s v="GAWROŃSKI Sebastian"/>
        <s v="WROŃSKI Filip"/>
        <s v="WIERZBA Kacper"/>
        <s v="KORNIICHUK Yehor"/>
        <s v="LUKIANIENKO Illia"/>
        <s v="CHRUŚCIEL Szymon"/>
        <s v="KUROWSKI Jakub"/>
        <s v="LUDYNIA Marceli"/>
        <s v="BOBER Michał"/>
        <s v="BRACKI Borys"/>
        <s v="KUZDRA Konrad"/>
        <s v="JAKUBOWSKI Jakub"/>
        <s v="PAWŁOWSKI Jakub"/>
        <s v="HERASYMOV Mykyta"/>
        <s v="LAKHIN Yaroslav"/>
        <s v="IAREMCHUK Vladyslav"/>
        <s v="FRONT Filip"/>
        <s v="BIAŁOWĄS Oliwier"/>
        <s v="LEKHAC Tomasz"/>
        <s v="KWIATKOWSKI Michał"/>
        <s v="CZARNECKI Aleksander"/>
        <s v="KUZDRA Christian"/>
        <s v="KOŁODZIEJCZYK Karol"/>
        <s v="KOPERSKI Filip"/>
        <s v="MISHCHENKO Oleksandr"/>
        <s v="KORBIEL Franciszek"/>
        <s v="JANKOWSKI Dominik"/>
        <s v="MOSKAL Błażej"/>
        <s v="ŻEMEŁKA Dawid"/>
        <s v="KLIMCZUK Michał"/>
        <s v="KUBALA Kacper"/>
      </sharedItems>
    </cacheField>
    <cacheField name="Category" numFmtId="0">
      <sharedItems count="2">
        <s v="senior"/>
        <s v="junior"/>
      </sharedItems>
    </cacheField>
    <cacheField name="Birth_year" numFmtId="0">
      <sharedItems containsSemiMixedTypes="0" containsString="0" containsNumber="1" containsInteger="1" minValue="1996" maxValue="2008"/>
    </cacheField>
    <cacheField name="Club" numFmtId="0">
      <sharedItems/>
    </cacheField>
    <cacheField name="All Around" numFmtId="0">
      <sharedItems count="2">
        <s v="Yes"/>
        <s v="No"/>
      </sharedItems>
    </cacheField>
    <cacheField name="Apparatus" numFmtId="0">
      <sharedItems count="7">
        <s v="Floor Exercise"/>
        <s v="Pommel Horse"/>
        <s v="Still Rings"/>
        <s v="Vault"/>
        <s v="Paralell Bars"/>
        <s v="Horizontal Bar"/>
        <s v="All Around"/>
      </sharedItems>
    </cacheField>
    <cacheField name="Score Type " numFmtId="0">
      <sharedItems count="6">
        <s v="Dscore"/>
        <s v="Escore"/>
        <s v="Total Score"/>
        <s v="AA Dscore"/>
        <s v="AA Escore"/>
        <s v="AA Score"/>
      </sharedItems>
    </cacheField>
    <cacheField name="Value" numFmtId="0">
      <sharedItems containsSemiMixedTypes="0" containsString="0" containsNumber="1" minValue="0" maxValue="72.55" count="200">
        <n v="5.6"/>
        <n v="6.65"/>
        <n v="12.25"/>
        <n v="4.4000000000000004"/>
        <n v="5"/>
        <n v="9.4"/>
        <n v="4.2"/>
        <n v="8"/>
        <n v="12.2"/>
        <n v="4.8"/>
        <n v="8.3000000000000007"/>
        <n v="13.1"/>
        <n v="9.1999999999999993"/>
        <n v="13.4"/>
        <n v="27.4"/>
        <n v="45.15"/>
        <n v="72.55"/>
        <n v="5.4"/>
        <n v="7.4"/>
        <n v="12.8"/>
        <n v="4.9000000000000004"/>
        <n v="6"/>
        <n v="10.9"/>
        <n v="2.8"/>
        <n v="12"/>
        <n v="12.7"/>
        <n v="5.3"/>
        <n v="7"/>
        <n v="12.3"/>
        <n v="6.9"/>
        <n v="11.8"/>
        <n v="27.700000000000003"/>
        <n v="44.800000000000004"/>
        <n v="72.5"/>
        <n v="5.8"/>
        <n v="11.2"/>
        <n v="4.0999999999999996"/>
        <n v="7.9"/>
        <n v="6.6"/>
        <n v="11.9"/>
        <n v="5.2"/>
        <n v="13.2"/>
        <n v="6.3"/>
        <n v="11.1"/>
        <n v="30.099999999999998"/>
        <n v="41.599999999999994"/>
        <n v="71.7"/>
        <n v="3.9"/>
        <n v="7.3"/>
        <n v="3.2"/>
        <n v="7.8"/>
        <n v="11"/>
        <n v="8.1999999999999993"/>
        <n v="12.1"/>
        <n v="4"/>
        <n v="8.6999999999999993"/>
        <n v="3.4"/>
        <n v="9"/>
        <n v="12.4"/>
        <n v="3.6"/>
        <n v="22"/>
        <n v="49.3"/>
        <n v="71.3"/>
        <n v="6.4"/>
        <n v="9.8000000000000007"/>
        <n v="3.8"/>
        <n v="11.7"/>
        <n v="13"/>
        <n v="3"/>
        <n v="8.8000000000000007"/>
        <n v="3.3"/>
        <n v="11.3"/>
        <n v="21.400000000000002"/>
        <n v="48"/>
        <n v="69.400000000000006"/>
        <n v="5.0999999999999996"/>
        <n v="6.8"/>
        <n v="2.7"/>
        <n v="7.7"/>
        <n v="4.3"/>
        <n v="3.7"/>
        <n v="24.4"/>
        <n v="44"/>
        <n v="68.400000000000006"/>
        <n v="6.2"/>
        <n v="10.4"/>
        <n v="10.7"/>
        <n v="7.5"/>
        <n v="11.6"/>
        <n v="8.9"/>
        <n v="12.9"/>
        <n v="10.6"/>
        <n v="22.5"/>
        <n v="44.4"/>
        <n v="66.900000000000006"/>
        <n v="11.4"/>
        <n v="3.5"/>
        <n v="5.5"/>
        <n v="3.1"/>
        <n v="11.5"/>
        <n v="2.5"/>
        <n v="20.599999999999998"/>
        <n v="44.8"/>
        <n v="65.400000000000006"/>
        <n v="10.3"/>
        <n v="2.6"/>
        <n v="7.6"/>
        <n v="10.199999999999999"/>
        <n v="20.700000000000003"/>
        <n v="43.2"/>
        <n v="63.9"/>
        <n v="4.7"/>
        <n v="6.7"/>
        <n v="2.9"/>
        <n v="7.1"/>
        <n v="10"/>
        <n v="10.1"/>
        <n v="8.4"/>
        <n v="20.500000000000004"/>
        <n v="43.1"/>
        <n v="63.6"/>
        <n v="9.9"/>
        <n v="19.200000000000003"/>
        <n v="43.5"/>
        <n v="62.7"/>
        <n v="7.45"/>
        <n v="11.05"/>
        <n v="10.8"/>
        <n v="2.4"/>
        <n v="2.2000000000000002"/>
        <n v="1"/>
        <n v="18.5"/>
        <n v="37.75"/>
        <n v="56.25"/>
        <n v="1.9"/>
        <n v="6.1"/>
        <n v="14.799999999999999"/>
        <n v="40.6"/>
        <n v="55.4"/>
        <n v="7.2"/>
        <n v="0"/>
        <n v="48.7"/>
        <n v="5.7"/>
        <n v="9.3000000000000007"/>
        <n v="34"/>
        <n v="28.5"/>
        <n v="12.5"/>
        <n v="24.6"/>
        <n v="4.5"/>
        <n v="6.5"/>
        <n v="17.3"/>
        <n v="10.5"/>
        <n v="19.599999999999998"/>
        <n v="50.400000000000006"/>
        <n v="70"/>
        <n v="9.1"/>
        <n v="20.099999999999998"/>
        <n v="46.3"/>
        <n v="66.400000000000006"/>
        <n v="2.2999999999999998"/>
        <n v="8.6"/>
        <n v="12.6"/>
        <n v="20.399999999999999"/>
        <n v="45.900000000000006"/>
        <n v="66.3"/>
        <n v="9.6"/>
        <n v="19.099999999999998"/>
        <n v="45.4"/>
        <n v="64.5"/>
        <n v="8.5"/>
        <n v="15.7"/>
        <n v="48.5"/>
        <n v="64.2"/>
        <n v="8.1"/>
        <n v="17.599999999999998"/>
        <n v="46.2"/>
        <n v="63.8"/>
        <n v="19.5"/>
        <n v="43.8"/>
        <n v="63.3"/>
        <n v="5.9"/>
        <n v="17.900000000000002"/>
        <n v="45.199999999999996"/>
        <n v="63.1"/>
        <n v="2"/>
        <n v="1.8"/>
        <n v="9.6999999999999993"/>
        <n v="15.000000000000002"/>
        <n v="47.699999999999996"/>
        <n v="1.6"/>
        <n v="13.9"/>
        <n v="48.2"/>
        <n v="62.1"/>
        <n v="1.7"/>
        <n v="1.5"/>
        <n v="12.600000000000001"/>
        <n v="40.299999999999997"/>
        <n v="52.9"/>
        <n v="50.8"/>
        <n v="37.1"/>
      </sharedItems>
      <fieldGroup base="7">
        <rangePr autoStart="0" startNum="2.6" endNum="72.55" groupInterval="0.5"/>
        <groupItems count="142">
          <s v="&lt;2,6"/>
          <s v="2,6-3,1"/>
          <s v="3,1-3,6"/>
          <s v="3,6-4,1"/>
          <s v="4,1-4,6"/>
          <s v="4,6-5,1"/>
          <s v="5,1-5,6"/>
          <s v="5,6-6,1"/>
          <s v="6,1-6,6"/>
          <s v="6,6-7,1"/>
          <s v="7,1-7,6"/>
          <s v="7,6-8,1"/>
          <s v="8,1-8,6"/>
          <s v="8,6-9,1"/>
          <s v="9,1-9,6"/>
          <s v="9,6-10,1"/>
          <s v="10,1-10,6"/>
          <s v="10,6-11,1"/>
          <s v="11,1-11,6"/>
          <s v="11,6-12,1"/>
          <s v="12,1-12,6"/>
          <s v="12,6-13,1"/>
          <s v="13,1-13,6"/>
          <s v="13,6-14,1"/>
          <s v="14,1-14,6"/>
          <s v="14,6-15,1"/>
          <s v="15,1-15,6"/>
          <s v="15,6-16,1"/>
          <s v="16,1-16,6"/>
          <s v="16,6-17,1"/>
          <s v="17,1-17,6"/>
          <s v="17,6-18,1"/>
          <s v="18,1-18,6"/>
          <s v="18,6-19,1"/>
          <s v="19,1-19,6"/>
          <s v="19,6-20,1"/>
          <s v="20,1-20,6"/>
          <s v="20,6-21,1"/>
          <s v="21,1-21,6"/>
          <s v="21,6-22,1"/>
          <s v="22,1-22,6"/>
          <s v="22,6-23,1"/>
          <s v="23,1-23,6"/>
          <s v="23,6-24,1"/>
          <s v="24,1-24,6"/>
          <s v="24,6-25,1"/>
          <s v="25,1-25,6"/>
          <s v="25,6-26,1"/>
          <s v="26,1-26,6"/>
          <s v="26,6-27,1"/>
          <s v="27,1-27,6"/>
          <s v="27,6-28,1"/>
          <s v="28,1-28,6"/>
          <s v="28,6-29,1"/>
          <s v="29,1-29,6"/>
          <s v="29,6-30,1"/>
          <s v="30,1-30,6"/>
          <s v="30,6-31,1"/>
          <s v="31,1-31,6"/>
          <s v="31,6-32,1"/>
          <s v="32,1-32,6"/>
          <s v="32,6-33,1"/>
          <s v="33,1-33,6"/>
          <s v="33,6-34,1"/>
          <s v="34,1-34,6"/>
          <s v="34,6-35,1"/>
          <s v="35,1-35,6"/>
          <s v="35,6-36,1"/>
          <s v="36,1-36,6"/>
          <s v="36,6-37,1"/>
          <s v="37,1-37,6"/>
          <s v="37,6-38,1"/>
          <s v="38,1-38,6"/>
          <s v="38,6-39,1"/>
          <s v="39,1-39,6"/>
          <s v="39,6-40,1"/>
          <s v="40,1-40,6"/>
          <s v="40,6-41,1"/>
          <s v="41,1-41,6"/>
          <s v="41,6-42,1"/>
          <s v="42,1-42,6"/>
          <s v="42,6-43,1"/>
          <s v="43,1-43,6"/>
          <s v="43,6-44,1"/>
          <s v="44,1-44,6"/>
          <s v="44,6-45,1"/>
          <s v="45,1-45,6"/>
          <s v="45,6-46,1"/>
          <s v="46,1-46,6"/>
          <s v="46,6-47,1"/>
          <s v="47,1-47,6"/>
          <s v="47,6-48,1"/>
          <s v="48,1-48,6"/>
          <s v="48,6-49,1"/>
          <s v="49,1-49,6"/>
          <s v="49,6-50,1"/>
          <s v="50,1-50,6"/>
          <s v="50,6-51,1"/>
          <s v="51,1-51,6"/>
          <s v="51,6-52,1"/>
          <s v="52,1-52,6"/>
          <s v="52,6-53,1"/>
          <s v="53,1-53,6"/>
          <s v="53,6-54,1"/>
          <s v="54,1-54,6"/>
          <s v="54,6-55,1"/>
          <s v="55,1-55,6"/>
          <s v="55,6-56,1"/>
          <s v="56,1-56,6"/>
          <s v="56,6-57,1"/>
          <s v="57,1-57,6"/>
          <s v="57,6-58,1"/>
          <s v="58,1-58,6"/>
          <s v="58,6-59,1"/>
          <s v="59,1-59,6"/>
          <s v="59,6-60,1"/>
          <s v="60,1-60,6"/>
          <s v="60,6-61,1"/>
          <s v="61,1-61,6"/>
          <s v="61,6-62,1"/>
          <s v="62,1-62,6"/>
          <s v="62,6-63,1"/>
          <s v="63,1-63,6"/>
          <s v="63,6-64,1"/>
          <s v="64,1-64,6"/>
          <s v="64,6-65,1"/>
          <s v="65,1-65,6"/>
          <s v="65,6-66,1"/>
          <s v="66,1-66,6"/>
          <s v="66,6-67,1"/>
          <s v="67,1-67,6"/>
          <s v="67,6-68,1"/>
          <s v="68,1-68,6"/>
          <s v="68,6-69,1"/>
          <s v="69,1-69,6"/>
          <s v="69,6-70,1"/>
          <s v="70,1-70,6"/>
          <s v="70,6-71,1"/>
          <s v="71,1-71,6"/>
          <s v="71,6-72,1"/>
          <s v="72,1-72,6"/>
          <s v="&gt;72,6"/>
        </groupItems>
      </fieldGroup>
    </cacheField>
  </cacheFields>
  <extLst>
    <ext xmlns:x14="http://schemas.microsoft.com/office/spreadsheetml/2009/9/main" uri="{725AE2AE-9491-48be-B2B4-4EB974FC3084}">
      <x14:pivotCacheDefinition pivotCacheId="2110073000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" refreshedDate="45161.408364236115" createdVersion="8" refreshedVersion="8" minRefreshableVersion="3" recordCount="828" xr:uid="{30D03D1A-4EE5-4566-9EBC-7C71790C13C8}">
  <cacheSource type="worksheet">
    <worksheetSource name="FX__4"/>
  </cacheSource>
  <cacheFields count="7">
    <cacheField name="Name" numFmtId="0">
      <sharedItems/>
    </cacheField>
    <cacheField name="Category" numFmtId="0">
      <sharedItems count="2">
        <s v="senior"/>
        <s v="junior"/>
      </sharedItems>
    </cacheField>
    <cacheField name="Club" numFmtId="0">
      <sharedItems/>
    </cacheField>
    <cacheField name="Number_of_competition" numFmtId="0">
      <sharedItems containsSemiMixedTypes="0" containsString="0" containsNumber="1" containsInteger="1" minValue="1" maxValue="4"/>
    </cacheField>
    <cacheField name="Place of competition" numFmtId="0">
      <sharedItems count="6">
        <s v="Bydgoszcz"/>
        <s v="Zabrze"/>
        <s v="Cracow"/>
        <s v="Gdańsk"/>
        <s v="Year"/>
        <s v="AVG"/>
      </sharedItems>
    </cacheField>
    <cacheField name="Score Type" numFmtId="0">
      <sharedItems count="3">
        <s v="Dscore"/>
        <s v="Escore"/>
        <s v="Total Score"/>
      </sharedItems>
    </cacheField>
    <cacheField name="Value" numFmtId="0">
      <sharedItems containsSemiMixedTypes="0" containsString="0" containsNumber="1" minValue="0" maxValue="39.450000000000003" count="252">
        <n v="5.8"/>
        <n v="7.8"/>
        <n v="13.6"/>
        <n v="6"/>
        <n v="6.6"/>
        <n v="12.6"/>
        <n v="5.6"/>
        <n v="7.65"/>
        <n v="13.25"/>
        <n v="6.65"/>
        <n v="12.25"/>
        <n v="17.399999999999999"/>
        <n v="22.1"/>
        <n v="39.450000000000003"/>
        <n v="7.3666666666666671"/>
        <n v="13.15"/>
        <n v="4.7"/>
        <n v="8.1"/>
        <n v="12.8"/>
        <n v="8.6999999999999993"/>
        <n v="13.4"/>
        <n v="4.5"/>
        <n v="8.15"/>
        <n v="12.65"/>
        <n v="6.7"/>
        <n v="11.4"/>
        <n v="14.100000000000001"/>
        <n v="24.950000000000003"/>
        <n v="38.85"/>
        <n v="8.3166666666666682"/>
        <n v="12.950000000000001"/>
        <n v="0"/>
        <n v="5.3"/>
        <n v="13.45"/>
        <n v="7.25"/>
        <n v="12.55"/>
        <n v="5.4"/>
        <n v="7.4"/>
        <n v="16"/>
        <n v="22.8"/>
        <n v="38.799999999999997"/>
        <n v="5.333333333333333"/>
        <n v="7.6000000000000005"/>
        <n v="12.933333333333332"/>
        <n v="3.6"/>
        <n v="9"/>
        <n v="3.4"/>
        <n v="12.1"/>
        <n v="8.4"/>
        <n v="12"/>
        <n v="7.45"/>
        <n v="11.05"/>
        <n v="10.8"/>
        <n v="26.1"/>
        <n v="36.700000000000003"/>
        <n v="8.7000000000000011"/>
        <n v="12.233333333333334"/>
        <n v="4.2"/>
        <n v="8.6"/>
        <n v="3.9"/>
        <n v="8"/>
        <n v="11.9"/>
        <n v="7.55"/>
        <n v="11.75"/>
        <n v="7.2"/>
        <n v="11.1"/>
        <n v="12.3"/>
        <n v="24.150000000000002"/>
        <n v="36.450000000000003"/>
        <n v="4.1000000000000005"/>
        <n v="8.0500000000000007"/>
        <n v="12.15"/>
        <n v="7.35"/>
        <n v="11.85"/>
        <n v="4.0999999999999996"/>
        <n v="6.25"/>
        <n v="10.35"/>
        <n v="12.5"/>
        <n v="7.3"/>
        <n v="12.7"/>
        <n v="23.05"/>
        <n v="35.75"/>
        <n v="4.2333333333333334"/>
        <n v="7.6833333333333336"/>
        <n v="11.916666666666666"/>
        <n v="8.35"/>
        <n v="4"/>
        <n v="6.3"/>
        <n v="10.3"/>
        <n v="22.650000000000002"/>
        <n v="35.35"/>
        <n v="7.5500000000000007"/>
        <n v="11.783333333333333"/>
        <n v="4.3"/>
        <n v="11.7"/>
        <n v="11.5"/>
        <n v="4.4000000000000004"/>
        <n v="11.95"/>
        <n v="12.899999999999999"/>
        <n v="22.25"/>
        <n v="35.15"/>
        <n v="7.416666666666667"/>
        <n v="11.716666666666667"/>
        <n v="7.9"/>
        <n v="11.8"/>
        <n v="12.4"/>
        <n v="22.7"/>
        <n v="35.1"/>
        <n v="4.1333333333333337"/>
        <n v="7.5666666666666664"/>
        <n v="11.700000000000001"/>
        <n v="10.5"/>
        <n v="7.85"/>
        <n v="3.8"/>
        <n v="11.2"/>
        <n v="23.25"/>
        <n v="34.849999999999994"/>
        <n v="7.75"/>
        <n v="11.616666666666665"/>
        <n v="10"/>
        <n v="11.25"/>
        <n v="21.85"/>
        <n v="33.549999999999997"/>
        <n v="7.2833333333333341"/>
        <n v="11.183333333333332"/>
        <n v="5.7"/>
        <n v="9.3000000000000007"/>
        <n v="11.6"/>
        <n v="21.45"/>
        <n v="33.049999999999997"/>
        <n v="3.8666666666666667"/>
        <n v="7.1499999999999995"/>
        <n v="11.016666666666666"/>
        <n v="8.25"/>
        <n v="13.65"/>
        <n v="24.85"/>
        <n v="5"/>
        <n v="6.8"/>
        <n v="4.9000000000000004"/>
        <n v="7.6"/>
        <n v="9.9"/>
        <n v="14.399999999999999"/>
        <n v="24.3"/>
        <n v="13.1"/>
        <n v="3.7"/>
        <n v="7.1"/>
        <n v="8.1000000000000014"/>
        <n v="15.799999999999999"/>
        <n v="23.9"/>
        <n v="7.95"/>
        <n v="11.65"/>
        <n v="12.05"/>
        <n v="15.9"/>
        <n v="23.700000000000003"/>
        <n v="12.2"/>
        <n v="7.6999999999999993"/>
        <n v="15.7"/>
        <n v="23.4"/>
        <n v="15.2"/>
        <n v="22.9"/>
        <n v="3.3"/>
        <n v="3.5"/>
        <n v="10.95"/>
        <n v="15.850000000000001"/>
        <n v="22.65"/>
        <n v="6.2"/>
        <n v="10.7"/>
        <n v="8.9"/>
        <n v="19.600000000000001"/>
        <n v="13.2"/>
        <n v="4.8"/>
        <n v="7.7"/>
        <n v="7.05"/>
        <n v="11.45"/>
        <n v="3.2"/>
        <n v="7"/>
        <n v="10.199999999999999"/>
        <n v="8.9499999999999993"/>
        <n v="12.95"/>
        <n v="12.45"/>
        <n v="7.5"/>
        <n v="24.6"/>
        <n v="37.299999999999997"/>
        <n v="8.2000000000000011"/>
        <n v="12.433333333333332"/>
        <n v="8.5500000000000007"/>
        <n v="12.75"/>
        <n v="8.3000000000000007"/>
        <n v="12.600000000000001"/>
        <n v="25.45"/>
        <n v="38.049999999999997"/>
        <n v="8.4833333333333325"/>
        <n v="12.683333333333332"/>
        <n v="8.4499999999999993"/>
        <n v="26.099999999999998"/>
        <n v="38.099999999999994"/>
        <n v="12.699999999999998"/>
        <n v="8.1999999999999993"/>
        <n v="10.9"/>
        <n v="24.1"/>
        <n v="34.9"/>
        <n v="3.7333333333333329"/>
        <n v="8.0333333333333332"/>
        <n v="11.633333333333333"/>
        <n v="11"/>
        <n v="25.049999999999997"/>
        <n v="36.150000000000006"/>
        <n v="3.6999999999999997"/>
        <n v="12.050000000000002"/>
        <n v="11.35"/>
        <n v="11.15"/>
        <n v="10.4"/>
        <n v="33.6"/>
        <n v="3.4666666666666668"/>
        <n v="7.9000000000000012"/>
        <n v="11.200000000000001"/>
        <n v="3.1"/>
        <n v="10.1"/>
        <n v="24.8"/>
        <n v="34.700000000000003"/>
        <n v="3.3666666666666667"/>
        <n v="8.2666666666666675"/>
        <n v="11.566666666666668"/>
        <n v="23.45"/>
        <n v="33.35"/>
        <n v="3.3000000000000003"/>
        <n v="7.8166666666666664"/>
        <n v="11.116666666666667"/>
        <n v="10.55"/>
        <n v="5.9"/>
        <n v="9.1999999999999993"/>
        <n v="9.8999999999999986"/>
        <n v="23.85"/>
        <n v="33.75"/>
        <n v="3.2999999999999994"/>
        <n v="2.9"/>
        <n v="23.7"/>
        <n v="32.599999999999994"/>
        <n v="2.9666666666666668"/>
        <n v="7.8999999999999995"/>
        <n v="10.866666666666665"/>
        <n v="14.1"/>
        <n v="22.3"/>
        <n v="3"/>
        <n v="11.3"/>
        <n v="2.6"/>
        <n v="16.100000000000001"/>
        <n v="21.700000000000003"/>
        <n v="15.65"/>
        <n v="2.5"/>
        <n v="10.65"/>
        <n v="6.9"/>
      </sharedItems>
      <fieldGroup base="6">
        <rangePr autoStart="0" startNum="2.6" endNum="39.450000000000003" groupInterval="0.5"/>
        <groupItems count="76">
          <s v="&lt;2,6"/>
          <s v="2,6-3,1"/>
          <s v="3,1-3,6"/>
          <s v="3,6-4,1"/>
          <s v="4,1-4,6"/>
          <s v="4,6-5,1"/>
          <s v="5,1-5,6"/>
          <s v="5,6-6,1"/>
          <s v="6,1-6,6"/>
          <s v="6,6-7,1"/>
          <s v="7,1-7,6"/>
          <s v="7,6-8,1"/>
          <s v="8,1-8,6"/>
          <s v="8,6-9,1"/>
          <s v="9,1-9,6"/>
          <s v="9,6-10,1"/>
          <s v="10,1-10,6"/>
          <s v="10,6-11,1"/>
          <s v="11,1-11,6"/>
          <s v="11,6-12,1"/>
          <s v="12,1-12,6"/>
          <s v="12,6-13,1"/>
          <s v="13,1-13,6"/>
          <s v="13,6-14,1"/>
          <s v="14,1-14,6"/>
          <s v="14,6-15,1"/>
          <s v="15,1-15,6"/>
          <s v="15,6-16,1"/>
          <s v="16,1-16,6"/>
          <s v="16,6-17,1"/>
          <s v="17,1-17,6"/>
          <s v="17,6-18,1"/>
          <s v="18,1-18,6"/>
          <s v="18,6-19,1"/>
          <s v="19,1-19,6"/>
          <s v="19,6-20,1"/>
          <s v="20,1-20,6"/>
          <s v="20,6-21,1"/>
          <s v="21,1-21,6"/>
          <s v="21,6-22,1"/>
          <s v="22,1-22,6"/>
          <s v="22,6-23,1"/>
          <s v="23,1-23,6"/>
          <s v="23,6-24,1"/>
          <s v="24,1-24,6"/>
          <s v="24,6-25,1"/>
          <s v="25,1-25,6"/>
          <s v="25,6-26,1"/>
          <s v="26,1-26,6"/>
          <s v="26,6-27,1"/>
          <s v="27,1-27,6"/>
          <s v="27,6-28,1"/>
          <s v="28,1-28,6"/>
          <s v="28,6-29,1"/>
          <s v="29,1-29,6"/>
          <s v="29,6-30,1"/>
          <s v="30,1-30,6"/>
          <s v="30,6-31,1"/>
          <s v="31,1-31,6"/>
          <s v="31,6-32,1"/>
          <s v="32,1-32,6"/>
          <s v="32,6-33,1"/>
          <s v="33,1-33,6"/>
          <s v="33,6-34,1"/>
          <s v="34,1-34,6"/>
          <s v="34,6-35,1"/>
          <s v="35,1-35,6"/>
          <s v="35,6-36,1"/>
          <s v="36,1-36,6"/>
          <s v="36,6-37,1"/>
          <s v="37,1-37,6"/>
          <s v="37,6-38,1"/>
          <s v="38,1-38,6"/>
          <s v="38,6-39,1"/>
          <s v="39,1-39,6"/>
          <s v="&gt;39,6"/>
        </groupItems>
      </fieldGroup>
    </cacheField>
  </cacheFields>
  <extLst>
    <ext xmlns:x14="http://schemas.microsoft.com/office/spreadsheetml/2009/9/main" uri="{725AE2AE-9491-48be-B2B4-4EB974FC3084}">
      <x14:pivotCacheDefinition pivotCacheId="2005223396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" refreshedDate="45161.416075694447" createdVersion="8" refreshedVersion="8" minRefreshableVersion="3" recordCount="774" xr:uid="{80516EF9-E06D-4971-BADE-85727A8DE029}">
  <cacheSource type="worksheet">
    <worksheetSource name="PH_2"/>
  </cacheSource>
  <cacheFields count="8">
    <cacheField name="Name" numFmtId="0">
      <sharedItems/>
    </cacheField>
    <cacheField name="Category" numFmtId="0">
      <sharedItems count="2">
        <s v="senior"/>
        <s v="junior"/>
      </sharedItems>
    </cacheField>
    <cacheField name="License_number" numFmtId="0">
      <sharedItems/>
    </cacheField>
    <cacheField name="Club" numFmtId="0">
      <sharedItems/>
    </cacheField>
    <cacheField name="Number_of_Competition" numFmtId="0">
      <sharedItems containsSemiMixedTypes="0" containsString="0" containsNumber="1" containsInteger="1" minValue="1" maxValue="4"/>
    </cacheField>
    <cacheField name="Place of competition " numFmtId="0">
      <sharedItems count="6">
        <s v="Bydgoszcz"/>
        <s v="Zabrze"/>
        <s v="Cracow"/>
        <s v="Gdansk"/>
        <s v="Year"/>
        <s v="Avg"/>
      </sharedItems>
    </cacheField>
    <cacheField name="Score Type" numFmtId="0">
      <sharedItems count="3">
        <s v="Dscore"/>
        <s v="Escore"/>
        <s v="Total Score"/>
      </sharedItems>
    </cacheField>
    <cacheField name="Value" numFmtId="0">
      <sharedItems containsSemiMixedTypes="0" containsString="0" containsNumber="1" minValue="0" maxValue="37.950000000000003" count="256">
        <n v="4"/>
        <n v="8.65"/>
        <n v="12.65"/>
        <n v="3.7"/>
        <n v="8.6"/>
        <n v="12.3"/>
        <n v="8.85"/>
        <n v="12.55"/>
        <n v="0"/>
        <n v="11.4"/>
        <n v="26.1"/>
        <n v="37.5"/>
        <n v="3.8000000000000003"/>
        <n v="8.7000000000000011"/>
        <n v="12.5"/>
        <n v="4.9000000000000004"/>
        <n v="7.4"/>
        <n v="5.2"/>
        <n v="7.7"/>
        <n v="12.9"/>
        <n v="6"/>
        <n v="10.9"/>
        <n v="15.000000000000002"/>
        <n v="21.1"/>
        <n v="36.1"/>
        <n v="5.0000000000000009"/>
        <n v="7.0333333333333341"/>
        <n v="12.033333333333333"/>
        <n v="3.8"/>
        <n v="7.1"/>
        <n v="7.8"/>
        <n v="11.8"/>
        <n v="4.2"/>
        <n v="8"/>
        <n v="12.2"/>
        <n v="7.6"/>
        <n v="12"/>
        <n v="23.4"/>
        <n v="35.4"/>
        <n v="11.799999999999999"/>
        <n v="7.75"/>
        <n v="11.55"/>
        <n v="3.2"/>
        <n v="10.6"/>
        <n v="10.8"/>
        <n v="23.15"/>
        <n v="33.950000000000003"/>
        <n v="3.6"/>
        <n v="7.7166666666666659"/>
        <n v="11.316666666666668"/>
        <n v="4.4000000000000004"/>
        <n v="11.5"/>
        <n v="4.5999999999999996"/>
        <n v="6.4"/>
        <n v="11"/>
        <n v="7"/>
        <n v="5"/>
        <n v="9.4"/>
        <n v="13.4"/>
        <n v="20.5"/>
        <n v="33.9"/>
        <n v="4.4666666666666668"/>
        <n v="6.833333333333333"/>
        <n v="11.299999999999999"/>
        <n v="7.55"/>
        <n v="11.15"/>
        <n v="4.0999999999999996"/>
        <n v="6.7"/>
        <n v="11.6"/>
        <n v="22.25"/>
        <n v="33.549999999999997"/>
        <n v="3.9333333333333331"/>
        <n v="7.416666666666667"/>
        <n v="11.183333333333332"/>
        <n v="3.9"/>
        <n v="11.7"/>
        <n v="6.2"/>
        <n v="10"/>
        <n v="10.7"/>
        <n v="3.1"/>
        <n v="11.399999999999999"/>
        <n v="22.4"/>
        <n v="33.099999999999994"/>
        <n v="3.7999999999999994"/>
        <n v="7.4666666666666659"/>
        <n v="11.033333333333331"/>
        <n v="3"/>
        <n v="6.3"/>
        <n v="9.3000000000000007"/>
        <n v="7.5"/>
        <n v="10.5"/>
        <n v="3.05"/>
        <n v="6.15"/>
        <n v="2.9"/>
        <n v="9.1"/>
        <n v="20.9"/>
        <n v="29.8"/>
        <n v="3.0333333333333332"/>
        <n v="6.9666666666666659"/>
        <n v="9.9333333333333336"/>
        <n v="6.1"/>
        <n v="4.75"/>
        <n v="7.95"/>
        <n v="3.5"/>
        <n v="5.5"/>
        <n v="9"/>
        <n v="9.9"/>
        <n v="16.350000000000001"/>
        <n v="26.25"/>
        <n v="3.3000000000000003"/>
        <n v="5.45"/>
        <n v="8.75"/>
        <n v="8.25"/>
        <n v="12.45"/>
        <n v="8.5"/>
        <n v="12.7"/>
        <n v="8.4"/>
        <n v="16.75"/>
        <n v="25.15"/>
        <n v="7.2"/>
        <n v="8.6000000000000014"/>
        <n v="15.2"/>
        <n v="23.799999999999997"/>
        <n v="4.5"/>
        <n v="7.3"/>
        <n v="4.7"/>
        <n v="6.8"/>
        <n v="9.1999999999999993"/>
        <n v="14.1"/>
        <n v="23.3"/>
        <n v="6.5"/>
        <n v="7.9"/>
        <n v="8.3000000000000007"/>
        <n v="14.4"/>
        <n v="22.7"/>
        <n v="16.2"/>
        <n v="2.6"/>
        <n v="3.4"/>
        <n v="8.9"/>
        <n v="22.300000000000004"/>
        <n v="2.9666666666666668"/>
        <n v="7.4333333333333345"/>
        <n v="3.3"/>
        <n v="10.3"/>
        <n v="6.9"/>
        <n v="19.600000000000001"/>
        <n v="9.8000000000000007"/>
        <n v="11.9"/>
        <n v="18.700000000000003"/>
        <n v="5.6"/>
        <n v="6.6"/>
        <n v="18.2"/>
        <n v="2.7"/>
        <n v="9.6999999999999993"/>
        <n v="2.4"/>
        <n v="5.8"/>
        <n v="8.1999999999999993"/>
        <n v="5.0999999999999996"/>
        <n v="12.8"/>
        <n v="17.899999999999999"/>
        <n v="10.4"/>
        <n v="4.1500000000000004"/>
        <n v="7.45"/>
        <n v="6.6999999999999993"/>
        <n v="17.850000000000001"/>
        <n v="2.2999999999999998"/>
        <n v="2"/>
        <n v="4.3"/>
        <n v="1.1000000000000001"/>
        <n v="8.9499999999999993"/>
        <n v="12.75"/>
        <n v="8.5500000000000007"/>
        <n v="12.35"/>
        <n v="8.8000000000000007"/>
        <n v="26.650000000000002"/>
        <n v="37.950000000000003"/>
        <n v="8.8833333333333346"/>
        <n v="7.85"/>
        <n v="12.25"/>
        <n v="11.05"/>
        <n v="12.1"/>
        <n v="12.6"/>
        <n v="23.950000000000003"/>
        <n v="36.549999999999997"/>
        <n v="7.9833333333333343"/>
        <n v="12.183333333333332"/>
        <n v="23.700000000000003"/>
        <n v="35.299999999999997"/>
        <n v="3.9666666666666668"/>
        <n v="7.9000000000000012"/>
        <n v="11.766666666666666"/>
        <n v="11.35"/>
        <n v="23.25"/>
        <n v="33.85"/>
        <n v="11.283333333333333"/>
        <n v="10.199999999999999"/>
        <n v="5.75"/>
        <n v="2.8"/>
        <n v="11.3"/>
        <n v="24.3"/>
        <n v="8.1"/>
        <n v="10.1"/>
        <n v="8.15"/>
        <n v="8.6999999999999993"/>
        <n v="23.45"/>
        <n v="32.15"/>
        <n v="7.8166666666666664"/>
        <n v="10.716666666666667"/>
        <n v="6.65"/>
        <n v="9.9499999999999993"/>
        <n v="8.35"/>
        <n v="11.95"/>
        <n v="21.3"/>
        <n v="31.799999999999997"/>
        <n v="7.1000000000000005"/>
        <n v="7.65"/>
        <n v="10.25"/>
        <n v="7.8000000000000007"/>
        <n v="23.9"/>
        <n v="31.700000000000003"/>
        <n v="7.9666666666666659"/>
        <n v="10.566666666666668"/>
        <n v="19.05"/>
        <n v="26.85"/>
        <n v="6.3500000000000005"/>
        <n v="8.9500000000000011"/>
        <n v="2.1"/>
        <n v="2.2000000000000002"/>
        <n v="17.2"/>
        <n v="2.1666666666666665"/>
        <n v="5.7333333333333334"/>
        <n v="1.95"/>
        <n v="4.6500000000000004"/>
        <n v="4.95"/>
        <n v="7.15"/>
        <n v="9.6"/>
        <n v="15.95"/>
        <n v="23.55"/>
        <n v="2.6999999999999997"/>
        <n v="5.3166666666666664"/>
        <n v="7.8500000000000005"/>
        <n v="2.75"/>
        <n v="2.5"/>
        <n v="14"/>
        <n v="2.3000000000000003"/>
        <n v="4.666666666666667"/>
        <n v="10.75"/>
        <n v="5.8000000000000007"/>
        <n v="13.65"/>
        <n v="19.45"/>
        <n v="5.7"/>
        <n v="10.100000000000001"/>
        <n v="15.1"/>
        <n v="1.5"/>
        <n v="1.3"/>
        <n v="0.6"/>
      </sharedItems>
      <fieldGroup base="7">
        <rangePr autoStart="0" startNum="2.6" endNum="37.950000000000003" groupInterval="0.5"/>
        <groupItems count="73">
          <s v="&lt;2,6"/>
          <s v="2,6-3,1"/>
          <s v="3,1-3,6"/>
          <s v="3,6-4,1"/>
          <s v="4,1-4,6"/>
          <s v="4,6-5,1"/>
          <s v="5,1-5,6"/>
          <s v="5,6-6,1"/>
          <s v="6,1-6,6"/>
          <s v="6,6-7,1"/>
          <s v="7,1-7,6"/>
          <s v="7,6-8,1"/>
          <s v="8,1-8,6"/>
          <s v="8,6-9,1"/>
          <s v="9,1-9,6"/>
          <s v="9,6-10,1"/>
          <s v="10,1-10,6"/>
          <s v="10,6-11,1"/>
          <s v="11,1-11,6"/>
          <s v="11,6-12,1"/>
          <s v="12,1-12,6"/>
          <s v="12,6-13,1"/>
          <s v="13,1-13,6"/>
          <s v="13,6-14,1"/>
          <s v="14,1-14,6"/>
          <s v="14,6-15,1"/>
          <s v="15,1-15,6"/>
          <s v="15,6-16,1"/>
          <s v="16,1-16,6"/>
          <s v="16,6-17,1"/>
          <s v="17,1-17,6"/>
          <s v="17,6-18,1"/>
          <s v="18,1-18,6"/>
          <s v="18,6-19,1"/>
          <s v="19,1-19,6"/>
          <s v="19,6-20,1"/>
          <s v="20,1-20,6"/>
          <s v="20,6-21,1"/>
          <s v="21,1-21,6"/>
          <s v="21,6-22,1"/>
          <s v="22,1-22,6"/>
          <s v="22,6-23,1"/>
          <s v="23,1-23,6"/>
          <s v="23,6-24,1"/>
          <s v="24,1-24,6"/>
          <s v="24,6-25,1"/>
          <s v="25,1-25,6"/>
          <s v="25,6-26,1"/>
          <s v="26,1-26,6"/>
          <s v="26,6-27,1"/>
          <s v="27,1-27,6"/>
          <s v="27,6-28,1"/>
          <s v="28,1-28,6"/>
          <s v="28,6-29,1"/>
          <s v="29,1-29,6"/>
          <s v="29,6-30,1"/>
          <s v="30,1-30,6"/>
          <s v="30,6-31,1"/>
          <s v="31,1-31,6"/>
          <s v="31,6-32,1"/>
          <s v="32,1-32,6"/>
          <s v="32,6-33,1"/>
          <s v="33,1-33,6"/>
          <s v="33,6-34,1"/>
          <s v="34,1-34,6"/>
          <s v="34,6-35,1"/>
          <s v="35,1-35,6"/>
          <s v="35,6-36,1"/>
          <s v="36,1-36,6"/>
          <s v="36,6-37,1"/>
          <s v="37,1-37,6"/>
          <s v="37,6-38,1"/>
          <s v="&gt;38,1"/>
        </groupItems>
      </fieldGroup>
    </cacheField>
  </cacheFields>
  <extLst>
    <ext xmlns:x14="http://schemas.microsoft.com/office/spreadsheetml/2009/9/main" uri="{725AE2AE-9491-48be-B2B4-4EB974FC3084}">
      <x14:pivotCacheDefinition pivotCacheId="273511903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" refreshedDate="45161.423327430559" createdVersion="8" refreshedVersion="8" minRefreshableVersion="3" recordCount="792" xr:uid="{5DD2C436-DA3D-4E90-A892-DB1300907646}">
  <cacheSource type="worksheet">
    <worksheetSource name="SR_2"/>
  </cacheSource>
  <cacheFields count="7">
    <cacheField name="Name" numFmtId="0">
      <sharedItems/>
    </cacheField>
    <cacheField name="Category" numFmtId="0">
      <sharedItems count="2">
        <s v="senior"/>
        <s v="junior"/>
      </sharedItems>
    </cacheField>
    <cacheField name="Club" numFmtId="0">
      <sharedItems/>
    </cacheField>
    <cacheField name="Number_of_competition" numFmtId="0">
      <sharedItems containsSemiMixedTypes="0" containsString="0" containsNumber="1" containsInteger="1" minValue="1" maxValue="4"/>
    </cacheField>
    <cacheField name="Place of competition" numFmtId="0">
      <sharedItems count="6">
        <s v="Bydgoszcz"/>
        <s v="Zabrze"/>
        <s v="Cracow"/>
        <s v="Gdansk"/>
        <s v="Year"/>
        <s v="AVG"/>
      </sharedItems>
    </cacheField>
    <cacheField name="Score Type" numFmtId="0">
      <sharedItems count="3">
        <s v="Dscore"/>
        <s v="Escore"/>
        <s v="Total Score"/>
      </sharedItems>
    </cacheField>
    <cacheField name="Value" numFmtId="0">
      <sharedItems containsSemiMixedTypes="0" containsString="0" containsNumber="1" minValue="0" maxValue="36.65" count="242">
        <n v="0"/>
        <n v="4.0999999999999996"/>
        <n v="8.35"/>
        <n v="12.45"/>
        <n v="8.1"/>
        <n v="12.2"/>
        <n v="2.8"/>
        <n v="9.1999999999999993"/>
        <n v="12"/>
        <n v="11"/>
        <n v="25.65"/>
        <n v="36.65"/>
        <n v="3.6666666666666665"/>
        <n v="8.5499999999999989"/>
        <n v="12.216666666666667"/>
        <n v="4.5999999999999996"/>
        <n v="7.2"/>
        <n v="11.8"/>
        <n v="3.9"/>
        <n v="4.3"/>
        <n v="7.85"/>
        <n v="12.15"/>
        <n v="4.2"/>
        <n v="8"/>
        <n v="13.099999999999998"/>
        <n v="23.950000000000003"/>
        <n v="36.35"/>
        <n v="4.3666666666666663"/>
        <n v="7.9833333333333343"/>
        <n v="12.116666666666667"/>
        <n v="4"/>
        <n v="8.4"/>
        <n v="12.4"/>
        <n v="7.65"/>
        <n v="11.65"/>
        <n v="11.5"/>
        <n v="12.3"/>
        <n v="23.25"/>
        <n v="35.549999999999997"/>
        <n v="4.1000000000000005"/>
        <n v="7.75"/>
        <n v="11.85"/>
        <n v="6.4"/>
        <n v="10.3"/>
        <n v="3.7"/>
        <n v="7.9"/>
        <n v="11.6"/>
        <n v="8.1999999999999993"/>
        <n v="12.1"/>
        <n v="3.5"/>
        <n v="8.3000000000000007"/>
        <n v="24.4"/>
        <n v="35.5"/>
        <n v="3.8333333333333335"/>
        <n v="8.1333333333333329"/>
        <n v="11.833333333333334"/>
        <n v="7.3"/>
        <n v="11.3"/>
        <n v="3.8"/>
        <n v="8.0500000000000007"/>
        <n v="3.4"/>
        <n v="6"/>
        <n v="9.4"/>
        <n v="23.750000000000004"/>
        <n v="35.349999999999994"/>
        <n v="3.8666666666666667"/>
        <n v="7.9166666666666679"/>
        <n v="11.783333333333331"/>
        <n v="3.2"/>
        <n v="7.4"/>
        <n v="10.6"/>
        <n v="7.7"/>
        <n v="8.5500000000000007"/>
        <n v="12.35"/>
        <n v="23.65"/>
        <n v="34.85"/>
        <n v="3.7666666666666671"/>
        <n v="7.8833333333333329"/>
        <n v="11.616666666666667"/>
        <n v="3.6"/>
        <n v="7.8"/>
        <n v="11.4"/>
        <n v="7.45"/>
        <n v="11.15"/>
        <n v="11.1"/>
        <n v="11.2"/>
        <n v="23.599999999999998"/>
        <n v="34.549999999999997"/>
        <n v="3.7333333333333329"/>
        <n v="7.8666666666666663"/>
        <n v="11.516666666666666"/>
        <n v="7.5"/>
        <n v="11.7"/>
        <n v="11.399999999999999"/>
        <n v="23.1"/>
        <n v="34.5"/>
        <n v="3.7999999999999994"/>
        <n v="8.85"/>
        <n v="2.6"/>
        <n v="10.8"/>
        <n v="8.3999999999999986"/>
        <n v="34.049999999999997"/>
        <n v="2.7999999999999994"/>
        <n v="11.35"/>
        <n v="3.3"/>
        <n v="7.1"/>
        <n v="10.4"/>
        <n v="9"/>
        <n v="6.95"/>
        <n v="10.25"/>
        <n v="9.8999999999999986"/>
        <n v="24"/>
        <n v="33.799999999999997"/>
        <n v="3.2999999999999994"/>
        <n v="11.266666666666666"/>
        <n v="10.199999999999999"/>
        <n v="22.1"/>
        <n v="32.299999999999997"/>
        <n v="7.3666666666666671"/>
        <n v="10.766666666666666"/>
        <n v="10.7"/>
        <n v="2.9"/>
        <n v="6.15"/>
        <n v="9.0500000000000007"/>
        <n v="3.1"/>
        <n v="10.1"/>
        <n v="32.199999999999996"/>
        <n v="3.3666666666666667"/>
        <n v="10.733333333333333"/>
        <n v="6.9"/>
        <n v="9.5"/>
        <n v="2.2999999999999998"/>
        <n v="8.6"/>
        <n v="10.9"/>
        <n v="23.6"/>
        <n v="31.4"/>
        <n v="7.8666666666666671"/>
        <n v="10.466666666666667"/>
        <n v="2.7"/>
        <n v="2.5"/>
        <n v="8.15"/>
        <n v="10.65"/>
        <n v="9.9"/>
        <n v="31.15"/>
        <n v="2.7333333333333329"/>
        <n v="10.383333333333333"/>
        <n v="2.4"/>
        <n v="10.45"/>
        <n v="2"/>
        <n v="7.1999999999999993"/>
        <n v="23.85"/>
        <n v="30.95"/>
        <n v="7.95"/>
        <n v="10.316666666666666"/>
        <n v="9.6"/>
        <n v="3"/>
        <n v="6.85"/>
        <n v="9.15"/>
        <n v="7.6"/>
        <n v="30.700000000000003"/>
        <n v="2.5333333333333332"/>
        <n v="10.233333333333334"/>
        <n v="2.1"/>
        <n v="10.15"/>
        <n v="6.8999999999999995"/>
        <n v="30.65"/>
        <n v="10.216666666666667"/>
        <n v="7.55"/>
        <n v="9.9499999999999993"/>
        <n v="6.5"/>
        <n v="6.65"/>
        <n v="2.2000000000000002"/>
        <n v="9.8000000000000007"/>
        <n v="21.799999999999997"/>
        <n v="28.9"/>
        <n v="2.4666666666666668"/>
        <n v="7.2666666666666657"/>
        <n v="9.6333333333333329"/>
        <n v="1.7"/>
        <n v="6.8"/>
        <n v="8.5"/>
        <n v="8.75"/>
        <n v="5.5"/>
        <n v="21.15"/>
        <n v="26.65"/>
        <n v="1.8333333333333333"/>
        <n v="7.05"/>
        <n v="8.8833333333333329"/>
        <n v="12.7"/>
        <n v="8.8000000000000007"/>
        <n v="16.600000000000001"/>
        <n v="25.4"/>
        <n v="5"/>
        <n v="13.1"/>
        <n v="5.3"/>
        <n v="6.6"/>
        <n v="11.9"/>
        <n v="14.7"/>
        <n v="25"/>
        <n v="6.7"/>
        <n v="5.6"/>
        <n v="8.6999999999999993"/>
        <n v="15.7"/>
        <n v="24.5"/>
        <n v="2.9333333333333336"/>
        <n v="5.2333333333333334"/>
        <n v="8.1666666666666661"/>
        <n v="16.549999999999997"/>
        <n v="24.15"/>
        <n v="15.399999999999999"/>
        <n v="15.899999999999999"/>
        <n v="23.3"/>
        <n v="15.5"/>
        <n v="22.7"/>
        <n v="5.0999999999999996"/>
        <n v="20.8"/>
        <n v="7"/>
        <n v="6.35"/>
        <n v="9.35"/>
        <n v="13.35"/>
        <n v="20.149999999999999"/>
        <n v="9.6999999999999993"/>
        <n v="4.7"/>
        <n v="14.9"/>
        <n v="19.600000000000001"/>
        <n v="6.55"/>
        <n v="5.4"/>
        <n v="13.25"/>
        <n v="18.649999999999999"/>
        <n v="1.8"/>
        <n v="13.5"/>
        <n v="18.2"/>
        <n v="5.75"/>
        <n v="8.65"/>
        <n v="12.95"/>
        <n v="9.5500000000000007"/>
        <n v="7.15"/>
        <n v="9.4499999999999993"/>
        <n v="7.35"/>
        <n v="5.2"/>
        <n v="1.5"/>
        <n v="4.8"/>
      </sharedItems>
      <fieldGroup base="6">
        <rangePr autoStart="0" startNum="2.6" endNum="36.65" groupInterval="0.5"/>
        <groupItems count="71">
          <s v="&lt;2,6"/>
          <s v="2,6-3,1"/>
          <s v="3,1-3,6"/>
          <s v="3,6-4,1"/>
          <s v="4,1-4,6"/>
          <s v="4,6-5,1"/>
          <s v="5,1-5,6"/>
          <s v="5,6-6,1"/>
          <s v="6,1-6,6"/>
          <s v="6,6-7,1"/>
          <s v="7,1-7,6"/>
          <s v="7,6-8,1"/>
          <s v="8,1-8,6"/>
          <s v="8,6-9,1"/>
          <s v="9,1-9,6"/>
          <s v="9,6-10,1"/>
          <s v="10,1-10,6"/>
          <s v="10,6-11,1"/>
          <s v="11,1-11,6"/>
          <s v="11,6-12,1"/>
          <s v="12,1-12,6"/>
          <s v="12,6-13,1"/>
          <s v="13,1-13,6"/>
          <s v="13,6-14,1"/>
          <s v="14,1-14,6"/>
          <s v="14,6-15,1"/>
          <s v="15,1-15,6"/>
          <s v="15,6-16,1"/>
          <s v="16,1-16,6"/>
          <s v="16,6-17,1"/>
          <s v="17,1-17,6"/>
          <s v="17,6-18,1"/>
          <s v="18,1-18,6"/>
          <s v="18,6-19,1"/>
          <s v="19,1-19,6"/>
          <s v="19,6-20,1"/>
          <s v="20,1-20,6"/>
          <s v="20,6-21,1"/>
          <s v="21,1-21,6"/>
          <s v="21,6-22,1"/>
          <s v="22,1-22,6"/>
          <s v="22,6-23,1"/>
          <s v="23,1-23,6"/>
          <s v="23,6-24,1"/>
          <s v="24,1-24,6"/>
          <s v="24,6-25,1"/>
          <s v="25,1-25,6"/>
          <s v="25,6-26,1"/>
          <s v="26,1-26,6"/>
          <s v="26,6-27,1"/>
          <s v="27,1-27,6"/>
          <s v="27,6-28,1"/>
          <s v="28,1-28,6"/>
          <s v="28,6-29,1"/>
          <s v="29,1-29,6"/>
          <s v="29,6-30,1"/>
          <s v="30,1-30,6"/>
          <s v="30,6-31,1"/>
          <s v="31,1-31,6"/>
          <s v="31,6-32,1"/>
          <s v="32,1-32,6"/>
          <s v="32,6-33,1"/>
          <s v="33,1-33,6"/>
          <s v="33,6-34,1"/>
          <s v="34,1-34,6"/>
          <s v="34,6-35,1"/>
          <s v="35,1-35,6"/>
          <s v="35,6-36,1"/>
          <s v="36,1-36,6"/>
          <s v="36,6-37,1"/>
          <s v="&gt;37,1"/>
        </groupItems>
      </fieldGroup>
    </cacheField>
  </cacheFields>
  <extLst>
    <ext xmlns:x14="http://schemas.microsoft.com/office/spreadsheetml/2009/9/main" uri="{725AE2AE-9491-48be-B2B4-4EB974FC3084}">
      <x14:pivotCacheDefinition pivotCacheId="128298177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" refreshedDate="45161.439819328705" createdVersion="8" refreshedVersion="8" minRefreshableVersion="3" recordCount="828" xr:uid="{C9B3B367-83B8-46B2-975A-E0299AC1495A}">
  <cacheSource type="worksheet">
    <worksheetSource name="VT__2"/>
  </cacheSource>
  <cacheFields count="7">
    <cacheField name="Name" numFmtId="0">
      <sharedItems/>
    </cacheField>
    <cacheField name="Category" numFmtId="0">
      <sharedItems count="2">
        <s v="senior"/>
        <s v="junior"/>
      </sharedItems>
    </cacheField>
    <cacheField name="Club" numFmtId="0">
      <sharedItems/>
    </cacheField>
    <cacheField name="Number_of_competition" numFmtId="0">
      <sharedItems containsSemiMixedTypes="0" containsString="0" containsNumber="1" containsInteger="1" minValue="1" maxValue="4"/>
    </cacheField>
    <cacheField name="Place of competiton" numFmtId="0">
      <sharedItems count="6">
        <s v="Bydgoszcz"/>
        <s v="Zabrze"/>
        <s v="Cracow"/>
        <s v="Gdansk"/>
        <s v="Year"/>
        <s v="AVG"/>
      </sharedItems>
    </cacheField>
    <cacheField name="Score Type" numFmtId="0">
      <sharedItems count="4">
        <s v="Dscore"/>
        <s v="Escore"/>
        <s v="Total Score"/>
        <s v="Total_Score" u="1"/>
      </sharedItems>
    </cacheField>
    <cacheField name="Value" numFmtId="0">
      <sharedItems containsSemiMixedTypes="0" containsString="0" containsNumber="1" minValue="0" maxValue="41.55" count="206">
        <n v="4.8"/>
        <n v="8.6999999999999993"/>
        <n v="13.5"/>
        <n v="5.2"/>
        <n v="9.6"/>
        <n v="14.8"/>
        <n v="8.0500000000000007"/>
        <n v="13.25"/>
        <n v="8.3000000000000007"/>
        <n v="13.1"/>
        <n v="15.2"/>
        <n v="26.599999999999998"/>
        <n v="41.55"/>
        <n v="5.0666666666666664"/>
        <n v="8.8666666666666654"/>
        <n v="13.85"/>
        <n v="0"/>
        <n v="4"/>
        <n v="13.6"/>
        <n v="9.35"/>
        <n v="13.35"/>
        <n v="8.8000000000000007"/>
        <n v="12.8"/>
        <n v="12"/>
        <n v="27.75"/>
        <n v="39.75"/>
        <n v="9.25"/>
        <n v="4.4000000000000004"/>
        <n v="9.1"/>
        <n v="9.15"/>
        <n v="13.55"/>
        <n v="12.7"/>
        <n v="13.200000000000001"/>
        <n v="26.55"/>
        <n v="8.85"/>
        <n v="9.3000000000000007"/>
        <n v="13.3"/>
        <n v="9"/>
        <n v="13"/>
        <n v="27.4"/>
        <n v="39.4"/>
        <n v="9.1333333333333329"/>
        <n v="13.133333333333333"/>
        <n v="8.6"/>
        <n v="12.6"/>
        <n v="27.15"/>
        <n v="39.15"/>
        <n v="9.0499999999999989"/>
        <n v="13.049999999999999"/>
        <n v="8.4"/>
        <n v="12.4"/>
        <n v="8.9"/>
        <n v="12.9"/>
        <n v="26.549999999999997"/>
        <n v="38.549999999999997"/>
        <n v="12.85"/>
        <n v="3.2"/>
        <n v="12.2"/>
        <n v="9.4499999999999993"/>
        <n v="12.65"/>
        <n v="9.1999999999999993"/>
        <n v="2.8"/>
        <n v="11.6"/>
        <n v="9.6000000000000014"/>
        <n v="27.65"/>
        <n v="37.25"/>
        <n v="3.2000000000000006"/>
        <n v="9.2166666666666668"/>
        <n v="12.416666666666666"/>
        <n v="3"/>
        <n v="12.3"/>
        <n v="12.45"/>
        <n v="12.5"/>
        <n v="11.5"/>
        <n v="27.85"/>
        <n v="9.2833333333333332"/>
        <n v="11.4"/>
        <n v="8.9499999999999993"/>
        <n v="12.95"/>
        <n v="10.8"/>
        <n v="26.15"/>
        <n v="36.949999999999996"/>
        <n v="3.6"/>
        <n v="8.7166666666666668"/>
        <n v="12.316666666666665"/>
        <n v="8.15"/>
        <n v="11.75"/>
        <n v="8.65"/>
        <n v="2.4"/>
        <n v="10.7"/>
        <n v="11.2"/>
        <n v="25.35"/>
        <n v="36.4"/>
        <n v="3.7333333333333329"/>
        <n v="8.4500000000000011"/>
        <n v="12.133333333333333"/>
        <n v="7.95"/>
        <n v="11.95"/>
        <n v="25.349999999999998"/>
        <n v="36.15"/>
        <n v="8.4499999999999993"/>
        <n v="12.049999999999999"/>
        <n v="7.8"/>
        <n v="12.35"/>
        <n v="9.0500000000000007"/>
        <n v="12.25"/>
        <n v="10"/>
        <n v="26.500000000000004"/>
        <n v="36.1"/>
        <n v="3.3333333333333335"/>
        <n v="8.8333333333333339"/>
        <n v="12.033333333333333"/>
        <n v="7.9"/>
        <n v="11.9"/>
        <n v="11.85"/>
        <n v="26.65"/>
        <n v="35.75"/>
        <n v="3.1999999999999997"/>
        <n v="8.8833333333333329"/>
        <n v="11.916666666666666"/>
        <n v="8.5"/>
        <n v="11.3"/>
        <n v="8.75"/>
        <n v="11.55"/>
        <n v="8"/>
        <n v="34.150000000000006"/>
        <n v="2.6666666666666665"/>
        <n v="11.383333333333335"/>
        <n v="2.2000000000000002"/>
        <n v="9.4"/>
        <n v="11.25"/>
        <n v="10.5"/>
        <n v="6.6000000000000005"/>
        <n v="27.500000000000004"/>
        <n v="34.1"/>
        <n v="9.1666666666666679"/>
        <n v="11.366666666666667"/>
        <n v="11.8"/>
        <n v="8.1999999999999993"/>
        <n v="10.6"/>
        <n v="25.75"/>
        <n v="33.75"/>
        <n v="8.5833333333333339"/>
        <n v="1.6"/>
        <n v="10.4"/>
        <n v="7.2"/>
        <n v="26.400000000000002"/>
        <n v="33.6"/>
        <n v="11.200000000000001"/>
        <n v="10.199999999999999"/>
        <n v="9.5"/>
        <n v="11.1"/>
        <n v="10.1"/>
        <n v="6.4"/>
        <n v="26.85"/>
        <n v="32.549999999999997"/>
        <n v="2.1333333333333333"/>
        <n v="8.9500000000000011"/>
        <n v="10.85"/>
        <n v="5.6"/>
        <n v="32"/>
        <n v="1.8666666666666665"/>
        <n v="10.666666666666666"/>
        <n v="7.7"/>
        <n v="11.05"/>
        <n v="31.75"/>
        <n v="10.583333333333334"/>
        <n v="4.8000000000000007"/>
        <n v="26.8"/>
        <n v="31.6"/>
        <n v="1.6000000000000003"/>
        <n v="8.9333333333333336"/>
        <n v="10.533333333333333"/>
        <n v="13.75"/>
        <n v="18.25"/>
        <n v="8.1"/>
        <n v="13.2"/>
        <n v="16.100000000000001"/>
        <n v="26.5"/>
        <n v="8.25"/>
        <n v="13.45"/>
        <n v="7.65"/>
        <n v="15.9"/>
        <n v="26.299999999999997"/>
        <n v="13.15"/>
        <n v="18.149999999999999"/>
        <n v="17.799999999999997"/>
        <n v="25.799999999999997"/>
        <n v="17.399999999999999"/>
        <n v="25.4"/>
        <n v="18.5"/>
        <n v="24.9"/>
        <n v="24.1"/>
        <n v="17.5"/>
        <n v="23.1"/>
        <n v="7.4"/>
        <n v="16.450000000000003"/>
        <n v="22.85"/>
        <n v="16.8"/>
        <n v="22.4"/>
        <n v="8.5500000000000007"/>
        <n v="11.35"/>
        <n v="11"/>
        <n v="10.3"/>
        <n v="7.5"/>
        <n v="9.9"/>
      </sharedItems>
      <fieldGroup base="6">
        <rangePr autoStart="0" startNum="2.6" endNum="41.55" groupInterval="0.5"/>
        <groupItems count="80">
          <s v="&lt;2,6"/>
          <s v="2,6-3,1"/>
          <s v="3,1-3,6"/>
          <s v="3,6-4,1"/>
          <s v="4,1-4,6"/>
          <s v="4,6-5,1"/>
          <s v="5,1-5,6"/>
          <s v="5,6-6,1"/>
          <s v="6,1-6,6"/>
          <s v="6,6-7,1"/>
          <s v="7,1-7,6"/>
          <s v="7,6-8,1"/>
          <s v="8,1-8,6"/>
          <s v="8,6-9,1"/>
          <s v="9,1-9,6"/>
          <s v="9,6-10,1"/>
          <s v="10,1-10,6"/>
          <s v="10,6-11,1"/>
          <s v="11,1-11,6"/>
          <s v="11,6-12,1"/>
          <s v="12,1-12,6"/>
          <s v="12,6-13,1"/>
          <s v="13,1-13,6"/>
          <s v="13,6-14,1"/>
          <s v="14,1-14,6"/>
          <s v="14,6-15,1"/>
          <s v="15,1-15,6"/>
          <s v="15,6-16,1"/>
          <s v="16,1-16,6"/>
          <s v="16,6-17,1"/>
          <s v="17,1-17,6"/>
          <s v="17,6-18,1"/>
          <s v="18,1-18,6"/>
          <s v="18,6-19,1"/>
          <s v="19,1-19,6"/>
          <s v="19,6-20,1"/>
          <s v="20,1-20,6"/>
          <s v="20,6-21,1"/>
          <s v="21,1-21,6"/>
          <s v="21,6-22,1"/>
          <s v="22,1-22,6"/>
          <s v="22,6-23,1"/>
          <s v="23,1-23,6"/>
          <s v="23,6-24,1"/>
          <s v="24,1-24,6"/>
          <s v="24,6-25,1"/>
          <s v="25,1-25,6"/>
          <s v="25,6-26,1"/>
          <s v="26,1-26,6"/>
          <s v="26,6-27,1"/>
          <s v="27,1-27,6"/>
          <s v="27,6-28,1"/>
          <s v="28,1-28,6"/>
          <s v="28,6-29,1"/>
          <s v="29,1-29,6"/>
          <s v="29,6-30,1"/>
          <s v="30,1-30,6"/>
          <s v="30,6-31,1"/>
          <s v="31,1-31,6"/>
          <s v="31,6-32,1"/>
          <s v="32,1-32,6"/>
          <s v="32,6-33,1"/>
          <s v="33,1-33,6"/>
          <s v="33,6-34,1"/>
          <s v="34,1-34,6"/>
          <s v="34,6-35,1"/>
          <s v="35,1-35,6"/>
          <s v="35,6-36,1"/>
          <s v="36,1-36,6"/>
          <s v="36,6-37,1"/>
          <s v="37,1-37,6"/>
          <s v="37,6-38,1"/>
          <s v="38,1-38,6"/>
          <s v="38,6-39,1"/>
          <s v="39,1-39,6"/>
          <s v="39,6-40,1"/>
          <s v="40,1-40,6"/>
          <s v="40,6-41,1"/>
          <s v="41,1-41,6"/>
          <s v="&gt;41,6"/>
        </groupItems>
      </fieldGroup>
    </cacheField>
  </cacheFields>
  <extLst>
    <ext xmlns:x14="http://schemas.microsoft.com/office/spreadsheetml/2009/9/main" uri="{725AE2AE-9491-48be-B2B4-4EB974FC3084}">
      <x14:pivotCacheDefinition pivotCacheId="1400296048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" refreshedDate="45161.444989814816" createdVersion="8" refreshedVersion="8" minRefreshableVersion="3" recordCount="774" xr:uid="{84063171-2FB8-4F11-9E10-596C58A6EEF9}">
  <cacheSource type="worksheet">
    <worksheetSource name="PB_2"/>
  </cacheSource>
  <cacheFields count="8">
    <cacheField name="Name" numFmtId="0">
      <sharedItems/>
    </cacheField>
    <cacheField name="Category" numFmtId="0">
      <sharedItems count="2">
        <s v="senior"/>
        <s v="junior"/>
      </sharedItems>
    </cacheField>
    <cacheField name="License_number" numFmtId="0">
      <sharedItems/>
    </cacheField>
    <cacheField name="Club" numFmtId="0">
      <sharedItems/>
    </cacheField>
    <cacheField name="Number_of_competition" numFmtId="0">
      <sharedItems containsSemiMixedTypes="0" containsString="0" containsNumber="1" containsInteger="1" minValue="1" maxValue="4"/>
    </cacheField>
    <cacheField name="Place of competition" numFmtId="0">
      <sharedItems count="6">
        <s v="Bydgoszcz"/>
        <s v="Zabrze"/>
        <s v="Cracow"/>
        <s v="Gdansk"/>
        <s v="Year"/>
        <s v="AVG"/>
      </sharedItems>
    </cacheField>
    <cacheField name="Score Type" numFmtId="0">
      <sharedItems count="3">
        <s v="Dscore"/>
        <s v="Escore"/>
        <s v="Total Score"/>
      </sharedItems>
    </cacheField>
    <cacheField name="Value" numFmtId="0">
      <sharedItems containsSemiMixedTypes="0" containsString="0" containsNumber="1" minValue="0" maxValue="39.200000000000003" count="254">
        <n v="4.2"/>
        <n v="8.6"/>
        <n v="12.8"/>
        <n v="8.1999999999999993"/>
        <n v="12.4"/>
        <n v="8.8000000000000007"/>
        <n v="13"/>
        <n v="9.1999999999999993"/>
        <n v="13.4"/>
        <n v="12.600000000000001"/>
        <n v="26.6"/>
        <n v="39.200000000000003"/>
        <n v="8.8666666666666671"/>
        <n v="13.066666666666668"/>
        <n v="4.0999999999999996"/>
        <n v="8.5500000000000007"/>
        <n v="12.65"/>
        <n v="9.1"/>
        <n v="13.3"/>
        <n v="7.7"/>
        <n v="11.9"/>
        <n v="26.25"/>
        <n v="38.75"/>
        <n v="8.75"/>
        <n v="12.916666666666666"/>
        <n v="3.7"/>
        <n v="8.4499999999999993"/>
        <n v="12.15"/>
        <n v="3.6"/>
        <n v="8.65"/>
        <n v="12.25"/>
        <n v="4"/>
        <n v="8.85"/>
        <n v="12.85"/>
        <n v="2.7"/>
        <n v="6"/>
        <n v="8.6999999999999993"/>
        <n v="11.3"/>
        <n v="25.95"/>
        <n v="37.25"/>
        <n v="3.7666666666666671"/>
        <n v="12.416666666666666"/>
        <n v="8.15"/>
        <n v="3.8"/>
        <n v="12.55"/>
        <n v="8.5"/>
        <n v="12.3"/>
        <n v="3.1"/>
        <n v="6.9"/>
        <n v="10"/>
        <n v="11.6"/>
        <n v="25.4"/>
        <n v="37"/>
        <n v="3.8666666666666667"/>
        <n v="8.4666666666666668"/>
        <n v="12.333333333333334"/>
        <n v="0"/>
        <n v="5"/>
        <n v="7.45"/>
        <n v="12.45"/>
        <n v="5.3"/>
        <n v="6.6"/>
        <n v="7"/>
        <n v="15.6"/>
        <n v="21.049999999999997"/>
        <n v="36.65"/>
        <n v="5.2"/>
        <n v="7.0166666666666657"/>
        <n v="12.216666666666667"/>
        <n v="11.8"/>
        <n v="3"/>
        <n v="9"/>
        <n v="12"/>
        <n v="8.9"/>
        <n v="2.6"/>
        <n v="11.5"/>
        <n v="26.799999999999997"/>
        <n v="35.700000000000003"/>
        <n v="3.0333333333333332"/>
        <n v="8.9333333333333318"/>
        <n v="7.85"/>
        <n v="11.55"/>
        <n v="7.5"/>
        <n v="11.7"/>
        <n v="7.9"/>
        <n v="12.100000000000001"/>
        <n v="23.45"/>
        <n v="35.150000000000006"/>
        <n v="4.0333333333333341"/>
        <n v="7.8166666666666664"/>
        <n v="11.716666666666669"/>
        <n v="3.2"/>
        <n v="11.65"/>
        <n v="3.4"/>
        <n v="8.35"/>
        <n v="11.75"/>
        <n v="24.999999999999996"/>
        <n v="35"/>
        <n v="3.3333333333333335"/>
        <n v="8.3333333333333321"/>
        <n v="11.666666666666666"/>
        <n v="8"/>
        <n v="11.1"/>
        <n v="8.4"/>
        <n v="9.4"/>
        <n v="25.5"/>
        <n v="34.9"/>
        <n v="3.1333333333333333"/>
        <n v="11.633333333333333"/>
        <n v="3.5"/>
        <n v="7.95"/>
        <n v="11.45"/>
        <n v="11.35"/>
        <n v="7.3"/>
        <n v="10.7"/>
        <n v="10.3"/>
        <n v="24.7"/>
        <n v="34.799999999999997"/>
        <n v="3.4333333333333336"/>
        <n v="8.2333333333333325"/>
        <n v="11.15"/>
        <n v="10.8"/>
        <n v="24.05"/>
        <n v="34.65"/>
        <n v="8.0166666666666675"/>
        <n v="11.549999999999999"/>
        <n v="6.85"/>
        <n v="10.55"/>
        <n v="7.4"/>
        <n v="11"/>
        <n v="11.4"/>
        <n v="23.3"/>
        <n v="34.5"/>
        <n v="3.8000000000000003"/>
        <n v="7.7666666666666666"/>
        <n v="11.85"/>
        <n v="2.4"/>
        <n v="10.9"/>
        <n v="26.35"/>
        <n v="34.450000000000003"/>
        <n v="2.8666666666666667"/>
        <n v="8.7833333333333332"/>
        <n v="11.483333333333334"/>
        <n v="11.2"/>
        <n v="8.1"/>
        <n v="25.299999999999997"/>
        <n v="34.299999999999997"/>
        <n v="8.4333333333333318"/>
        <n v="11.433333333333332"/>
        <n v="9.5500000000000007"/>
        <n v="12.2"/>
        <n v="5.8"/>
        <n v="10.100000000000001"/>
        <n v="24.299999999999997"/>
        <n v="33.900000000000006"/>
        <n v="3.3666666666666671"/>
        <n v="11.300000000000002"/>
        <n v="8.0500000000000007"/>
        <n v="7.8"/>
        <n v="9.3000000000000007"/>
        <n v="24.85"/>
        <n v="33.450000000000003"/>
        <n v="8.2833333333333332"/>
        <n v="2.5"/>
        <n v="7.15"/>
        <n v="9.65"/>
        <n v="24.700000000000003"/>
        <n v="33.200000000000003"/>
        <n v="2.8333333333333335"/>
        <n v="8.2333333333333343"/>
        <n v="11.066666666666668"/>
        <n v="10.4"/>
        <n v="25.2"/>
        <n v="33.1"/>
        <n v="2.6333333333333333"/>
        <n v="11.033333333333333"/>
        <n v="7.1"/>
        <n v="10.199999999999999"/>
        <n v="24.450000000000003"/>
        <n v="33.049999999999997"/>
        <n v="11.016666666666666"/>
        <n v="10.5"/>
        <n v="7.1999999999999993"/>
        <n v="24.9"/>
        <n v="32.1"/>
        <n v="8.2999999999999989"/>
        <n v="10.700000000000001"/>
        <n v="5.65"/>
        <n v="8.25"/>
        <n v="2.8"/>
        <n v="2.9"/>
        <n v="7.2"/>
        <n v="10.1"/>
        <n v="6.4"/>
        <n v="20.350000000000001"/>
        <n v="28.65"/>
        <n v="2.7666666666666662"/>
        <n v="6.7833333333333341"/>
        <n v="9.5499999999999989"/>
        <n v="9.35"/>
        <n v="12.35"/>
        <n v="18.350000000000001"/>
        <n v="24.75"/>
        <n v="12.6"/>
        <n v="17.149999999999999"/>
        <n v="24.15"/>
        <n v="7.55"/>
        <n v="8.3000000000000007"/>
        <n v="15.850000000000001"/>
        <n v="23.65"/>
        <n v="11.95"/>
        <n v="6.3000000000000007"/>
        <n v="17.2"/>
        <n v="23.5"/>
        <n v="4.5"/>
        <n v="6.45"/>
        <n v="10.95"/>
        <n v="4.9000000000000004"/>
        <n v="13.850000000000001"/>
        <n v="23.25"/>
        <n v="10.6"/>
        <n v="16.05"/>
        <n v="22.35"/>
        <n v="17.299999999999997"/>
        <n v="22.2"/>
        <n v="13.8"/>
        <n v="21.6"/>
        <n v="7.75"/>
        <n v="10.65"/>
        <n v="10.45"/>
        <n v="15.8"/>
        <n v="21.1"/>
        <n v="5.5"/>
        <n v="15.3"/>
        <n v="20.799999999999997"/>
        <n v="2.2999999999999998"/>
        <n v="9.75"/>
        <n v="5.4"/>
        <n v="14.9"/>
        <n v="20.3"/>
        <n v="4.3"/>
        <n v="12.5"/>
        <n v="11.25"/>
        <n v="11.05"/>
        <n v="9.9499999999999993"/>
        <n v="5.7"/>
        <n v="2"/>
        <n v="3.45"/>
        <n v="5.45"/>
        <n v="1.9"/>
        <n v="2.85"/>
        <n v="4.75"/>
        <n v="1.4"/>
        <n v="1.7"/>
      </sharedItems>
      <fieldGroup base="7">
        <rangePr autoStart="0" startNum="2.6" endNum="39.200000000000003" groupInterval="0.5"/>
        <groupItems count="76">
          <s v="&lt;2,6"/>
          <s v="2,6-3,1"/>
          <s v="3,1-3,6"/>
          <s v="3,6-4,1"/>
          <s v="4,1-4,6"/>
          <s v="4,6-5,1"/>
          <s v="5,1-5,6"/>
          <s v="5,6-6,1"/>
          <s v="6,1-6,6"/>
          <s v="6,6-7,1"/>
          <s v="7,1-7,6"/>
          <s v="7,6-8,1"/>
          <s v="8,1-8,6"/>
          <s v="8,6-9,1"/>
          <s v="9,1-9,6"/>
          <s v="9,6-10,1"/>
          <s v="10,1-10,6"/>
          <s v="10,6-11,1"/>
          <s v="11,1-11,6"/>
          <s v="11,6-12,1"/>
          <s v="12,1-12,6"/>
          <s v="12,6-13,1"/>
          <s v="13,1-13,6"/>
          <s v="13,6-14,1"/>
          <s v="14,1-14,6"/>
          <s v="14,6-15,1"/>
          <s v="15,1-15,6"/>
          <s v="15,6-16,1"/>
          <s v="16,1-16,6"/>
          <s v="16,6-17,1"/>
          <s v="17,1-17,6"/>
          <s v="17,6-18,1"/>
          <s v="18,1-18,6"/>
          <s v="18,6-19,1"/>
          <s v="19,1-19,6"/>
          <s v="19,6-20,1"/>
          <s v="20,1-20,6"/>
          <s v="20,6-21,1"/>
          <s v="21,1-21,6"/>
          <s v="21,6-22,1"/>
          <s v="22,1-22,6"/>
          <s v="22,6-23,1"/>
          <s v="23,1-23,6"/>
          <s v="23,6-24,1"/>
          <s v="24,1-24,6"/>
          <s v="24,6-25,1"/>
          <s v="25,1-25,6"/>
          <s v="25,6-26,1"/>
          <s v="26,1-26,6"/>
          <s v="26,6-27,1"/>
          <s v="27,1-27,6"/>
          <s v="27,6-28,1"/>
          <s v="28,1-28,6"/>
          <s v="28,6-29,1"/>
          <s v="29,1-29,6"/>
          <s v="29,6-30,1"/>
          <s v="30,1-30,6"/>
          <s v="30,6-31,1"/>
          <s v="31,1-31,6"/>
          <s v="31,6-32,1"/>
          <s v="32,1-32,6"/>
          <s v="32,6-33,1"/>
          <s v="33,1-33,6"/>
          <s v="33,6-34,1"/>
          <s v="34,1-34,6"/>
          <s v="34,6-35,1"/>
          <s v="35,1-35,6"/>
          <s v="35,6-36,1"/>
          <s v="36,1-36,6"/>
          <s v="36,6-37,1"/>
          <s v="37,1-37,6"/>
          <s v="37,6-38,1"/>
          <s v="38,1-38,6"/>
          <s v="38,6-39,1"/>
          <s v="39,1-39,6"/>
          <s v="&gt;39,6"/>
        </groupItems>
      </fieldGroup>
    </cacheField>
  </cacheFields>
  <extLst>
    <ext xmlns:x14="http://schemas.microsoft.com/office/spreadsheetml/2009/9/main" uri="{725AE2AE-9491-48be-B2B4-4EB974FC3084}">
      <x14:pivotCacheDefinition pivotCacheId="772747927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" refreshedDate="45161.450892245368" createdVersion="8" refreshedVersion="8" minRefreshableVersion="3" recordCount="666" xr:uid="{BF2DC272-878F-4DE6-84FA-266424A0E28F}">
  <cacheSource type="worksheet">
    <worksheetSource name="HB_2"/>
  </cacheSource>
  <cacheFields count="7">
    <cacheField name="Name" numFmtId="0">
      <sharedItems/>
    </cacheField>
    <cacheField name="Category" numFmtId="0">
      <sharedItems count="2">
        <s v="senior"/>
        <s v="junior"/>
      </sharedItems>
    </cacheField>
    <cacheField name="Club" numFmtId="0">
      <sharedItems/>
    </cacheField>
    <cacheField name="Number_of_competition" numFmtId="0">
      <sharedItems containsSemiMixedTypes="0" containsString="0" containsNumber="1" containsInteger="1" minValue="1" maxValue="4"/>
    </cacheField>
    <cacheField name="Place of Competition" numFmtId="0">
      <sharedItems count="6">
        <s v="Bydgoszcz"/>
        <s v="Zabrze"/>
        <s v="Cracow"/>
        <s v="Gdansk"/>
        <s v="Year"/>
        <s v="AVG"/>
      </sharedItems>
    </cacheField>
    <cacheField name="Score Type" numFmtId="0">
      <sharedItems count="3">
        <s v="Dscore"/>
        <s v="Escore"/>
        <s v="Total Score"/>
      </sharedItems>
    </cacheField>
    <cacheField name="Value" numFmtId="0">
      <sharedItems containsSemiMixedTypes="0" containsString="0" containsNumber="1" minValue="0" maxValue="37.400000000000006" count="234">
        <n v="4.4000000000000004"/>
        <n v="8"/>
        <n v="12.4"/>
        <n v="6.8"/>
        <n v="11.2"/>
        <n v="8.4"/>
        <n v="12.8"/>
        <n v="4.2"/>
        <n v="12.2"/>
        <n v="13.200000000000001"/>
        <n v="24.4"/>
        <n v="37.400000000000006"/>
        <n v="8.1333333333333329"/>
        <n v="12.466666666666669"/>
        <n v="0"/>
        <n v="4.5999999999999996"/>
        <n v="7.4"/>
        <n v="12"/>
        <n v="8.15"/>
        <n v="12.75"/>
        <n v="4.9000000000000004"/>
        <n v="6.9"/>
        <n v="11.8"/>
        <n v="14.1"/>
        <n v="22.450000000000003"/>
        <n v="36.549999999999997"/>
        <n v="4.7"/>
        <n v="7.4833333333333343"/>
        <n v="12.183333333333332"/>
        <n v="2.6"/>
        <n v="9"/>
        <n v="11.6"/>
        <n v="2.7"/>
        <n v="9.1"/>
        <n v="9.4499999999999993"/>
        <n v="12.15"/>
        <n v="9.3000000000000007"/>
        <n v="8.1000000000000014"/>
        <n v="27.85"/>
        <n v="35.950000000000003"/>
        <n v="2.7000000000000006"/>
        <n v="9.2833333333333332"/>
        <n v="11.983333333333334"/>
        <n v="3.3"/>
        <n v="7.8"/>
        <n v="11.1"/>
        <n v="4"/>
        <n v="8.25"/>
        <n v="12.25"/>
        <n v="11.3"/>
        <n v="10.6"/>
        <n v="24.05"/>
        <n v="34.65"/>
        <n v="3.5333333333333332"/>
        <n v="8.0166666666666675"/>
        <n v="11.549999999999999"/>
        <n v="3.4"/>
        <n v="10.8"/>
        <n v="7.5"/>
        <n v="10.9"/>
        <n v="8.6"/>
        <n v="10.199999999999999"/>
        <n v="23.6"/>
        <n v="33.700000000000003"/>
        <n v="7.8666666666666671"/>
        <n v="11.233333333333334"/>
        <n v="3.2"/>
        <n v="7.2"/>
        <n v="10.4"/>
        <n v="2.8"/>
        <n v="2.9"/>
        <n v="7.25"/>
        <n v="10.15"/>
        <n v="2.5"/>
        <n v="8.6999999999999993"/>
        <n v="8.8999999999999986"/>
        <n v="23.95"/>
        <n v="32.4"/>
        <n v="2.9666666666666663"/>
        <n v="7.9833333333333334"/>
        <n v="10.799999999999999"/>
        <n v="2.1"/>
        <n v="10.5"/>
        <n v="2.2000000000000002"/>
        <n v="7.85"/>
        <n v="10.050000000000001"/>
        <n v="8.9"/>
        <n v="11.5"/>
        <n v="7.6"/>
        <n v="25.15"/>
        <n v="32.200000000000003"/>
        <n v="2.4666666666666668"/>
        <n v="8.3833333333333329"/>
        <n v="10.733333333333334"/>
        <n v="3"/>
        <n v="3.1"/>
        <n v="7.65"/>
        <n v="10.75"/>
        <n v="6.5"/>
        <n v="22.65"/>
        <n v="31.75"/>
        <n v="3.0333333333333332"/>
        <n v="7.55"/>
        <n v="10.583333333333334"/>
        <n v="7.3"/>
        <n v="10.25"/>
        <n v="8.1999999999999993"/>
        <n v="5.8"/>
        <n v="8.5"/>
        <n v="23.05"/>
        <n v="31.55"/>
        <n v="2.8333333333333335"/>
        <n v="7.6833333333333336"/>
        <n v="10.516666666666667"/>
        <n v="10.1"/>
        <n v="8.1"/>
        <n v="9.9"/>
        <n v="22.9"/>
        <n v="31.4"/>
        <n v="2.8666666666666667"/>
        <n v="7.6333333333333329"/>
        <n v="10.466666666666667"/>
        <n v="2.4"/>
        <n v="7.9"/>
        <n v="10.3"/>
        <n v="10.85"/>
        <n v="2.2999999999999998"/>
        <n v="9.8000000000000007"/>
        <n v="23.85"/>
        <n v="31.349999999999998"/>
        <n v="7.95"/>
        <n v="10.45"/>
        <n v="7.7"/>
        <n v="11"/>
        <n v="6.2"/>
        <n v="9.4"/>
        <n v="21.7"/>
        <n v="30.9"/>
        <n v="3.1333333333333333"/>
        <n v="7.2333333333333334"/>
        <n v="10.299999999999999"/>
        <n v="1.9"/>
        <n v="5.6999999999999993"/>
        <n v="24.999999999999996"/>
        <n v="30.700000000000003"/>
        <n v="1.8999999999999997"/>
        <n v="8.3333333333333321"/>
        <n v="10.233333333333334"/>
        <n v="9.6999999999999993"/>
        <n v="1"/>
        <n v="22.7"/>
        <n v="30.7"/>
        <n v="2.6666666666666665"/>
        <n v="7.5666666666666664"/>
        <n v="10.233333333333333"/>
        <n v="6.7"/>
        <n v="22.5"/>
        <n v="30.6"/>
        <n v="2.6999999999999997"/>
        <n v="10.200000000000001"/>
        <n v="10.7"/>
        <n v="9.6"/>
        <n v="7.7000000000000011"/>
        <n v="22.85"/>
        <n v="30.549999999999997"/>
        <n v="2.5666666666666669"/>
        <n v="7.6166666666666671"/>
        <n v="10.183333333333332"/>
        <n v="1.8"/>
        <n v="5.4"/>
        <n v="24.700000000000003"/>
        <n v="30.099999999999998"/>
        <n v="8.2333333333333343"/>
        <n v="10.033333333333333"/>
        <n v="8.8000000000000007"/>
        <n v="24.6"/>
        <n v="30"/>
        <n v="8.2000000000000011"/>
        <n v="10"/>
        <n v="9.5"/>
        <n v="2"/>
        <n v="5.2"/>
        <n v="6.8000000000000007"/>
        <n v="20.5"/>
        <n v="27.3"/>
        <n v="2.2666666666666671"/>
        <n v="6.833333333333333"/>
        <n v="4.0999999999999996"/>
        <n v="12.5"/>
        <n v="8.0500000000000007"/>
        <n v="12.05"/>
        <n v="16.450000000000003"/>
        <n v="24.55"/>
        <n v="7.75"/>
        <n v="9.65"/>
        <n v="1.5"/>
        <n v="17.95"/>
        <n v="23.15"/>
        <n v="1.7333333333333334"/>
        <n v="5.9833333333333334"/>
        <n v="7.7166666666666659"/>
        <n v="3.7"/>
        <n v="11.65"/>
        <n v="15.350000000000001"/>
        <n v="22.75"/>
        <n v="3.6"/>
        <n v="7.1"/>
        <n v="8.3000000000000007"/>
        <n v="11.9"/>
        <n v="15.4"/>
        <n v="22.6"/>
        <n v="17.100000000000001"/>
        <n v="6.65"/>
        <n v="11.25"/>
        <n v="4.8"/>
        <n v="6.3"/>
        <n v="9.3999999999999986"/>
        <n v="12.95"/>
        <n v="22.35"/>
        <n v="6.6"/>
        <n v="15.3"/>
        <n v="21.9"/>
        <n v="10.65"/>
        <n v="16.25"/>
        <n v="20.950000000000003"/>
        <n v="6.1"/>
        <n v="11.100000000000001"/>
        <n v="15.1"/>
        <n v="11.85"/>
        <n v="6.95"/>
        <n v="9.5500000000000007"/>
        <n v="5"/>
        <n v="0.1"/>
        <n v="1.1000000000000001"/>
      </sharedItems>
      <fieldGroup base="6">
        <rangePr autoStart="0" startNum="2.6" endNum="37.400000000000006" groupInterval="0.5"/>
        <groupItems count="72">
          <s v="&lt;2,6"/>
          <s v="2,6-3,1"/>
          <s v="3,1-3,6"/>
          <s v="3,6-4,1"/>
          <s v="4,1-4,6"/>
          <s v="4,6-5,1"/>
          <s v="5,1-5,6"/>
          <s v="5,6-6,1"/>
          <s v="6,1-6,6"/>
          <s v="6,6-7,1"/>
          <s v="7,1-7,6"/>
          <s v="7,6-8,1"/>
          <s v="8,1-8,6"/>
          <s v="8,6-9,1"/>
          <s v="9,1-9,6"/>
          <s v="9,6-10,1"/>
          <s v="10,1-10,6"/>
          <s v="10,6-11,1"/>
          <s v="11,1-11,6"/>
          <s v="11,6-12,1"/>
          <s v="12,1-12,6"/>
          <s v="12,6-13,1"/>
          <s v="13,1-13,6"/>
          <s v="13,6-14,1"/>
          <s v="14,1-14,6"/>
          <s v="14,6-15,1"/>
          <s v="15,1-15,6"/>
          <s v="15,6-16,1"/>
          <s v="16,1-16,6"/>
          <s v="16,6-17,1"/>
          <s v="17,1-17,6"/>
          <s v="17,6-18,1"/>
          <s v="18,1-18,6"/>
          <s v="18,6-19,1"/>
          <s v="19,1-19,6"/>
          <s v="19,6-20,1"/>
          <s v="20,1-20,6"/>
          <s v="20,6-21,1"/>
          <s v="21,1-21,6"/>
          <s v="21,6-22,1"/>
          <s v="22,1-22,6"/>
          <s v="22,6-23,1"/>
          <s v="23,1-23,6"/>
          <s v="23,6-24,1"/>
          <s v="24,1-24,6"/>
          <s v="24,6-25,1"/>
          <s v="25,1-25,6"/>
          <s v="25,6-26,1"/>
          <s v="26,1-26,6"/>
          <s v="26,6-27,1"/>
          <s v="27,1-27,6"/>
          <s v="27,6-28,1"/>
          <s v="28,1-28,6"/>
          <s v="28,6-29,1"/>
          <s v="29,1-29,6"/>
          <s v="29,6-30,1"/>
          <s v="30,1-30,6"/>
          <s v="30,6-31,1"/>
          <s v="31,1-31,6"/>
          <s v="31,6-32,1"/>
          <s v="32,1-32,6"/>
          <s v="32,6-33,1"/>
          <s v="33,1-33,6"/>
          <s v="33,6-34,1"/>
          <s v="34,1-34,6"/>
          <s v="34,6-35,1"/>
          <s v="35,1-35,6"/>
          <s v="35,6-36,1"/>
          <s v="36,1-36,6"/>
          <s v="36,6-37,1"/>
          <s v="37,1-37,6"/>
          <s v="&gt;37,6"/>
        </groupItems>
      </fieldGroup>
    </cacheField>
  </cacheFields>
  <extLst>
    <ext xmlns:x14="http://schemas.microsoft.com/office/spreadsheetml/2009/9/main" uri="{725AE2AE-9491-48be-B2B4-4EB974FC3084}">
      <x14:pivotCacheDefinition pivotCacheId="106865897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" refreshedDate="45161.461099189815" createdVersion="8" refreshedVersion="8" minRefreshableVersion="3" recordCount="936" xr:uid="{4658678A-1B61-48CE-838A-5B3A06A9037E}">
  <cacheSource type="worksheet">
    <worksheetSource name="AA_2"/>
  </cacheSource>
  <cacheFields count="7">
    <cacheField name="Name" numFmtId="0">
      <sharedItems/>
    </cacheField>
    <cacheField name="Category" numFmtId="0">
      <sharedItems count="2">
        <s v="senior"/>
        <s v="junior"/>
      </sharedItems>
    </cacheField>
    <cacheField name="Club" numFmtId="0">
      <sharedItems/>
    </cacheField>
    <cacheField name="All around competition" numFmtId="0">
      <sharedItems containsSemiMixedTypes="0" containsString="0" containsNumber="1" containsInteger="1" minValue="0" maxValue="4" count="5">
        <n v="3"/>
        <n v="4"/>
        <n v="2"/>
        <n v="1"/>
        <n v="0"/>
      </sharedItems>
    </cacheField>
    <cacheField name="Place of competition" numFmtId="0">
      <sharedItems count="6">
        <s v="Bydgoszcz"/>
        <s v="Zabrze"/>
        <s v="Cracow"/>
        <s v="Gdansk"/>
        <s v="Year"/>
        <s v="AVG"/>
      </sharedItems>
    </cacheField>
    <cacheField name="Score Type" numFmtId="0">
      <sharedItems count="3">
        <s v="Dscore"/>
        <s v="Escore"/>
        <s v="Total Score"/>
      </sharedItems>
    </cacheField>
    <cacheField name="Value" numFmtId="0">
      <sharedItems containsSemiMixedTypes="0" containsString="0" containsNumber="1" minValue="0" maxValue="225.45" count="442">
        <n v="0"/>
        <n v="28.299999999999997"/>
        <n v="47.85"/>
        <n v="76.150000000000006"/>
        <n v="28.9"/>
        <n v="46.949999999999996"/>
        <n v="75.849999999999994"/>
        <n v="27.700000000000003"/>
        <n v="44.800000000000004"/>
        <n v="72.5"/>
        <n v="84.9"/>
        <n v="139.6"/>
        <n v="224.5"/>
        <n v="28.3"/>
        <n v="46.533333333333331"/>
        <n v="74.833333333333329"/>
        <n v="28.199999999999996"/>
        <n v="47.4"/>
        <n v="75.600000000000009"/>
        <n v="45.7"/>
        <n v="74"/>
        <n v="28.1"/>
        <n v="47.75"/>
        <n v="27.4"/>
        <n v="45.15"/>
        <n v="72.55"/>
        <n v="84.6"/>
        <n v="140.85000000000002"/>
        <n v="225.45"/>
        <n v="28.2"/>
        <n v="46.95000000000001"/>
        <n v="75.149999999999991"/>
        <n v="22.7"/>
        <n v="44.550000000000004"/>
        <n v="67.25"/>
        <n v="21.1"/>
        <n v="68.95"/>
        <n v="21.4"/>
        <n v="48.7"/>
        <n v="70.099999999999994"/>
        <n v="19.200000000000003"/>
        <n v="43.5"/>
        <n v="62.699999999999996"/>
        <n v="65.199999999999989"/>
        <n v="141.10000000000002"/>
        <n v="206.3"/>
        <n v="21.733333333333331"/>
        <n v="47.033333333333339"/>
        <n v="68.766666666666666"/>
        <n v="8"/>
        <n v="22.65"/>
        <n v="30.65"/>
        <n v="21.5"/>
        <n v="49.949999999999996"/>
        <n v="71.45"/>
        <n v="22.1"/>
        <n v="51.55"/>
        <n v="73.650000000000006"/>
        <n v="20.700000000000003"/>
        <n v="43.2"/>
        <n v="63.900000000000006"/>
        <n v="64.300000000000011"/>
        <n v="144.69999999999999"/>
        <n v="209.00000000000003"/>
        <n v="21.433333333333337"/>
        <n v="48.233333333333327"/>
        <n v="69.666666666666671"/>
        <n v="68.8"/>
        <n v="20.9"/>
        <n v="47.999999999999993"/>
        <n v="68.900000000000006"/>
        <n v="21.6"/>
        <n v="49.300000000000004"/>
        <n v="70.900000000000006"/>
        <n v="18.5"/>
        <n v="37.75"/>
        <n v="56.250000000000014"/>
        <n v="63.9"/>
        <n v="208.60000000000002"/>
        <n v="21.3"/>
        <n v="69.533333333333346"/>
        <n v="21"/>
        <n v="45.999999999999993"/>
        <n v="67"/>
        <n v="20.999999999999996"/>
        <n v="48.9"/>
        <n v="69.900000000000006"/>
        <n v="20.799999999999997"/>
        <n v="42.7"/>
        <n v="63.500000000000007"/>
        <n v="20.500000000000004"/>
        <n v="43.1"/>
        <n v="63.6"/>
        <n v="62.8"/>
        <n v="138"/>
        <n v="200.5"/>
        <n v="20.933333333333334"/>
        <n v="46"/>
        <n v="66.833333333333329"/>
        <n v="21.2"/>
        <n v="45.300000000000004"/>
        <n v="66.5"/>
        <n v="43.05"/>
        <n v="63.95"/>
        <n v="19.899999999999999"/>
        <n v="43.6"/>
        <n v="63.5"/>
        <n v="20.599999999999998"/>
        <n v="44.8"/>
        <n v="65.399999999999991"/>
        <n v="62.699999999999989"/>
        <n v="133.69999999999999"/>
        <n v="195.84999999999997"/>
        <n v="20.899999999999995"/>
        <n v="44.566666666666663"/>
        <n v="65.283333333333317"/>
        <n v="19.999999999999996"/>
        <n v="48.3"/>
        <n v="68.3"/>
        <n v="47.050000000000004"/>
        <n v="68.05"/>
        <n v="49.4"/>
        <n v="70.599999999999994"/>
        <n v="19.099999999999998"/>
        <n v="45.4"/>
        <n v="64.5"/>
        <n v="62.2"/>
        <n v="144.75"/>
        <n v="206.95"/>
        <n v="20.733333333333334"/>
        <n v="48.25"/>
        <n v="68.983333333333334"/>
        <n v="20.900000000000002"/>
        <n v="47.35"/>
        <n v="68.25"/>
        <n v="48.95"/>
        <n v="69.75"/>
        <n v="20.399999999999999"/>
        <n v="45.900000000000006"/>
        <n v="66.3"/>
        <n v="20.099999999999998"/>
        <n v="46.3"/>
        <n v="66.399999999999991"/>
        <n v="62.1"/>
        <n v="142.60000000000002"/>
        <n v="204.39999999999998"/>
        <n v="20.7"/>
        <n v="47.533333333333339"/>
        <n v="68.133333333333326"/>
        <n v="18.299999999999997"/>
        <n v="47.449999999999996"/>
        <n v="65.75"/>
        <n v="49.8"/>
        <n v="71"/>
        <n v="66.300000000000011"/>
        <n v="59.899999999999991"/>
        <n v="143.15"/>
        <n v="203.05"/>
        <n v="19.966666666666665"/>
        <n v="47.716666666666669"/>
        <n v="67.683333333333337"/>
        <n v="19.5"/>
        <n v="53.7"/>
        <n v="73.2"/>
        <n v="53.050000000000004"/>
        <n v="19.7"/>
        <n v="52.5"/>
        <n v="72.2"/>
        <n v="19.599999999999998"/>
        <n v="50.400000000000006"/>
        <n v="70"/>
        <n v="58.8"/>
        <n v="159.25"/>
        <n v="217.95"/>
        <n v="53.083333333333336"/>
        <n v="72.649999999999991"/>
        <n v="48.599999999999994"/>
        <n v="67.100000000000009"/>
        <n v="19.900000000000002"/>
        <n v="48.000000000000007"/>
        <n v="67.899999999999991"/>
        <n v="17.8"/>
        <n v="45.9"/>
        <n v="63.7"/>
        <n v="17.900000000000002"/>
        <n v="45.199999999999996"/>
        <n v="63.099999999999994"/>
        <n v="56.300000000000011"/>
        <n v="142.5"/>
        <n v="198.7"/>
        <n v="18.766666666666669"/>
        <n v="47.5"/>
        <n v="66.233333333333334"/>
        <n v="19.399999999999999"/>
        <n v="67.150000000000006"/>
        <n v="19.3"/>
        <n v="48.55"/>
        <n v="67.849999999999994"/>
        <n v="17.599999999999998"/>
        <n v="46.2"/>
        <n v="63.8"/>
        <n v="56.3"/>
        <n v="198.8"/>
        <n v="18.766666666666666"/>
        <n v="66.266666666666666"/>
        <n v="17"/>
        <n v="49.3"/>
        <n v="16"/>
        <n v="17.2"/>
        <n v="64.7"/>
        <n v="15.7"/>
        <n v="48.5"/>
        <n v="64.2"/>
        <n v="50.2"/>
        <n v="147.19999999999999"/>
        <n v="196.39999999999998"/>
        <n v="16.733333333333334"/>
        <n v="49.066666666666663"/>
        <n v="65.466666666666654"/>
        <n v="13"/>
        <n v="31.6"/>
        <n v="44.6"/>
        <n v="16.099999999999998"/>
        <n v="50.85"/>
        <n v="66.95"/>
        <n v="16.5"/>
        <n v="64"/>
        <n v="15.000000000000002"/>
        <n v="47.699999999999996"/>
        <n v="62.7"/>
        <n v="47.599999999999994"/>
        <n v="146.05000000000001"/>
        <n v="193.64999999999998"/>
        <n v="15.866666666666665"/>
        <n v="48.683333333333337"/>
        <n v="64.55"/>
        <n v="16.3"/>
        <n v="42.8"/>
        <n v="59.099999999999994"/>
        <n v="15"/>
        <n v="42.099999999999994"/>
        <n v="57.1"/>
        <n v="15.6"/>
        <n v="44.150000000000006"/>
        <n v="59.75"/>
        <n v="13.9"/>
        <n v="48.2"/>
        <n v="46.9"/>
        <n v="135.15"/>
        <n v="180.95"/>
        <n v="15.633333333333333"/>
        <n v="45.050000000000004"/>
        <n v="60.316666666666663"/>
        <n v="12.600000000000001"/>
        <n v="46.050000000000004"/>
        <n v="58.65"/>
        <n v="14"/>
        <n v="42.45"/>
        <n v="56.449999999999996"/>
        <n v="40.299999999999997"/>
        <n v="52.9"/>
        <n v="39.200000000000003"/>
        <n v="128.80000000000001"/>
        <n v="168"/>
        <n v="13.066666666666668"/>
        <n v="42.933333333333337"/>
        <n v="56"/>
        <n v="21.900000000000002"/>
        <n v="46.95"/>
        <n v="68.849999999999994"/>
        <n v="18.399999999999999"/>
        <n v="38.9"/>
        <n v="57.3"/>
        <n v="21.400000000000002"/>
        <n v="48"/>
        <n v="69.399999999999991"/>
        <n v="24.300000000000004"/>
        <n v="49.849999999999994"/>
        <n v="74.150000000000006"/>
        <n v="23.900000000000002"/>
        <n v="48.149999999999991"/>
        <n v="72.05"/>
        <n v="44.050000000000004"/>
        <n v="72.95"/>
        <n v="30.099999999999998"/>
        <n v="41.599999999999994"/>
        <n v="71.699999999999989"/>
        <n v="50.750000000000007"/>
        <n v="72.050000000000011"/>
        <n v="22"/>
        <n v="71.3"/>
        <n v="48.949999999999996"/>
        <n v="69.649999999999991"/>
        <n v="50.4"/>
        <n v="71.100000000000009"/>
        <n v="25.6"/>
        <n v="43.3"/>
        <n v="43.8"/>
        <n v="63.3"/>
        <n v="18.400000000000002"/>
        <n v="37.85"/>
        <n v="56.25"/>
        <n v="8.6"/>
        <n v="20.55"/>
        <n v="29.15"/>
        <n v="6.5"/>
        <n v="16.05"/>
        <n v="22.549999999999997"/>
        <n v="70.400000000000006"/>
        <n v="37.15"/>
        <n v="58.650000000000006"/>
        <n v="10.1"/>
        <n v="28.5"/>
        <n v="38.599999999999994"/>
        <n v="14.799999999999999"/>
        <n v="40.6"/>
        <n v="55.4"/>
        <n v="25.4"/>
        <n v="47.6"/>
        <n v="73"/>
        <n v="50"/>
        <n v="71.199999999999989"/>
        <n v="16.7"/>
        <n v="48.800000000000004"/>
        <n v="65.5"/>
        <n v="14.600000000000001"/>
        <n v="43.9"/>
        <n v="58.5"/>
        <n v="11.600000000000001"/>
        <n v="27.2"/>
        <n v="38.800000000000004"/>
        <n v="8.1999999999999993"/>
        <n v="24.450000000000003"/>
        <n v="32.65"/>
        <n v="16.900000000000002"/>
        <n v="37.25"/>
        <n v="54.150000000000006"/>
        <n v="13.3"/>
        <n v="26.3"/>
        <n v="39.600000000000009"/>
        <n v="11.3"/>
        <n v="22.75"/>
        <n v="34.049999999999997"/>
        <n v="33.1"/>
        <n v="48.699999999999996"/>
        <n v="14.399999999999999"/>
        <n v="23.25"/>
        <n v="37.65"/>
        <n v="16.8"/>
        <n v="37"/>
        <n v="53.8"/>
        <n v="11"/>
        <n v="23"/>
        <n v="34"/>
        <n v="4"/>
        <n v="8.65"/>
        <n v="12.65"/>
        <n v="11.4"/>
        <n v="25.450000000000003"/>
        <n v="36.85"/>
        <n v="12.2"/>
        <n v="26.15"/>
        <n v="38.35"/>
        <n v="9.9"/>
        <n v="26.65"/>
        <n v="36.549999999999997"/>
        <n v="10"/>
        <n v="25.1"/>
        <n v="35.1"/>
        <n v="4.3"/>
        <n v="7.2"/>
        <n v="11.5"/>
        <n v="8.6999999999999993"/>
        <n v="17.850000000000001"/>
        <n v="26.55"/>
        <n v="15.05"/>
        <n v="22.25"/>
        <n v="7"/>
        <n v="14.850000000000001"/>
        <n v="21.85"/>
        <n v="22.299999999999997"/>
        <n v="31"/>
        <n v="10.9"/>
        <n v="26.349999999999998"/>
        <n v="13.1"/>
        <n v="12.7"/>
        <n v="22.5"/>
        <n v="35.200000000000003"/>
        <n v="5.9"/>
        <n v="6.4"/>
        <n v="13.2"/>
        <n v="19.600000000000001"/>
        <n v="7.7"/>
        <n v="4.4000000000000004"/>
        <n v="4.5"/>
        <n v="8.9"/>
        <n v="24.150000000000002"/>
        <n v="3.1"/>
        <n v="6"/>
        <n v="9.1"/>
        <n v="3.5"/>
        <n v="5.6"/>
        <n v="15.75"/>
        <n v="22.95"/>
        <n v="9.2000000000000011"/>
        <n v="29.8"/>
        <n v="39"/>
        <n v="10.100000000000001"/>
        <n v="41.099999999999994"/>
        <n v="51.2"/>
        <n v="11.8"/>
        <n v="50.800000000000004"/>
        <n v="7.6"/>
        <n v="20.95"/>
        <n v="28.549999999999997"/>
        <n v="5.3000000000000007"/>
        <n v="14.5"/>
        <n v="19.799999999999997"/>
        <n v="6.2"/>
        <n v="24.75"/>
        <n v="30.950000000000003"/>
        <n v="27.1"/>
        <n v="37.1"/>
        <n v="35.85"/>
        <n v="50.649999999999991"/>
        <n v="35.550000000000004"/>
        <n v="47.05"/>
        <n v="24.4"/>
        <n v="34.5"/>
        <n v="10.3"/>
        <n v="24.25"/>
        <n v="34.549999999999997"/>
        <n v="9.6"/>
        <n v="21.25"/>
        <n v="30.849999999999994"/>
        <n v="9.3000000000000007"/>
        <n v="30.299999999999997"/>
        <n v="39.6"/>
        <n v="6.7"/>
        <n v="16.049999999999997"/>
        <n v="1.6"/>
        <n v="8.3000000000000007"/>
      </sharedItems>
      <fieldGroup base="6">
        <rangePr startNum="0" endNum="225.45" groupInterval="3"/>
        <groupItems count="78">
          <s v="&lt;0"/>
          <s v="0-3"/>
          <s v="3-6"/>
          <s v="6-9"/>
          <s v="9-12"/>
          <s v="12-15"/>
          <s v="15-18"/>
          <s v="18-21"/>
          <s v="21-24"/>
          <s v="24-27"/>
          <s v="27-30"/>
          <s v="30-33"/>
          <s v="33-36"/>
          <s v="36-39"/>
          <s v="39-42"/>
          <s v="42-45"/>
          <s v="45-48"/>
          <s v="48-51"/>
          <s v="51-54"/>
          <s v="54-57"/>
          <s v="57-60"/>
          <s v="60-63"/>
          <s v="63-66"/>
          <s v="66-69"/>
          <s v="69-72"/>
          <s v="72-75"/>
          <s v="75-78"/>
          <s v="78-81"/>
          <s v="81-84"/>
          <s v="84-87"/>
          <s v="87-90"/>
          <s v="90-93"/>
          <s v="93-96"/>
          <s v="96-99"/>
          <s v="99-102"/>
          <s v="102-105"/>
          <s v="105-108"/>
          <s v="108-111"/>
          <s v="111-114"/>
          <s v="114-117"/>
          <s v="117-120"/>
          <s v="120-123"/>
          <s v="123-126"/>
          <s v="126-129"/>
          <s v="129-132"/>
          <s v="132-135"/>
          <s v="135-138"/>
          <s v="138-141"/>
          <s v="141-144"/>
          <s v="144-147"/>
          <s v="147-150"/>
          <s v="150-153"/>
          <s v="153-156"/>
          <s v="156-159"/>
          <s v="159-162"/>
          <s v="162-165"/>
          <s v="165-168"/>
          <s v="168-171"/>
          <s v="171-174"/>
          <s v="174-177"/>
          <s v="177-180"/>
          <s v="180-183"/>
          <s v="183-186"/>
          <s v="186-189"/>
          <s v="189-192"/>
          <s v="192-195"/>
          <s v="195-198"/>
          <s v="198-201"/>
          <s v="201-204"/>
          <s v="204-207"/>
          <s v="207-210"/>
          <s v="210-213"/>
          <s v="213-216"/>
          <s v="216-219"/>
          <s v="219-222"/>
          <s v="222-225"/>
          <s v="225-228"/>
          <s v="&gt;228"/>
        </groupItems>
      </fieldGroup>
    </cacheField>
  </cacheFields>
  <extLst>
    <ext xmlns:x14="http://schemas.microsoft.com/office/spreadsheetml/2009/9/main" uri="{725AE2AE-9491-48be-B2B4-4EB974FC3084}">
      <x14:pivotCacheDefinition pivotCacheId="74569203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2">
  <r>
    <x v="0"/>
    <x v="0"/>
    <n v="1997"/>
    <s v="KS AZS AWF Kraków"/>
    <x v="0"/>
    <s v="Bydgoszcz"/>
    <x v="0"/>
    <x v="0"/>
    <x v="0"/>
  </r>
  <r>
    <x v="0"/>
    <x v="0"/>
    <n v="1997"/>
    <s v="KS AZS AWF Kraków"/>
    <x v="0"/>
    <s v="Bydgoszcz"/>
    <x v="0"/>
    <x v="1"/>
    <x v="1"/>
  </r>
  <r>
    <x v="0"/>
    <x v="0"/>
    <n v="1997"/>
    <s v="KS AZS AWF Kraków"/>
    <x v="0"/>
    <s v="Bydgoszcz"/>
    <x v="0"/>
    <x v="2"/>
    <x v="2"/>
  </r>
  <r>
    <x v="0"/>
    <x v="0"/>
    <n v="1997"/>
    <s v="KS AZS AWF Kraków"/>
    <x v="0"/>
    <s v="Bydgoszcz"/>
    <x v="1"/>
    <x v="0"/>
    <x v="3"/>
  </r>
  <r>
    <x v="0"/>
    <x v="0"/>
    <n v="1997"/>
    <s v="KS AZS AWF Kraków"/>
    <x v="0"/>
    <s v="Bydgoszcz"/>
    <x v="1"/>
    <x v="1"/>
    <x v="4"/>
  </r>
  <r>
    <x v="0"/>
    <x v="0"/>
    <n v="1997"/>
    <s v="KS AZS AWF Kraków"/>
    <x v="0"/>
    <s v="Bydgoszcz"/>
    <x v="1"/>
    <x v="2"/>
    <x v="5"/>
  </r>
  <r>
    <x v="0"/>
    <x v="0"/>
    <n v="1997"/>
    <s v="KS AZS AWF Kraków"/>
    <x v="0"/>
    <s v="Bydgoszcz"/>
    <x v="2"/>
    <x v="0"/>
    <x v="6"/>
  </r>
  <r>
    <x v="0"/>
    <x v="0"/>
    <n v="1997"/>
    <s v="KS AZS AWF Kraków"/>
    <x v="0"/>
    <s v="Bydgoszcz"/>
    <x v="2"/>
    <x v="1"/>
    <x v="7"/>
  </r>
  <r>
    <x v="0"/>
    <x v="0"/>
    <n v="1997"/>
    <s v="KS AZS AWF Kraków"/>
    <x v="0"/>
    <s v="Bydgoszcz"/>
    <x v="2"/>
    <x v="2"/>
    <x v="8"/>
  </r>
  <r>
    <x v="0"/>
    <x v="0"/>
    <n v="1997"/>
    <s v="KS AZS AWF Kraków"/>
    <x v="0"/>
    <s v="Bydgoszcz"/>
    <x v="3"/>
    <x v="0"/>
    <x v="9"/>
  </r>
  <r>
    <x v="0"/>
    <x v="0"/>
    <n v="1997"/>
    <s v="KS AZS AWF Kraków"/>
    <x v="0"/>
    <s v="Bydgoszcz"/>
    <x v="3"/>
    <x v="1"/>
    <x v="10"/>
  </r>
  <r>
    <x v="0"/>
    <x v="0"/>
    <n v="1997"/>
    <s v="KS AZS AWF Kraków"/>
    <x v="0"/>
    <s v="Bydgoszcz"/>
    <x v="3"/>
    <x v="2"/>
    <x v="11"/>
  </r>
  <r>
    <x v="0"/>
    <x v="0"/>
    <n v="1997"/>
    <s v="KS AZS AWF Kraków"/>
    <x v="0"/>
    <s v="Bydgoszcz"/>
    <x v="4"/>
    <x v="0"/>
    <x v="12"/>
  </r>
  <r>
    <x v="0"/>
    <x v="0"/>
    <n v="1997"/>
    <s v="KS AZS AWF Kraków"/>
    <x v="0"/>
    <s v="Bydgoszcz"/>
    <x v="4"/>
    <x v="1"/>
    <x v="13"/>
  </r>
  <r>
    <x v="0"/>
    <x v="0"/>
    <n v="1997"/>
    <s v="KS AZS AWF Kraków"/>
    <x v="0"/>
    <s v="Bydgoszcz"/>
    <x v="4"/>
    <x v="2"/>
    <x v="14"/>
  </r>
  <r>
    <x v="0"/>
    <x v="0"/>
    <n v="1997"/>
    <s v="KS AZS AWF Kraków"/>
    <x v="0"/>
    <s v="Bydgoszcz"/>
    <x v="5"/>
    <x v="0"/>
    <x v="3"/>
  </r>
  <r>
    <x v="0"/>
    <x v="0"/>
    <n v="1997"/>
    <s v="KS AZS AWF Kraków"/>
    <x v="0"/>
    <s v="Bydgoszcz"/>
    <x v="5"/>
    <x v="1"/>
    <x v="15"/>
  </r>
  <r>
    <x v="0"/>
    <x v="0"/>
    <n v="1997"/>
    <s v="KS AZS AWF Kraków"/>
    <x v="0"/>
    <s v="Bydgoszcz"/>
    <x v="5"/>
    <x v="2"/>
    <x v="16"/>
  </r>
  <r>
    <x v="0"/>
    <x v="0"/>
    <n v="1997"/>
    <s v="KS AZS AWF Kraków"/>
    <x v="0"/>
    <s v="Bydgoszcz"/>
    <x v="6"/>
    <x v="3"/>
    <x v="17"/>
  </r>
  <r>
    <x v="0"/>
    <x v="0"/>
    <n v="1997"/>
    <s v="KS AZS AWF Kraków"/>
    <x v="0"/>
    <s v="Bydgoszcz"/>
    <x v="6"/>
    <x v="4"/>
    <x v="18"/>
  </r>
  <r>
    <x v="0"/>
    <x v="0"/>
    <n v="1997"/>
    <s v="KS AZS AWF Kraków"/>
    <x v="0"/>
    <s v="Bydgoszcz"/>
    <x v="6"/>
    <x v="5"/>
    <x v="19"/>
  </r>
  <r>
    <x v="1"/>
    <x v="0"/>
    <n v="2000"/>
    <s v="KS AZS AWFiS Gdańsk"/>
    <x v="0"/>
    <s v="Bydgoszcz"/>
    <x v="0"/>
    <x v="0"/>
    <x v="3"/>
  </r>
  <r>
    <x v="1"/>
    <x v="0"/>
    <n v="2000"/>
    <s v="KS AZS AWFiS Gdańsk"/>
    <x v="0"/>
    <s v="Bydgoszcz"/>
    <x v="0"/>
    <x v="1"/>
    <x v="10"/>
  </r>
  <r>
    <x v="1"/>
    <x v="0"/>
    <n v="2000"/>
    <s v="KS AZS AWFiS Gdańsk"/>
    <x v="0"/>
    <s v="Bydgoszcz"/>
    <x v="0"/>
    <x v="2"/>
    <x v="20"/>
  </r>
  <r>
    <x v="1"/>
    <x v="0"/>
    <n v="2000"/>
    <s v="KS AZS AWFiS Gdańsk"/>
    <x v="0"/>
    <s v="Bydgoszcz"/>
    <x v="1"/>
    <x v="0"/>
    <x v="12"/>
  </r>
  <r>
    <x v="1"/>
    <x v="0"/>
    <n v="2000"/>
    <s v="KS AZS AWFiS Gdańsk"/>
    <x v="0"/>
    <s v="Bydgoszcz"/>
    <x v="1"/>
    <x v="1"/>
    <x v="15"/>
  </r>
  <r>
    <x v="1"/>
    <x v="0"/>
    <n v="2000"/>
    <s v="KS AZS AWFiS Gdańsk"/>
    <x v="0"/>
    <s v="Bydgoszcz"/>
    <x v="1"/>
    <x v="2"/>
    <x v="21"/>
  </r>
  <r>
    <x v="1"/>
    <x v="0"/>
    <n v="2000"/>
    <s v="KS AZS AWFiS Gdańsk"/>
    <x v="0"/>
    <s v="Bydgoszcz"/>
    <x v="2"/>
    <x v="0"/>
    <x v="22"/>
  </r>
  <r>
    <x v="1"/>
    <x v="0"/>
    <n v="2000"/>
    <s v="KS AZS AWFiS Gdańsk"/>
    <x v="0"/>
    <s v="Bydgoszcz"/>
    <x v="2"/>
    <x v="1"/>
    <x v="23"/>
  </r>
  <r>
    <x v="1"/>
    <x v="0"/>
    <n v="2000"/>
    <s v="KS AZS AWFiS Gdańsk"/>
    <x v="0"/>
    <s v="Bydgoszcz"/>
    <x v="2"/>
    <x v="2"/>
    <x v="24"/>
  </r>
  <r>
    <x v="1"/>
    <x v="0"/>
    <n v="2000"/>
    <s v="KS AZS AWFiS Gdańsk"/>
    <x v="0"/>
    <s v="Bydgoszcz"/>
    <x v="3"/>
    <x v="0"/>
    <x v="25"/>
  </r>
  <r>
    <x v="1"/>
    <x v="0"/>
    <n v="2000"/>
    <s v="KS AZS AWFiS Gdańsk"/>
    <x v="0"/>
    <s v="Bydgoszcz"/>
    <x v="3"/>
    <x v="1"/>
    <x v="26"/>
  </r>
  <r>
    <x v="1"/>
    <x v="0"/>
    <n v="2000"/>
    <s v="KS AZS AWFiS Gdańsk"/>
    <x v="0"/>
    <s v="Bydgoszcz"/>
    <x v="3"/>
    <x v="2"/>
    <x v="27"/>
  </r>
  <r>
    <x v="1"/>
    <x v="0"/>
    <n v="2000"/>
    <s v="KS AZS AWFiS Gdańsk"/>
    <x v="0"/>
    <s v="Bydgoszcz"/>
    <x v="4"/>
    <x v="0"/>
    <x v="22"/>
  </r>
  <r>
    <x v="1"/>
    <x v="0"/>
    <n v="2000"/>
    <s v="KS AZS AWFiS Gdańsk"/>
    <x v="0"/>
    <s v="Bydgoszcz"/>
    <x v="4"/>
    <x v="1"/>
    <x v="28"/>
  </r>
  <r>
    <x v="1"/>
    <x v="0"/>
    <n v="2000"/>
    <s v="KS AZS AWFiS Gdańsk"/>
    <x v="0"/>
    <s v="Bydgoszcz"/>
    <x v="4"/>
    <x v="2"/>
    <x v="29"/>
  </r>
  <r>
    <x v="1"/>
    <x v="0"/>
    <n v="2000"/>
    <s v="KS AZS AWFiS Gdańsk"/>
    <x v="0"/>
    <s v="Bydgoszcz"/>
    <x v="5"/>
    <x v="0"/>
    <x v="30"/>
  </r>
  <r>
    <x v="1"/>
    <x v="0"/>
    <n v="2000"/>
    <s v="KS AZS AWFiS Gdańsk"/>
    <x v="0"/>
    <s v="Bydgoszcz"/>
    <x v="5"/>
    <x v="1"/>
    <x v="31"/>
  </r>
  <r>
    <x v="1"/>
    <x v="0"/>
    <n v="2000"/>
    <s v="KS AZS AWFiS Gdańsk"/>
    <x v="0"/>
    <s v="Bydgoszcz"/>
    <x v="5"/>
    <x v="2"/>
    <x v="32"/>
  </r>
  <r>
    <x v="1"/>
    <x v="0"/>
    <n v="2000"/>
    <s v="KS AZS AWFiS Gdańsk"/>
    <x v="0"/>
    <s v="Bydgoszcz"/>
    <x v="6"/>
    <x v="3"/>
    <x v="33"/>
  </r>
  <r>
    <x v="1"/>
    <x v="0"/>
    <n v="2000"/>
    <s v="KS AZS AWFiS Gdańsk"/>
    <x v="0"/>
    <s v="Bydgoszcz"/>
    <x v="6"/>
    <x v="4"/>
    <x v="34"/>
  </r>
  <r>
    <x v="1"/>
    <x v="0"/>
    <n v="2000"/>
    <s v="KS AZS AWFiS Gdańsk"/>
    <x v="0"/>
    <s v="Bydgoszcz"/>
    <x v="6"/>
    <x v="5"/>
    <x v="35"/>
  </r>
  <r>
    <x v="2"/>
    <x v="0"/>
    <n v="2001"/>
    <s v="KS AZS AWF Katowice"/>
    <x v="0"/>
    <s v="Bydgoszcz"/>
    <x v="0"/>
    <x v="0"/>
    <x v="36"/>
  </r>
  <r>
    <x v="2"/>
    <x v="0"/>
    <n v="2001"/>
    <s v="KS AZS AWF Katowice"/>
    <x v="0"/>
    <s v="Bydgoszcz"/>
    <x v="0"/>
    <x v="1"/>
    <x v="10"/>
  </r>
  <r>
    <x v="2"/>
    <x v="0"/>
    <n v="2001"/>
    <s v="KS AZS AWF Katowice"/>
    <x v="0"/>
    <s v="Bydgoszcz"/>
    <x v="0"/>
    <x v="2"/>
    <x v="37"/>
  </r>
  <r>
    <x v="2"/>
    <x v="0"/>
    <n v="2001"/>
    <s v="KS AZS AWF Katowice"/>
    <x v="0"/>
    <s v="Bydgoszcz"/>
    <x v="1"/>
    <x v="0"/>
    <x v="22"/>
  </r>
  <r>
    <x v="2"/>
    <x v="0"/>
    <n v="2001"/>
    <s v="KS AZS AWF Katowice"/>
    <x v="0"/>
    <s v="Bydgoszcz"/>
    <x v="1"/>
    <x v="1"/>
    <x v="38"/>
  </r>
  <r>
    <x v="2"/>
    <x v="0"/>
    <n v="2001"/>
    <s v="KS AZS AWF Katowice"/>
    <x v="0"/>
    <s v="Bydgoszcz"/>
    <x v="1"/>
    <x v="2"/>
    <x v="39"/>
  </r>
  <r>
    <x v="2"/>
    <x v="0"/>
    <n v="2001"/>
    <s v="KS AZS AWF Katowice"/>
    <x v="0"/>
    <s v="Bydgoszcz"/>
    <x v="2"/>
    <x v="0"/>
    <x v="40"/>
  </r>
  <r>
    <x v="2"/>
    <x v="0"/>
    <n v="2001"/>
    <s v="KS AZS AWF Katowice"/>
    <x v="0"/>
    <s v="Bydgoszcz"/>
    <x v="2"/>
    <x v="1"/>
    <x v="15"/>
  </r>
  <r>
    <x v="2"/>
    <x v="0"/>
    <n v="2001"/>
    <s v="KS AZS AWF Katowice"/>
    <x v="0"/>
    <s v="Bydgoszcz"/>
    <x v="2"/>
    <x v="2"/>
    <x v="41"/>
  </r>
  <r>
    <x v="2"/>
    <x v="0"/>
    <n v="2001"/>
    <s v="KS AZS AWF Katowice"/>
    <x v="0"/>
    <s v="Bydgoszcz"/>
    <x v="3"/>
    <x v="0"/>
    <x v="42"/>
  </r>
  <r>
    <x v="2"/>
    <x v="0"/>
    <n v="2001"/>
    <s v="KS AZS AWF Katowice"/>
    <x v="0"/>
    <s v="Bydgoszcz"/>
    <x v="3"/>
    <x v="1"/>
    <x v="43"/>
  </r>
  <r>
    <x v="2"/>
    <x v="0"/>
    <n v="2001"/>
    <s v="KS AZS AWF Katowice"/>
    <x v="0"/>
    <s v="Bydgoszcz"/>
    <x v="3"/>
    <x v="2"/>
    <x v="44"/>
  </r>
  <r>
    <x v="2"/>
    <x v="0"/>
    <n v="2001"/>
    <s v="KS AZS AWF Katowice"/>
    <x v="0"/>
    <s v="Bydgoszcz"/>
    <x v="4"/>
    <x v="0"/>
    <x v="45"/>
  </r>
  <r>
    <x v="2"/>
    <x v="0"/>
    <n v="2001"/>
    <s v="KS AZS AWF Katowice"/>
    <x v="0"/>
    <s v="Bydgoszcz"/>
    <x v="4"/>
    <x v="1"/>
    <x v="38"/>
  </r>
  <r>
    <x v="2"/>
    <x v="0"/>
    <n v="2001"/>
    <s v="KS AZS AWF Katowice"/>
    <x v="0"/>
    <s v="Bydgoszcz"/>
    <x v="4"/>
    <x v="2"/>
    <x v="46"/>
  </r>
  <r>
    <x v="2"/>
    <x v="0"/>
    <n v="2001"/>
    <s v="KS AZS AWF Katowice"/>
    <x v="0"/>
    <s v="Bydgoszcz"/>
    <x v="5"/>
    <x v="0"/>
    <x v="47"/>
  </r>
  <r>
    <x v="2"/>
    <x v="0"/>
    <n v="2001"/>
    <s v="KS AZS AWF Katowice"/>
    <x v="0"/>
    <s v="Bydgoszcz"/>
    <x v="5"/>
    <x v="1"/>
    <x v="15"/>
  </r>
  <r>
    <x v="2"/>
    <x v="0"/>
    <n v="2001"/>
    <s v="KS AZS AWF Katowice"/>
    <x v="0"/>
    <s v="Bydgoszcz"/>
    <x v="5"/>
    <x v="2"/>
    <x v="48"/>
  </r>
  <r>
    <x v="2"/>
    <x v="0"/>
    <n v="2001"/>
    <s v="KS AZS AWF Katowice"/>
    <x v="0"/>
    <s v="Bydgoszcz"/>
    <x v="6"/>
    <x v="3"/>
    <x v="49"/>
  </r>
  <r>
    <x v="2"/>
    <x v="0"/>
    <n v="2001"/>
    <s v="KS AZS AWF Katowice"/>
    <x v="0"/>
    <s v="Bydgoszcz"/>
    <x v="6"/>
    <x v="4"/>
    <x v="50"/>
  </r>
  <r>
    <x v="2"/>
    <x v="0"/>
    <n v="2001"/>
    <s v="KS AZS AWF Katowice"/>
    <x v="0"/>
    <s v="Bydgoszcz"/>
    <x v="6"/>
    <x v="5"/>
    <x v="51"/>
  </r>
  <r>
    <x v="3"/>
    <x v="0"/>
    <n v="2004"/>
    <s v="KS AZS AWF Katowice"/>
    <x v="0"/>
    <s v="Bydgoszcz"/>
    <x v="0"/>
    <x v="0"/>
    <x v="47"/>
  </r>
  <r>
    <x v="3"/>
    <x v="0"/>
    <n v="2004"/>
    <s v="KS AZS AWF Katowice"/>
    <x v="0"/>
    <s v="Bydgoszcz"/>
    <x v="0"/>
    <x v="1"/>
    <x v="26"/>
  </r>
  <r>
    <x v="3"/>
    <x v="0"/>
    <n v="2004"/>
    <s v="KS AZS AWF Katowice"/>
    <x v="0"/>
    <s v="Bydgoszcz"/>
    <x v="0"/>
    <x v="2"/>
    <x v="52"/>
  </r>
  <r>
    <x v="3"/>
    <x v="0"/>
    <n v="2004"/>
    <s v="KS AZS AWF Katowice"/>
    <x v="0"/>
    <s v="Bydgoszcz"/>
    <x v="1"/>
    <x v="0"/>
    <x v="47"/>
  </r>
  <r>
    <x v="3"/>
    <x v="0"/>
    <n v="2004"/>
    <s v="KS AZS AWF Katowice"/>
    <x v="0"/>
    <s v="Bydgoszcz"/>
    <x v="1"/>
    <x v="1"/>
    <x v="28"/>
  </r>
  <r>
    <x v="3"/>
    <x v="0"/>
    <n v="2004"/>
    <s v="KS AZS AWF Katowice"/>
    <x v="0"/>
    <s v="Bydgoszcz"/>
    <x v="1"/>
    <x v="2"/>
    <x v="53"/>
  </r>
  <r>
    <x v="3"/>
    <x v="0"/>
    <n v="2004"/>
    <s v="KS AZS AWF Katowice"/>
    <x v="0"/>
    <s v="Bydgoszcz"/>
    <x v="2"/>
    <x v="0"/>
    <x v="54"/>
  </r>
  <r>
    <x v="3"/>
    <x v="0"/>
    <n v="2004"/>
    <s v="KS AZS AWF Katowice"/>
    <x v="0"/>
    <s v="Bydgoszcz"/>
    <x v="2"/>
    <x v="1"/>
    <x v="55"/>
  </r>
  <r>
    <x v="3"/>
    <x v="0"/>
    <n v="2004"/>
    <s v="KS AZS AWF Katowice"/>
    <x v="0"/>
    <s v="Bydgoszcz"/>
    <x v="2"/>
    <x v="2"/>
    <x v="56"/>
  </r>
  <r>
    <x v="3"/>
    <x v="0"/>
    <n v="2004"/>
    <s v="KS AZS AWF Katowice"/>
    <x v="0"/>
    <s v="Bydgoszcz"/>
    <x v="3"/>
    <x v="0"/>
    <x v="47"/>
  </r>
  <r>
    <x v="3"/>
    <x v="0"/>
    <n v="2004"/>
    <s v="KS AZS AWF Katowice"/>
    <x v="0"/>
    <s v="Bydgoszcz"/>
    <x v="3"/>
    <x v="1"/>
    <x v="31"/>
  </r>
  <r>
    <x v="3"/>
    <x v="0"/>
    <n v="2004"/>
    <s v="KS AZS AWF Katowice"/>
    <x v="0"/>
    <s v="Bydgoszcz"/>
    <x v="3"/>
    <x v="2"/>
    <x v="24"/>
  </r>
  <r>
    <x v="3"/>
    <x v="0"/>
    <n v="2004"/>
    <s v="KS AZS AWF Katowice"/>
    <x v="0"/>
    <s v="Bydgoszcz"/>
    <x v="4"/>
    <x v="0"/>
    <x v="57"/>
  </r>
  <r>
    <x v="3"/>
    <x v="0"/>
    <n v="2004"/>
    <s v="KS AZS AWF Katowice"/>
    <x v="0"/>
    <s v="Bydgoszcz"/>
    <x v="4"/>
    <x v="1"/>
    <x v="58"/>
  </r>
  <r>
    <x v="3"/>
    <x v="0"/>
    <n v="2004"/>
    <s v="KS AZS AWF Katowice"/>
    <x v="0"/>
    <s v="Bydgoszcz"/>
    <x v="4"/>
    <x v="2"/>
    <x v="59"/>
  </r>
  <r>
    <x v="3"/>
    <x v="0"/>
    <n v="2004"/>
    <s v="KS AZS AWF Katowice"/>
    <x v="0"/>
    <s v="Bydgoszcz"/>
    <x v="5"/>
    <x v="0"/>
    <x v="60"/>
  </r>
  <r>
    <x v="3"/>
    <x v="0"/>
    <n v="2004"/>
    <s v="KS AZS AWF Katowice"/>
    <x v="0"/>
    <s v="Bydgoszcz"/>
    <x v="5"/>
    <x v="1"/>
    <x v="61"/>
  </r>
  <r>
    <x v="3"/>
    <x v="0"/>
    <n v="2004"/>
    <s v="KS AZS AWF Katowice"/>
    <x v="0"/>
    <s v="Bydgoszcz"/>
    <x v="5"/>
    <x v="2"/>
    <x v="62"/>
  </r>
  <r>
    <x v="3"/>
    <x v="0"/>
    <n v="2004"/>
    <s v="KS AZS AWF Katowice"/>
    <x v="0"/>
    <s v="Bydgoszcz"/>
    <x v="6"/>
    <x v="3"/>
    <x v="63"/>
  </r>
  <r>
    <x v="3"/>
    <x v="0"/>
    <n v="2004"/>
    <s v="KS AZS AWF Katowice"/>
    <x v="0"/>
    <s v="Bydgoszcz"/>
    <x v="6"/>
    <x v="4"/>
    <x v="18"/>
  </r>
  <r>
    <x v="3"/>
    <x v="0"/>
    <n v="2004"/>
    <s v="KS AZS AWF Katowice"/>
    <x v="0"/>
    <s v="Bydgoszcz"/>
    <x v="6"/>
    <x v="5"/>
    <x v="64"/>
  </r>
  <r>
    <x v="4"/>
    <x v="0"/>
    <n v="2002"/>
    <s v="UKS SP7 Łódź"/>
    <x v="0"/>
    <s v="Bydgoszcz"/>
    <x v="0"/>
    <x v="0"/>
    <x v="12"/>
  </r>
  <r>
    <x v="4"/>
    <x v="0"/>
    <n v="2002"/>
    <s v="UKS SP7 Łódź"/>
    <x v="0"/>
    <s v="Bydgoszcz"/>
    <x v="0"/>
    <x v="1"/>
    <x v="65"/>
  </r>
  <r>
    <x v="4"/>
    <x v="0"/>
    <n v="2002"/>
    <s v="UKS SP7 Łódź"/>
    <x v="0"/>
    <s v="Bydgoszcz"/>
    <x v="0"/>
    <x v="2"/>
    <x v="66"/>
  </r>
  <r>
    <x v="4"/>
    <x v="0"/>
    <n v="2002"/>
    <s v="UKS SP7 Łódź"/>
    <x v="0"/>
    <s v="Bydgoszcz"/>
    <x v="1"/>
    <x v="0"/>
    <x v="54"/>
  </r>
  <r>
    <x v="4"/>
    <x v="0"/>
    <n v="2002"/>
    <s v="UKS SP7 Łódź"/>
    <x v="0"/>
    <s v="Bydgoszcz"/>
    <x v="1"/>
    <x v="1"/>
    <x v="1"/>
  </r>
  <r>
    <x v="4"/>
    <x v="0"/>
    <n v="2002"/>
    <s v="UKS SP7 Łódź"/>
    <x v="0"/>
    <s v="Bydgoszcz"/>
    <x v="1"/>
    <x v="2"/>
    <x v="39"/>
  </r>
  <r>
    <x v="4"/>
    <x v="0"/>
    <n v="2002"/>
    <s v="UKS SP7 Łódź"/>
    <x v="0"/>
    <s v="Bydgoszcz"/>
    <x v="2"/>
    <x v="0"/>
    <x v="25"/>
  </r>
  <r>
    <x v="4"/>
    <x v="0"/>
    <n v="2002"/>
    <s v="UKS SP7 Łódź"/>
    <x v="0"/>
    <s v="Bydgoszcz"/>
    <x v="2"/>
    <x v="1"/>
    <x v="67"/>
  </r>
  <r>
    <x v="4"/>
    <x v="0"/>
    <n v="2002"/>
    <s v="UKS SP7 Łódź"/>
    <x v="0"/>
    <s v="Bydgoszcz"/>
    <x v="2"/>
    <x v="2"/>
    <x v="46"/>
  </r>
  <r>
    <x v="4"/>
    <x v="0"/>
    <n v="2002"/>
    <s v="UKS SP7 Łódź"/>
    <x v="0"/>
    <s v="Bydgoszcz"/>
    <x v="3"/>
    <x v="0"/>
    <x v="47"/>
  </r>
  <r>
    <x v="4"/>
    <x v="0"/>
    <n v="2002"/>
    <s v="UKS SP7 Łódź"/>
    <x v="0"/>
    <s v="Bydgoszcz"/>
    <x v="3"/>
    <x v="1"/>
    <x v="1"/>
  </r>
  <r>
    <x v="4"/>
    <x v="0"/>
    <n v="2002"/>
    <s v="UKS SP7 Łódź"/>
    <x v="0"/>
    <s v="Bydgoszcz"/>
    <x v="3"/>
    <x v="2"/>
    <x v="68"/>
  </r>
  <r>
    <x v="4"/>
    <x v="0"/>
    <n v="2002"/>
    <s v="UKS SP7 Łódź"/>
    <x v="0"/>
    <s v="Bydgoszcz"/>
    <x v="4"/>
    <x v="0"/>
    <x v="25"/>
  </r>
  <r>
    <x v="4"/>
    <x v="0"/>
    <n v="2002"/>
    <s v="UKS SP7 Łódź"/>
    <x v="0"/>
    <s v="Bydgoszcz"/>
    <x v="4"/>
    <x v="1"/>
    <x v="69"/>
  </r>
  <r>
    <x v="4"/>
    <x v="0"/>
    <n v="2002"/>
    <s v="UKS SP7 Łódź"/>
    <x v="0"/>
    <s v="Bydgoszcz"/>
    <x v="4"/>
    <x v="2"/>
    <x v="59"/>
  </r>
  <r>
    <x v="4"/>
    <x v="0"/>
    <n v="2002"/>
    <s v="UKS SP7 Łódź"/>
    <x v="0"/>
    <s v="Bydgoszcz"/>
    <x v="5"/>
    <x v="0"/>
    <x v="60"/>
  </r>
  <r>
    <x v="4"/>
    <x v="0"/>
    <n v="2002"/>
    <s v="UKS SP7 Łódź"/>
    <x v="0"/>
    <s v="Bydgoszcz"/>
    <x v="5"/>
    <x v="1"/>
    <x v="7"/>
  </r>
  <r>
    <x v="4"/>
    <x v="0"/>
    <n v="2002"/>
    <s v="UKS SP7 Łódź"/>
    <x v="0"/>
    <s v="Bydgoszcz"/>
    <x v="5"/>
    <x v="2"/>
    <x v="70"/>
  </r>
  <r>
    <x v="4"/>
    <x v="0"/>
    <n v="2002"/>
    <s v="UKS SP7 Łódź"/>
    <x v="0"/>
    <s v="Bydgoszcz"/>
    <x v="6"/>
    <x v="3"/>
    <x v="71"/>
  </r>
  <r>
    <x v="4"/>
    <x v="0"/>
    <n v="2002"/>
    <s v="UKS SP7 Łódź"/>
    <x v="0"/>
    <s v="Bydgoszcz"/>
    <x v="6"/>
    <x v="4"/>
    <x v="72"/>
  </r>
  <r>
    <x v="4"/>
    <x v="0"/>
    <n v="2002"/>
    <s v="UKS SP7 Łódź"/>
    <x v="0"/>
    <s v="Bydgoszcz"/>
    <x v="6"/>
    <x v="5"/>
    <x v="73"/>
  </r>
  <r>
    <x v="5"/>
    <x v="0"/>
    <n v="2001"/>
    <s v="KS AZS AWF Katowice"/>
    <x v="0"/>
    <s v="Bydgoszcz"/>
    <x v="0"/>
    <x v="0"/>
    <x v="74"/>
  </r>
  <r>
    <x v="5"/>
    <x v="0"/>
    <n v="2001"/>
    <s v="KS AZS AWF Katowice"/>
    <x v="0"/>
    <s v="Bydgoszcz"/>
    <x v="0"/>
    <x v="1"/>
    <x v="75"/>
  </r>
  <r>
    <x v="5"/>
    <x v="0"/>
    <n v="2001"/>
    <s v="KS AZS AWF Katowice"/>
    <x v="0"/>
    <s v="Bydgoszcz"/>
    <x v="0"/>
    <x v="2"/>
    <x v="14"/>
  </r>
  <r>
    <x v="5"/>
    <x v="0"/>
    <n v="2001"/>
    <s v="KS AZS AWF Katowice"/>
    <x v="0"/>
    <s v="Bydgoszcz"/>
    <x v="1"/>
    <x v="0"/>
    <x v="60"/>
  </r>
  <r>
    <x v="5"/>
    <x v="0"/>
    <n v="2001"/>
    <s v="KS AZS AWF Katowice"/>
    <x v="0"/>
    <s v="Bydgoszcz"/>
    <x v="1"/>
    <x v="1"/>
    <x v="65"/>
  </r>
  <r>
    <x v="5"/>
    <x v="0"/>
    <n v="2001"/>
    <s v="KS AZS AWF Katowice"/>
    <x v="0"/>
    <s v="Bydgoszcz"/>
    <x v="1"/>
    <x v="2"/>
    <x v="76"/>
  </r>
  <r>
    <x v="5"/>
    <x v="0"/>
    <n v="2001"/>
    <s v="KS AZS AWF Katowice"/>
    <x v="0"/>
    <s v="Bydgoszcz"/>
    <x v="2"/>
    <x v="0"/>
    <x v="40"/>
  </r>
  <r>
    <x v="5"/>
    <x v="0"/>
    <n v="2001"/>
    <s v="KS AZS AWF Katowice"/>
    <x v="0"/>
    <s v="Bydgoszcz"/>
    <x v="2"/>
    <x v="1"/>
    <x v="77"/>
  </r>
  <r>
    <x v="5"/>
    <x v="0"/>
    <n v="2001"/>
    <s v="KS AZS AWF Katowice"/>
    <x v="0"/>
    <s v="Bydgoszcz"/>
    <x v="2"/>
    <x v="2"/>
    <x v="78"/>
  </r>
  <r>
    <x v="5"/>
    <x v="0"/>
    <n v="2001"/>
    <s v="KS AZS AWF Katowice"/>
    <x v="0"/>
    <s v="Bydgoszcz"/>
    <x v="3"/>
    <x v="0"/>
    <x v="25"/>
  </r>
  <r>
    <x v="5"/>
    <x v="0"/>
    <n v="2001"/>
    <s v="KS AZS AWF Katowice"/>
    <x v="0"/>
    <s v="Bydgoszcz"/>
    <x v="3"/>
    <x v="1"/>
    <x v="13"/>
  </r>
  <r>
    <x v="5"/>
    <x v="0"/>
    <n v="2001"/>
    <s v="KS AZS AWF Katowice"/>
    <x v="0"/>
    <s v="Bydgoszcz"/>
    <x v="3"/>
    <x v="2"/>
    <x v="52"/>
  </r>
  <r>
    <x v="5"/>
    <x v="0"/>
    <n v="2001"/>
    <s v="KS AZS AWF Katowice"/>
    <x v="0"/>
    <s v="Bydgoszcz"/>
    <x v="4"/>
    <x v="0"/>
    <x v="79"/>
  </r>
  <r>
    <x v="5"/>
    <x v="0"/>
    <n v="2001"/>
    <s v="KS AZS AWF Katowice"/>
    <x v="0"/>
    <s v="Bydgoszcz"/>
    <x v="4"/>
    <x v="1"/>
    <x v="15"/>
  </r>
  <r>
    <x v="5"/>
    <x v="0"/>
    <n v="2001"/>
    <s v="KS AZS AWF Katowice"/>
    <x v="0"/>
    <s v="Bydgoszcz"/>
    <x v="4"/>
    <x v="2"/>
    <x v="5"/>
  </r>
  <r>
    <x v="5"/>
    <x v="0"/>
    <n v="2001"/>
    <s v="KS AZS AWF Katowice"/>
    <x v="0"/>
    <s v="Bydgoszcz"/>
    <x v="5"/>
    <x v="0"/>
    <x v="80"/>
  </r>
  <r>
    <x v="5"/>
    <x v="0"/>
    <n v="2001"/>
    <s v="KS AZS AWF Katowice"/>
    <x v="0"/>
    <s v="Bydgoszcz"/>
    <x v="5"/>
    <x v="1"/>
    <x v="67"/>
  </r>
  <r>
    <x v="5"/>
    <x v="0"/>
    <n v="2001"/>
    <s v="KS AZS AWF Katowice"/>
    <x v="0"/>
    <s v="Bydgoszcz"/>
    <x v="5"/>
    <x v="2"/>
    <x v="78"/>
  </r>
  <r>
    <x v="5"/>
    <x v="0"/>
    <n v="2001"/>
    <s v="KS AZS AWF Katowice"/>
    <x v="0"/>
    <s v="Bydgoszcz"/>
    <x v="6"/>
    <x v="3"/>
    <x v="81"/>
  </r>
  <r>
    <x v="5"/>
    <x v="0"/>
    <n v="2001"/>
    <s v="KS AZS AWF Katowice"/>
    <x v="0"/>
    <s v="Bydgoszcz"/>
    <x v="6"/>
    <x v="4"/>
    <x v="82"/>
  </r>
  <r>
    <x v="5"/>
    <x v="0"/>
    <n v="2001"/>
    <s v="KS AZS AWF Katowice"/>
    <x v="0"/>
    <s v="Bydgoszcz"/>
    <x v="6"/>
    <x v="5"/>
    <x v="83"/>
  </r>
  <r>
    <x v="6"/>
    <x v="0"/>
    <n v="2004"/>
    <s v="KS AZS AWF Kraków"/>
    <x v="0"/>
    <s v="Bydgoszcz"/>
    <x v="0"/>
    <x v="0"/>
    <x v="36"/>
  </r>
  <r>
    <x v="6"/>
    <x v="0"/>
    <n v="2004"/>
    <s v="KS AZS AWF Kraków"/>
    <x v="0"/>
    <s v="Bydgoszcz"/>
    <x v="0"/>
    <x v="1"/>
    <x v="84"/>
  </r>
  <r>
    <x v="6"/>
    <x v="0"/>
    <n v="2004"/>
    <s v="KS AZS AWF Kraków"/>
    <x v="0"/>
    <s v="Bydgoszcz"/>
    <x v="0"/>
    <x v="2"/>
    <x v="85"/>
  </r>
  <r>
    <x v="6"/>
    <x v="0"/>
    <n v="2004"/>
    <s v="KS AZS AWF Kraków"/>
    <x v="0"/>
    <s v="Bydgoszcz"/>
    <x v="1"/>
    <x v="0"/>
    <x v="42"/>
  </r>
  <r>
    <x v="6"/>
    <x v="0"/>
    <n v="2004"/>
    <s v="KS AZS AWF Kraków"/>
    <x v="0"/>
    <s v="Bydgoszcz"/>
    <x v="1"/>
    <x v="1"/>
    <x v="86"/>
  </r>
  <r>
    <x v="6"/>
    <x v="0"/>
    <n v="2004"/>
    <s v="KS AZS AWF Kraków"/>
    <x v="0"/>
    <s v="Bydgoszcz"/>
    <x v="1"/>
    <x v="2"/>
    <x v="76"/>
  </r>
  <r>
    <x v="6"/>
    <x v="0"/>
    <n v="2004"/>
    <s v="KS AZS AWF Kraków"/>
    <x v="0"/>
    <s v="Bydgoszcz"/>
    <x v="2"/>
    <x v="0"/>
    <x v="47"/>
  </r>
  <r>
    <x v="6"/>
    <x v="0"/>
    <n v="2004"/>
    <s v="KS AZS AWF Kraków"/>
    <x v="0"/>
    <s v="Bydgoszcz"/>
    <x v="2"/>
    <x v="1"/>
    <x v="87"/>
  </r>
  <r>
    <x v="6"/>
    <x v="0"/>
    <n v="2004"/>
    <s v="KS AZS AWF Kraków"/>
    <x v="0"/>
    <s v="Bydgoszcz"/>
    <x v="2"/>
    <x v="2"/>
    <x v="88"/>
  </r>
  <r>
    <x v="6"/>
    <x v="0"/>
    <n v="2004"/>
    <s v="KS AZS AWF Kraków"/>
    <x v="0"/>
    <s v="Bydgoszcz"/>
    <x v="3"/>
    <x v="0"/>
    <x v="60"/>
  </r>
  <r>
    <x v="6"/>
    <x v="0"/>
    <n v="2004"/>
    <s v="KS AZS AWF Kraków"/>
    <x v="0"/>
    <s v="Bydgoszcz"/>
    <x v="3"/>
    <x v="1"/>
    <x v="76"/>
  </r>
  <r>
    <x v="6"/>
    <x v="0"/>
    <n v="2004"/>
    <s v="KS AZS AWF Kraków"/>
    <x v="0"/>
    <s v="Bydgoszcz"/>
    <x v="3"/>
    <x v="2"/>
    <x v="89"/>
  </r>
  <r>
    <x v="6"/>
    <x v="0"/>
    <n v="2004"/>
    <s v="KS AZS AWF Kraków"/>
    <x v="0"/>
    <s v="Bydgoszcz"/>
    <x v="4"/>
    <x v="0"/>
    <x v="57"/>
  </r>
  <r>
    <x v="6"/>
    <x v="0"/>
    <n v="2004"/>
    <s v="KS AZS AWF Kraków"/>
    <x v="0"/>
    <s v="Bydgoszcz"/>
    <x v="4"/>
    <x v="1"/>
    <x v="90"/>
  </r>
  <r>
    <x v="6"/>
    <x v="0"/>
    <n v="2004"/>
    <s v="KS AZS AWF Kraków"/>
    <x v="0"/>
    <s v="Bydgoszcz"/>
    <x v="4"/>
    <x v="2"/>
    <x v="91"/>
  </r>
  <r>
    <x v="6"/>
    <x v="0"/>
    <n v="2004"/>
    <s v="KS AZS AWF Kraków"/>
    <x v="0"/>
    <s v="Bydgoszcz"/>
    <x v="5"/>
    <x v="0"/>
    <x v="42"/>
  </r>
  <r>
    <x v="6"/>
    <x v="0"/>
    <n v="2004"/>
    <s v="KS AZS AWF Kraków"/>
    <x v="0"/>
    <s v="Bydgoszcz"/>
    <x v="5"/>
    <x v="1"/>
    <x v="7"/>
  </r>
  <r>
    <x v="6"/>
    <x v="0"/>
    <n v="2004"/>
    <s v="KS AZS AWF Kraków"/>
    <x v="0"/>
    <s v="Bydgoszcz"/>
    <x v="5"/>
    <x v="2"/>
    <x v="78"/>
  </r>
  <r>
    <x v="6"/>
    <x v="0"/>
    <n v="2004"/>
    <s v="KS AZS AWF Kraków"/>
    <x v="0"/>
    <s v="Bydgoszcz"/>
    <x v="6"/>
    <x v="3"/>
    <x v="49"/>
  </r>
  <r>
    <x v="6"/>
    <x v="0"/>
    <n v="2004"/>
    <s v="KS AZS AWF Kraków"/>
    <x v="0"/>
    <s v="Bydgoszcz"/>
    <x v="6"/>
    <x v="4"/>
    <x v="92"/>
  </r>
  <r>
    <x v="6"/>
    <x v="0"/>
    <n v="2004"/>
    <s v="KS AZS AWF Kraków"/>
    <x v="0"/>
    <s v="Bydgoszcz"/>
    <x v="6"/>
    <x v="5"/>
    <x v="93"/>
  </r>
  <r>
    <x v="7"/>
    <x v="0"/>
    <n v="2004"/>
    <s v="MKS Kusy Szczecin"/>
    <x v="0"/>
    <s v="Bydgoszcz"/>
    <x v="0"/>
    <x v="0"/>
    <x v="94"/>
  </r>
  <r>
    <x v="7"/>
    <x v="0"/>
    <n v="2004"/>
    <s v="MKS Kusy Szczecin"/>
    <x v="0"/>
    <s v="Bydgoszcz"/>
    <x v="0"/>
    <x v="1"/>
    <x v="95"/>
  </r>
  <r>
    <x v="7"/>
    <x v="0"/>
    <n v="2004"/>
    <s v="MKS Kusy Szczecin"/>
    <x v="0"/>
    <s v="Bydgoszcz"/>
    <x v="0"/>
    <x v="2"/>
    <x v="39"/>
  </r>
  <r>
    <x v="7"/>
    <x v="0"/>
    <n v="2004"/>
    <s v="MKS Kusy Szczecin"/>
    <x v="0"/>
    <s v="Bydgoszcz"/>
    <x v="1"/>
    <x v="0"/>
    <x v="96"/>
  </r>
  <r>
    <x v="7"/>
    <x v="0"/>
    <n v="2004"/>
    <s v="MKS Kusy Szczecin"/>
    <x v="0"/>
    <s v="Bydgoszcz"/>
    <x v="1"/>
    <x v="1"/>
    <x v="97"/>
  </r>
  <r>
    <x v="7"/>
    <x v="0"/>
    <n v="2004"/>
    <s v="MKS Kusy Szczecin"/>
    <x v="0"/>
    <s v="Bydgoszcz"/>
    <x v="1"/>
    <x v="2"/>
    <x v="79"/>
  </r>
  <r>
    <x v="7"/>
    <x v="0"/>
    <n v="2004"/>
    <s v="MKS Kusy Szczecin"/>
    <x v="0"/>
    <s v="Bydgoszcz"/>
    <x v="2"/>
    <x v="0"/>
    <x v="98"/>
  </r>
  <r>
    <x v="7"/>
    <x v="0"/>
    <n v="2004"/>
    <s v="MKS Kusy Szczecin"/>
    <x v="0"/>
    <s v="Bydgoszcz"/>
    <x v="2"/>
    <x v="1"/>
    <x v="99"/>
  </r>
  <r>
    <x v="7"/>
    <x v="0"/>
    <n v="2004"/>
    <s v="MKS Kusy Szczecin"/>
    <x v="0"/>
    <s v="Bydgoszcz"/>
    <x v="2"/>
    <x v="2"/>
    <x v="100"/>
  </r>
  <r>
    <x v="7"/>
    <x v="0"/>
    <n v="2004"/>
    <s v="MKS Kusy Szczecin"/>
    <x v="0"/>
    <s v="Bydgoszcz"/>
    <x v="3"/>
    <x v="0"/>
    <x v="42"/>
  </r>
  <r>
    <x v="7"/>
    <x v="0"/>
    <n v="2004"/>
    <s v="MKS Kusy Szczecin"/>
    <x v="0"/>
    <s v="Bydgoszcz"/>
    <x v="3"/>
    <x v="1"/>
    <x v="1"/>
  </r>
  <r>
    <x v="7"/>
    <x v="0"/>
    <n v="2004"/>
    <s v="MKS Kusy Szczecin"/>
    <x v="0"/>
    <s v="Bydgoszcz"/>
    <x v="3"/>
    <x v="2"/>
    <x v="101"/>
  </r>
  <r>
    <x v="7"/>
    <x v="0"/>
    <n v="2004"/>
    <s v="MKS Kusy Szczecin"/>
    <x v="0"/>
    <s v="Bydgoszcz"/>
    <x v="4"/>
    <x v="0"/>
    <x v="98"/>
  </r>
  <r>
    <x v="7"/>
    <x v="0"/>
    <n v="2004"/>
    <s v="MKS Kusy Szczecin"/>
    <x v="0"/>
    <s v="Bydgoszcz"/>
    <x v="4"/>
    <x v="1"/>
    <x v="102"/>
  </r>
  <r>
    <x v="7"/>
    <x v="0"/>
    <n v="2004"/>
    <s v="MKS Kusy Szczecin"/>
    <x v="0"/>
    <s v="Bydgoszcz"/>
    <x v="4"/>
    <x v="2"/>
    <x v="103"/>
  </r>
  <r>
    <x v="7"/>
    <x v="0"/>
    <n v="2004"/>
    <s v="MKS Kusy Szczecin"/>
    <x v="0"/>
    <s v="Bydgoszcz"/>
    <x v="5"/>
    <x v="0"/>
    <x v="40"/>
  </r>
  <r>
    <x v="7"/>
    <x v="0"/>
    <n v="2004"/>
    <s v="MKS Kusy Szczecin"/>
    <x v="0"/>
    <s v="Bydgoszcz"/>
    <x v="5"/>
    <x v="1"/>
    <x v="104"/>
  </r>
  <r>
    <x v="7"/>
    <x v="0"/>
    <n v="2004"/>
    <s v="MKS Kusy Szczecin"/>
    <x v="0"/>
    <s v="Bydgoszcz"/>
    <x v="5"/>
    <x v="2"/>
    <x v="43"/>
  </r>
  <r>
    <x v="7"/>
    <x v="0"/>
    <n v="2004"/>
    <s v="MKS Kusy Szczecin"/>
    <x v="0"/>
    <s v="Bydgoszcz"/>
    <x v="6"/>
    <x v="3"/>
    <x v="105"/>
  </r>
  <r>
    <x v="7"/>
    <x v="0"/>
    <n v="2004"/>
    <s v="MKS Kusy Szczecin"/>
    <x v="0"/>
    <s v="Bydgoszcz"/>
    <x v="6"/>
    <x v="4"/>
    <x v="106"/>
  </r>
  <r>
    <x v="7"/>
    <x v="0"/>
    <n v="2004"/>
    <s v="MKS Kusy Szczecin"/>
    <x v="0"/>
    <s v="Bydgoszcz"/>
    <x v="6"/>
    <x v="5"/>
    <x v="107"/>
  </r>
  <r>
    <x v="8"/>
    <x v="0"/>
    <n v="2003"/>
    <s v="KS AZS AWFiS Gdańsk"/>
    <x v="1"/>
    <s v="Bydgoszcz"/>
    <x v="0"/>
    <x v="0"/>
    <x v="12"/>
  </r>
  <r>
    <x v="8"/>
    <x v="0"/>
    <n v="2003"/>
    <s v="KS AZS AWFiS Gdańsk"/>
    <x v="1"/>
    <s v="Bydgoszcz"/>
    <x v="0"/>
    <x v="1"/>
    <x v="13"/>
  </r>
  <r>
    <x v="8"/>
    <x v="0"/>
    <n v="2003"/>
    <s v="KS AZS AWFiS Gdańsk"/>
    <x v="1"/>
    <s v="Bydgoszcz"/>
    <x v="0"/>
    <x v="2"/>
    <x v="14"/>
  </r>
  <r>
    <x v="8"/>
    <x v="0"/>
    <n v="2003"/>
    <s v="KS AZS AWFiS Gdańsk"/>
    <x v="1"/>
    <s v="Bydgoszcz"/>
    <x v="1"/>
    <x v="0"/>
    <x v="22"/>
  </r>
  <r>
    <x v="8"/>
    <x v="0"/>
    <n v="2003"/>
    <s v="KS AZS AWFiS Gdańsk"/>
    <x v="1"/>
    <s v="Bydgoszcz"/>
    <x v="1"/>
    <x v="1"/>
    <x v="4"/>
  </r>
  <r>
    <x v="8"/>
    <x v="0"/>
    <n v="2003"/>
    <s v="KS AZS AWFiS Gdańsk"/>
    <x v="1"/>
    <s v="Bydgoszcz"/>
    <x v="1"/>
    <x v="2"/>
    <x v="108"/>
  </r>
  <r>
    <x v="8"/>
    <x v="0"/>
    <n v="2003"/>
    <s v="KS AZS AWFiS Gdańsk"/>
    <x v="1"/>
    <s v="Bydgoszcz"/>
    <x v="2"/>
    <x v="0"/>
    <x v="79"/>
  </r>
  <r>
    <x v="8"/>
    <x v="0"/>
    <n v="2003"/>
    <s v="KS AZS AWFiS Gdańsk"/>
    <x v="1"/>
    <s v="Bydgoszcz"/>
    <x v="2"/>
    <x v="1"/>
    <x v="109"/>
  </r>
  <r>
    <x v="8"/>
    <x v="0"/>
    <n v="2003"/>
    <s v="KS AZS AWFiS Gdańsk"/>
    <x v="1"/>
    <s v="Bydgoszcz"/>
    <x v="2"/>
    <x v="2"/>
    <x v="70"/>
  </r>
  <r>
    <x v="8"/>
    <x v="0"/>
    <n v="2003"/>
    <s v="KS AZS AWFiS Gdańsk"/>
    <x v="1"/>
    <s v="Bydgoszcz"/>
    <x v="3"/>
    <x v="0"/>
    <x v="110"/>
  </r>
  <r>
    <x v="8"/>
    <x v="0"/>
    <n v="2003"/>
    <s v="KS AZS AWFiS Gdańsk"/>
    <x v="1"/>
    <s v="Bydgoszcz"/>
    <x v="3"/>
    <x v="1"/>
    <x v="111"/>
  </r>
  <r>
    <x v="8"/>
    <x v="0"/>
    <n v="2003"/>
    <s v="KS AZS AWFiS Gdańsk"/>
    <x v="1"/>
    <s v="Bydgoszcz"/>
    <x v="3"/>
    <x v="2"/>
    <x v="24"/>
  </r>
  <r>
    <x v="8"/>
    <x v="0"/>
    <n v="2003"/>
    <s v="KS AZS AWFiS Gdańsk"/>
    <x v="1"/>
    <s v="Bydgoszcz"/>
    <x v="4"/>
    <x v="0"/>
    <x v="112"/>
  </r>
  <r>
    <x v="8"/>
    <x v="0"/>
    <n v="2003"/>
    <s v="KS AZS AWFiS Gdańsk"/>
    <x v="1"/>
    <s v="Bydgoszcz"/>
    <x v="4"/>
    <x v="1"/>
    <x v="113"/>
  </r>
  <r>
    <x v="8"/>
    <x v="0"/>
    <n v="2003"/>
    <s v="KS AZS AWFiS Gdańsk"/>
    <x v="1"/>
    <s v="Bydgoszcz"/>
    <x v="4"/>
    <x v="2"/>
    <x v="114"/>
  </r>
  <r>
    <x v="8"/>
    <x v="0"/>
    <n v="2003"/>
    <s v="KS AZS AWFiS Gdańsk"/>
    <x v="1"/>
    <s v="Bydgoszcz"/>
    <x v="5"/>
    <x v="0"/>
    <x v="115"/>
  </r>
  <r>
    <x v="8"/>
    <x v="0"/>
    <n v="2003"/>
    <s v="KS AZS AWFiS Gdańsk"/>
    <x v="1"/>
    <s v="Bydgoszcz"/>
    <x v="5"/>
    <x v="1"/>
    <x v="115"/>
  </r>
  <r>
    <x v="8"/>
    <x v="0"/>
    <n v="2003"/>
    <s v="KS AZS AWFiS Gdańsk"/>
    <x v="1"/>
    <s v="Bydgoszcz"/>
    <x v="5"/>
    <x v="2"/>
    <x v="115"/>
  </r>
  <r>
    <x v="8"/>
    <x v="0"/>
    <n v="2003"/>
    <s v="KS AZS AWFiS Gdańsk"/>
    <x v="1"/>
    <s v="Bydgoszcz"/>
    <x v="6"/>
    <x v="3"/>
    <x v="115"/>
  </r>
  <r>
    <x v="8"/>
    <x v="0"/>
    <n v="2003"/>
    <s v="KS AZS AWFiS Gdańsk"/>
    <x v="1"/>
    <s v="Bydgoszcz"/>
    <x v="6"/>
    <x v="4"/>
    <x v="115"/>
  </r>
  <r>
    <x v="8"/>
    <x v="0"/>
    <n v="2003"/>
    <s v="KS AZS AWFiS Gdańsk"/>
    <x v="1"/>
    <s v="Bydgoszcz"/>
    <x v="6"/>
    <x v="5"/>
    <x v="116"/>
  </r>
  <r>
    <x v="9"/>
    <x v="0"/>
    <n v="1999"/>
    <s v="KS AZS AWFiS Gdańsk"/>
    <x v="1"/>
    <s v="Bydgoszcz"/>
    <x v="0"/>
    <x v="0"/>
    <x v="115"/>
  </r>
  <r>
    <x v="9"/>
    <x v="0"/>
    <n v="1999"/>
    <s v="KS AZS AWFiS Gdańsk"/>
    <x v="1"/>
    <s v="Bydgoszcz"/>
    <x v="0"/>
    <x v="1"/>
    <x v="115"/>
  </r>
  <r>
    <x v="9"/>
    <x v="0"/>
    <n v="1999"/>
    <s v="KS AZS AWFiS Gdańsk"/>
    <x v="1"/>
    <s v="Bydgoszcz"/>
    <x v="0"/>
    <x v="2"/>
    <x v="115"/>
  </r>
  <r>
    <x v="9"/>
    <x v="0"/>
    <n v="1999"/>
    <s v="KS AZS AWFiS Gdańsk"/>
    <x v="1"/>
    <s v="Bydgoszcz"/>
    <x v="1"/>
    <x v="0"/>
    <x v="117"/>
  </r>
  <r>
    <x v="9"/>
    <x v="0"/>
    <n v="1999"/>
    <s v="KS AZS AWFiS Gdańsk"/>
    <x v="1"/>
    <s v="Bydgoszcz"/>
    <x v="1"/>
    <x v="1"/>
    <x v="30"/>
  </r>
  <r>
    <x v="9"/>
    <x v="0"/>
    <n v="1999"/>
    <s v="KS AZS AWFiS Gdańsk"/>
    <x v="1"/>
    <s v="Bydgoszcz"/>
    <x v="1"/>
    <x v="2"/>
    <x v="95"/>
  </r>
  <r>
    <x v="9"/>
    <x v="0"/>
    <n v="1999"/>
    <s v="KS AZS AWFiS Gdańsk"/>
    <x v="1"/>
    <s v="Bydgoszcz"/>
    <x v="2"/>
    <x v="0"/>
    <x v="42"/>
  </r>
  <r>
    <x v="9"/>
    <x v="0"/>
    <n v="1999"/>
    <s v="KS AZS AWFiS Gdańsk"/>
    <x v="1"/>
    <s v="Bydgoszcz"/>
    <x v="2"/>
    <x v="1"/>
    <x v="118"/>
  </r>
  <r>
    <x v="9"/>
    <x v="0"/>
    <n v="1999"/>
    <s v="KS AZS AWFiS Gdańsk"/>
    <x v="1"/>
    <s v="Bydgoszcz"/>
    <x v="2"/>
    <x v="2"/>
    <x v="119"/>
  </r>
  <r>
    <x v="9"/>
    <x v="0"/>
    <n v="1999"/>
    <s v="KS AZS AWFiS Gdańsk"/>
    <x v="1"/>
    <s v="Bydgoszcz"/>
    <x v="3"/>
    <x v="0"/>
    <x v="115"/>
  </r>
  <r>
    <x v="9"/>
    <x v="0"/>
    <n v="1999"/>
    <s v="KS AZS AWFiS Gdańsk"/>
    <x v="1"/>
    <s v="Bydgoszcz"/>
    <x v="3"/>
    <x v="1"/>
    <x v="115"/>
  </r>
  <r>
    <x v="9"/>
    <x v="0"/>
    <n v="1999"/>
    <s v="KS AZS AWFiS Gdańsk"/>
    <x v="1"/>
    <s v="Bydgoszcz"/>
    <x v="3"/>
    <x v="2"/>
    <x v="115"/>
  </r>
  <r>
    <x v="9"/>
    <x v="0"/>
    <n v="1999"/>
    <s v="KS AZS AWFiS Gdańsk"/>
    <x v="1"/>
    <s v="Bydgoszcz"/>
    <x v="4"/>
    <x v="0"/>
    <x v="120"/>
  </r>
  <r>
    <x v="9"/>
    <x v="0"/>
    <n v="1999"/>
    <s v="KS AZS AWFiS Gdańsk"/>
    <x v="1"/>
    <s v="Bydgoszcz"/>
    <x v="4"/>
    <x v="1"/>
    <x v="121"/>
  </r>
  <r>
    <x v="9"/>
    <x v="0"/>
    <n v="1999"/>
    <s v="KS AZS AWFiS Gdańsk"/>
    <x v="1"/>
    <s v="Bydgoszcz"/>
    <x v="4"/>
    <x v="2"/>
    <x v="46"/>
  </r>
  <r>
    <x v="9"/>
    <x v="0"/>
    <n v="1999"/>
    <s v="KS AZS AWFiS Gdańsk"/>
    <x v="1"/>
    <s v="Bydgoszcz"/>
    <x v="5"/>
    <x v="0"/>
    <x v="60"/>
  </r>
  <r>
    <x v="9"/>
    <x v="0"/>
    <n v="1999"/>
    <s v="KS AZS AWFiS Gdańsk"/>
    <x v="1"/>
    <s v="Bydgoszcz"/>
    <x v="5"/>
    <x v="1"/>
    <x v="99"/>
  </r>
  <r>
    <x v="9"/>
    <x v="0"/>
    <n v="1999"/>
    <s v="KS AZS AWFiS Gdańsk"/>
    <x v="1"/>
    <s v="Bydgoszcz"/>
    <x v="5"/>
    <x v="2"/>
    <x v="122"/>
  </r>
  <r>
    <x v="9"/>
    <x v="0"/>
    <n v="1999"/>
    <s v="KS AZS AWFiS Gdańsk"/>
    <x v="1"/>
    <s v="Bydgoszcz"/>
    <x v="6"/>
    <x v="3"/>
    <x v="115"/>
  </r>
  <r>
    <x v="9"/>
    <x v="0"/>
    <n v="1999"/>
    <s v="KS AZS AWFiS Gdańsk"/>
    <x v="1"/>
    <s v="Bydgoszcz"/>
    <x v="6"/>
    <x v="4"/>
    <x v="115"/>
  </r>
  <r>
    <x v="9"/>
    <x v="0"/>
    <n v="1999"/>
    <s v="KS AZS AWFiS Gdańsk"/>
    <x v="1"/>
    <s v="Bydgoszcz"/>
    <x v="6"/>
    <x v="5"/>
    <x v="123"/>
  </r>
  <r>
    <x v="10"/>
    <x v="0"/>
    <n v="2000"/>
    <s v="KS AZS AWFiS Gdańsk"/>
    <x v="1"/>
    <s v="Bydgoszcz"/>
    <x v="0"/>
    <x v="0"/>
    <x v="30"/>
  </r>
  <r>
    <x v="10"/>
    <x v="0"/>
    <n v="2000"/>
    <s v="KS AZS AWFiS Gdańsk"/>
    <x v="1"/>
    <s v="Bydgoszcz"/>
    <x v="0"/>
    <x v="1"/>
    <x v="61"/>
  </r>
  <r>
    <x v="10"/>
    <x v="0"/>
    <n v="2000"/>
    <s v="KS AZS AWFiS Gdańsk"/>
    <x v="1"/>
    <s v="Bydgoszcz"/>
    <x v="0"/>
    <x v="2"/>
    <x v="39"/>
  </r>
  <r>
    <x v="10"/>
    <x v="0"/>
    <n v="2000"/>
    <s v="KS AZS AWFiS Gdańsk"/>
    <x v="1"/>
    <s v="Bydgoszcz"/>
    <x v="1"/>
    <x v="0"/>
    <x v="115"/>
  </r>
  <r>
    <x v="10"/>
    <x v="0"/>
    <n v="2000"/>
    <s v="KS AZS AWFiS Gdańsk"/>
    <x v="1"/>
    <s v="Bydgoszcz"/>
    <x v="1"/>
    <x v="1"/>
    <x v="115"/>
  </r>
  <r>
    <x v="10"/>
    <x v="0"/>
    <n v="2000"/>
    <s v="KS AZS AWFiS Gdańsk"/>
    <x v="1"/>
    <s v="Bydgoszcz"/>
    <x v="1"/>
    <x v="2"/>
    <x v="115"/>
  </r>
  <r>
    <x v="10"/>
    <x v="0"/>
    <n v="2000"/>
    <s v="KS AZS AWFiS Gdańsk"/>
    <x v="1"/>
    <s v="Bydgoszcz"/>
    <x v="2"/>
    <x v="0"/>
    <x v="115"/>
  </r>
  <r>
    <x v="10"/>
    <x v="0"/>
    <n v="2000"/>
    <s v="KS AZS AWFiS Gdańsk"/>
    <x v="1"/>
    <s v="Bydgoszcz"/>
    <x v="2"/>
    <x v="1"/>
    <x v="115"/>
  </r>
  <r>
    <x v="10"/>
    <x v="0"/>
    <n v="2000"/>
    <s v="KS AZS AWFiS Gdańsk"/>
    <x v="1"/>
    <s v="Bydgoszcz"/>
    <x v="2"/>
    <x v="2"/>
    <x v="115"/>
  </r>
  <r>
    <x v="10"/>
    <x v="0"/>
    <n v="2000"/>
    <s v="KS AZS AWFiS Gdańsk"/>
    <x v="1"/>
    <s v="Bydgoszcz"/>
    <x v="3"/>
    <x v="0"/>
    <x v="25"/>
  </r>
  <r>
    <x v="10"/>
    <x v="0"/>
    <n v="2000"/>
    <s v="KS AZS AWFiS Gdańsk"/>
    <x v="1"/>
    <s v="Bydgoszcz"/>
    <x v="3"/>
    <x v="1"/>
    <x v="124"/>
  </r>
  <r>
    <x v="10"/>
    <x v="0"/>
    <n v="2000"/>
    <s v="KS AZS AWFiS Gdańsk"/>
    <x v="1"/>
    <s v="Bydgoszcz"/>
    <x v="3"/>
    <x v="2"/>
    <x v="125"/>
  </r>
  <r>
    <x v="10"/>
    <x v="0"/>
    <n v="2000"/>
    <s v="KS AZS AWFiS Gdańsk"/>
    <x v="1"/>
    <s v="Bydgoszcz"/>
    <x v="4"/>
    <x v="0"/>
    <x v="40"/>
  </r>
  <r>
    <x v="10"/>
    <x v="0"/>
    <n v="2000"/>
    <s v="KS AZS AWFiS Gdańsk"/>
    <x v="1"/>
    <s v="Bydgoszcz"/>
    <x v="4"/>
    <x v="1"/>
    <x v="126"/>
  </r>
  <r>
    <x v="10"/>
    <x v="0"/>
    <n v="2000"/>
    <s v="KS AZS AWFiS Gdańsk"/>
    <x v="1"/>
    <s v="Bydgoszcz"/>
    <x v="4"/>
    <x v="2"/>
    <x v="29"/>
  </r>
  <r>
    <x v="10"/>
    <x v="0"/>
    <n v="2000"/>
    <s v="KS AZS AWFiS Gdańsk"/>
    <x v="1"/>
    <s v="Bydgoszcz"/>
    <x v="5"/>
    <x v="0"/>
    <x v="115"/>
  </r>
  <r>
    <x v="10"/>
    <x v="0"/>
    <n v="2000"/>
    <s v="KS AZS AWFiS Gdańsk"/>
    <x v="1"/>
    <s v="Bydgoszcz"/>
    <x v="5"/>
    <x v="1"/>
    <x v="115"/>
  </r>
  <r>
    <x v="10"/>
    <x v="0"/>
    <n v="2000"/>
    <s v="KS AZS AWFiS Gdańsk"/>
    <x v="1"/>
    <s v="Bydgoszcz"/>
    <x v="5"/>
    <x v="2"/>
    <x v="115"/>
  </r>
  <r>
    <x v="10"/>
    <x v="0"/>
    <n v="2000"/>
    <s v="KS AZS AWFiS Gdańsk"/>
    <x v="1"/>
    <s v="Bydgoszcz"/>
    <x v="6"/>
    <x v="3"/>
    <x v="115"/>
  </r>
  <r>
    <x v="10"/>
    <x v="0"/>
    <n v="2000"/>
    <s v="KS AZS AWFiS Gdańsk"/>
    <x v="1"/>
    <s v="Bydgoszcz"/>
    <x v="6"/>
    <x v="4"/>
    <x v="115"/>
  </r>
  <r>
    <x v="10"/>
    <x v="0"/>
    <n v="2000"/>
    <s v="KS AZS AWFiS Gdańsk"/>
    <x v="1"/>
    <s v="Bydgoszcz"/>
    <x v="6"/>
    <x v="5"/>
    <x v="127"/>
  </r>
  <r>
    <x v="11"/>
    <x v="0"/>
    <n v="2002"/>
    <s v="KS AZS AWF Katowice"/>
    <x v="1"/>
    <s v="Bydgoszcz"/>
    <x v="0"/>
    <x v="0"/>
    <x v="115"/>
  </r>
  <r>
    <x v="11"/>
    <x v="0"/>
    <n v="2002"/>
    <s v="KS AZS AWF Katowice"/>
    <x v="1"/>
    <s v="Bydgoszcz"/>
    <x v="0"/>
    <x v="1"/>
    <x v="115"/>
  </r>
  <r>
    <x v="11"/>
    <x v="0"/>
    <n v="2002"/>
    <s v="KS AZS AWF Katowice"/>
    <x v="1"/>
    <s v="Bydgoszcz"/>
    <x v="0"/>
    <x v="2"/>
    <x v="115"/>
  </r>
  <r>
    <x v="11"/>
    <x v="0"/>
    <n v="2002"/>
    <s v="KS AZS AWF Katowice"/>
    <x v="1"/>
    <s v="Bydgoszcz"/>
    <x v="1"/>
    <x v="0"/>
    <x v="22"/>
  </r>
  <r>
    <x v="11"/>
    <x v="0"/>
    <n v="2002"/>
    <s v="KS AZS AWF Katowice"/>
    <x v="1"/>
    <s v="Bydgoszcz"/>
    <x v="1"/>
    <x v="1"/>
    <x v="128"/>
  </r>
  <r>
    <x v="11"/>
    <x v="0"/>
    <n v="2002"/>
    <s v="KS AZS AWF Katowice"/>
    <x v="1"/>
    <s v="Bydgoszcz"/>
    <x v="1"/>
    <x v="2"/>
    <x v="129"/>
  </r>
  <r>
    <x v="11"/>
    <x v="0"/>
    <n v="2002"/>
    <s v="KS AZS AWF Katowice"/>
    <x v="1"/>
    <s v="Bydgoszcz"/>
    <x v="2"/>
    <x v="0"/>
    <x v="30"/>
  </r>
  <r>
    <x v="11"/>
    <x v="0"/>
    <n v="2002"/>
    <s v="KS AZS AWF Katowice"/>
    <x v="1"/>
    <s v="Bydgoszcz"/>
    <x v="2"/>
    <x v="1"/>
    <x v="31"/>
  </r>
  <r>
    <x v="11"/>
    <x v="0"/>
    <n v="2002"/>
    <s v="KS AZS AWF Katowice"/>
    <x v="1"/>
    <s v="Bydgoszcz"/>
    <x v="2"/>
    <x v="2"/>
    <x v="32"/>
  </r>
  <r>
    <x v="11"/>
    <x v="0"/>
    <n v="2002"/>
    <s v="KS AZS AWF Katowice"/>
    <x v="1"/>
    <s v="Bydgoszcz"/>
    <x v="3"/>
    <x v="0"/>
    <x v="115"/>
  </r>
  <r>
    <x v="11"/>
    <x v="0"/>
    <n v="2002"/>
    <s v="KS AZS AWF Katowice"/>
    <x v="1"/>
    <s v="Bydgoszcz"/>
    <x v="3"/>
    <x v="1"/>
    <x v="115"/>
  </r>
  <r>
    <x v="11"/>
    <x v="0"/>
    <n v="2002"/>
    <s v="KS AZS AWF Katowice"/>
    <x v="1"/>
    <s v="Bydgoszcz"/>
    <x v="3"/>
    <x v="2"/>
    <x v="115"/>
  </r>
  <r>
    <x v="11"/>
    <x v="0"/>
    <n v="2002"/>
    <s v="KS AZS AWF Katowice"/>
    <x v="1"/>
    <s v="Bydgoszcz"/>
    <x v="4"/>
    <x v="0"/>
    <x v="115"/>
  </r>
  <r>
    <x v="11"/>
    <x v="0"/>
    <n v="2002"/>
    <s v="KS AZS AWF Katowice"/>
    <x v="1"/>
    <s v="Bydgoszcz"/>
    <x v="4"/>
    <x v="1"/>
    <x v="115"/>
  </r>
  <r>
    <x v="11"/>
    <x v="0"/>
    <n v="2002"/>
    <s v="KS AZS AWF Katowice"/>
    <x v="1"/>
    <s v="Bydgoszcz"/>
    <x v="4"/>
    <x v="2"/>
    <x v="115"/>
  </r>
  <r>
    <x v="11"/>
    <x v="0"/>
    <n v="2002"/>
    <s v="KS AZS AWF Katowice"/>
    <x v="1"/>
    <s v="Bydgoszcz"/>
    <x v="5"/>
    <x v="0"/>
    <x v="22"/>
  </r>
  <r>
    <x v="11"/>
    <x v="0"/>
    <n v="2002"/>
    <s v="KS AZS AWF Katowice"/>
    <x v="1"/>
    <s v="Bydgoszcz"/>
    <x v="5"/>
    <x v="1"/>
    <x v="31"/>
  </r>
  <r>
    <x v="11"/>
    <x v="0"/>
    <n v="2002"/>
    <s v="KS AZS AWF Katowice"/>
    <x v="1"/>
    <s v="Bydgoszcz"/>
    <x v="5"/>
    <x v="2"/>
    <x v="21"/>
  </r>
  <r>
    <x v="11"/>
    <x v="0"/>
    <n v="2002"/>
    <s v="KS AZS AWF Katowice"/>
    <x v="1"/>
    <s v="Bydgoszcz"/>
    <x v="6"/>
    <x v="3"/>
    <x v="115"/>
  </r>
  <r>
    <x v="11"/>
    <x v="0"/>
    <n v="2002"/>
    <s v="KS AZS AWF Katowice"/>
    <x v="1"/>
    <s v="Bydgoszcz"/>
    <x v="6"/>
    <x v="4"/>
    <x v="115"/>
  </r>
  <r>
    <x v="11"/>
    <x v="0"/>
    <n v="2002"/>
    <s v="KS AZS AWF Katowice"/>
    <x v="1"/>
    <s v="Bydgoszcz"/>
    <x v="6"/>
    <x v="5"/>
    <x v="130"/>
  </r>
  <r>
    <x v="12"/>
    <x v="0"/>
    <n v="2004"/>
    <s v="MKS Kusy Szczecin"/>
    <x v="1"/>
    <s v="Bydgoszcz"/>
    <x v="0"/>
    <x v="0"/>
    <x v="115"/>
  </r>
  <r>
    <x v="12"/>
    <x v="0"/>
    <n v="2004"/>
    <s v="MKS Kusy Szczecin"/>
    <x v="1"/>
    <s v="Bydgoszcz"/>
    <x v="0"/>
    <x v="1"/>
    <x v="115"/>
  </r>
  <r>
    <x v="12"/>
    <x v="0"/>
    <n v="2004"/>
    <s v="MKS Kusy Szczecin"/>
    <x v="1"/>
    <s v="Bydgoszcz"/>
    <x v="0"/>
    <x v="2"/>
    <x v="115"/>
  </r>
  <r>
    <x v="12"/>
    <x v="0"/>
    <n v="2004"/>
    <s v="MKS Kusy Szczecin"/>
    <x v="1"/>
    <s v="Bydgoszcz"/>
    <x v="1"/>
    <x v="0"/>
    <x v="115"/>
  </r>
  <r>
    <x v="12"/>
    <x v="0"/>
    <n v="2004"/>
    <s v="MKS Kusy Szczecin"/>
    <x v="1"/>
    <s v="Bydgoszcz"/>
    <x v="1"/>
    <x v="1"/>
    <x v="115"/>
  </r>
  <r>
    <x v="12"/>
    <x v="0"/>
    <n v="2004"/>
    <s v="MKS Kusy Szczecin"/>
    <x v="1"/>
    <s v="Bydgoszcz"/>
    <x v="1"/>
    <x v="2"/>
    <x v="115"/>
  </r>
  <r>
    <x v="12"/>
    <x v="0"/>
    <n v="2004"/>
    <s v="MKS Kusy Szczecin"/>
    <x v="1"/>
    <s v="Bydgoszcz"/>
    <x v="2"/>
    <x v="0"/>
    <x v="42"/>
  </r>
  <r>
    <x v="12"/>
    <x v="0"/>
    <n v="2004"/>
    <s v="MKS Kusy Szczecin"/>
    <x v="1"/>
    <s v="Bydgoszcz"/>
    <x v="2"/>
    <x v="1"/>
    <x v="95"/>
  </r>
  <r>
    <x v="12"/>
    <x v="0"/>
    <n v="2004"/>
    <s v="MKS Kusy Szczecin"/>
    <x v="1"/>
    <s v="Bydgoszcz"/>
    <x v="2"/>
    <x v="2"/>
    <x v="62"/>
  </r>
  <r>
    <x v="12"/>
    <x v="0"/>
    <n v="2004"/>
    <s v="MKS Kusy Szczecin"/>
    <x v="1"/>
    <s v="Bydgoszcz"/>
    <x v="3"/>
    <x v="0"/>
    <x v="115"/>
  </r>
  <r>
    <x v="12"/>
    <x v="0"/>
    <n v="2004"/>
    <s v="MKS Kusy Szczecin"/>
    <x v="1"/>
    <s v="Bydgoszcz"/>
    <x v="3"/>
    <x v="1"/>
    <x v="115"/>
  </r>
  <r>
    <x v="12"/>
    <x v="0"/>
    <n v="2004"/>
    <s v="MKS Kusy Szczecin"/>
    <x v="1"/>
    <s v="Bydgoszcz"/>
    <x v="3"/>
    <x v="2"/>
    <x v="115"/>
  </r>
  <r>
    <x v="12"/>
    <x v="0"/>
    <n v="2004"/>
    <s v="MKS Kusy Szczecin"/>
    <x v="1"/>
    <s v="Bydgoszcz"/>
    <x v="4"/>
    <x v="0"/>
    <x v="40"/>
  </r>
  <r>
    <x v="12"/>
    <x v="0"/>
    <n v="2004"/>
    <s v="MKS Kusy Szczecin"/>
    <x v="1"/>
    <s v="Bydgoszcz"/>
    <x v="4"/>
    <x v="1"/>
    <x v="131"/>
  </r>
  <r>
    <x v="12"/>
    <x v="0"/>
    <n v="2004"/>
    <s v="MKS Kusy Szczecin"/>
    <x v="1"/>
    <s v="Bydgoszcz"/>
    <x v="4"/>
    <x v="2"/>
    <x v="132"/>
  </r>
  <r>
    <x v="12"/>
    <x v="0"/>
    <n v="2004"/>
    <s v="MKS Kusy Szczecin"/>
    <x v="1"/>
    <s v="Bydgoszcz"/>
    <x v="5"/>
    <x v="0"/>
    <x v="133"/>
  </r>
  <r>
    <x v="12"/>
    <x v="0"/>
    <n v="2004"/>
    <s v="MKS Kusy Szczecin"/>
    <x v="1"/>
    <s v="Bydgoszcz"/>
    <x v="5"/>
    <x v="1"/>
    <x v="31"/>
  </r>
  <r>
    <x v="12"/>
    <x v="0"/>
    <n v="2004"/>
    <s v="MKS Kusy Szczecin"/>
    <x v="1"/>
    <s v="Bydgoszcz"/>
    <x v="5"/>
    <x v="2"/>
    <x v="66"/>
  </r>
  <r>
    <x v="12"/>
    <x v="0"/>
    <n v="2004"/>
    <s v="MKS Kusy Szczecin"/>
    <x v="1"/>
    <s v="Bydgoszcz"/>
    <x v="6"/>
    <x v="3"/>
    <x v="115"/>
  </r>
  <r>
    <x v="12"/>
    <x v="0"/>
    <n v="2004"/>
    <s v="MKS Kusy Szczecin"/>
    <x v="1"/>
    <s v="Bydgoszcz"/>
    <x v="6"/>
    <x v="4"/>
    <x v="115"/>
  </r>
  <r>
    <x v="12"/>
    <x v="0"/>
    <n v="2004"/>
    <s v="MKS Kusy Szczecin"/>
    <x v="1"/>
    <s v="Bydgoszcz"/>
    <x v="6"/>
    <x v="5"/>
    <x v="134"/>
  </r>
  <r>
    <x v="13"/>
    <x v="0"/>
    <n v="2004"/>
    <s v="MKS Kusy Szczecin"/>
    <x v="1"/>
    <s v="Bydgoszcz"/>
    <x v="0"/>
    <x v="0"/>
    <x v="54"/>
  </r>
  <r>
    <x v="13"/>
    <x v="0"/>
    <n v="2004"/>
    <s v="MKS Kusy Szczecin"/>
    <x v="1"/>
    <s v="Bydgoszcz"/>
    <x v="0"/>
    <x v="1"/>
    <x v="31"/>
  </r>
  <r>
    <x v="13"/>
    <x v="0"/>
    <n v="2004"/>
    <s v="MKS Kusy Szczecin"/>
    <x v="1"/>
    <s v="Bydgoszcz"/>
    <x v="0"/>
    <x v="2"/>
    <x v="89"/>
  </r>
  <r>
    <x v="13"/>
    <x v="0"/>
    <n v="2004"/>
    <s v="MKS Kusy Szczecin"/>
    <x v="1"/>
    <s v="Bydgoszcz"/>
    <x v="1"/>
    <x v="0"/>
    <x v="135"/>
  </r>
  <r>
    <x v="13"/>
    <x v="0"/>
    <n v="2004"/>
    <s v="MKS Kusy Szczecin"/>
    <x v="1"/>
    <s v="Bydgoszcz"/>
    <x v="1"/>
    <x v="1"/>
    <x v="136"/>
  </r>
  <r>
    <x v="13"/>
    <x v="0"/>
    <n v="2004"/>
    <s v="MKS Kusy Szczecin"/>
    <x v="1"/>
    <s v="Bydgoszcz"/>
    <x v="1"/>
    <x v="2"/>
    <x v="94"/>
  </r>
  <r>
    <x v="13"/>
    <x v="0"/>
    <n v="2004"/>
    <s v="MKS Kusy Szczecin"/>
    <x v="1"/>
    <s v="Bydgoszcz"/>
    <x v="2"/>
    <x v="0"/>
    <x v="115"/>
  </r>
  <r>
    <x v="13"/>
    <x v="0"/>
    <n v="2004"/>
    <s v="MKS Kusy Szczecin"/>
    <x v="1"/>
    <s v="Bydgoszcz"/>
    <x v="2"/>
    <x v="1"/>
    <x v="115"/>
  </r>
  <r>
    <x v="13"/>
    <x v="0"/>
    <n v="2004"/>
    <s v="MKS Kusy Szczecin"/>
    <x v="1"/>
    <s v="Bydgoszcz"/>
    <x v="2"/>
    <x v="2"/>
    <x v="115"/>
  </r>
  <r>
    <x v="13"/>
    <x v="0"/>
    <n v="2004"/>
    <s v="MKS Kusy Szczecin"/>
    <x v="1"/>
    <s v="Bydgoszcz"/>
    <x v="3"/>
    <x v="0"/>
    <x v="115"/>
  </r>
  <r>
    <x v="13"/>
    <x v="0"/>
    <n v="2004"/>
    <s v="MKS Kusy Szczecin"/>
    <x v="1"/>
    <s v="Bydgoszcz"/>
    <x v="3"/>
    <x v="1"/>
    <x v="115"/>
  </r>
  <r>
    <x v="13"/>
    <x v="0"/>
    <n v="2004"/>
    <s v="MKS Kusy Szczecin"/>
    <x v="1"/>
    <s v="Bydgoszcz"/>
    <x v="3"/>
    <x v="2"/>
    <x v="115"/>
  </r>
  <r>
    <x v="13"/>
    <x v="0"/>
    <n v="2004"/>
    <s v="MKS Kusy Szczecin"/>
    <x v="1"/>
    <s v="Bydgoszcz"/>
    <x v="4"/>
    <x v="0"/>
    <x v="120"/>
  </r>
  <r>
    <x v="13"/>
    <x v="0"/>
    <n v="2004"/>
    <s v="MKS Kusy Szczecin"/>
    <x v="1"/>
    <s v="Bydgoszcz"/>
    <x v="4"/>
    <x v="1"/>
    <x v="137"/>
  </r>
  <r>
    <x v="13"/>
    <x v="0"/>
    <n v="2004"/>
    <s v="MKS Kusy Szczecin"/>
    <x v="1"/>
    <s v="Bydgoszcz"/>
    <x v="4"/>
    <x v="2"/>
    <x v="138"/>
  </r>
  <r>
    <x v="13"/>
    <x v="0"/>
    <n v="2004"/>
    <s v="MKS Kusy Szczecin"/>
    <x v="1"/>
    <s v="Bydgoszcz"/>
    <x v="5"/>
    <x v="0"/>
    <x v="115"/>
  </r>
  <r>
    <x v="13"/>
    <x v="0"/>
    <n v="2004"/>
    <s v="MKS Kusy Szczecin"/>
    <x v="1"/>
    <s v="Bydgoszcz"/>
    <x v="5"/>
    <x v="1"/>
    <x v="115"/>
  </r>
  <r>
    <x v="13"/>
    <x v="0"/>
    <n v="2004"/>
    <s v="MKS Kusy Szczecin"/>
    <x v="1"/>
    <s v="Bydgoszcz"/>
    <x v="5"/>
    <x v="2"/>
    <x v="115"/>
  </r>
  <r>
    <x v="13"/>
    <x v="0"/>
    <n v="2004"/>
    <s v="MKS Kusy Szczecin"/>
    <x v="1"/>
    <s v="Bydgoszcz"/>
    <x v="6"/>
    <x v="3"/>
    <x v="115"/>
  </r>
  <r>
    <x v="13"/>
    <x v="0"/>
    <n v="2004"/>
    <s v="MKS Kusy Szczecin"/>
    <x v="1"/>
    <s v="Bydgoszcz"/>
    <x v="6"/>
    <x v="4"/>
    <x v="115"/>
  </r>
  <r>
    <x v="13"/>
    <x v="0"/>
    <n v="2004"/>
    <s v="MKS Kusy Szczecin"/>
    <x v="1"/>
    <s v="Bydgoszcz"/>
    <x v="6"/>
    <x v="5"/>
    <x v="139"/>
  </r>
  <r>
    <x v="14"/>
    <x v="0"/>
    <n v="2004"/>
    <s v="KS AZS AWF Kraków"/>
    <x v="1"/>
    <s v="Bydgoszcz"/>
    <x v="0"/>
    <x v="0"/>
    <x v="115"/>
  </r>
  <r>
    <x v="14"/>
    <x v="0"/>
    <n v="2004"/>
    <s v="KS AZS AWF Kraków"/>
    <x v="1"/>
    <s v="Bydgoszcz"/>
    <x v="0"/>
    <x v="1"/>
    <x v="115"/>
  </r>
  <r>
    <x v="14"/>
    <x v="0"/>
    <n v="2004"/>
    <s v="KS AZS AWF Kraków"/>
    <x v="1"/>
    <s v="Bydgoszcz"/>
    <x v="0"/>
    <x v="2"/>
    <x v="115"/>
  </r>
  <r>
    <x v="14"/>
    <x v="0"/>
    <n v="2004"/>
    <s v="KS AZS AWF Kraków"/>
    <x v="1"/>
    <s v="Bydgoszcz"/>
    <x v="1"/>
    <x v="0"/>
    <x v="25"/>
  </r>
  <r>
    <x v="14"/>
    <x v="0"/>
    <n v="2004"/>
    <s v="KS AZS AWF Kraków"/>
    <x v="1"/>
    <s v="Bydgoszcz"/>
    <x v="1"/>
    <x v="1"/>
    <x v="126"/>
  </r>
  <r>
    <x v="14"/>
    <x v="0"/>
    <n v="2004"/>
    <s v="KS AZS AWF Kraków"/>
    <x v="1"/>
    <s v="Bydgoszcz"/>
    <x v="1"/>
    <x v="2"/>
    <x v="140"/>
  </r>
  <r>
    <x v="14"/>
    <x v="0"/>
    <n v="2004"/>
    <s v="KS AZS AWF Kraków"/>
    <x v="1"/>
    <s v="Bydgoszcz"/>
    <x v="2"/>
    <x v="0"/>
    <x v="115"/>
  </r>
  <r>
    <x v="14"/>
    <x v="0"/>
    <n v="2004"/>
    <s v="KS AZS AWF Kraków"/>
    <x v="1"/>
    <s v="Bydgoszcz"/>
    <x v="2"/>
    <x v="1"/>
    <x v="115"/>
  </r>
  <r>
    <x v="14"/>
    <x v="0"/>
    <n v="2004"/>
    <s v="KS AZS AWF Kraków"/>
    <x v="1"/>
    <s v="Bydgoszcz"/>
    <x v="2"/>
    <x v="2"/>
    <x v="115"/>
  </r>
  <r>
    <x v="14"/>
    <x v="0"/>
    <n v="2004"/>
    <s v="KS AZS AWF Kraków"/>
    <x v="1"/>
    <s v="Bydgoszcz"/>
    <x v="3"/>
    <x v="0"/>
    <x v="115"/>
  </r>
  <r>
    <x v="14"/>
    <x v="0"/>
    <n v="2004"/>
    <s v="KS AZS AWF Kraków"/>
    <x v="1"/>
    <s v="Bydgoszcz"/>
    <x v="3"/>
    <x v="1"/>
    <x v="115"/>
  </r>
  <r>
    <x v="14"/>
    <x v="0"/>
    <n v="2004"/>
    <s v="KS AZS AWF Kraków"/>
    <x v="1"/>
    <s v="Bydgoszcz"/>
    <x v="3"/>
    <x v="2"/>
    <x v="115"/>
  </r>
  <r>
    <x v="14"/>
    <x v="0"/>
    <n v="2004"/>
    <s v="KS AZS AWF Kraków"/>
    <x v="1"/>
    <s v="Bydgoszcz"/>
    <x v="4"/>
    <x v="0"/>
    <x v="115"/>
  </r>
  <r>
    <x v="14"/>
    <x v="0"/>
    <n v="2004"/>
    <s v="KS AZS AWF Kraków"/>
    <x v="1"/>
    <s v="Bydgoszcz"/>
    <x v="4"/>
    <x v="1"/>
    <x v="115"/>
  </r>
  <r>
    <x v="14"/>
    <x v="0"/>
    <n v="2004"/>
    <s v="KS AZS AWF Kraków"/>
    <x v="1"/>
    <s v="Bydgoszcz"/>
    <x v="4"/>
    <x v="2"/>
    <x v="115"/>
  </r>
  <r>
    <x v="14"/>
    <x v="0"/>
    <n v="2004"/>
    <s v="KS AZS AWF Kraków"/>
    <x v="1"/>
    <s v="Bydgoszcz"/>
    <x v="5"/>
    <x v="0"/>
    <x v="115"/>
  </r>
  <r>
    <x v="14"/>
    <x v="0"/>
    <n v="2004"/>
    <s v="KS AZS AWF Kraków"/>
    <x v="1"/>
    <s v="Bydgoszcz"/>
    <x v="5"/>
    <x v="1"/>
    <x v="115"/>
  </r>
  <r>
    <x v="14"/>
    <x v="0"/>
    <n v="2004"/>
    <s v="KS AZS AWF Kraków"/>
    <x v="1"/>
    <s v="Bydgoszcz"/>
    <x v="5"/>
    <x v="2"/>
    <x v="115"/>
  </r>
  <r>
    <x v="14"/>
    <x v="0"/>
    <n v="2004"/>
    <s v="KS AZS AWF Kraków"/>
    <x v="1"/>
    <s v="Bydgoszcz"/>
    <x v="6"/>
    <x v="3"/>
    <x v="115"/>
  </r>
  <r>
    <x v="14"/>
    <x v="0"/>
    <n v="2004"/>
    <s v="KS AZS AWF Kraków"/>
    <x v="1"/>
    <s v="Bydgoszcz"/>
    <x v="6"/>
    <x v="4"/>
    <x v="115"/>
  </r>
  <r>
    <x v="14"/>
    <x v="0"/>
    <n v="2004"/>
    <s v="KS AZS AWF Kraków"/>
    <x v="1"/>
    <s v="Bydgoszcz"/>
    <x v="6"/>
    <x v="5"/>
    <x v="140"/>
  </r>
  <r>
    <x v="15"/>
    <x v="1"/>
    <n v="2008"/>
    <s v="CWZS Zawisza KG Bydgoszcz"/>
    <x v="0"/>
    <s v="Bydgoszcz"/>
    <x v="0"/>
    <x v="0"/>
    <x v="25"/>
  </r>
  <r>
    <x v="15"/>
    <x v="1"/>
    <n v="2008"/>
    <s v="CWZS Zawisza KG Bydgoszcz"/>
    <x v="0"/>
    <s v="Bydgoszcz"/>
    <x v="0"/>
    <x v="1"/>
    <x v="141"/>
  </r>
  <r>
    <x v="15"/>
    <x v="1"/>
    <n v="2008"/>
    <s v="CWZS Zawisza KG Bydgoszcz"/>
    <x v="0"/>
    <s v="Bydgoszcz"/>
    <x v="0"/>
    <x v="2"/>
    <x v="142"/>
  </r>
  <r>
    <x v="15"/>
    <x v="1"/>
    <n v="2008"/>
    <s v="CWZS Zawisza KG Bydgoszcz"/>
    <x v="0"/>
    <s v="Bydgoszcz"/>
    <x v="1"/>
    <x v="0"/>
    <x v="22"/>
  </r>
  <r>
    <x v="15"/>
    <x v="1"/>
    <n v="2008"/>
    <s v="CWZS Zawisza KG Bydgoszcz"/>
    <x v="0"/>
    <s v="Bydgoszcz"/>
    <x v="1"/>
    <x v="1"/>
    <x v="141"/>
  </r>
  <r>
    <x v="15"/>
    <x v="1"/>
    <n v="2008"/>
    <s v="CWZS Zawisza KG Bydgoszcz"/>
    <x v="0"/>
    <s v="Bydgoszcz"/>
    <x v="1"/>
    <x v="2"/>
    <x v="143"/>
  </r>
  <r>
    <x v="15"/>
    <x v="1"/>
    <n v="2008"/>
    <s v="CWZS Zawisza KG Bydgoszcz"/>
    <x v="0"/>
    <s v="Bydgoszcz"/>
    <x v="2"/>
    <x v="0"/>
    <x v="110"/>
  </r>
  <r>
    <x v="15"/>
    <x v="1"/>
    <n v="2008"/>
    <s v="CWZS Zawisza KG Bydgoszcz"/>
    <x v="0"/>
    <s v="Bydgoszcz"/>
    <x v="2"/>
    <x v="1"/>
    <x v="144"/>
  </r>
  <r>
    <x v="15"/>
    <x v="1"/>
    <n v="2008"/>
    <s v="CWZS Zawisza KG Bydgoszcz"/>
    <x v="0"/>
    <s v="Bydgoszcz"/>
    <x v="2"/>
    <x v="2"/>
    <x v="145"/>
  </r>
  <r>
    <x v="15"/>
    <x v="1"/>
    <n v="2008"/>
    <s v="CWZS Zawisza KG Bydgoszcz"/>
    <x v="0"/>
    <s v="Bydgoszcz"/>
    <x v="3"/>
    <x v="0"/>
    <x v="146"/>
  </r>
  <r>
    <x v="15"/>
    <x v="1"/>
    <n v="2008"/>
    <s v="CWZS Zawisza KG Bydgoszcz"/>
    <x v="0"/>
    <s v="Bydgoszcz"/>
    <x v="3"/>
    <x v="1"/>
    <x v="147"/>
  </r>
  <r>
    <x v="15"/>
    <x v="1"/>
    <n v="2008"/>
    <s v="CWZS Zawisza KG Bydgoszcz"/>
    <x v="0"/>
    <s v="Bydgoszcz"/>
    <x v="3"/>
    <x v="2"/>
    <x v="48"/>
  </r>
  <r>
    <x v="15"/>
    <x v="1"/>
    <n v="2008"/>
    <s v="CWZS Zawisza KG Bydgoszcz"/>
    <x v="0"/>
    <s v="Bydgoszcz"/>
    <x v="4"/>
    <x v="0"/>
    <x v="30"/>
  </r>
  <r>
    <x v="15"/>
    <x v="1"/>
    <n v="2008"/>
    <s v="CWZS Zawisza KG Bydgoszcz"/>
    <x v="0"/>
    <s v="Bydgoszcz"/>
    <x v="4"/>
    <x v="1"/>
    <x v="148"/>
  </r>
  <r>
    <x v="15"/>
    <x v="1"/>
    <n v="2008"/>
    <s v="CWZS Zawisza KG Bydgoszcz"/>
    <x v="0"/>
    <s v="Bydgoszcz"/>
    <x v="4"/>
    <x v="2"/>
    <x v="140"/>
  </r>
  <r>
    <x v="15"/>
    <x v="1"/>
    <n v="2008"/>
    <s v="CWZS Zawisza KG Bydgoszcz"/>
    <x v="0"/>
    <s v="Bydgoszcz"/>
    <x v="5"/>
    <x v="0"/>
    <x v="112"/>
  </r>
  <r>
    <x v="15"/>
    <x v="1"/>
    <n v="2008"/>
    <s v="CWZS Zawisza KG Bydgoszcz"/>
    <x v="0"/>
    <s v="Bydgoszcz"/>
    <x v="5"/>
    <x v="1"/>
    <x v="26"/>
  </r>
  <r>
    <x v="15"/>
    <x v="1"/>
    <n v="2008"/>
    <s v="CWZS Zawisza KG Bydgoszcz"/>
    <x v="0"/>
    <s v="Bydgoszcz"/>
    <x v="5"/>
    <x v="2"/>
    <x v="48"/>
  </r>
  <r>
    <x v="15"/>
    <x v="1"/>
    <n v="2008"/>
    <s v="CWZS Zawisza KG Bydgoszcz"/>
    <x v="0"/>
    <s v="Bydgoszcz"/>
    <x v="6"/>
    <x v="3"/>
    <x v="149"/>
  </r>
  <r>
    <x v="15"/>
    <x v="1"/>
    <n v="2008"/>
    <s v="CWZS Zawisza KG Bydgoszcz"/>
    <x v="0"/>
    <s v="Bydgoszcz"/>
    <x v="6"/>
    <x v="4"/>
    <x v="150"/>
  </r>
  <r>
    <x v="15"/>
    <x v="1"/>
    <n v="2008"/>
    <s v="CWZS Zawisza KG Bydgoszcz"/>
    <x v="0"/>
    <s v="Bydgoszcz"/>
    <x v="6"/>
    <x v="5"/>
    <x v="151"/>
  </r>
  <r>
    <x v="16"/>
    <x v="1"/>
    <n v="2005"/>
    <s v="MKS Kusy Szczecin"/>
    <x v="0"/>
    <s v="Bydgoszcz"/>
    <x v="0"/>
    <x v="0"/>
    <x v="25"/>
  </r>
  <r>
    <x v="16"/>
    <x v="1"/>
    <n v="2005"/>
    <s v="MKS Kusy Szczecin"/>
    <x v="0"/>
    <s v="Bydgoszcz"/>
    <x v="0"/>
    <x v="1"/>
    <x v="1"/>
  </r>
  <r>
    <x v="16"/>
    <x v="1"/>
    <n v="2005"/>
    <s v="MKS Kusy Szczecin"/>
    <x v="0"/>
    <s v="Bydgoszcz"/>
    <x v="0"/>
    <x v="2"/>
    <x v="8"/>
  </r>
  <r>
    <x v="16"/>
    <x v="1"/>
    <n v="2005"/>
    <s v="MKS Kusy Szczecin"/>
    <x v="0"/>
    <s v="Bydgoszcz"/>
    <x v="1"/>
    <x v="0"/>
    <x v="80"/>
  </r>
  <r>
    <x v="16"/>
    <x v="1"/>
    <n v="2005"/>
    <s v="MKS Kusy Szczecin"/>
    <x v="0"/>
    <s v="Bydgoszcz"/>
    <x v="1"/>
    <x v="1"/>
    <x v="118"/>
  </r>
  <r>
    <x v="16"/>
    <x v="1"/>
    <n v="2005"/>
    <s v="MKS Kusy Szczecin"/>
    <x v="0"/>
    <s v="Bydgoszcz"/>
    <x v="1"/>
    <x v="2"/>
    <x v="152"/>
  </r>
  <r>
    <x v="16"/>
    <x v="1"/>
    <n v="2005"/>
    <s v="MKS Kusy Szczecin"/>
    <x v="0"/>
    <s v="Bydgoszcz"/>
    <x v="2"/>
    <x v="0"/>
    <x v="98"/>
  </r>
  <r>
    <x v="16"/>
    <x v="1"/>
    <n v="2005"/>
    <s v="MKS Kusy Szczecin"/>
    <x v="0"/>
    <s v="Bydgoszcz"/>
    <x v="2"/>
    <x v="1"/>
    <x v="15"/>
  </r>
  <r>
    <x v="16"/>
    <x v="1"/>
    <n v="2005"/>
    <s v="MKS Kusy Szczecin"/>
    <x v="0"/>
    <s v="Bydgoszcz"/>
    <x v="2"/>
    <x v="2"/>
    <x v="108"/>
  </r>
  <r>
    <x v="16"/>
    <x v="1"/>
    <n v="2005"/>
    <s v="MKS Kusy Szczecin"/>
    <x v="0"/>
    <s v="Bydgoszcz"/>
    <x v="3"/>
    <x v="0"/>
    <x v="25"/>
  </r>
  <r>
    <x v="16"/>
    <x v="1"/>
    <n v="2005"/>
    <s v="MKS Kusy Szczecin"/>
    <x v="0"/>
    <s v="Bydgoszcz"/>
    <x v="3"/>
    <x v="1"/>
    <x v="153"/>
  </r>
  <r>
    <x v="16"/>
    <x v="1"/>
    <n v="2005"/>
    <s v="MKS Kusy Szczecin"/>
    <x v="0"/>
    <s v="Bydgoszcz"/>
    <x v="3"/>
    <x v="2"/>
    <x v="32"/>
  </r>
  <r>
    <x v="16"/>
    <x v="1"/>
    <n v="2005"/>
    <s v="MKS Kusy Szczecin"/>
    <x v="0"/>
    <s v="Bydgoszcz"/>
    <x v="4"/>
    <x v="0"/>
    <x v="80"/>
  </r>
  <r>
    <x v="16"/>
    <x v="1"/>
    <n v="2005"/>
    <s v="MKS Kusy Szczecin"/>
    <x v="0"/>
    <s v="Bydgoszcz"/>
    <x v="4"/>
    <x v="1"/>
    <x v="126"/>
  </r>
  <r>
    <x v="16"/>
    <x v="1"/>
    <n v="2005"/>
    <s v="MKS Kusy Szczecin"/>
    <x v="0"/>
    <s v="Bydgoszcz"/>
    <x v="4"/>
    <x v="2"/>
    <x v="154"/>
  </r>
  <r>
    <x v="16"/>
    <x v="1"/>
    <n v="2005"/>
    <s v="MKS Kusy Szczecin"/>
    <x v="0"/>
    <s v="Bydgoszcz"/>
    <x v="5"/>
    <x v="0"/>
    <x v="45"/>
  </r>
  <r>
    <x v="16"/>
    <x v="1"/>
    <n v="2005"/>
    <s v="MKS Kusy Szczecin"/>
    <x v="0"/>
    <s v="Bydgoszcz"/>
    <x v="5"/>
    <x v="1"/>
    <x v="1"/>
  </r>
  <r>
    <x v="16"/>
    <x v="1"/>
    <n v="2005"/>
    <s v="MKS Kusy Szczecin"/>
    <x v="0"/>
    <s v="Bydgoszcz"/>
    <x v="5"/>
    <x v="2"/>
    <x v="155"/>
  </r>
  <r>
    <x v="16"/>
    <x v="1"/>
    <n v="2005"/>
    <s v="MKS Kusy Szczecin"/>
    <x v="0"/>
    <s v="Bydgoszcz"/>
    <x v="6"/>
    <x v="3"/>
    <x v="156"/>
  </r>
  <r>
    <x v="16"/>
    <x v="1"/>
    <n v="2005"/>
    <s v="MKS Kusy Szczecin"/>
    <x v="0"/>
    <s v="Bydgoszcz"/>
    <x v="6"/>
    <x v="4"/>
    <x v="157"/>
  </r>
  <r>
    <x v="16"/>
    <x v="1"/>
    <n v="2005"/>
    <s v="MKS Kusy Szczecin"/>
    <x v="0"/>
    <s v="Bydgoszcz"/>
    <x v="6"/>
    <x v="5"/>
    <x v="158"/>
  </r>
  <r>
    <x v="17"/>
    <x v="1"/>
    <n v="2006"/>
    <s v="MKS Gdańsk"/>
    <x v="0"/>
    <s v="Bydgoszcz"/>
    <x v="0"/>
    <x v="0"/>
    <x v="22"/>
  </r>
  <r>
    <x v="17"/>
    <x v="1"/>
    <n v="2006"/>
    <s v="MKS Gdańsk"/>
    <x v="0"/>
    <s v="Bydgoszcz"/>
    <x v="0"/>
    <x v="1"/>
    <x v="10"/>
  </r>
  <r>
    <x v="17"/>
    <x v="1"/>
    <n v="2006"/>
    <s v="MKS Gdańsk"/>
    <x v="0"/>
    <s v="Bydgoszcz"/>
    <x v="0"/>
    <x v="2"/>
    <x v="32"/>
  </r>
  <r>
    <x v="17"/>
    <x v="1"/>
    <n v="2006"/>
    <s v="MKS Gdańsk"/>
    <x v="0"/>
    <s v="Bydgoszcz"/>
    <x v="1"/>
    <x v="0"/>
    <x v="3"/>
  </r>
  <r>
    <x v="17"/>
    <x v="1"/>
    <n v="2006"/>
    <s v="MKS Gdańsk"/>
    <x v="0"/>
    <s v="Bydgoszcz"/>
    <x v="1"/>
    <x v="1"/>
    <x v="99"/>
  </r>
  <r>
    <x v="17"/>
    <x v="1"/>
    <n v="2006"/>
    <s v="MKS Gdańsk"/>
    <x v="0"/>
    <s v="Bydgoszcz"/>
    <x v="1"/>
    <x v="2"/>
    <x v="68"/>
  </r>
  <r>
    <x v="17"/>
    <x v="1"/>
    <n v="2006"/>
    <s v="MKS Gdańsk"/>
    <x v="0"/>
    <s v="Bydgoszcz"/>
    <x v="2"/>
    <x v="0"/>
    <x v="47"/>
  </r>
  <r>
    <x v="17"/>
    <x v="1"/>
    <n v="2006"/>
    <s v="MKS Gdańsk"/>
    <x v="0"/>
    <s v="Bydgoszcz"/>
    <x v="2"/>
    <x v="1"/>
    <x v="1"/>
  </r>
  <r>
    <x v="17"/>
    <x v="1"/>
    <n v="2006"/>
    <s v="MKS Gdańsk"/>
    <x v="0"/>
    <s v="Bydgoszcz"/>
    <x v="2"/>
    <x v="2"/>
    <x v="68"/>
  </r>
  <r>
    <x v="17"/>
    <x v="1"/>
    <n v="2006"/>
    <s v="MKS Gdańsk"/>
    <x v="0"/>
    <s v="Bydgoszcz"/>
    <x v="3"/>
    <x v="0"/>
    <x v="159"/>
  </r>
  <r>
    <x v="17"/>
    <x v="1"/>
    <n v="2006"/>
    <s v="MKS Gdańsk"/>
    <x v="0"/>
    <s v="Bydgoszcz"/>
    <x v="3"/>
    <x v="1"/>
    <x v="121"/>
  </r>
  <r>
    <x v="17"/>
    <x v="1"/>
    <n v="2006"/>
    <s v="MKS Gdańsk"/>
    <x v="0"/>
    <s v="Bydgoszcz"/>
    <x v="3"/>
    <x v="2"/>
    <x v="78"/>
  </r>
  <r>
    <x v="17"/>
    <x v="1"/>
    <n v="2006"/>
    <s v="MKS Gdańsk"/>
    <x v="0"/>
    <s v="Bydgoszcz"/>
    <x v="4"/>
    <x v="0"/>
    <x v="42"/>
  </r>
  <r>
    <x v="17"/>
    <x v="1"/>
    <n v="2006"/>
    <s v="MKS Gdańsk"/>
    <x v="0"/>
    <s v="Bydgoszcz"/>
    <x v="4"/>
    <x v="1"/>
    <x v="13"/>
  </r>
  <r>
    <x v="17"/>
    <x v="1"/>
    <n v="2006"/>
    <s v="MKS Gdańsk"/>
    <x v="0"/>
    <s v="Bydgoszcz"/>
    <x v="4"/>
    <x v="2"/>
    <x v="8"/>
  </r>
  <r>
    <x v="17"/>
    <x v="1"/>
    <n v="2006"/>
    <s v="MKS Gdańsk"/>
    <x v="0"/>
    <s v="Bydgoszcz"/>
    <x v="5"/>
    <x v="0"/>
    <x v="45"/>
  </r>
  <r>
    <x v="17"/>
    <x v="1"/>
    <n v="2006"/>
    <s v="MKS Gdańsk"/>
    <x v="0"/>
    <s v="Bydgoszcz"/>
    <x v="5"/>
    <x v="1"/>
    <x v="95"/>
  </r>
  <r>
    <x v="17"/>
    <x v="1"/>
    <n v="2006"/>
    <s v="MKS Gdańsk"/>
    <x v="0"/>
    <s v="Bydgoszcz"/>
    <x v="5"/>
    <x v="2"/>
    <x v="160"/>
  </r>
  <r>
    <x v="17"/>
    <x v="1"/>
    <n v="2006"/>
    <s v="MKS Gdańsk"/>
    <x v="0"/>
    <s v="Bydgoszcz"/>
    <x v="6"/>
    <x v="3"/>
    <x v="161"/>
  </r>
  <r>
    <x v="17"/>
    <x v="1"/>
    <n v="2006"/>
    <s v="MKS Gdańsk"/>
    <x v="0"/>
    <s v="Bydgoszcz"/>
    <x v="6"/>
    <x v="4"/>
    <x v="162"/>
  </r>
  <r>
    <x v="17"/>
    <x v="1"/>
    <n v="2006"/>
    <s v="MKS Gdańsk"/>
    <x v="0"/>
    <s v="Bydgoszcz"/>
    <x v="6"/>
    <x v="5"/>
    <x v="163"/>
  </r>
  <r>
    <x v="18"/>
    <x v="1"/>
    <n v="2005"/>
    <s v="MKS Kusy Szczecin"/>
    <x v="0"/>
    <s v="Bydgoszcz"/>
    <x v="0"/>
    <x v="0"/>
    <x v="12"/>
  </r>
  <r>
    <x v="18"/>
    <x v="1"/>
    <n v="2005"/>
    <s v="MKS Kusy Szczecin"/>
    <x v="0"/>
    <s v="Bydgoszcz"/>
    <x v="0"/>
    <x v="1"/>
    <x v="13"/>
  </r>
  <r>
    <x v="18"/>
    <x v="1"/>
    <n v="2005"/>
    <s v="MKS Kusy Szczecin"/>
    <x v="0"/>
    <s v="Bydgoszcz"/>
    <x v="0"/>
    <x v="2"/>
    <x v="14"/>
  </r>
  <r>
    <x v="18"/>
    <x v="1"/>
    <n v="2005"/>
    <s v="MKS Kusy Szczecin"/>
    <x v="0"/>
    <s v="Bydgoszcz"/>
    <x v="1"/>
    <x v="0"/>
    <x v="47"/>
  </r>
  <r>
    <x v="18"/>
    <x v="1"/>
    <n v="2005"/>
    <s v="MKS Kusy Szczecin"/>
    <x v="0"/>
    <s v="Bydgoszcz"/>
    <x v="1"/>
    <x v="1"/>
    <x v="99"/>
  </r>
  <r>
    <x v="18"/>
    <x v="1"/>
    <n v="2005"/>
    <s v="MKS Kusy Szczecin"/>
    <x v="0"/>
    <s v="Bydgoszcz"/>
    <x v="1"/>
    <x v="2"/>
    <x v="62"/>
  </r>
  <r>
    <x v="18"/>
    <x v="1"/>
    <n v="2005"/>
    <s v="MKS Kusy Szczecin"/>
    <x v="0"/>
    <s v="Bydgoszcz"/>
    <x v="2"/>
    <x v="0"/>
    <x v="117"/>
  </r>
  <r>
    <x v="18"/>
    <x v="1"/>
    <n v="2005"/>
    <s v="MKS Kusy Szczecin"/>
    <x v="0"/>
    <s v="Bydgoszcz"/>
    <x v="2"/>
    <x v="1"/>
    <x v="4"/>
  </r>
  <r>
    <x v="18"/>
    <x v="1"/>
    <n v="2005"/>
    <s v="MKS Kusy Szczecin"/>
    <x v="0"/>
    <s v="Bydgoszcz"/>
    <x v="2"/>
    <x v="2"/>
    <x v="78"/>
  </r>
  <r>
    <x v="18"/>
    <x v="1"/>
    <n v="2005"/>
    <s v="MKS Kusy Szczecin"/>
    <x v="0"/>
    <s v="Bydgoszcz"/>
    <x v="3"/>
    <x v="0"/>
    <x v="42"/>
  </r>
  <r>
    <x v="18"/>
    <x v="1"/>
    <n v="2005"/>
    <s v="MKS Kusy Szczecin"/>
    <x v="0"/>
    <s v="Bydgoszcz"/>
    <x v="3"/>
    <x v="1"/>
    <x v="26"/>
  </r>
  <r>
    <x v="18"/>
    <x v="1"/>
    <n v="2005"/>
    <s v="MKS Kusy Szczecin"/>
    <x v="0"/>
    <s v="Bydgoszcz"/>
    <x v="3"/>
    <x v="2"/>
    <x v="21"/>
  </r>
  <r>
    <x v="18"/>
    <x v="1"/>
    <n v="2005"/>
    <s v="MKS Kusy Szczecin"/>
    <x v="0"/>
    <s v="Bydgoszcz"/>
    <x v="4"/>
    <x v="0"/>
    <x v="79"/>
  </r>
  <r>
    <x v="18"/>
    <x v="1"/>
    <n v="2005"/>
    <s v="MKS Kusy Szczecin"/>
    <x v="0"/>
    <s v="Bydgoszcz"/>
    <x v="4"/>
    <x v="1"/>
    <x v="129"/>
  </r>
  <r>
    <x v="18"/>
    <x v="1"/>
    <n v="2005"/>
    <s v="MKS Kusy Szczecin"/>
    <x v="0"/>
    <s v="Bydgoszcz"/>
    <x v="4"/>
    <x v="2"/>
    <x v="164"/>
  </r>
  <r>
    <x v="18"/>
    <x v="1"/>
    <n v="2005"/>
    <s v="MKS Kusy Szczecin"/>
    <x v="0"/>
    <s v="Bydgoszcz"/>
    <x v="5"/>
    <x v="0"/>
    <x v="80"/>
  </r>
  <r>
    <x v="18"/>
    <x v="1"/>
    <n v="2005"/>
    <s v="MKS Kusy Szczecin"/>
    <x v="0"/>
    <s v="Bydgoszcz"/>
    <x v="5"/>
    <x v="1"/>
    <x v="77"/>
  </r>
  <r>
    <x v="18"/>
    <x v="1"/>
    <n v="2005"/>
    <s v="MKS Kusy Szczecin"/>
    <x v="0"/>
    <s v="Bydgoszcz"/>
    <x v="5"/>
    <x v="2"/>
    <x v="160"/>
  </r>
  <r>
    <x v="18"/>
    <x v="1"/>
    <n v="2005"/>
    <s v="MKS Kusy Szczecin"/>
    <x v="0"/>
    <s v="Bydgoszcz"/>
    <x v="6"/>
    <x v="3"/>
    <x v="165"/>
  </r>
  <r>
    <x v="18"/>
    <x v="1"/>
    <n v="2005"/>
    <s v="MKS Kusy Szczecin"/>
    <x v="0"/>
    <s v="Bydgoszcz"/>
    <x v="6"/>
    <x v="4"/>
    <x v="166"/>
  </r>
  <r>
    <x v="18"/>
    <x v="1"/>
    <n v="2005"/>
    <s v="MKS Kusy Szczecin"/>
    <x v="0"/>
    <s v="Bydgoszcz"/>
    <x v="6"/>
    <x v="5"/>
    <x v="167"/>
  </r>
  <r>
    <x v="19"/>
    <x v="1"/>
    <n v="2006"/>
    <s v="KS AZS AWF Kraków"/>
    <x v="0"/>
    <s v="Bydgoszcz"/>
    <x v="0"/>
    <x v="0"/>
    <x v="117"/>
  </r>
  <r>
    <x v="19"/>
    <x v="1"/>
    <n v="2006"/>
    <s v="KS AZS AWF Kraków"/>
    <x v="0"/>
    <s v="Bydgoszcz"/>
    <x v="0"/>
    <x v="1"/>
    <x v="168"/>
  </r>
  <r>
    <x v="19"/>
    <x v="1"/>
    <n v="2006"/>
    <s v="KS AZS AWF Kraków"/>
    <x v="0"/>
    <s v="Bydgoszcz"/>
    <x v="0"/>
    <x v="2"/>
    <x v="48"/>
  </r>
  <r>
    <x v="19"/>
    <x v="1"/>
    <n v="2006"/>
    <s v="KS AZS AWF Kraków"/>
    <x v="0"/>
    <s v="Bydgoszcz"/>
    <x v="1"/>
    <x v="0"/>
    <x v="3"/>
  </r>
  <r>
    <x v="19"/>
    <x v="1"/>
    <n v="2006"/>
    <s v="KS AZS AWF Kraków"/>
    <x v="0"/>
    <s v="Bydgoszcz"/>
    <x v="1"/>
    <x v="1"/>
    <x v="90"/>
  </r>
  <r>
    <x v="19"/>
    <x v="1"/>
    <n v="2006"/>
    <s v="KS AZS AWF Kraków"/>
    <x v="0"/>
    <s v="Bydgoszcz"/>
    <x v="1"/>
    <x v="2"/>
    <x v="169"/>
  </r>
  <r>
    <x v="19"/>
    <x v="1"/>
    <n v="2006"/>
    <s v="KS AZS AWF Kraków"/>
    <x v="0"/>
    <s v="Bydgoszcz"/>
    <x v="2"/>
    <x v="0"/>
    <x v="135"/>
  </r>
  <r>
    <x v="19"/>
    <x v="1"/>
    <n v="2006"/>
    <s v="KS AZS AWF Kraków"/>
    <x v="0"/>
    <s v="Bydgoszcz"/>
    <x v="2"/>
    <x v="1"/>
    <x v="67"/>
  </r>
  <r>
    <x v="19"/>
    <x v="1"/>
    <n v="2006"/>
    <s v="KS AZS AWF Kraków"/>
    <x v="0"/>
    <s v="Bydgoszcz"/>
    <x v="2"/>
    <x v="2"/>
    <x v="170"/>
  </r>
  <r>
    <x v="19"/>
    <x v="1"/>
    <n v="2006"/>
    <s v="KS AZS AWF Kraków"/>
    <x v="0"/>
    <s v="Bydgoszcz"/>
    <x v="3"/>
    <x v="0"/>
    <x v="96"/>
  </r>
  <r>
    <x v="19"/>
    <x v="1"/>
    <n v="2006"/>
    <s v="KS AZS AWF Kraków"/>
    <x v="0"/>
    <s v="Bydgoszcz"/>
    <x v="3"/>
    <x v="1"/>
    <x v="144"/>
  </r>
  <r>
    <x v="19"/>
    <x v="1"/>
    <n v="2006"/>
    <s v="KS AZS AWF Kraków"/>
    <x v="0"/>
    <s v="Bydgoszcz"/>
    <x v="3"/>
    <x v="2"/>
    <x v="171"/>
  </r>
  <r>
    <x v="19"/>
    <x v="1"/>
    <n v="2006"/>
    <s v="KS AZS AWF Kraków"/>
    <x v="0"/>
    <s v="Bydgoszcz"/>
    <x v="4"/>
    <x v="0"/>
    <x v="80"/>
  </r>
  <r>
    <x v="19"/>
    <x v="1"/>
    <n v="2006"/>
    <s v="KS AZS AWF Kraków"/>
    <x v="0"/>
    <s v="Bydgoszcz"/>
    <x v="4"/>
    <x v="1"/>
    <x v="153"/>
  </r>
  <r>
    <x v="19"/>
    <x v="1"/>
    <n v="2006"/>
    <s v="KS AZS AWF Kraków"/>
    <x v="0"/>
    <s v="Bydgoszcz"/>
    <x v="4"/>
    <x v="2"/>
    <x v="48"/>
  </r>
  <r>
    <x v="19"/>
    <x v="1"/>
    <n v="2006"/>
    <s v="KS AZS AWF Kraków"/>
    <x v="0"/>
    <s v="Bydgoszcz"/>
    <x v="5"/>
    <x v="0"/>
    <x v="60"/>
  </r>
  <r>
    <x v="19"/>
    <x v="1"/>
    <n v="2006"/>
    <s v="KS AZS AWF Kraków"/>
    <x v="0"/>
    <s v="Bydgoszcz"/>
    <x v="5"/>
    <x v="1"/>
    <x v="1"/>
  </r>
  <r>
    <x v="19"/>
    <x v="1"/>
    <n v="2006"/>
    <s v="KS AZS AWF Kraków"/>
    <x v="0"/>
    <s v="Bydgoszcz"/>
    <x v="5"/>
    <x v="2"/>
    <x v="160"/>
  </r>
  <r>
    <x v="19"/>
    <x v="1"/>
    <n v="2006"/>
    <s v="KS AZS AWF Kraków"/>
    <x v="0"/>
    <s v="Bydgoszcz"/>
    <x v="6"/>
    <x v="3"/>
    <x v="172"/>
  </r>
  <r>
    <x v="19"/>
    <x v="1"/>
    <n v="2006"/>
    <s v="KS AZS AWF Kraków"/>
    <x v="0"/>
    <s v="Bydgoszcz"/>
    <x v="6"/>
    <x v="4"/>
    <x v="173"/>
  </r>
  <r>
    <x v="19"/>
    <x v="1"/>
    <n v="2006"/>
    <s v="KS AZS AWF Kraków"/>
    <x v="0"/>
    <s v="Bydgoszcz"/>
    <x v="6"/>
    <x v="5"/>
    <x v="174"/>
  </r>
  <r>
    <x v="20"/>
    <x v="1"/>
    <n v="2007"/>
    <s v="KS AZS AWF Kraków"/>
    <x v="0"/>
    <s v="Bydgoszcz"/>
    <x v="0"/>
    <x v="0"/>
    <x v="45"/>
  </r>
  <r>
    <x v="20"/>
    <x v="1"/>
    <n v="2007"/>
    <s v="KS AZS AWF Kraków"/>
    <x v="0"/>
    <s v="Bydgoszcz"/>
    <x v="0"/>
    <x v="1"/>
    <x v="31"/>
  </r>
  <r>
    <x v="20"/>
    <x v="1"/>
    <n v="2007"/>
    <s v="KS AZS AWF Kraków"/>
    <x v="0"/>
    <s v="Bydgoszcz"/>
    <x v="0"/>
    <x v="2"/>
    <x v="8"/>
  </r>
  <r>
    <x v="20"/>
    <x v="1"/>
    <n v="2007"/>
    <s v="KS AZS AWF Kraków"/>
    <x v="0"/>
    <s v="Bydgoszcz"/>
    <x v="1"/>
    <x v="0"/>
    <x v="60"/>
  </r>
  <r>
    <x v="20"/>
    <x v="1"/>
    <n v="2007"/>
    <s v="KS AZS AWF Kraków"/>
    <x v="0"/>
    <s v="Bydgoszcz"/>
    <x v="1"/>
    <x v="1"/>
    <x v="13"/>
  </r>
  <r>
    <x v="20"/>
    <x v="1"/>
    <n v="2007"/>
    <s v="KS AZS AWF Kraków"/>
    <x v="0"/>
    <s v="Bydgoszcz"/>
    <x v="1"/>
    <x v="2"/>
    <x v="48"/>
  </r>
  <r>
    <x v="20"/>
    <x v="1"/>
    <n v="2007"/>
    <s v="KS AZS AWF Kraków"/>
    <x v="0"/>
    <s v="Bydgoszcz"/>
    <x v="2"/>
    <x v="0"/>
    <x v="135"/>
  </r>
  <r>
    <x v="20"/>
    <x v="1"/>
    <n v="2007"/>
    <s v="KS AZS AWF Kraków"/>
    <x v="0"/>
    <s v="Bydgoszcz"/>
    <x v="2"/>
    <x v="1"/>
    <x v="67"/>
  </r>
  <r>
    <x v="20"/>
    <x v="1"/>
    <n v="2007"/>
    <s v="KS AZS AWF Kraków"/>
    <x v="0"/>
    <s v="Bydgoszcz"/>
    <x v="2"/>
    <x v="2"/>
    <x v="170"/>
  </r>
  <r>
    <x v="20"/>
    <x v="1"/>
    <n v="2007"/>
    <s v="KS AZS AWF Kraków"/>
    <x v="0"/>
    <s v="Bydgoszcz"/>
    <x v="3"/>
    <x v="0"/>
    <x v="110"/>
  </r>
  <r>
    <x v="20"/>
    <x v="1"/>
    <n v="2007"/>
    <s v="KS AZS AWF Kraków"/>
    <x v="0"/>
    <s v="Bydgoszcz"/>
    <x v="3"/>
    <x v="1"/>
    <x v="153"/>
  </r>
  <r>
    <x v="20"/>
    <x v="1"/>
    <n v="2007"/>
    <s v="KS AZS AWF Kraków"/>
    <x v="0"/>
    <s v="Bydgoszcz"/>
    <x v="3"/>
    <x v="2"/>
    <x v="46"/>
  </r>
  <r>
    <x v="20"/>
    <x v="1"/>
    <n v="2007"/>
    <s v="KS AZS AWF Kraków"/>
    <x v="0"/>
    <s v="Bydgoszcz"/>
    <x v="4"/>
    <x v="0"/>
    <x v="80"/>
  </r>
  <r>
    <x v="20"/>
    <x v="1"/>
    <n v="2007"/>
    <s v="KS AZS AWF Kraków"/>
    <x v="0"/>
    <s v="Bydgoszcz"/>
    <x v="4"/>
    <x v="1"/>
    <x v="10"/>
  </r>
  <r>
    <x v="20"/>
    <x v="1"/>
    <n v="2007"/>
    <s v="KS AZS AWF Kraków"/>
    <x v="0"/>
    <s v="Bydgoszcz"/>
    <x v="4"/>
    <x v="2"/>
    <x v="8"/>
  </r>
  <r>
    <x v="20"/>
    <x v="1"/>
    <n v="2007"/>
    <s v="KS AZS AWF Kraków"/>
    <x v="0"/>
    <s v="Bydgoszcz"/>
    <x v="5"/>
    <x v="0"/>
    <x v="96"/>
  </r>
  <r>
    <x v="20"/>
    <x v="1"/>
    <n v="2007"/>
    <s v="KS AZS AWF Kraków"/>
    <x v="0"/>
    <s v="Bydgoszcz"/>
    <x v="5"/>
    <x v="1"/>
    <x v="1"/>
  </r>
  <r>
    <x v="20"/>
    <x v="1"/>
    <n v="2007"/>
    <s v="KS AZS AWF Kraków"/>
    <x v="0"/>
    <s v="Bydgoszcz"/>
    <x v="5"/>
    <x v="2"/>
    <x v="70"/>
  </r>
  <r>
    <x v="20"/>
    <x v="1"/>
    <n v="2007"/>
    <s v="KS AZS AWF Kraków"/>
    <x v="0"/>
    <s v="Bydgoszcz"/>
    <x v="6"/>
    <x v="3"/>
    <x v="175"/>
  </r>
  <r>
    <x v="20"/>
    <x v="1"/>
    <n v="2007"/>
    <s v="KS AZS AWF Kraków"/>
    <x v="0"/>
    <s v="Bydgoszcz"/>
    <x v="6"/>
    <x v="4"/>
    <x v="176"/>
  </r>
  <r>
    <x v="20"/>
    <x v="1"/>
    <n v="2007"/>
    <s v="KS AZS AWF Kraków"/>
    <x v="0"/>
    <s v="Bydgoszcz"/>
    <x v="6"/>
    <x v="5"/>
    <x v="177"/>
  </r>
  <r>
    <x v="21"/>
    <x v="1"/>
    <n v="2005"/>
    <s v="MKS Kusy Szczecin"/>
    <x v="0"/>
    <s v="Bydgoszcz"/>
    <x v="0"/>
    <x v="0"/>
    <x v="25"/>
  </r>
  <r>
    <x v="21"/>
    <x v="1"/>
    <n v="2005"/>
    <s v="MKS Kusy Szczecin"/>
    <x v="0"/>
    <s v="Bydgoszcz"/>
    <x v="0"/>
    <x v="1"/>
    <x v="141"/>
  </r>
  <r>
    <x v="21"/>
    <x v="1"/>
    <n v="2005"/>
    <s v="MKS Kusy Szczecin"/>
    <x v="0"/>
    <s v="Bydgoszcz"/>
    <x v="0"/>
    <x v="2"/>
    <x v="142"/>
  </r>
  <r>
    <x v="21"/>
    <x v="1"/>
    <n v="2005"/>
    <s v="MKS Kusy Szczecin"/>
    <x v="0"/>
    <s v="Bydgoszcz"/>
    <x v="1"/>
    <x v="0"/>
    <x v="117"/>
  </r>
  <r>
    <x v="21"/>
    <x v="1"/>
    <n v="2005"/>
    <s v="MKS Kusy Szczecin"/>
    <x v="0"/>
    <s v="Bydgoszcz"/>
    <x v="1"/>
    <x v="1"/>
    <x v="178"/>
  </r>
  <r>
    <x v="21"/>
    <x v="1"/>
    <n v="2005"/>
    <s v="MKS Kusy Szczecin"/>
    <x v="0"/>
    <s v="Bydgoszcz"/>
    <x v="1"/>
    <x v="2"/>
    <x v="138"/>
  </r>
  <r>
    <x v="21"/>
    <x v="1"/>
    <n v="2005"/>
    <s v="MKS Kusy Szczecin"/>
    <x v="0"/>
    <s v="Bydgoszcz"/>
    <x v="2"/>
    <x v="0"/>
    <x v="112"/>
  </r>
  <r>
    <x v="21"/>
    <x v="1"/>
    <n v="2005"/>
    <s v="MKS Kusy Szczecin"/>
    <x v="0"/>
    <s v="Bydgoszcz"/>
    <x v="2"/>
    <x v="1"/>
    <x v="179"/>
  </r>
  <r>
    <x v="21"/>
    <x v="1"/>
    <n v="2005"/>
    <s v="MKS Kusy Szczecin"/>
    <x v="0"/>
    <s v="Bydgoszcz"/>
    <x v="2"/>
    <x v="2"/>
    <x v="43"/>
  </r>
  <r>
    <x v="21"/>
    <x v="1"/>
    <n v="2005"/>
    <s v="MKS Kusy Szczecin"/>
    <x v="0"/>
    <s v="Bydgoszcz"/>
    <x v="3"/>
    <x v="0"/>
    <x v="110"/>
  </r>
  <r>
    <x v="21"/>
    <x v="1"/>
    <n v="2005"/>
    <s v="MKS Kusy Szczecin"/>
    <x v="0"/>
    <s v="Bydgoszcz"/>
    <x v="3"/>
    <x v="1"/>
    <x v="13"/>
  </r>
  <r>
    <x v="21"/>
    <x v="1"/>
    <n v="2005"/>
    <s v="MKS Kusy Szczecin"/>
    <x v="0"/>
    <s v="Bydgoszcz"/>
    <x v="3"/>
    <x v="2"/>
    <x v="68"/>
  </r>
  <r>
    <x v="21"/>
    <x v="1"/>
    <n v="2005"/>
    <s v="MKS Kusy Szczecin"/>
    <x v="0"/>
    <s v="Bydgoszcz"/>
    <x v="4"/>
    <x v="0"/>
    <x v="42"/>
  </r>
  <r>
    <x v="21"/>
    <x v="1"/>
    <n v="2005"/>
    <s v="MKS Kusy Szczecin"/>
    <x v="0"/>
    <s v="Bydgoszcz"/>
    <x v="4"/>
    <x v="1"/>
    <x v="58"/>
  </r>
  <r>
    <x v="21"/>
    <x v="1"/>
    <n v="2005"/>
    <s v="MKS Kusy Szczecin"/>
    <x v="0"/>
    <s v="Bydgoszcz"/>
    <x v="4"/>
    <x v="2"/>
    <x v="145"/>
  </r>
  <r>
    <x v="21"/>
    <x v="1"/>
    <n v="2005"/>
    <s v="MKS Kusy Szczecin"/>
    <x v="0"/>
    <s v="Bydgoszcz"/>
    <x v="5"/>
    <x v="0"/>
    <x v="96"/>
  </r>
  <r>
    <x v="21"/>
    <x v="1"/>
    <n v="2005"/>
    <s v="MKS Kusy Szczecin"/>
    <x v="0"/>
    <s v="Bydgoszcz"/>
    <x v="5"/>
    <x v="1"/>
    <x v="38"/>
  </r>
  <r>
    <x v="21"/>
    <x v="1"/>
    <n v="2005"/>
    <s v="MKS Kusy Szczecin"/>
    <x v="0"/>
    <s v="Bydgoszcz"/>
    <x v="5"/>
    <x v="2"/>
    <x v="56"/>
  </r>
  <r>
    <x v="21"/>
    <x v="1"/>
    <n v="2005"/>
    <s v="MKS Kusy Szczecin"/>
    <x v="0"/>
    <s v="Bydgoszcz"/>
    <x v="6"/>
    <x v="3"/>
    <x v="180"/>
  </r>
  <r>
    <x v="21"/>
    <x v="1"/>
    <n v="2005"/>
    <s v="MKS Kusy Szczecin"/>
    <x v="0"/>
    <s v="Bydgoszcz"/>
    <x v="6"/>
    <x v="4"/>
    <x v="181"/>
  </r>
  <r>
    <x v="21"/>
    <x v="1"/>
    <n v="2005"/>
    <s v="MKS Kusy Szczecin"/>
    <x v="0"/>
    <s v="Bydgoszcz"/>
    <x v="6"/>
    <x v="5"/>
    <x v="182"/>
  </r>
  <r>
    <x v="22"/>
    <x v="1"/>
    <n v="2008"/>
    <s v="KS AZS AWF Kraków"/>
    <x v="0"/>
    <s v="Bydgoszcz"/>
    <x v="0"/>
    <x v="0"/>
    <x v="22"/>
  </r>
  <r>
    <x v="22"/>
    <x v="1"/>
    <n v="2008"/>
    <s v="KS AZS AWF Kraków"/>
    <x v="0"/>
    <s v="Bydgoszcz"/>
    <x v="0"/>
    <x v="1"/>
    <x v="1"/>
  </r>
  <r>
    <x v="22"/>
    <x v="1"/>
    <n v="2008"/>
    <s v="KS AZS AWF Kraków"/>
    <x v="0"/>
    <s v="Bydgoszcz"/>
    <x v="0"/>
    <x v="2"/>
    <x v="48"/>
  </r>
  <r>
    <x v="22"/>
    <x v="1"/>
    <n v="2008"/>
    <s v="KS AZS AWF Kraków"/>
    <x v="0"/>
    <s v="Bydgoszcz"/>
    <x v="1"/>
    <x v="0"/>
    <x v="60"/>
  </r>
  <r>
    <x v="22"/>
    <x v="1"/>
    <n v="2008"/>
    <s v="KS AZS AWF Kraków"/>
    <x v="0"/>
    <s v="Bydgoszcz"/>
    <x v="1"/>
    <x v="1"/>
    <x v="61"/>
  </r>
  <r>
    <x v="22"/>
    <x v="1"/>
    <n v="2008"/>
    <s v="KS AZS AWF Kraków"/>
    <x v="0"/>
    <s v="Bydgoszcz"/>
    <x v="1"/>
    <x v="2"/>
    <x v="62"/>
  </r>
  <r>
    <x v="22"/>
    <x v="1"/>
    <n v="2008"/>
    <s v="KS AZS AWF Kraków"/>
    <x v="0"/>
    <s v="Bydgoszcz"/>
    <x v="2"/>
    <x v="0"/>
    <x v="135"/>
  </r>
  <r>
    <x v="22"/>
    <x v="1"/>
    <n v="2008"/>
    <s v="KS AZS AWF Kraków"/>
    <x v="0"/>
    <s v="Bydgoszcz"/>
    <x v="2"/>
    <x v="1"/>
    <x v="183"/>
  </r>
  <r>
    <x v="22"/>
    <x v="1"/>
    <n v="2008"/>
    <s v="KS AZS AWF Kraków"/>
    <x v="0"/>
    <s v="Bydgoszcz"/>
    <x v="2"/>
    <x v="2"/>
    <x v="184"/>
  </r>
  <r>
    <x v="22"/>
    <x v="1"/>
    <n v="2008"/>
    <s v="KS AZS AWF Kraków"/>
    <x v="0"/>
    <s v="Bydgoszcz"/>
    <x v="3"/>
    <x v="0"/>
    <x v="146"/>
  </r>
  <r>
    <x v="22"/>
    <x v="1"/>
    <n v="2008"/>
    <s v="KS AZS AWF Kraków"/>
    <x v="0"/>
    <s v="Bydgoszcz"/>
    <x v="3"/>
    <x v="1"/>
    <x v="185"/>
  </r>
  <r>
    <x v="22"/>
    <x v="1"/>
    <n v="2008"/>
    <s v="KS AZS AWF Kraków"/>
    <x v="0"/>
    <s v="Bydgoszcz"/>
    <x v="3"/>
    <x v="2"/>
    <x v="46"/>
  </r>
  <r>
    <x v="22"/>
    <x v="1"/>
    <n v="2008"/>
    <s v="KS AZS AWF Kraków"/>
    <x v="0"/>
    <s v="Bydgoszcz"/>
    <x v="4"/>
    <x v="0"/>
    <x v="60"/>
  </r>
  <r>
    <x v="22"/>
    <x v="1"/>
    <n v="2008"/>
    <s v="KS AZS AWF Kraków"/>
    <x v="0"/>
    <s v="Bydgoszcz"/>
    <x v="4"/>
    <x v="1"/>
    <x v="186"/>
  </r>
  <r>
    <x v="22"/>
    <x v="1"/>
    <n v="2008"/>
    <s v="KS AZS AWF Kraków"/>
    <x v="0"/>
    <s v="Bydgoszcz"/>
    <x v="4"/>
    <x v="2"/>
    <x v="187"/>
  </r>
  <r>
    <x v="22"/>
    <x v="1"/>
    <n v="2008"/>
    <s v="KS AZS AWF Kraków"/>
    <x v="0"/>
    <s v="Bydgoszcz"/>
    <x v="5"/>
    <x v="0"/>
    <x v="96"/>
  </r>
  <r>
    <x v="22"/>
    <x v="1"/>
    <n v="2008"/>
    <s v="KS AZS AWF Kraków"/>
    <x v="0"/>
    <s v="Bydgoszcz"/>
    <x v="5"/>
    <x v="1"/>
    <x v="185"/>
  </r>
  <r>
    <x v="22"/>
    <x v="1"/>
    <n v="2008"/>
    <s v="KS AZS AWF Kraków"/>
    <x v="0"/>
    <s v="Bydgoszcz"/>
    <x v="5"/>
    <x v="2"/>
    <x v="5"/>
  </r>
  <r>
    <x v="22"/>
    <x v="1"/>
    <n v="2008"/>
    <s v="KS AZS AWF Kraków"/>
    <x v="0"/>
    <s v="Bydgoszcz"/>
    <x v="6"/>
    <x v="3"/>
    <x v="188"/>
  </r>
  <r>
    <x v="22"/>
    <x v="1"/>
    <n v="2008"/>
    <s v="KS AZS AWF Kraków"/>
    <x v="0"/>
    <s v="Bydgoszcz"/>
    <x v="6"/>
    <x v="4"/>
    <x v="189"/>
  </r>
  <r>
    <x v="22"/>
    <x v="1"/>
    <n v="2008"/>
    <s v="KS AZS AWF Kraków"/>
    <x v="0"/>
    <s v="Bydgoszcz"/>
    <x v="6"/>
    <x v="5"/>
    <x v="190"/>
  </r>
  <r>
    <x v="23"/>
    <x v="1"/>
    <n v="2006"/>
    <s v="MKS Gdańsk"/>
    <x v="0"/>
    <s v="Bydgoszcz"/>
    <x v="0"/>
    <x v="0"/>
    <x v="57"/>
  </r>
  <r>
    <x v="23"/>
    <x v="1"/>
    <n v="2006"/>
    <s v="MKS Gdańsk"/>
    <x v="0"/>
    <s v="Bydgoszcz"/>
    <x v="0"/>
    <x v="1"/>
    <x v="95"/>
  </r>
  <r>
    <x v="23"/>
    <x v="1"/>
    <n v="2006"/>
    <s v="MKS Gdańsk"/>
    <x v="0"/>
    <s v="Bydgoszcz"/>
    <x v="0"/>
    <x v="2"/>
    <x v="88"/>
  </r>
  <r>
    <x v="23"/>
    <x v="1"/>
    <n v="2006"/>
    <s v="MKS Gdańsk"/>
    <x v="0"/>
    <s v="Bydgoszcz"/>
    <x v="1"/>
    <x v="0"/>
    <x v="110"/>
  </r>
  <r>
    <x v="23"/>
    <x v="1"/>
    <n v="2006"/>
    <s v="MKS Gdańsk"/>
    <x v="0"/>
    <s v="Bydgoszcz"/>
    <x v="1"/>
    <x v="1"/>
    <x v="25"/>
  </r>
  <r>
    <x v="23"/>
    <x v="1"/>
    <n v="2006"/>
    <s v="MKS Gdańsk"/>
    <x v="0"/>
    <s v="Bydgoszcz"/>
    <x v="1"/>
    <x v="2"/>
    <x v="104"/>
  </r>
  <r>
    <x v="23"/>
    <x v="1"/>
    <n v="2006"/>
    <s v="MKS Gdańsk"/>
    <x v="0"/>
    <s v="Bydgoszcz"/>
    <x v="2"/>
    <x v="0"/>
    <x v="96"/>
  </r>
  <r>
    <x v="23"/>
    <x v="1"/>
    <n v="2006"/>
    <s v="MKS Gdańsk"/>
    <x v="0"/>
    <s v="Bydgoszcz"/>
    <x v="2"/>
    <x v="1"/>
    <x v="28"/>
  </r>
  <r>
    <x v="23"/>
    <x v="1"/>
    <n v="2006"/>
    <s v="MKS Gdańsk"/>
    <x v="0"/>
    <s v="Bydgoszcz"/>
    <x v="2"/>
    <x v="2"/>
    <x v="138"/>
  </r>
  <r>
    <x v="23"/>
    <x v="1"/>
    <n v="2006"/>
    <s v="MKS Gdańsk"/>
    <x v="0"/>
    <s v="Bydgoszcz"/>
    <x v="3"/>
    <x v="0"/>
    <x v="96"/>
  </r>
  <r>
    <x v="23"/>
    <x v="1"/>
    <n v="2006"/>
    <s v="MKS Gdańsk"/>
    <x v="0"/>
    <s v="Bydgoszcz"/>
    <x v="3"/>
    <x v="1"/>
    <x v="1"/>
  </r>
  <r>
    <x v="23"/>
    <x v="1"/>
    <n v="2006"/>
    <s v="MKS Gdańsk"/>
    <x v="0"/>
    <s v="Bydgoszcz"/>
    <x v="3"/>
    <x v="2"/>
    <x v="70"/>
  </r>
  <r>
    <x v="23"/>
    <x v="1"/>
    <n v="2006"/>
    <s v="MKS Gdańsk"/>
    <x v="0"/>
    <s v="Bydgoszcz"/>
    <x v="4"/>
    <x v="0"/>
    <x v="80"/>
  </r>
  <r>
    <x v="23"/>
    <x v="1"/>
    <n v="2006"/>
    <s v="MKS Gdańsk"/>
    <x v="0"/>
    <s v="Bydgoszcz"/>
    <x v="4"/>
    <x v="1"/>
    <x v="186"/>
  </r>
  <r>
    <x v="23"/>
    <x v="1"/>
    <n v="2006"/>
    <s v="MKS Gdańsk"/>
    <x v="0"/>
    <s v="Bydgoszcz"/>
    <x v="4"/>
    <x v="2"/>
    <x v="53"/>
  </r>
  <r>
    <x v="23"/>
    <x v="1"/>
    <n v="2006"/>
    <s v="MKS Gdańsk"/>
    <x v="0"/>
    <s v="Bydgoszcz"/>
    <x v="5"/>
    <x v="0"/>
    <x v="191"/>
  </r>
  <r>
    <x v="23"/>
    <x v="1"/>
    <n v="2006"/>
    <s v="MKS Gdańsk"/>
    <x v="0"/>
    <s v="Bydgoszcz"/>
    <x v="5"/>
    <x v="1"/>
    <x v="15"/>
  </r>
  <r>
    <x v="23"/>
    <x v="1"/>
    <n v="2006"/>
    <s v="MKS Gdańsk"/>
    <x v="0"/>
    <s v="Bydgoszcz"/>
    <x v="5"/>
    <x v="2"/>
    <x v="100"/>
  </r>
  <r>
    <x v="23"/>
    <x v="1"/>
    <n v="2006"/>
    <s v="MKS Gdańsk"/>
    <x v="0"/>
    <s v="Bydgoszcz"/>
    <x v="6"/>
    <x v="3"/>
    <x v="192"/>
  </r>
  <r>
    <x v="23"/>
    <x v="1"/>
    <n v="2006"/>
    <s v="MKS Gdańsk"/>
    <x v="0"/>
    <s v="Bydgoszcz"/>
    <x v="6"/>
    <x v="4"/>
    <x v="193"/>
  </r>
  <r>
    <x v="23"/>
    <x v="1"/>
    <n v="2006"/>
    <s v="MKS Gdańsk"/>
    <x v="0"/>
    <s v="Bydgoszcz"/>
    <x v="6"/>
    <x v="5"/>
    <x v="194"/>
  </r>
  <r>
    <x v="24"/>
    <x v="1"/>
    <n v="2007"/>
    <s v="MKS Gdańsk"/>
    <x v="0"/>
    <s v="Bydgoszcz"/>
    <x v="0"/>
    <x v="0"/>
    <x v="42"/>
  </r>
  <r>
    <x v="24"/>
    <x v="1"/>
    <n v="2007"/>
    <s v="MKS Gdańsk"/>
    <x v="0"/>
    <s v="Bydgoszcz"/>
    <x v="0"/>
    <x v="1"/>
    <x v="67"/>
  </r>
  <r>
    <x v="24"/>
    <x v="1"/>
    <n v="2007"/>
    <s v="MKS Gdańsk"/>
    <x v="0"/>
    <s v="Bydgoszcz"/>
    <x v="0"/>
    <x v="2"/>
    <x v="66"/>
  </r>
  <r>
    <x v="24"/>
    <x v="1"/>
    <n v="2007"/>
    <s v="MKS Gdańsk"/>
    <x v="0"/>
    <s v="Bydgoszcz"/>
    <x v="1"/>
    <x v="0"/>
    <x v="112"/>
  </r>
  <r>
    <x v="24"/>
    <x v="1"/>
    <n v="2007"/>
    <s v="MKS Gdańsk"/>
    <x v="0"/>
    <s v="Bydgoszcz"/>
    <x v="1"/>
    <x v="1"/>
    <x v="195"/>
  </r>
  <r>
    <x v="24"/>
    <x v="1"/>
    <n v="2007"/>
    <s v="MKS Gdańsk"/>
    <x v="0"/>
    <s v="Bydgoszcz"/>
    <x v="1"/>
    <x v="2"/>
    <x v="13"/>
  </r>
  <r>
    <x v="24"/>
    <x v="1"/>
    <n v="2007"/>
    <s v="MKS Gdańsk"/>
    <x v="0"/>
    <s v="Bydgoszcz"/>
    <x v="2"/>
    <x v="0"/>
    <x v="110"/>
  </r>
  <r>
    <x v="24"/>
    <x v="1"/>
    <n v="2007"/>
    <s v="MKS Gdańsk"/>
    <x v="0"/>
    <s v="Bydgoszcz"/>
    <x v="2"/>
    <x v="1"/>
    <x v="75"/>
  </r>
  <r>
    <x v="24"/>
    <x v="1"/>
    <n v="2007"/>
    <s v="MKS Gdańsk"/>
    <x v="0"/>
    <s v="Bydgoszcz"/>
    <x v="2"/>
    <x v="2"/>
    <x v="108"/>
  </r>
  <r>
    <x v="24"/>
    <x v="1"/>
    <n v="2007"/>
    <s v="MKS Gdańsk"/>
    <x v="0"/>
    <s v="Bydgoszcz"/>
    <x v="3"/>
    <x v="0"/>
    <x v="159"/>
  </r>
  <r>
    <x v="24"/>
    <x v="1"/>
    <n v="2007"/>
    <s v="MKS Gdańsk"/>
    <x v="0"/>
    <s v="Bydgoszcz"/>
    <x v="3"/>
    <x v="1"/>
    <x v="10"/>
  </r>
  <r>
    <x v="24"/>
    <x v="1"/>
    <n v="2007"/>
    <s v="MKS Gdańsk"/>
    <x v="0"/>
    <s v="Bydgoszcz"/>
    <x v="3"/>
    <x v="2"/>
    <x v="56"/>
  </r>
  <r>
    <x v="24"/>
    <x v="1"/>
    <n v="2007"/>
    <s v="MKS Gdańsk"/>
    <x v="0"/>
    <s v="Bydgoszcz"/>
    <x v="4"/>
    <x v="0"/>
    <x v="120"/>
  </r>
  <r>
    <x v="24"/>
    <x v="1"/>
    <n v="2007"/>
    <s v="MKS Gdańsk"/>
    <x v="0"/>
    <s v="Bydgoszcz"/>
    <x v="4"/>
    <x v="1"/>
    <x v="196"/>
  </r>
  <r>
    <x v="24"/>
    <x v="1"/>
    <n v="2007"/>
    <s v="MKS Gdańsk"/>
    <x v="0"/>
    <s v="Bydgoszcz"/>
    <x v="4"/>
    <x v="2"/>
    <x v="23"/>
  </r>
  <r>
    <x v="24"/>
    <x v="1"/>
    <n v="2007"/>
    <s v="MKS Gdańsk"/>
    <x v="0"/>
    <s v="Bydgoszcz"/>
    <x v="5"/>
    <x v="0"/>
    <x v="191"/>
  </r>
  <r>
    <x v="24"/>
    <x v="1"/>
    <n v="2007"/>
    <s v="MKS Gdańsk"/>
    <x v="0"/>
    <s v="Bydgoszcz"/>
    <x v="5"/>
    <x v="1"/>
    <x v="75"/>
  </r>
  <r>
    <x v="24"/>
    <x v="1"/>
    <n v="2007"/>
    <s v="MKS Gdańsk"/>
    <x v="0"/>
    <s v="Bydgoszcz"/>
    <x v="5"/>
    <x v="2"/>
    <x v="122"/>
  </r>
  <r>
    <x v="24"/>
    <x v="1"/>
    <n v="2007"/>
    <s v="MKS Gdańsk"/>
    <x v="0"/>
    <s v="Bydgoszcz"/>
    <x v="6"/>
    <x v="3"/>
    <x v="197"/>
  </r>
  <r>
    <x v="24"/>
    <x v="1"/>
    <n v="2007"/>
    <s v="MKS Gdańsk"/>
    <x v="0"/>
    <s v="Bydgoszcz"/>
    <x v="6"/>
    <x v="4"/>
    <x v="198"/>
  </r>
  <r>
    <x v="24"/>
    <x v="1"/>
    <n v="2007"/>
    <s v="MKS Gdańsk"/>
    <x v="0"/>
    <s v="Bydgoszcz"/>
    <x v="6"/>
    <x v="5"/>
    <x v="199"/>
  </r>
  <r>
    <x v="25"/>
    <x v="1"/>
    <n v="2006"/>
    <s v="KS AZS AWF Kraków"/>
    <x v="1"/>
    <s v="Bydgoszcz"/>
    <x v="0"/>
    <x v="0"/>
    <x v="60"/>
  </r>
  <r>
    <x v="25"/>
    <x v="1"/>
    <n v="2006"/>
    <s v="KS AZS AWF Kraków"/>
    <x v="1"/>
    <s v="Bydgoszcz"/>
    <x v="0"/>
    <x v="1"/>
    <x v="168"/>
  </r>
  <r>
    <x v="25"/>
    <x v="1"/>
    <n v="2006"/>
    <s v="KS AZS AWF Kraków"/>
    <x v="1"/>
    <s v="Bydgoszcz"/>
    <x v="0"/>
    <x v="2"/>
    <x v="46"/>
  </r>
  <r>
    <x v="25"/>
    <x v="1"/>
    <n v="2006"/>
    <s v="KS AZS AWF Kraków"/>
    <x v="1"/>
    <s v="Bydgoszcz"/>
    <x v="1"/>
    <x v="0"/>
    <x v="112"/>
  </r>
  <r>
    <x v="25"/>
    <x v="1"/>
    <n v="2006"/>
    <s v="KS AZS AWF Kraków"/>
    <x v="1"/>
    <s v="Bydgoszcz"/>
    <x v="1"/>
    <x v="1"/>
    <x v="3"/>
  </r>
  <r>
    <x v="25"/>
    <x v="1"/>
    <n v="2006"/>
    <s v="KS AZS AWF Kraków"/>
    <x v="1"/>
    <s v="Bydgoszcz"/>
    <x v="1"/>
    <x v="2"/>
    <x v="99"/>
  </r>
  <r>
    <x v="25"/>
    <x v="1"/>
    <n v="2006"/>
    <s v="KS AZS AWF Kraków"/>
    <x v="1"/>
    <s v="Bydgoszcz"/>
    <x v="2"/>
    <x v="0"/>
    <x v="98"/>
  </r>
  <r>
    <x v="25"/>
    <x v="1"/>
    <n v="2006"/>
    <s v="KS AZS AWF Kraków"/>
    <x v="1"/>
    <s v="Bydgoszcz"/>
    <x v="2"/>
    <x v="1"/>
    <x v="109"/>
  </r>
  <r>
    <x v="25"/>
    <x v="1"/>
    <n v="2006"/>
    <s v="KS AZS AWF Kraków"/>
    <x v="1"/>
    <s v="Bydgoszcz"/>
    <x v="2"/>
    <x v="2"/>
    <x v="170"/>
  </r>
  <r>
    <x v="25"/>
    <x v="1"/>
    <n v="2006"/>
    <s v="KS AZS AWF Kraków"/>
    <x v="1"/>
    <s v="Bydgoszcz"/>
    <x v="3"/>
    <x v="0"/>
    <x v="42"/>
  </r>
  <r>
    <x v="25"/>
    <x v="1"/>
    <n v="2006"/>
    <s v="KS AZS AWF Kraków"/>
    <x v="1"/>
    <s v="Bydgoszcz"/>
    <x v="3"/>
    <x v="1"/>
    <x v="26"/>
  </r>
  <r>
    <x v="25"/>
    <x v="1"/>
    <n v="2006"/>
    <s v="KS AZS AWF Kraków"/>
    <x v="1"/>
    <s v="Bydgoszcz"/>
    <x v="3"/>
    <x v="2"/>
    <x v="21"/>
  </r>
  <r>
    <x v="25"/>
    <x v="1"/>
    <n v="2006"/>
    <s v="KS AZS AWF Kraków"/>
    <x v="1"/>
    <s v="Bydgoszcz"/>
    <x v="4"/>
    <x v="0"/>
    <x v="80"/>
  </r>
  <r>
    <x v="25"/>
    <x v="1"/>
    <n v="2006"/>
    <s v="KS AZS AWF Kraków"/>
    <x v="1"/>
    <s v="Bydgoszcz"/>
    <x v="4"/>
    <x v="1"/>
    <x v="137"/>
  </r>
  <r>
    <x v="25"/>
    <x v="1"/>
    <n v="2006"/>
    <s v="KS AZS AWF Kraków"/>
    <x v="1"/>
    <s v="Bydgoszcz"/>
    <x v="4"/>
    <x v="2"/>
    <x v="200"/>
  </r>
  <r>
    <x v="25"/>
    <x v="1"/>
    <n v="2006"/>
    <s v="KS AZS AWF Kraków"/>
    <x v="1"/>
    <s v="Bydgoszcz"/>
    <x v="5"/>
    <x v="0"/>
    <x v="115"/>
  </r>
  <r>
    <x v="25"/>
    <x v="1"/>
    <n v="2006"/>
    <s v="KS AZS AWF Kraków"/>
    <x v="1"/>
    <s v="Bydgoszcz"/>
    <x v="5"/>
    <x v="1"/>
    <x v="115"/>
  </r>
  <r>
    <x v="25"/>
    <x v="1"/>
    <n v="2006"/>
    <s v="KS AZS AWF Kraków"/>
    <x v="1"/>
    <s v="Bydgoszcz"/>
    <x v="5"/>
    <x v="2"/>
    <x v="115"/>
  </r>
  <r>
    <x v="25"/>
    <x v="1"/>
    <n v="2006"/>
    <s v="KS AZS AWF Kraków"/>
    <x v="1"/>
    <s v="Bydgoszcz"/>
    <x v="6"/>
    <x v="3"/>
    <x v="115"/>
  </r>
  <r>
    <x v="25"/>
    <x v="1"/>
    <n v="2006"/>
    <s v="KS AZS AWF Kraków"/>
    <x v="1"/>
    <s v="Bydgoszcz"/>
    <x v="6"/>
    <x v="4"/>
    <x v="115"/>
  </r>
  <r>
    <x v="25"/>
    <x v="1"/>
    <n v="2006"/>
    <s v="KS AZS AWF Kraków"/>
    <x v="1"/>
    <s v="Bydgoszcz"/>
    <x v="6"/>
    <x v="5"/>
    <x v="201"/>
  </r>
  <r>
    <x v="26"/>
    <x v="1"/>
    <n v="2007"/>
    <s v="MKS Gdańsk"/>
    <x v="1"/>
    <s v="Bydgoszcz"/>
    <x v="0"/>
    <x v="0"/>
    <x v="25"/>
  </r>
  <r>
    <x v="26"/>
    <x v="1"/>
    <n v="2007"/>
    <s v="MKS Gdańsk"/>
    <x v="1"/>
    <s v="Bydgoszcz"/>
    <x v="0"/>
    <x v="1"/>
    <x v="23"/>
  </r>
  <r>
    <x v="26"/>
    <x v="1"/>
    <n v="2007"/>
    <s v="MKS Gdańsk"/>
    <x v="1"/>
    <s v="Bydgoszcz"/>
    <x v="0"/>
    <x v="2"/>
    <x v="21"/>
  </r>
  <r>
    <x v="26"/>
    <x v="1"/>
    <n v="2007"/>
    <s v="MKS Gdańsk"/>
    <x v="1"/>
    <s v="Bydgoszcz"/>
    <x v="1"/>
    <x v="0"/>
    <x v="112"/>
  </r>
  <r>
    <x v="26"/>
    <x v="1"/>
    <n v="2007"/>
    <s v="MKS Gdańsk"/>
    <x v="1"/>
    <s v="Bydgoszcz"/>
    <x v="1"/>
    <x v="1"/>
    <x v="77"/>
  </r>
  <r>
    <x v="26"/>
    <x v="1"/>
    <n v="2007"/>
    <s v="MKS Gdańsk"/>
    <x v="1"/>
    <s v="Bydgoszcz"/>
    <x v="1"/>
    <x v="2"/>
    <x v="56"/>
  </r>
  <r>
    <x v="26"/>
    <x v="1"/>
    <n v="2007"/>
    <s v="MKS Gdańsk"/>
    <x v="1"/>
    <s v="Bydgoszcz"/>
    <x v="2"/>
    <x v="0"/>
    <x v="96"/>
  </r>
  <r>
    <x v="26"/>
    <x v="1"/>
    <n v="2007"/>
    <s v="MKS Gdańsk"/>
    <x v="1"/>
    <s v="Bydgoszcz"/>
    <x v="2"/>
    <x v="1"/>
    <x v="1"/>
  </r>
  <r>
    <x v="26"/>
    <x v="1"/>
    <n v="2007"/>
    <s v="MKS Gdańsk"/>
    <x v="1"/>
    <s v="Bydgoszcz"/>
    <x v="2"/>
    <x v="2"/>
    <x v="70"/>
  </r>
  <r>
    <x v="26"/>
    <x v="1"/>
    <n v="2007"/>
    <s v="MKS Gdańsk"/>
    <x v="1"/>
    <s v="Bydgoszcz"/>
    <x v="3"/>
    <x v="0"/>
    <x v="25"/>
  </r>
  <r>
    <x v="26"/>
    <x v="1"/>
    <n v="2007"/>
    <s v="MKS Gdańsk"/>
    <x v="1"/>
    <s v="Bydgoszcz"/>
    <x v="3"/>
    <x v="1"/>
    <x v="38"/>
  </r>
  <r>
    <x v="26"/>
    <x v="1"/>
    <n v="2007"/>
    <s v="MKS Gdańsk"/>
    <x v="1"/>
    <s v="Bydgoszcz"/>
    <x v="3"/>
    <x v="2"/>
    <x v="202"/>
  </r>
  <r>
    <x v="26"/>
    <x v="1"/>
    <n v="2007"/>
    <s v="MKS Gdańsk"/>
    <x v="1"/>
    <s v="Bydgoszcz"/>
    <x v="4"/>
    <x v="0"/>
    <x v="115"/>
  </r>
  <r>
    <x v="26"/>
    <x v="1"/>
    <n v="2007"/>
    <s v="MKS Gdańsk"/>
    <x v="1"/>
    <s v="Bydgoszcz"/>
    <x v="4"/>
    <x v="1"/>
    <x v="115"/>
  </r>
  <r>
    <x v="26"/>
    <x v="1"/>
    <n v="2007"/>
    <s v="MKS Gdańsk"/>
    <x v="1"/>
    <s v="Bydgoszcz"/>
    <x v="4"/>
    <x v="2"/>
    <x v="115"/>
  </r>
  <r>
    <x v="26"/>
    <x v="1"/>
    <n v="2007"/>
    <s v="MKS Gdańsk"/>
    <x v="1"/>
    <s v="Bydgoszcz"/>
    <x v="5"/>
    <x v="0"/>
    <x v="115"/>
  </r>
  <r>
    <x v="26"/>
    <x v="1"/>
    <n v="2007"/>
    <s v="MKS Gdańsk"/>
    <x v="1"/>
    <s v="Bydgoszcz"/>
    <x v="5"/>
    <x v="1"/>
    <x v="115"/>
  </r>
  <r>
    <x v="26"/>
    <x v="1"/>
    <n v="2007"/>
    <s v="MKS Gdańsk"/>
    <x v="1"/>
    <s v="Bydgoszcz"/>
    <x v="5"/>
    <x v="2"/>
    <x v="115"/>
  </r>
  <r>
    <x v="26"/>
    <x v="1"/>
    <n v="2007"/>
    <s v="MKS Gdańsk"/>
    <x v="1"/>
    <s v="Bydgoszcz"/>
    <x v="6"/>
    <x v="3"/>
    <x v="115"/>
  </r>
  <r>
    <x v="26"/>
    <x v="1"/>
    <n v="2007"/>
    <s v="MKS Gdańsk"/>
    <x v="1"/>
    <s v="Bydgoszcz"/>
    <x v="6"/>
    <x v="4"/>
    <x v="115"/>
  </r>
  <r>
    <x v="26"/>
    <x v="1"/>
    <n v="2007"/>
    <s v="MKS Gdańsk"/>
    <x v="1"/>
    <s v="Bydgoszcz"/>
    <x v="6"/>
    <x v="5"/>
    <x v="203"/>
  </r>
  <r>
    <x v="27"/>
    <x v="1"/>
    <n v="2006"/>
    <s v="MKS Gdańsk"/>
    <x v="1"/>
    <s v="Bydgoszcz"/>
    <x v="0"/>
    <x v="0"/>
    <x v="115"/>
  </r>
  <r>
    <x v="27"/>
    <x v="1"/>
    <n v="2006"/>
    <s v="MKS Gdańsk"/>
    <x v="1"/>
    <s v="Bydgoszcz"/>
    <x v="0"/>
    <x v="1"/>
    <x v="115"/>
  </r>
  <r>
    <x v="27"/>
    <x v="1"/>
    <n v="2006"/>
    <s v="MKS Gdańsk"/>
    <x v="1"/>
    <s v="Bydgoszcz"/>
    <x v="0"/>
    <x v="2"/>
    <x v="115"/>
  </r>
  <r>
    <x v="27"/>
    <x v="1"/>
    <n v="2006"/>
    <s v="MKS Gdańsk"/>
    <x v="1"/>
    <s v="Bydgoszcz"/>
    <x v="1"/>
    <x v="0"/>
    <x v="112"/>
  </r>
  <r>
    <x v="27"/>
    <x v="1"/>
    <n v="2006"/>
    <s v="MKS Gdańsk"/>
    <x v="1"/>
    <s v="Bydgoszcz"/>
    <x v="1"/>
    <x v="1"/>
    <x v="204"/>
  </r>
  <r>
    <x v="27"/>
    <x v="1"/>
    <n v="2006"/>
    <s v="MKS Gdańsk"/>
    <x v="1"/>
    <s v="Bydgoszcz"/>
    <x v="1"/>
    <x v="2"/>
    <x v="87"/>
  </r>
  <r>
    <x v="27"/>
    <x v="1"/>
    <n v="2006"/>
    <s v="MKS Gdańsk"/>
    <x v="1"/>
    <s v="Bydgoszcz"/>
    <x v="2"/>
    <x v="0"/>
    <x v="115"/>
  </r>
  <r>
    <x v="27"/>
    <x v="1"/>
    <n v="2006"/>
    <s v="MKS Gdańsk"/>
    <x v="1"/>
    <s v="Bydgoszcz"/>
    <x v="2"/>
    <x v="1"/>
    <x v="115"/>
  </r>
  <r>
    <x v="27"/>
    <x v="1"/>
    <n v="2006"/>
    <s v="MKS Gdańsk"/>
    <x v="1"/>
    <s v="Bydgoszcz"/>
    <x v="2"/>
    <x v="2"/>
    <x v="115"/>
  </r>
  <r>
    <x v="27"/>
    <x v="1"/>
    <n v="2006"/>
    <s v="MKS Gdańsk"/>
    <x v="1"/>
    <s v="Bydgoszcz"/>
    <x v="3"/>
    <x v="0"/>
    <x v="96"/>
  </r>
  <r>
    <x v="27"/>
    <x v="1"/>
    <n v="2006"/>
    <s v="MKS Gdańsk"/>
    <x v="1"/>
    <s v="Bydgoszcz"/>
    <x v="3"/>
    <x v="1"/>
    <x v="121"/>
  </r>
  <r>
    <x v="27"/>
    <x v="1"/>
    <n v="2006"/>
    <s v="MKS Gdańsk"/>
    <x v="1"/>
    <s v="Bydgoszcz"/>
    <x v="3"/>
    <x v="2"/>
    <x v="155"/>
  </r>
  <r>
    <x v="27"/>
    <x v="1"/>
    <n v="2006"/>
    <s v="MKS Gdańsk"/>
    <x v="1"/>
    <s v="Bydgoszcz"/>
    <x v="4"/>
    <x v="0"/>
    <x v="96"/>
  </r>
  <r>
    <x v="27"/>
    <x v="1"/>
    <n v="2006"/>
    <s v="MKS Gdańsk"/>
    <x v="1"/>
    <s v="Bydgoszcz"/>
    <x v="4"/>
    <x v="1"/>
    <x v="75"/>
  </r>
  <r>
    <x v="27"/>
    <x v="1"/>
    <n v="2006"/>
    <s v="MKS Gdańsk"/>
    <x v="1"/>
    <s v="Bydgoszcz"/>
    <x v="4"/>
    <x v="2"/>
    <x v="66"/>
  </r>
  <r>
    <x v="27"/>
    <x v="1"/>
    <n v="2006"/>
    <s v="MKS Gdańsk"/>
    <x v="1"/>
    <s v="Bydgoszcz"/>
    <x v="5"/>
    <x v="0"/>
    <x v="205"/>
  </r>
  <r>
    <x v="27"/>
    <x v="1"/>
    <n v="2006"/>
    <s v="MKS Gdańsk"/>
    <x v="1"/>
    <s v="Bydgoszcz"/>
    <x v="5"/>
    <x v="1"/>
    <x v="15"/>
  </r>
  <r>
    <x v="27"/>
    <x v="1"/>
    <n v="2006"/>
    <s v="MKS Gdańsk"/>
    <x v="1"/>
    <s v="Bydgoszcz"/>
    <x v="5"/>
    <x v="2"/>
    <x v="206"/>
  </r>
  <r>
    <x v="27"/>
    <x v="1"/>
    <n v="2006"/>
    <s v="MKS Gdańsk"/>
    <x v="1"/>
    <s v="Bydgoszcz"/>
    <x v="6"/>
    <x v="3"/>
    <x v="115"/>
  </r>
  <r>
    <x v="27"/>
    <x v="1"/>
    <n v="2006"/>
    <s v="MKS Gdańsk"/>
    <x v="1"/>
    <s v="Bydgoszcz"/>
    <x v="6"/>
    <x v="4"/>
    <x v="115"/>
  </r>
  <r>
    <x v="27"/>
    <x v="1"/>
    <n v="2006"/>
    <s v="MKS Gdańsk"/>
    <x v="1"/>
    <s v="Bydgoszcz"/>
    <x v="6"/>
    <x v="5"/>
    <x v="207"/>
  </r>
  <r>
    <x v="28"/>
    <x v="1"/>
    <n v="2007"/>
    <s v="KG Radlin"/>
    <x v="0"/>
    <s v="Bydgoszcz"/>
    <x v="0"/>
    <x v="0"/>
    <x v="98"/>
  </r>
  <r>
    <x v="28"/>
    <x v="1"/>
    <n v="2007"/>
    <s v="KG Radlin"/>
    <x v="0"/>
    <s v="Bydgoszcz"/>
    <x v="0"/>
    <x v="1"/>
    <x v="1"/>
  </r>
  <r>
    <x v="28"/>
    <x v="1"/>
    <n v="2007"/>
    <s v="KG Radlin"/>
    <x v="0"/>
    <s v="Bydgoszcz"/>
    <x v="0"/>
    <x v="2"/>
    <x v="41"/>
  </r>
  <r>
    <x v="28"/>
    <x v="1"/>
    <n v="2007"/>
    <s v="KG Radlin"/>
    <x v="0"/>
    <s v="Bydgoszcz"/>
    <x v="1"/>
    <x v="0"/>
    <x v="208"/>
  </r>
  <r>
    <x v="28"/>
    <x v="1"/>
    <n v="2007"/>
    <s v="KG Radlin"/>
    <x v="0"/>
    <s v="Bydgoszcz"/>
    <x v="1"/>
    <x v="1"/>
    <x v="115"/>
  </r>
  <r>
    <x v="28"/>
    <x v="1"/>
    <n v="2007"/>
    <s v="KG Radlin"/>
    <x v="0"/>
    <s v="Bydgoszcz"/>
    <x v="1"/>
    <x v="2"/>
    <x v="208"/>
  </r>
  <r>
    <x v="28"/>
    <x v="1"/>
    <n v="2007"/>
    <s v="KG Radlin"/>
    <x v="0"/>
    <s v="Bydgoszcz"/>
    <x v="2"/>
    <x v="0"/>
    <x v="133"/>
  </r>
  <r>
    <x v="28"/>
    <x v="1"/>
    <n v="2007"/>
    <s v="KG Radlin"/>
    <x v="0"/>
    <s v="Bydgoszcz"/>
    <x v="2"/>
    <x v="1"/>
    <x v="209"/>
  </r>
  <r>
    <x v="28"/>
    <x v="1"/>
    <n v="2007"/>
    <s v="KG Radlin"/>
    <x v="0"/>
    <s v="Bydgoszcz"/>
    <x v="2"/>
    <x v="2"/>
    <x v="67"/>
  </r>
  <r>
    <x v="28"/>
    <x v="1"/>
    <n v="2007"/>
    <s v="KG Radlin"/>
    <x v="0"/>
    <s v="Bydgoszcz"/>
    <x v="3"/>
    <x v="0"/>
    <x v="96"/>
  </r>
  <r>
    <x v="28"/>
    <x v="1"/>
    <n v="2007"/>
    <s v="KG Radlin"/>
    <x v="0"/>
    <s v="Bydgoszcz"/>
    <x v="3"/>
    <x v="1"/>
    <x v="87"/>
  </r>
  <r>
    <x v="28"/>
    <x v="1"/>
    <n v="2007"/>
    <s v="KG Radlin"/>
    <x v="0"/>
    <s v="Bydgoszcz"/>
    <x v="3"/>
    <x v="2"/>
    <x v="100"/>
  </r>
  <r>
    <x v="28"/>
    <x v="1"/>
    <n v="2007"/>
    <s v="KG Radlin"/>
    <x v="0"/>
    <s v="Bydgoszcz"/>
    <x v="4"/>
    <x v="0"/>
    <x v="210"/>
  </r>
  <r>
    <x v="28"/>
    <x v="1"/>
    <n v="2007"/>
    <s v="KG Radlin"/>
    <x v="0"/>
    <s v="Bydgoszcz"/>
    <x v="4"/>
    <x v="1"/>
    <x v="211"/>
  </r>
  <r>
    <x v="28"/>
    <x v="1"/>
    <n v="2007"/>
    <s v="KG Radlin"/>
    <x v="0"/>
    <s v="Bydgoszcz"/>
    <x v="4"/>
    <x v="2"/>
    <x v="80"/>
  </r>
  <r>
    <x v="28"/>
    <x v="1"/>
    <n v="2007"/>
    <s v="KG Radlin"/>
    <x v="0"/>
    <s v="Bydgoszcz"/>
    <x v="5"/>
    <x v="0"/>
    <x v="212"/>
  </r>
  <r>
    <x v="28"/>
    <x v="1"/>
    <n v="2007"/>
    <s v="KG Radlin"/>
    <x v="0"/>
    <s v="Bydgoszcz"/>
    <x v="5"/>
    <x v="1"/>
    <x v="213"/>
  </r>
  <r>
    <x v="28"/>
    <x v="1"/>
    <n v="2007"/>
    <s v="KG Radlin"/>
    <x v="0"/>
    <s v="Bydgoszcz"/>
    <x v="5"/>
    <x v="2"/>
    <x v="214"/>
  </r>
  <r>
    <x v="28"/>
    <x v="1"/>
    <n v="2007"/>
    <s v="KG Radlin"/>
    <x v="0"/>
    <s v="Bydgoszcz"/>
    <x v="6"/>
    <x v="3"/>
    <x v="215"/>
  </r>
  <r>
    <x v="28"/>
    <x v="1"/>
    <n v="2007"/>
    <s v="KG Radlin"/>
    <x v="0"/>
    <s v="Bydgoszcz"/>
    <x v="6"/>
    <x v="4"/>
    <x v="216"/>
  </r>
  <r>
    <x v="28"/>
    <x v="1"/>
    <n v="2007"/>
    <s v="KG Radlin"/>
    <x v="0"/>
    <s v="Bydgoszcz"/>
    <x v="6"/>
    <x v="5"/>
    <x v="217"/>
  </r>
  <r>
    <x v="29"/>
    <x v="1"/>
    <n v="2007"/>
    <s v="KG Radlin"/>
    <x v="0"/>
    <s v="Bydgoszcz"/>
    <x v="0"/>
    <x v="0"/>
    <x v="120"/>
  </r>
  <r>
    <x v="29"/>
    <x v="1"/>
    <n v="2007"/>
    <s v="KG Radlin"/>
    <x v="0"/>
    <s v="Bydgoszcz"/>
    <x v="0"/>
    <x v="1"/>
    <x v="168"/>
  </r>
  <r>
    <x v="29"/>
    <x v="1"/>
    <n v="2007"/>
    <s v="KG Radlin"/>
    <x v="0"/>
    <s v="Bydgoszcz"/>
    <x v="0"/>
    <x v="2"/>
    <x v="160"/>
  </r>
  <r>
    <x v="29"/>
    <x v="1"/>
    <n v="2007"/>
    <s v="KG Radlin"/>
    <x v="0"/>
    <s v="Bydgoszcz"/>
    <x v="1"/>
    <x v="0"/>
    <x v="218"/>
  </r>
  <r>
    <x v="29"/>
    <x v="1"/>
    <n v="2007"/>
    <s v="KG Radlin"/>
    <x v="0"/>
    <s v="Bydgoszcz"/>
    <x v="1"/>
    <x v="1"/>
    <x v="115"/>
  </r>
  <r>
    <x v="29"/>
    <x v="1"/>
    <n v="2007"/>
    <s v="KG Radlin"/>
    <x v="0"/>
    <s v="Bydgoszcz"/>
    <x v="1"/>
    <x v="2"/>
    <x v="218"/>
  </r>
  <r>
    <x v="29"/>
    <x v="1"/>
    <n v="2007"/>
    <s v="KG Radlin"/>
    <x v="0"/>
    <s v="Bydgoszcz"/>
    <x v="2"/>
    <x v="0"/>
    <x v="212"/>
  </r>
  <r>
    <x v="29"/>
    <x v="1"/>
    <n v="2007"/>
    <s v="KG Radlin"/>
    <x v="0"/>
    <s v="Bydgoszcz"/>
    <x v="2"/>
    <x v="1"/>
    <x v="117"/>
  </r>
  <r>
    <x v="29"/>
    <x v="1"/>
    <n v="2007"/>
    <s v="KG Radlin"/>
    <x v="0"/>
    <s v="Bydgoszcz"/>
    <x v="2"/>
    <x v="2"/>
    <x v="9"/>
  </r>
  <r>
    <x v="29"/>
    <x v="1"/>
    <n v="2007"/>
    <s v="KG Radlin"/>
    <x v="0"/>
    <s v="Bydgoszcz"/>
    <x v="3"/>
    <x v="0"/>
    <x v="159"/>
  </r>
  <r>
    <x v="29"/>
    <x v="1"/>
    <n v="2007"/>
    <s v="KG Radlin"/>
    <x v="0"/>
    <s v="Bydgoszcz"/>
    <x v="3"/>
    <x v="1"/>
    <x v="26"/>
  </r>
  <r>
    <x v="29"/>
    <x v="1"/>
    <n v="2007"/>
    <s v="KG Radlin"/>
    <x v="0"/>
    <s v="Bydgoszcz"/>
    <x v="3"/>
    <x v="2"/>
    <x v="62"/>
  </r>
  <r>
    <x v="29"/>
    <x v="1"/>
    <n v="2007"/>
    <s v="KG Radlin"/>
    <x v="0"/>
    <s v="Bydgoszcz"/>
    <x v="4"/>
    <x v="0"/>
    <x v="191"/>
  </r>
  <r>
    <x v="29"/>
    <x v="1"/>
    <n v="2007"/>
    <s v="KG Radlin"/>
    <x v="0"/>
    <s v="Bydgoszcz"/>
    <x v="4"/>
    <x v="1"/>
    <x v="219"/>
  </r>
  <r>
    <x v="29"/>
    <x v="1"/>
    <n v="2007"/>
    <s v="KG Radlin"/>
    <x v="0"/>
    <s v="Bydgoszcz"/>
    <x v="4"/>
    <x v="2"/>
    <x v="220"/>
  </r>
  <r>
    <x v="29"/>
    <x v="1"/>
    <n v="2007"/>
    <s v="KG Radlin"/>
    <x v="0"/>
    <s v="Bydgoszcz"/>
    <x v="5"/>
    <x v="0"/>
    <x v="221"/>
  </r>
  <r>
    <x v="29"/>
    <x v="1"/>
    <n v="2007"/>
    <s v="KG Radlin"/>
    <x v="0"/>
    <s v="Bydgoszcz"/>
    <x v="5"/>
    <x v="1"/>
    <x v="222"/>
  </r>
  <r>
    <x v="29"/>
    <x v="1"/>
    <n v="2007"/>
    <s v="KG Radlin"/>
    <x v="0"/>
    <s v="Bydgoszcz"/>
    <x v="5"/>
    <x v="2"/>
    <x v="97"/>
  </r>
  <r>
    <x v="29"/>
    <x v="1"/>
    <n v="2007"/>
    <s v="KG Radlin"/>
    <x v="0"/>
    <s v="Bydgoszcz"/>
    <x v="6"/>
    <x v="3"/>
    <x v="23"/>
  </r>
  <r>
    <x v="29"/>
    <x v="1"/>
    <n v="2007"/>
    <s v="KG Radlin"/>
    <x v="0"/>
    <s v="Bydgoszcz"/>
    <x v="6"/>
    <x v="4"/>
    <x v="223"/>
  </r>
  <r>
    <x v="29"/>
    <x v="1"/>
    <n v="2007"/>
    <s v="KG Radlin"/>
    <x v="0"/>
    <s v="Bydgoszcz"/>
    <x v="6"/>
    <x v="5"/>
    <x v="130"/>
  </r>
  <r>
    <x v="30"/>
    <x v="1"/>
    <n v="2008"/>
    <s v="KG Radlin"/>
    <x v="1"/>
    <s v="Bydgoszcz"/>
    <x v="0"/>
    <x v="0"/>
    <x v="60"/>
  </r>
  <r>
    <x v="30"/>
    <x v="1"/>
    <n v="2008"/>
    <s v="KG Radlin"/>
    <x v="1"/>
    <s v="Bydgoszcz"/>
    <x v="0"/>
    <x v="1"/>
    <x v="23"/>
  </r>
  <r>
    <x v="30"/>
    <x v="1"/>
    <n v="2008"/>
    <s v="KG Radlin"/>
    <x v="1"/>
    <s v="Bydgoszcz"/>
    <x v="0"/>
    <x v="2"/>
    <x v="155"/>
  </r>
  <r>
    <x v="30"/>
    <x v="1"/>
    <n v="2008"/>
    <s v="KG Radlin"/>
    <x v="1"/>
    <s v="Bydgoszcz"/>
    <x v="1"/>
    <x v="0"/>
    <x v="212"/>
  </r>
  <r>
    <x v="30"/>
    <x v="1"/>
    <n v="2008"/>
    <s v="KG Radlin"/>
    <x v="1"/>
    <s v="Bydgoszcz"/>
    <x v="1"/>
    <x v="1"/>
    <x v="115"/>
  </r>
  <r>
    <x v="30"/>
    <x v="1"/>
    <n v="2008"/>
    <s v="KG Radlin"/>
    <x v="1"/>
    <s v="Bydgoszcz"/>
    <x v="1"/>
    <x v="2"/>
    <x v="212"/>
  </r>
  <r>
    <x v="30"/>
    <x v="1"/>
    <n v="2008"/>
    <s v="KG Radlin"/>
    <x v="1"/>
    <s v="Bydgoszcz"/>
    <x v="2"/>
    <x v="0"/>
    <x v="133"/>
  </r>
  <r>
    <x v="30"/>
    <x v="1"/>
    <n v="2008"/>
    <s v="KG Radlin"/>
    <x v="1"/>
    <s v="Bydgoszcz"/>
    <x v="2"/>
    <x v="1"/>
    <x v="214"/>
  </r>
  <r>
    <x v="30"/>
    <x v="1"/>
    <n v="2008"/>
    <s v="KG Radlin"/>
    <x v="1"/>
    <s v="Bydgoszcz"/>
    <x v="2"/>
    <x v="2"/>
    <x v="13"/>
  </r>
  <r>
    <x v="30"/>
    <x v="1"/>
    <n v="2008"/>
    <s v="KG Radlin"/>
    <x v="1"/>
    <s v="Bydgoszcz"/>
    <x v="3"/>
    <x v="0"/>
    <x v="115"/>
  </r>
  <r>
    <x v="30"/>
    <x v="1"/>
    <n v="2008"/>
    <s v="KG Radlin"/>
    <x v="1"/>
    <s v="Bydgoszcz"/>
    <x v="3"/>
    <x v="1"/>
    <x v="115"/>
  </r>
  <r>
    <x v="30"/>
    <x v="1"/>
    <n v="2008"/>
    <s v="KG Radlin"/>
    <x v="1"/>
    <s v="Bydgoszcz"/>
    <x v="3"/>
    <x v="2"/>
    <x v="115"/>
  </r>
  <r>
    <x v="30"/>
    <x v="1"/>
    <n v="2008"/>
    <s v="KG Radlin"/>
    <x v="1"/>
    <s v="Bydgoszcz"/>
    <x v="4"/>
    <x v="0"/>
    <x v="136"/>
  </r>
  <r>
    <x v="30"/>
    <x v="1"/>
    <n v="2008"/>
    <s v="KG Radlin"/>
    <x v="1"/>
    <s v="Bydgoszcz"/>
    <x v="4"/>
    <x v="1"/>
    <x v="224"/>
  </r>
  <r>
    <x v="30"/>
    <x v="1"/>
    <n v="2008"/>
    <s v="KG Radlin"/>
    <x v="1"/>
    <s v="Bydgoszcz"/>
    <x v="4"/>
    <x v="2"/>
    <x v="225"/>
  </r>
  <r>
    <x v="30"/>
    <x v="1"/>
    <n v="2008"/>
    <s v="KG Radlin"/>
    <x v="1"/>
    <s v="Bydgoszcz"/>
    <x v="5"/>
    <x v="0"/>
    <x v="222"/>
  </r>
  <r>
    <x v="30"/>
    <x v="1"/>
    <n v="2008"/>
    <s v="KG Radlin"/>
    <x v="1"/>
    <s v="Bydgoszcz"/>
    <x v="5"/>
    <x v="1"/>
    <x v="80"/>
  </r>
  <r>
    <x v="30"/>
    <x v="1"/>
    <n v="2008"/>
    <s v="KG Radlin"/>
    <x v="1"/>
    <s v="Bydgoszcz"/>
    <x v="5"/>
    <x v="2"/>
    <x v="30"/>
  </r>
  <r>
    <x v="30"/>
    <x v="1"/>
    <n v="2008"/>
    <s v="KG Radlin"/>
    <x v="1"/>
    <s v="Bydgoszcz"/>
    <x v="6"/>
    <x v="3"/>
    <x v="115"/>
  </r>
  <r>
    <x v="30"/>
    <x v="1"/>
    <n v="2008"/>
    <s v="KG Radlin"/>
    <x v="1"/>
    <s v="Bydgoszcz"/>
    <x v="6"/>
    <x v="4"/>
    <x v="115"/>
  </r>
  <r>
    <x v="30"/>
    <x v="1"/>
    <n v="2008"/>
    <s v="KG Radlin"/>
    <x v="1"/>
    <s v="Bydgoszcz"/>
    <x v="6"/>
    <x v="5"/>
    <x v="226"/>
  </r>
  <r>
    <x v="31"/>
    <x v="1"/>
    <n v="2006"/>
    <s v="MKS Gdańsk"/>
    <x v="1"/>
    <s v="Bydgoszcz"/>
    <x v="0"/>
    <x v="0"/>
    <x v="115"/>
  </r>
  <r>
    <x v="31"/>
    <x v="1"/>
    <n v="2006"/>
    <s v="MKS Gdańsk"/>
    <x v="1"/>
    <s v="Bydgoszcz"/>
    <x v="0"/>
    <x v="1"/>
    <x v="115"/>
  </r>
  <r>
    <x v="31"/>
    <x v="1"/>
    <n v="2006"/>
    <s v="MKS Gdańsk"/>
    <x v="1"/>
    <s v="Bydgoszcz"/>
    <x v="0"/>
    <x v="2"/>
    <x v="115"/>
  </r>
  <r>
    <x v="31"/>
    <x v="1"/>
    <n v="2006"/>
    <s v="MKS Gdańsk"/>
    <x v="1"/>
    <s v="Bydgoszcz"/>
    <x v="1"/>
    <x v="0"/>
    <x v="133"/>
  </r>
  <r>
    <x v="31"/>
    <x v="1"/>
    <n v="2006"/>
    <s v="MKS Gdańsk"/>
    <x v="1"/>
    <s v="Bydgoszcz"/>
    <x v="1"/>
    <x v="1"/>
    <x v="36"/>
  </r>
  <r>
    <x v="31"/>
    <x v="1"/>
    <n v="2006"/>
    <s v="MKS Gdańsk"/>
    <x v="1"/>
    <s v="Bydgoszcz"/>
    <x v="1"/>
    <x v="2"/>
    <x v="227"/>
  </r>
  <r>
    <x v="31"/>
    <x v="1"/>
    <n v="2006"/>
    <s v="MKS Gdańsk"/>
    <x v="1"/>
    <s v="Bydgoszcz"/>
    <x v="2"/>
    <x v="0"/>
    <x v="115"/>
  </r>
  <r>
    <x v="31"/>
    <x v="1"/>
    <n v="2006"/>
    <s v="MKS Gdańsk"/>
    <x v="1"/>
    <s v="Bydgoszcz"/>
    <x v="2"/>
    <x v="1"/>
    <x v="115"/>
  </r>
  <r>
    <x v="31"/>
    <x v="1"/>
    <n v="2006"/>
    <s v="MKS Gdańsk"/>
    <x v="1"/>
    <s v="Bydgoszcz"/>
    <x v="2"/>
    <x v="2"/>
    <x v="115"/>
  </r>
  <r>
    <x v="31"/>
    <x v="1"/>
    <n v="2006"/>
    <s v="MKS Gdańsk"/>
    <x v="1"/>
    <s v="Bydgoszcz"/>
    <x v="3"/>
    <x v="0"/>
    <x v="96"/>
  </r>
  <r>
    <x v="31"/>
    <x v="1"/>
    <n v="2006"/>
    <s v="MKS Gdańsk"/>
    <x v="1"/>
    <s v="Bydgoszcz"/>
    <x v="3"/>
    <x v="1"/>
    <x v="77"/>
  </r>
  <r>
    <x v="31"/>
    <x v="1"/>
    <n v="2006"/>
    <s v="MKS Gdańsk"/>
    <x v="1"/>
    <s v="Bydgoszcz"/>
    <x v="3"/>
    <x v="2"/>
    <x v="228"/>
  </r>
  <r>
    <x v="31"/>
    <x v="1"/>
    <n v="2006"/>
    <s v="MKS Gdańsk"/>
    <x v="1"/>
    <s v="Bydgoszcz"/>
    <x v="4"/>
    <x v="0"/>
    <x v="80"/>
  </r>
  <r>
    <x v="31"/>
    <x v="1"/>
    <n v="2006"/>
    <s v="MKS Gdańsk"/>
    <x v="1"/>
    <s v="Bydgoszcz"/>
    <x v="4"/>
    <x v="1"/>
    <x v="229"/>
  </r>
  <r>
    <x v="31"/>
    <x v="1"/>
    <n v="2006"/>
    <s v="MKS Gdańsk"/>
    <x v="1"/>
    <s v="Bydgoszcz"/>
    <x v="4"/>
    <x v="2"/>
    <x v="85"/>
  </r>
  <r>
    <x v="31"/>
    <x v="1"/>
    <n v="2006"/>
    <s v="MKS Gdańsk"/>
    <x v="1"/>
    <s v="Bydgoszcz"/>
    <x v="5"/>
    <x v="0"/>
    <x v="115"/>
  </r>
  <r>
    <x v="31"/>
    <x v="1"/>
    <n v="2006"/>
    <s v="MKS Gdańsk"/>
    <x v="1"/>
    <s v="Bydgoszcz"/>
    <x v="5"/>
    <x v="1"/>
    <x v="115"/>
  </r>
  <r>
    <x v="31"/>
    <x v="1"/>
    <n v="2006"/>
    <s v="MKS Gdańsk"/>
    <x v="1"/>
    <s v="Bydgoszcz"/>
    <x v="5"/>
    <x v="2"/>
    <x v="115"/>
  </r>
  <r>
    <x v="31"/>
    <x v="1"/>
    <n v="2006"/>
    <s v="MKS Gdańsk"/>
    <x v="1"/>
    <s v="Bydgoszcz"/>
    <x v="6"/>
    <x v="3"/>
    <x v="115"/>
  </r>
  <r>
    <x v="31"/>
    <x v="1"/>
    <n v="2006"/>
    <s v="MKS Gdańsk"/>
    <x v="1"/>
    <s v="Bydgoszcz"/>
    <x v="6"/>
    <x v="4"/>
    <x v="115"/>
  </r>
  <r>
    <x v="31"/>
    <x v="1"/>
    <n v="2006"/>
    <s v="MKS Gdańsk"/>
    <x v="1"/>
    <s v="Bydgoszcz"/>
    <x v="6"/>
    <x v="5"/>
    <x v="23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7">
  <r>
    <x v="0"/>
    <x v="0"/>
    <n v="2002"/>
    <s v="KS AZS AWF Katowice"/>
    <s v="Zabrze"/>
    <x v="0"/>
    <x v="0"/>
    <x v="0"/>
    <x v="0"/>
  </r>
  <r>
    <x v="0"/>
    <x v="0"/>
    <n v="2002"/>
    <s v="KS AZS AWF Katowice"/>
    <s v="Zabrze"/>
    <x v="0"/>
    <x v="0"/>
    <x v="1"/>
    <x v="1"/>
  </r>
  <r>
    <x v="0"/>
    <x v="0"/>
    <n v="2002"/>
    <s v="KS AZS AWF Katowice"/>
    <s v="Zabrze"/>
    <x v="0"/>
    <x v="0"/>
    <x v="2"/>
    <x v="2"/>
  </r>
  <r>
    <x v="0"/>
    <x v="0"/>
    <n v="2002"/>
    <s v="KS AZS AWF Katowice"/>
    <s v="Zabrze"/>
    <x v="0"/>
    <x v="1"/>
    <x v="0"/>
    <x v="3"/>
  </r>
  <r>
    <x v="0"/>
    <x v="0"/>
    <n v="2002"/>
    <s v="KS AZS AWF Katowice"/>
    <s v="Zabrze"/>
    <x v="0"/>
    <x v="1"/>
    <x v="1"/>
    <x v="4"/>
  </r>
  <r>
    <x v="0"/>
    <x v="0"/>
    <n v="2002"/>
    <s v="KS AZS AWF Katowice"/>
    <s v="Zabrze"/>
    <x v="0"/>
    <x v="1"/>
    <x v="2"/>
    <x v="5"/>
  </r>
  <r>
    <x v="0"/>
    <x v="0"/>
    <n v="2002"/>
    <s v="KS AZS AWF Katowice"/>
    <s v="Zabrze"/>
    <x v="0"/>
    <x v="2"/>
    <x v="0"/>
    <x v="6"/>
  </r>
  <r>
    <x v="0"/>
    <x v="0"/>
    <n v="2002"/>
    <s v="KS AZS AWF Katowice"/>
    <s v="Zabrze"/>
    <x v="0"/>
    <x v="2"/>
    <x v="1"/>
    <x v="7"/>
  </r>
  <r>
    <x v="0"/>
    <x v="0"/>
    <n v="2002"/>
    <s v="KS AZS AWF Katowice"/>
    <s v="Zabrze"/>
    <x v="0"/>
    <x v="2"/>
    <x v="2"/>
    <x v="8"/>
  </r>
  <r>
    <x v="0"/>
    <x v="0"/>
    <n v="2002"/>
    <s v="KS AZS AWF Katowice"/>
    <s v="Zabrze"/>
    <x v="0"/>
    <x v="3"/>
    <x v="0"/>
    <x v="9"/>
  </r>
  <r>
    <x v="0"/>
    <x v="0"/>
    <n v="2002"/>
    <s v="KS AZS AWF Katowice"/>
    <s v="Zabrze"/>
    <x v="0"/>
    <x v="3"/>
    <x v="1"/>
    <x v="10"/>
  </r>
  <r>
    <x v="0"/>
    <x v="0"/>
    <n v="2002"/>
    <s v="KS AZS AWF Katowice"/>
    <s v="Zabrze"/>
    <x v="0"/>
    <x v="3"/>
    <x v="2"/>
    <x v="11"/>
  </r>
  <r>
    <x v="0"/>
    <x v="0"/>
    <n v="2002"/>
    <s v="KS AZS AWF Katowice"/>
    <s v="Zabrze"/>
    <x v="0"/>
    <x v="4"/>
    <x v="0"/>
    <x v="12"/>
  </r>
  <r>
    <x v="0"/>
    <x v="0"/>
    <n v="2002"/>
    <s v="KS AZS AWF Katowice"/>
    <s v="Zabrze"/>
    <x v="0"/>
    <x v="4"/>
    <x v="1"/>
    <x v="13"/>
  </r>
  <r>
    <x v="0"/>
    <x v="0"/>
    <n v="2002"/>
    <s v="KS AZS AWF Katowice"/>
    <s v="Zabrze"/>
    <x v="0"/>
    <x v="4"/>
    <x v="2"/>
    <x v="8"/>
  </r>
  <r>
    <x v="0"/>
    <x v="0"/>
    <n v="2002"/>
    <s v="KS AZS AWF Katowice"/>
    <s v="Zabrze"/>
    <x v="0"/>
    <x v="5"/>
    <x v="0"/>
    <x v="14"/>
  </r>
  <r>
    <x v="0"/>
    <x v="0"/>
    <n v="2002"/>
    <s v="KS AZS AWF Katowice"/>
    <s v="Zabrze"/>
    <x v="0"/>
    <x v="5"/>
    <x v="1"/>
    <x v="4"/>
  </r>
  <r>
    <x v="0"/>
    <x v="0"/>
    <n v="2002"/>
    <s v="KS AZS AWF Katowice"/>
    <s v="Zabrze"/>
    <x v="0"/>
    <x v="5"/>
    <x v="2"/>
    <x v="15"/>
  </r>
  <r>
    <x v="0"/>
    <x v="0"/>
    <n v="2002"/>
    <s v="KS AZS AWF Katowice"/>
    <s v="Zabrze"/>
    <x v="0"/>
    <x v="6"/>
    <x v="3"/>
    <x v="16"/>
  </r>
  <r>
    <x v="0"/>
    <x v="0"/>
    <n v="2002"/>
    <s v="KS AZS AWF Katowice"/>
    <s v="Zabrze"/>
    <x v="0"/>
    <x v="6"/>
    <x v="4"/>
    <x v="17"/>
  </r>
  <r>
    <x v="0"/>
    <x v="0"/>
    <n v="2002"/>
    <s v="KS AZS AWF Katowice"/>
    <s v="Zabrze"/>
    <x v="0"/>
    <x v="6"/>
    <x v="5"/>
    <x v="18"/>
  </r>
  <r>
    <x v="1"/>
    <x v="0"/>
    <n v="1997"/>
    <s v="KS AZS AWF Kraków"/>
    <s v="Zabrze"/>
    <x v="0"/>
    <x v="0"/>
    <x v="0"/>
    <x v="19"/>
  </r>
  <r>
    <x v="1"/>
    <x v="0"/>
    <n v="1997"/>
    <s v="KS AZS AWF Kraków"/>
    <s v="Zabrze"/>
    <x v="0"/>
    <x v="0"/>
    <x v="1"/>
    <x v="20"/>
  </r>
  <r>
    <x v="1"/>
    <x v="0"/>
    <n v="1997"/>
    <s v="KS AZS AWF Kraków"/>
    <s v="Zabrze"/>
    <x v="0"/>
    <x v="0"/>
    <x v="2"/>
    <x v="21"/>
  </r>
  <r>
    <x v="1"/>
    <x v="0"/>
    <n v="1997"/>
    <s v="KS AZS AWF Kraków"/>
    <s v="Zabrze"/>
    <x v="0"/>
    <x v="1"/>
    <x v="0"/>
    <x v="14"/>
  </r>
  <r>
    <x v="1"/>
    <x v="0"/>
    <n v="1997"/>
    <s v="KS AZS AWF Kraków"/>
    <s v="Zabrze"/>
    <x v="0"/>
    <x v="1"/>
    <x v="1"/>
    <x v="22"/>
  </r>
  <r>
    <x v="1"/>
    <x v="0"/>
    <n v="1997"/>
    <s v="KS AZS AWF Kraków"/>
    <s v="Zabrze"/>
    <x v="0"/>
    <x v="1"/>
    <x v="2"/>
    <x v="23"/>
  </r>
  <r>
    <x v="1"/>
    <x v="0"/>
    <n v="1997"/>
    <s v="KS AZS AWF Kraków"/>
    <s v="Zabrze"/>
    <x v="0"/>
    <x v="2"/>
    <x v="0"/>
    <x v="24"/>
  </r>
  <r>
    <x v="1"/>
    <x v="0"/>
    <n v="1997"/>
    <s v="KS AZS AWF Kraków"/>
    <s v="Zabrze"/>
    <x v="0"/>
    <x v="2"/>
    <x v="1"/>
    <x v="25"/>
  </r>
  <r>
    <x v="1"/>
    <x v="0"/>
    <n v="1997"/>
    <s v="KS AZS AWF Kraków"/>
    <s v="Zabrze"/>
    <x v="0"/>
    <x v="2"/>
    <x v="2"/>
    <x v="15"/>
  </r>
  <r>
    <x v="1"/>
    <x v="0"/>
    <n v="1997"/>
    <s v="KS AZS AWF Kraków"/>
    <s v="Zabrze"/>
    <x v="0"/>
    <x v="3"/>
    <x v="0"/>
    <x v="26"/>
  </r>
  <r>
    <x v="1"/>
    <x v="0"/>
    <n v="1997"/>
    <s v="KS AZS AWF Kraków"/>
    <s v="Zabrze"/>
    <x v="0"/>
    <x v="3"/>
    <x v="1"/>
    <x v="27"/>
  </r>
  <r>
    <x v="1"/>
    <x v="0"/>
    <n v="1997"/>
    <s v="KS AZS AWF Kraków"/>
    <s v="Zabrze"/>
    <x v="0"/>
    <x v="3"/>
    <x v="2"/>
    <x v="28"/>
  </r>
  <r>
    <x v="1"/>
    <x v="0"/>
    <n v="1997"/>
    <s v="KS AZS AWF Kraków"/>
    <s v="Zabrze"/>
    <x v="0"/>
    <x v="4"/>
    <x v="0"/>
    <x v="29"/>
  </r>
  <r>
    <x v="1"/>
    <x v="0"/>
    <n v="1997"/>
    <s v="KS AZS AWF Kraków"/>
    <s v="Zabrze"/>
    <x v="0"/>
    <x v="4"/>
    <x v="1"/>
    <x v="30"/>
  </r>
  <r>
    <x v="1"/>
    <x v="0"/>
    <n v="1997"/>
    <s v="KS AZS AWF Kraków"/>
    <s v="Zabrze"/>
    <x v="0"/>
    <x v="4"/>
    <x v="2"/>
    <x v="31"/>
  </r>
  <r>
    <x v="1"/>
    <x v="0"/>
    <n v="1997"/>
    <s v="KS AZS AWF Kraków"/>
    <s v="Zabrze"/>
    <x v="0"/>
    <x v="5"/>
    <x v="0"/>
    <x v="9"/>
  </r>
  <r>
    <x v="1"/>
    <x v="0"/>
    <n v="1997"/>
    <s v="KS AZS AWF Kraków"/>
    <s v="Zabrze"/>
    <x v="0"/>
    <x v="5"/>
    <x v="1"/>
    <x v="32"/>
  </r>
  <r>
    <x v="1"/>
    <x v="0"/>
    <n v="1997"/>
    <s v="KS AZS AWF Kraków"/>
    <s v="Zabrze"/>
    <x v="0"/>
    <x v="5"/>
    <x v="2"/>
    <x v="33"/>
  </r>
  <r>
    <x v="1"/>
    <x v="0"/>
    <n v="1997"/>
    <s v="KS AZS AWF Kraków"/>
    <s v="Zabrze"/>
    <x v="0"/>
    <x v="6"/>
    <x v="3"/>
    <x v="16"/>
  </r>
  <r>
    <x v="1"/>
    <x v="0"/>
    <n v="1997"/>
    <s v="KS AZS AWF Kraków"/>
    <s v="Zabrze"/>
    <x v="0"/>
    <x v="6"/>
    <x v="4"/>
    <x v="34"/>
  </r>
  <r>
    <x v="1"/>
    <x v="0"/>
    <n v="1997"/>
    <s v="KS AZS AWF Kraków"/>
    <s v="Zabrze"/>
    <x v="0"/>
    <x v="6"/>
    <x v="5"/>
    <x v="35"/>
  </r>
  <r>
    <x v="2"/>
    <x v="0"/>
    <n v="2001"/>
    <s v="NTG Nysa"/>
    <s v="Zabrze"/>
    <x v="0"/>
    <x v="0"/>
    <x v="0"/>
    <x v="36"/>
  </r>
  <r>
    <x v="2"/>
    <x v="0"/>
    <n v="2001"/>
    <s v="NTG Nysa"/>
    <s v="Zabrze"/>
    <x v="0"/>
    <x v="0"/>
    <x v="1"/>
    <x v="37"/>
  </r>
  <r>
    <x v="2"/>
    <x v="0"/>
    <n v="2001"/>
    <s v="NTG Nysa"/>
    <s v="Zabrze"/>
    <x v="0"/>
    <x v="0"/>
    <x v="2"/>
    <x v="38"/>
  </r>
  <r>
    <x v="2"/>
    <x v="0"/>
    <n v="2001"/>
    <s v="NTG Nysa"/>
    <s v="Zabrze"/>
    <x v="0"/>
    <x v="1"/>
    <x v="0"/>
    <x v="39"/>
  </r>
  <r>
    <x v="2"/>
    <x v="0"/>
    <n v="2001"/>
    <s v="NTG Nysa"/>
    <s v="Zabrze"/>
    <x v="0"/>
    <x v="1"/>
    <x v="1"/>
    <x v="37"/>
  </r>
  <r>
    <x v="2"/>
    <x v="0"/>
    <n v="2001"/>
    <s v="NTG Nysa"/>
    <s v="Zabrze"/>
    <x v="0"/>
    <x v="1"/>
    <x v="2"/>
    <x v="40"/>
  </r>
  <r>
    <x v="2"/>
    <x v="0"/>
    <n v="2001"/>
    <s v="NTG Nysa"/>
    <s v="Zabrze"/>
    <x v="0"/>
    <x v="2"/>
    <x v="0"/>
    <x v="24"/>
  </r>
  <r>
    <x v="2"/>
    <x v="0"/>
    <n v="2001"/>
    <s v="NTG Nysa"/>
    <s v="Zabrze"/>
    <x v="0"/>
    <x v="2"/>
    <x v="1"/>
    <x v="37"/>
  </r>
  <r>
    <x v="2"/>
    <x v="0"/>
    <n v="2001"/>
    <s v="NTG Nysa"/>
    <s v="Zabrze"/>
    <x v="0"/>
    <x v="2"/>
    <x v="2"/>
    <x v="5"/>
  </r>
  <r>
    <x v="2"/>
    <x v="0"/>
    <n v="2001"/>
    <s v="NTG Nysa"/>
    <s v="Zabrze"/>
    <x v="0"/>
    <x v="3"/>
    <x v="0"/>
    <x v="41"/>
  </r>
  <r>
    <x v="2"/>
    <x v="0"/>
    <n v="2001"/>
    <s v="NTG Nysa"/>
    <s v="Zabrze"/>
    <x v="0"/>
    <x v="3"/>
    <x v="1"/>
    <x v="10"/>
  </r>
  <r>
    <x v="2"/>
    <x v="0"/>
    <n v="2001"/>
    <s v="NTG Nysa"/>
    <s v="Zabrze"/>
    <x v="0"/>
    <x v="3"/>
    <x v="2"/>
    <x v="42"/>
  </r>
  <r>
    <x v="2"/>
    <x v="0"/>
    <n v="2001"/>
    <s v="NTG Nysa"/>
    <s v="Zabrze"/>
    <x v="0"/>
    <x v="4"/>
    <x v="0"/>
    <x v="39"/>
  </r>
  <r>
    <x v="2"/>
    <x v="0"/>
    <n v="2001"/>
    <s v="NTG Nysa"/>
    <s v="Zabrze"/>
    <x v="0"/>
    <x v="4"/>
    <x v="1"/>
    <x v="43"/>
  </r>
  <r>
    <x v="2"/>
    <x v="0"/>
    <n v="2001"/>
    <s v="NTG Nysa"/>
    <s v="Zabrze"/>
    <x v="0"/>
    <x v="4"/>
    <x v="2"/>
    <x v="44"/>
  </r>
  <r>
    <x v="2"/>
    <x v="0"/>
    <n v="2001"/>
    <s v="NTG Nysa"/>
    <s v="Zabrze"/>
    <x v="0"/>
    <x v="5"/>
    <x v="0"/>
    <x v="45"/>
  </r>
  <r>
    <x v="2"/>
    <x v="0"/>
    <n v="2001"/>
    <s v="NTG Nysa"/>
    <s v="Zabrze"/>
    <x v="0"/>
    <x v="5"/>
    <x v="1"/>
    <x v="46"/>
  </r>
  <r>
    <x v="2"/>
    <x v="0"/>
    <n v="2001"/>
    <s v="NTG Nysa"/>
    <s v="Zabrze"/>
    <x v="0"/>
    <x v="5"/>
    <x v="2"/>
    <x v="47"/>
  </r>
  <r>
    <x v="2"/>
    <x v="0"/>
    <n v="2001"/>
    <s v="NTG Nysa"/>
    <s v="Zabrze"/>
    <x v="0"/>
    <x v="6"/>
    <x v="3"/>
    <x v="48"/>
  </r>
  <r>
    <x v="2"/>
    <x v="0"/>
    <n v="2001"/>
    <s v="NTG Nysa"/>
    <s v="Zabrze"/>
    <x v="0"/>
    <x v="6"/>
    <x v="4"/>
    <x v="49"/>
  </r>
  <r>
    <x v="2"/>
    <x v="0"/>
    <n v="2001"/>
    <s v="NTG Nysa"/>
    <s v="Zabrze"/>
    <x v="0"/>
    <x v="6"/>
    <x v="5"/>
    <x v="50"/>
  </r>
  <r>
    <x v="3"/>
    <x v="0"/>
    <n v="2004"/>
    <s v="MKS Kusy Szczecin"/>
    <s v="Zabrze"/>
    <x v="0"/>
    <x v="0"/>
    <x v="0"/>
    <x v="29"/>
  </r>
  <r>
    <x v="3"/>
    <x v="0"/>
    <n v="2004"/>
    <s v="MKS Kusy Szczecin"/>
    <s v="Zabrze"/>
    <x v="0"/>
    <x v="0"/>
    <x v="1"/>
    <x v="7"/>
  </r>
  <r>
    <x v="3"/>
    <x v="0"/>
    <n v="2004"/>
    <s v="MKS Kusy Szczecin"/>
    <s v="Zabrze"/>
    <x v="0"/>
    <x v="0"/>
    <x v="2"/>
    <x v="51"/>
  </r>
  <r>
    <x v="3"/>
    <x v="0"/>
    <n v="2004"/>
    <s v="MKS Kusy Szczecin"/>
    <s v="Zabrze"/>
    <x v="0"/>
    <x v="1"/>
    <x v="0"/>
    <x v="36"/>
  </r>
  <r>
    <x v="3"/>
    <x v="0"/>
    <n v="2004"/>
    <s v="MKS Kusy Szczecin"/>
    <s v="Zabrze"/>
    <x v="0"/>
    <x v="1"/>
    <x v="1"/>
    <x v="52"/>
  </r>
  <r>
    <x v="3"/>
    <x v="0"/>
    <n v="2004"/>
    <s v="MKS Kusy Szczecin"/>
    <s v="Zabrze"/>
    <x v="0"/>
    <x v="1"/>
    <x v="2"/>
    <x v="53"/>
  </r>
  <r>
    <x v="3"/>
    <x v="0"/>
    <n v="2004"/>
    <s v="MKS Kusy Szczecin"/>
    <s v="Zabrze"/>
    <x v="0"/>
    <x v="2"/>
    <x v="0"/>
    <x v="36"/>
  </r>
  <r>
    <x v="3"/>
    <x v="0"/>
    <n v="2004"/>
    <s v="MKS Kusy Szczecin"/>
    <s v="Zabrze"/>
    <x v="0"/>
    <x v="2"/>
    <x v="1"/>
    <x v="54"/>
  </r>
  <r>
    <x v="3"/>
    <x v="0"/>
    <n v="2004"/>
    <s v="MKS Kusy Szczecin"/>
    <s v="Zabrze"/>
    <x v="0"/>
    <x v="2"/>
    <x v="2"/>
    <x v="55"/>
  </r>
  <r>
    <x v="3"/>
    <x v="0"/>
    <n v="2004"/>
    <s v="MKS Kusy Szczecin"/>
    <s v="Zabrze"/>
    <x v="0"/>
    <x v="3"/>
    <x v="0"/>
    <x v="41"/>
  </r>
  <r>
    <x v="3"/>
    <x v="0"/>
    <n v="2004"/>
    <s v="MKS Kusy Szczecin"/>
    <s v="Zabrze"/>
    <x v="0"/>
    <x v="3"/>
    <x v="1"/>
    <x v="27"/>
  </r>
  <r>
    <x v="3"/>
    <x v="0"/>
    <n v="2004"/>
    <s v="MKS Kusy Szczecin"/>
    <s v="Zabrze"/>
    <x v="0"/>
    <x v="3"/>
    <x v="2"/>
    <x v="56"/>
  </r>
  <r>
    <x v="3"/>
    <x v="0"/>
    <n v="2004"/>
    <s v="MKS Kusy Szczecin"/>
    <s v="Zabrze"/>
    <x v="0"/>
    <x v="4"/>
    <x v="0"/>
    <x v="57"/>
  </r>
  <r>
    <x v="3"/>
    <x v="0"/>
    <n v="2004"/>
    <s v="MKS Kusy Szczecin"/>
    <s v="Zabrze"/>
    <x v="0"/>
    <x v="4"/>
    <x v="1"/>
    <x v="58"/>
  </r>
  <r>
    <x v="3"/>
    <x v="0"/>
    <n v="2004"/>
    <s v="MKS Kusy Szczecin"/>
    <s v="Zabrze"/>
    <x v="0"/>
    <x v="4"/>
    <x v="2"/>
    <x v="38"/>
  </r>
  <r>
    <x v="3"/>
    <x v="0"/>
    <n v="2004"/>
    <s v="MKS Kusy Szczecin"/>
    <s v="Zabrze"/>
    <x v="0"/>
    <x v="5"/>
    <x v="0"/>
    <x v="59"/>
  </r>
  <r>
    <x v="3"/>
    <x v="0"/>
    <n v="2004"/>
    <s v="MKS Kusy Szczecin"/>
    <s v="Zabrze"/>
    <x v="0"/>
    <x v="5"/>
    <x v="1"/>
    <x v="60"/>
  </r>
  <r>
    <x v="3"/>
    <x v="0"/>
    <n v="2004"/>
    <s v="MKS Kusy Szczecin"/>
    <s v="Zabrze"/>
    <x v="0"/>
    <x v="5"/>
    <x v="2"/>
    <x v="61"/>
  </r>
  <r>
    <x v="3"/>
    <x v="0"/>
    <n v="2004"/>
    <s v="MKS Kusy Szczecin"/>
    <s v="Zabrze"/>
    <x v="0"/>
    <x v="6"/>
    <x v="3"/>
    <x v="62"/>
  </r>
  <r>
    <x v="3"/>
    <x v="0"/>
    <n v="2004"/>
    <s v="MKS Kusy Szczecin"/>
    <s v="Zabrze"/>
    <x v="0"/>
    <x v="6"/>
    <x v="4"/>
    <x v="63"/>
  </r>
  <r>
    <x v="3"/>
    <x v="0"/>
    <n v="2004"/>
    <s v="MKS Kusy Szczecin"/>
    <s v="Zabrze"/>
    <x v="0"/>
    <x v="6"/>
    <x v="5"/>
    <x v="64"/>
  </r>
  <r>
    <x v="4"/>
    <x v="0"/>
    <n v="2001"/>
    <s v="KS AZS AWFiS Gdańsk"/>
    <s v="Zabrze"/>
    <x v="0"/>
    <x v="0"/>
    <x v="0"/>
    <x v="12"/>
  </r>
  <r>
    <x v="4"/>
    <x v="0"/>
    <n v="2001"/>
    <s v="KS AZS AWFiS Gdańsk"/>
    <s v="Zabrze"/>
    <x v="0"/>
    <x v="0"/>
    <x v="1"/>
    <x v="32"/>
  </r>
  <r>
    <x v="4"/>
    <x v="0"/>
    <n v="2001"/>
    <s v="KS AZS AWFiS Gdańsk"/>
    <s v="Zabrze"/>
    <x v="0"/>
    <x v="0"/>
    <x v="2"/>
    <x v="65"/>
  </r>
  <r>
    <x v="4"/>
    <x v="0"/>
    <n v="2001"/>
    <s v="KS AZS AWFiS Gdańsk"/>
    <s v="Zabrze"/>
    <x v="0"/>
    <x v="1"/>
    <x v="0"/>
    <x v="66"/>
  </r>
  <r>
    <x v="4"/>
    <x v="0"/>
    <n v="2001"/>
    <s v="KS AZS AWFiS Gdańsk"/>
    <s v="Zabrze"/>
    <x v="0"/>
    <x v="1"/>
    <x v="1"/>
    <x v="19"/>
  </r>
  <r>
    <x v="4"/>
    <x v="0"/>
    <n v="2001"/>
    <s v="KS AZS AWFiS Gdańsk"/>
    <s v="Zabrze"/>
    <x v="0"/>
    <x v="1"/>
    <x v="2"/>
    <x v="67"/>
  </r>
  <r>
    <x v="4"/>
    <x v="0"/>
    <n v="2001"/>
    <s v="KS AZS AWFiS Gdańsk"/>
    <s v="Zabrze"/>
    <x v="0"/>
    <x v="2"/>
    <x v="0"/>
    <x v="6"/>
  </r>
  <r>
    <x v="4"/>
    <x v="0"/>
    <n v="2001"/>
    <s v="KS AZS AWFiS Gdańsk"/>
    <s v="Zabrze"/>
    <x v="0"/>
    <x v="2"/>
    <x v="1"/>
    <x v="68"/>
  </r>
  <r>
    <x v="4"/>
    <x v="0"/>
    <n v="2001"/>
    <s v="KS AZS AWFiS Gdańsk"/>
    <s v="Zabrze"/>
    <x v="0"/>
    <x v="2"/>
    <x v="2"/>
    <x v="69"/>
  </r>
  <r>
    <x v="4"/>
    <x v="0"/>
    <n v="2001"/>
    <s v="KS AZS AWFiS Gdańsk"/>
    <s v="Zabrze"/>
    <x v="0"/>
    <x v="3"/>
    <x v="0"/>
    <x v="26"/>
  </r>
  <r>
    <x v="4"/>
    <x v="0"/>
    <n v="2001"/>
    <s v="KS AZS AWFiS Gdańsk"/>
    <s v="Zabrze"/>
    <x v="0"/>
    <x v="3"/>
    <x v="1"/>
    <x v="70"/>
  </r>
  <r>
    <x v="4"/>
    <x v="0"/>
    <n v="2001"/>
    <s v="KS AZS AWFiS Gdańsk"/>
    <s v="Zabrze"/>
    <x v="0"/>
    <x v="3"/>
    <x v="2"/>
    <x v="2"/>
  </r>
  <r>
    <x v="4"/>
    <x v="0"/>
    <n v="2001"/>
    <s v="KS AZS AWFiS Gdańsk"/>
    <s v="Zabrze"/>
    <x v="0"/>
    <x v="4"/>
    <x v="0"/>
    <x v="71"/>
  </r>
  <r>
    <x v="4"/>
    <x v="0"/>
    <n v="2001"/>
    <s v="KS AZS AWFiS Gdańsk"/>
    <s v="Zabrze"/>
    <x v="0"/>
    <x v="4"/>
    <x v="1"/>
    <x v="30"/>
  </r>
  <r>
    <x v="4"/>
    <x v="0"/>
    <n v="2001"/>
    <s v="KS AZS AWFiS Gdańsk"/>
    <s v="Zabrze"/>
    <x v="0"/>
    <x v="4"/>
    <x v="2"/>
    <x v="72"/>
  </r>
  <r>
    <x v="4"/>
    <x v="0"/>
    <n v="2001"/>
    <s v="KS AZS AWFiS Gdańsk"/>
    <s v="Zabrze"/>
    <x v="0"/>
    <x v="5"/>
    <x v="0"/>
    <x v="73"/>
  </r>
  <r>
    <x v="4"/>
    <x v="0"/>
    <n v="2001"/>
    <s v="KS AZS AWFiS Gdańsk"/>
    <s v="Zabrze"/>
    <x v="0"/>
    <x v="5"/>
    <x v="1"/>
    <x v="74"/>
  </r>
  <r>
    <x v="4"/>
    <x v="0"/>
    <n v="2001"/>
    <s v="KS AZS AWFiS Gdańsk"/>
    <s v="Zabrze"/>
    <x v="0"/>
    <x v="5"/>
    <x v="2"/>
    <x v="75"/>
  </r>
  <r>
    <x v="4"/>
    <x v="0"/>
    <n v="2001"/>
    <s v="KS AZS AWFiS Gdańsk"/>
    <s v="Zabrze"/>
    <x v="0"/>
    <x v="6"/>
    <x v="3"/>
    <x v="76"/>
  </r>
  <r>
    <x v="4"/>
    <x v="0"/>
    <n v="2001"/>
    <s v="KS AZS AWFiS Gdańsk"/>
    <s v="Zabrze"/>
    <x v="0"/>
    <x v="6"/>
    <x v="4"/>
    <x v="77"/>
  </r>
  <r>
    <x v="4"/>
    <x v="0"/>
    <n v="2001"/>
    <s v="KS AZS AWFiS Gdańsk"/>
    <s v="Zabrze"/>
    <x v="0"/>
    <x v="6"/>
    <x v="5"/>
    <x v="78"/>
  </r>
  <r>
    <x v="5"/>
    <x v="0"/>
    <n v="2001"/>
    <s v="KS AZS AWF Katowice"/>
    <s v="Zabrze"/>
    <x v="0"/>
    <x v="0"/>
    <x v="0"/>
    <x v="79"/>
  </r>
  <r>
    <x v="5"/>
    <x v="0"/>
    <n v="2001"/>
    <s v="KS AZS AWF Katowice"/>
    <s v="Zabrze"/>
    <x v="0"/>
    <x v="0"/>
    <x v="1"/>
    <x v="58"/>
  </r>
  <r>
    <x v="5"/>
    <x v="0"/>
    <n v="2001"/>
    <s v="KS AZS AWF Katowice"/>
    <s v="Zabrze"/>
    <x v="0"/>
    <x v="0"/>
    <x v="2"/>
    <x v="80"/>
  </r>
  <r>
    <x v="5"/>
    <x v="0"/>
    <n v="2001"/>
    <s v="KS AZS AWF Katowice"/>
    <s v="Zabrze"/>
    <x v="0"/>
    <x v="1"/>
    <x v="0"/>
    <x v="39"/>
  </r>
  <r>
    <x v="5"/>
    <x v="0"/>
    <n v="2001"/>
    <s v="KS AZS AWF Katowice"/>
    <s v="Zabrze"/>
    <x v="0"/>
    <x v="1"/>
    <x v="1"/>
    <x v="81"/>
  </r>
  <r>
    <x v="5"/>
    <x v="0"/>
    <n v="2001"/>
    <s v="KS AZS AWF Katowice"/>
    <s v="Zabrze"/>
    <x v="0"/>
    <x v="1"/>
    <x v="2"/>
    <x v="82"/>
  </r>
  <r>
    <x v="5"/>
    <x v="0"/>
    <n v="2001"/>
    <s v="KS AZS AWF Katowice"/>
    <s v="Zabrze"/>
    <x v="0"/>
    <x v="2"/>
    <x v="0"/>
    <x v="83"/>
  </r>
  <r>
    <x v="5"/>
    <x v="0"/>
    <n v="2001"/>
    <s v="KS AZS AWF Katowice"/>
    <s v="Zabrze"/>
    <x v="0"/>
    <x v="2"/>
    <x v="1"/>
    <x v="1"/>
  </r>
  <r>
    <x v="5"/>
    <x v="0"/>
    <n v="2001"/>
    <s v="KS AZS AWF Katowice"/>
    <s v="Zabrze"/>
    <x v="0"/>
    <x v="2"/>
    <x v="2"/>
    <x v="84"/>
  </r>
  <r>
    <x v="5"/>
    <x v="0"/>
    <n v="2001"/>
    <s v="KS AZS AWF Katowice"/>
    <s v="Zabrze"/>
    <x v="0"/>
    <x v="3"/>
    <x v="0"/>
    <x v="41"/>
  </r>
  <r>
    <x v="5"/>
    <x v="0"/>
    <n v="2001"/>
    <s v="KS AZS AWF Katowice"/>
    <s v="Zabrze"/>
    <x v="0"/>
    <x v="3"/>
    <x v="1"/>
    <x v="10"/>
  </r>
  <r>
    <x v="5"/>
    <x v="0"/>
    <n v="2001"/>
    <s v="KS AZS AWF Katowice"/>
    <s v="Zabrze"/>
    <x v="0"/>
    <x v="3"/>
    <x v="2"/>
    <x v="42"/>
  </r>
  <r>
    <x v="5"/>
    <x v="0"/>
    <n v="2001"/>
    <s v="KS AZS AWF Katowice"/>
    <s v="Zabrze"/>
    <x v="0"/>
    <x v="4"/>
    <x v="0"/>
    <x v="6"/>
  </r>
  <r>
    <x v="5"/>
    <x v="0"/>
    <n v="2001"/>
    <s v="KS AZS AWF Katowice"/>
    <s v="Zabrze"/>
    <x v="0"/>
    <x v="4"/>
    <x v="1"/>
    <x v="85"/>
  </r>
  <r>
    <x v="5"/>
    <x v="0"/>
    <n v="2001"/>
    <s v="KS AZS AWF Katowice"/>
    <s v="Zabrze"/>
    <x v="0"/>
    <x v="4"/>
    <x v="2"/>
    <x v="15"/>
  </r>
  <r>
    <x v="5"/>
    <x v="0"/>
    <n v="2001"/>
    <s v="KS AZS AWF Katowice"/>
    <s v="Zabrze"/>
    <x v="0"/>
    <x v="5"/>
    <x v="0"/>
    <x v="86"/>
  </r>
  <r>
    <x v="5"/>
    <x v="0"/>
    <n v="2001"/>
    <s v="KS AZS AWF Katowice"/>
    <s v="Zabrze"/>
    <x v="0"/>
    <x v="5"/>
    <x v="1"/>
    <x v="87"/>
  </r>
  <r>
    <x v="5"/>
    <x v="0"/>
    <n v="2001"/>
    <s v="KS AZS AWF Katowice"/>
    <s v="Zabrze"/>
    <x v="0"/>
    <x v="5"/>
    <x v="2"/>
    <x v="88"/>
  </r>
  <r>
    <x v="5"/>
    <x v="0"/>
    <n v="2001"/>
    <s v="KS AZS AWF Katowice"/>
    <s v="Zabrze"/>
    <x v="0"/>
    <x v="6"/>
    <x v="3"/>
    <x v="89"/>
  </r>
  <r>
    <x v="5"/>
    <x v="0"/>
    <n v="2001"/>
    <s v="KS AZS AWF Katowice"/>
    <s v="Zabrze"/>
    <x v="0"/>
    <x v="6"/>
    <x v="4"/>
    <x v="90"/>
  </r>
  <r>
    <x v="5"/>
    <x v="0"/>
    <n v="2001"/>
    <s v="KS AZS AWF Katowice"/>
    <s v="Zabrze"/>
    <x v="0"/>
    <x v="6"/>
    <x v="5"/>
    <x v="91"/>
  </r>
  <r>
    <x v="6"/>
    <x v="0"/>
    <n v="2003"/>
    <s v="CWZS Zawisza KG Bydgoszcz"/>
    <s v="Zabrze"/>
    <x v="0"/>
    <x v="0"/>
    <x v="0"/>
    <x v="36"/>
  </r>
  <r>
    <x v="6"/>
    <x v="0"/>
    <n v="2003"/>
    <s v="CWZS Zawisza KG Bydgoszcz"/>
    <s v="Zabrze"/>
    <x v="0"/>
    <x v="0"/>
    <x v="1"/>
    <x v="92"/>
  </r>
  <r>
    <x v="6"/>
    <x v="0"/>
    <n v="2003"/>
    <s v="CWZS Zawisza KG Bydgoszcz"/>
    <s v="Zabrze"/>
    <x v="0"/>
    <x v="0"/>
    <x v="2"/>
    <x v="93"/>
  </r>
  <r>
    <x v="6"/>
    <x v="0"/>
    <n v="2003"/>
    <s v="CWZS Zawisza KG Bydgoszcz"/>
    <s v="Zabrze"/>
    <x v="0"/>
    <x v="1"/>
    <x v="0"/>
    <x v="29"/>
  </r>
  <r>
    <x v="6"/>
    <x v="0"/>
    <n v="2003"/>
    <s v="CWZS Zawisza KG Bydgoszcz"/>
    <s v="Zabrze"/>
    <x v="0"/>
    <x v="1"/>
    <x v="1"/>
    <x v="70"/>
  </r>
  <r>
    <x v="6"/>
    <x v="0"/>
    <n v="2003"/>
    <s v="CWZS Zawisza KG Bydgoszcz"/>
    <s v="Zabrze"/>
    <x v="0"/>
    <x v="1"/>
    <x v="2"/>
    <x v="8"/>
  </r>
  <r>
    <x v="6"/>
    <x v="0"/>
    <n v="2003"/>
    <s v="CWZS Zawisza KG Bydgoszcz"/>
    <s v="Zabrze"/>
    <x v="0"/>
    <x v="2"/>
    <x v="0"/>
    <x v="36"/>
  </r>
  <r>
    <x v="6"/>
    <x v="0"/>
    <n v="2003"/>
    <s v="CWZS Zawisza KG Bydgoszcz"/>
    <s v="Zabrze"/>
    <x v="0"/>
    <x v="2"/>
    <x v="1"/>
    <x v="94"/>
  </r>
  <r>
    <x v="6"/>
    <x v="0"/>
    <n v="2003"/>
    <s v="CWZS Zawisza KG Bydgoszcz"/>
    <s v="Zabrze"/>
    <x v="0"/>
    <x v="2"/>
    <x v="2"/>
    <x v="95"/>
  </r>
  <r>
    <x v="6"/>
    <x v="0"/>
    <n v="2003"/>
    <s v="CWZS Zawisza KG Bydgoszcz"/>
    <s v="Zabrze"/>
    <x v="0"/>
    <x v="3"/>
    <x v="0"/>
    <x v="96"/>
  </r>
  <r>
    <x v="6"/>
    <x v="0"/>
    <n v="2003"/>
    <s v="CWZS Zawisza KG Bydgoszcz"/>
    <s v="Zabrze"/>
    <x v="0"/>
    <x v="3"/>
    <x v="1"/>
    <x v="97"/>
  </r>
  <r>
    <x v="6"/>
    <x v="0"/>
    <n v="2003"/>
    <s v="CWZS Zawisza KG Bydgoszcz"/>
    <s v="Zabrze"/>
    <x v="0"/>
    <x v="3"/>
    <x v="2"/>
    <x v="98"/>
  </r>
  <r>
    <x v="6"/>
    <x v="0"/>
    <n v="2003"/>
    <s v="CWZS Zawisza KG Bydgoszcz"/>
    <s v="Zabrze"/>
    <x v="0"/>
    <x v="4"/>
    <x v="0"/>
    <x v="57"/>
  </r>
  <r>
    <x v="6"/>
    <x v="0"/>
    <n v="2003"/>
    <s v="CWZS Zawisza KG Bydgoszcz"/>
    <s v="Zabrze"/>
    <x v="0"/>
    <x v="4"/>
    <x v="1"/>
    <x v="99"/>
  </r>
  <r>
    <x v="6"/>
    <x v="0"/>
    <n v="2003"/>
    <s v="CWZS Zawisza KG Bydgoszcz"/>
    <s v="Zabrze"/>
    <x v="0"/>
    <x v="4"/>
    <x v="2"/>
    <x v="53"/>
  </r>
  <r>
    <x v="6"/>
    <x v="0"/>
    <n v="2003"/>
    <s v="CWZS Zawisza KG Bydgoszcz"/>
    <s v="Zabrze"/>
    <x v="0"/>
    <x v="5"/>
    <x v="0"/>
    <x v="59"/>
  </r>
  <r>
    <x v="6"/>
    <x v="0"/>
    <n v="2003"/>
    <s v="CWZS Zawisza KG Bydgoszcz"/>
    <s v="Zabrze"/>
    <x v="0"/>
    <x v="5"/>
    <x v="1"/>
    <x v="25"/>
  </r>
  <r>
    <x v="6"/>
    <x v="0"/>
    <n v="2003"/>
    <s v="CWZS Zawisza KG Bydgoszcz"/>
    <s v="Zabrze"/>
    <x v="0"/>
    <x v="5"/>
    <x v="2"/>
    <x v="100"/>
  </r>
  <r>
    <x v="6"/>
    <x v="0"/>
    <n v="2003"/>
    <s v="CWZS Zawisza KG Bydgoszcz"/>
    <s v="Zabrze"/>
    <x v="0"/>
    <x v="6"/>
    <x v="3"/>
    <x v="101"/>
  </r>
  <r>
    <x v="6"/>
    <x v="0"/>
    <n v="2003"/>
    <s v="CWZS Zawisza KG Bydgoszcz"/>
    <s v="Zabrze"/>
    <x v="0"/>
    <x v="6"/>
    <x v="4"/>
    <x v="102"/>
  </r>
  <r>
    <x v="6"/>
    <x v="0"/>
    <n v="2003"/>
    <s v="CWZS Zawisza KG Bydgoszcz"/>
    <s v="Zabrze"/>
    <x v="0"/>
    <x v="6"/>
    <x v="5"/>
    <x v="103"/>
  </r>
  <r>
    <x v="7"/>
    <x v="0"/>
    <n v="2002"/>
    <s v="UKS SP7 Łódź"/>
    <s v="Zabrze"/>
    <x v="0"/>
    <x v="0"/>
    <x v="0"/>
    <x v="24"/>
  </r>
  <r>
    <x v="7"/>
    <x v="0"/>
    <n v="2002"/>
    <s v="UKS SP7 Łódź"/>
    <s v="Zabrze"/>
    <x v="0"/>
    <x v="0"/>
    <x v="1"/>
    <x v="60"/>
  </r>
  <r>
    <x v="7"/>
    <x v="0"/>
    <n v="2002"/>
    <s v="UKS SP7 Łódź"/>
    <s v="Zabrze"/>
    <x v="0"/>
    <x v="0"/>
    <x v="2"/>
    <x v="104"/>
  </r>
  <r>
    <x v="7"/>
    <x v="0"/>
    <n v="2002"/>
    <s v="UKS SP7 Łódź"/>
    <s v="Zabrze"/>
    <x v="0"/>
    <x v="1"/>
    <x v="0"/>
    <x v="36"/>
  </r>
  <r>
    <x v="7"/>
    <x v="0"/>
    <n v="2002"/>
    <s v="UKS SP7 Łódź"/>
    <s v="Zabrze"/>
    <x v="0"/>
    <x v="1"/>
    <x v="1"/>
    <x v="105"/>
  </r>
  <r>
    <x v="7"/>
    <x v="0"/>
    <n v="2002"/>
    <s v="UKS SP7 Łódź"/>
    <s v="Zabrze"/>
    <x v="0"/>
    <x v="1"/>
    <x v="2"/>
    <x v="106"/>
  </r>
  <r>
    <x v="7"/>
    <x v="0"/>
    <n v="2002"/>
    <s v="UKS SP7 Łódź"/>
    <s v="Zabrze"/>
    <x v="0"/>
    <x v="2"/>
    <x v="0"/>
    <x v="36"/>
  </r>
  <r>
    <x v="7"/>
    <x v="0"/>
    <n v="2002"/>
    <s v="UKS SP7 Łódź"/>
    <s v="Zabrze"/>
    <x v="0"/>
    <x v="2"/>
    <x v="1"/>
    <x v="37"/>
  </r>
  <r>
    <x v="7"/>
    <x v="0"/>
    <n v="2002"/>
    <s v="UKS SP7 Łódź"/>
    <s v="Zabrze"/>
    <x v="0"/>
    <x v="2"/>
    <x v="2"/>
    <x v="38"/>
  </r>
  <r>
    <x v="7"/>
    <x v="0"/>
    <n v="2002"/>
    <s v="UKS SP7 Łódź"/>
    <s v="Zabrze"/>
    <x v="0"/>
    <x v="3"/>
    <x v="0"/>
    <x v="96"/>
  </r>
  <r>
    <x v="7"/>
    <x v="0"/>
    <n v="2002"/>
    <s v="UKS SP7 Łódź"/>
    <s v="Zabrze"/>
    <x v="0"/>
    <x v="3"/>
    <x v="1"/>
    <x v="107"/>
  </r>
  <r>
    <x v="7"/>
    <x v="0"/>
    <n v="2002"/>
    <s v="UKS SP7 Łódź"/>
    <s v="Zabrze"/>
    <x v="0"/>
    <x v="3"/>
    <x v="2"/>
    <x v="44"/>
  </r>
  <r>
    <x v="7"/>
    <x v="0"/>
    <n v="2002"/>
    <s v="UKS SP7 Łódź"/>
    <s v="Zabrze"/>
    <x v="0"/>
    <x v="4"/>
    <x v="0"/>
    <x v="36"/>
  </r>
  <r>
    <x v="7"/>
    <x v="0"/>
    <n v="2002"/>
    <s v="UKS SP7 Łódź"/>
    <s v="Zabrze"/>
    <x v="0"/>
    <x v="4"/>
    <x v="1"/>
    <x v="108"/>
  </r>
  <r>
    <x v="7"/>
    <x v="0"/>
    <n v="2002"/>
    <s v="UKS SP7 Łódź"/>
    <s v="Zabrze"/>
    <x v="0"/>
    <x v="4"/>
    <x v="2"/>
    <x v="51"/>
  </r>
  <r>
    <x v="7"/>
    <x v="0"/>
    <n v="2002"/>
    <s v="UKS SP7 Łódź"/>
    <s v="Zabrze"/>
    <x v="0"/>
    <x v="5"/>
    <x v="0"/>
    <x v="109"/>
  </r>
  <r>
    <x v="7"/>
    <x v="0"/>
    <n v="2002"/>
    <s v="UKS SP7 Łódź"/>
    <s v="Zabrze"/>
    <x v="0"/>
    <x v="5"/>
    <x v="1"/>
    <x v="81"/>
  </r>
  <r>
    <x v="7"/>
    <x v="0"/>
    <n v="2002"/>
    <s v="UKS SP7 Łódź"/>
    <s v="Zabrze"/>
    <x v="0"/>
    <x v="5"/>
    <x v="2"/>
    <x v="110"/>
  </r>
  <r>
    <x v="7"/>
    <x v="0"/>
    <n v="2002"/>
    <s v="UKS SP7 Łódź"/>
    <s v="Zabrze"/>
    <x v="0"/>
    <x v="6"/>
    <x v="3"/>
    <x v="111"/>
  </r>
  <r>
    <x v="7"/>
    <x v="0"/>
    <n v="2002"/>
    <s v="UKS SP7 Łódź"/>
    <s v="Zabrze"/>
    <x v="0"/>
    <x v="6"/>
    <x v="4"/>
    <x v="17"/>
  </r>
  <r>
    <x v="7"/>
    <x v="0"/>
    <n v="2002"/>
    <s v="UKS SP7 Łódź"/>
    <s v="Zabrze"/>
    <x v="0"/>
    <x v="6"/>
    <x v="5"/>
    <x v="112"/>
  </r>
  <r>
    <x v="8"/>
    <x v="0"/>
    <n v="2004"/>
    <s v="KS AZS AWF Katowice"/>
    <s v="Zabrze"/>
    <x v="0"/>
    <x v="0"/>
    <x v="0"/>
    <x v="113"/>
  </r>
  <r>
    <x v="8"/>
    <x v="0"/>
    <n v="2004"/>
    <s v="KS AZS AWF Katowice"/>
    <s v="Zabrze"/>
    <x v="0"/>
    <x v="0"/>
    <x v="1"/>
    <x v="58"/>
  </r>
  <r>
    <x v="8"/>
    <x v="0"/>
    <n v="2004"/>
    <s v="KS AZS AWF Katowice"/>
    <s v="Zabrze"/>
    <x v="0"/>
    <x v="0"/>
    <x v="2"/>
    <x v="114"/>
  </r>
  <r>
    <x v="8"/>
    <x v="0"/>
    <n v="2004"/>
    <s v="KS AZS AWF Katowice"/>
    <s v="Zabrze"/>
    <x v="0"/>
    <x v="1"/>
    <x v="0"/>
    <x v="6"/>
  </r>
  <r>
    <x v="8"/>
    <x v="0"/>
    <n v="2004"/>
    <s v="KS AZS AWF Katowice"/>
    <s v="Zabrze"/>
    <x v="0"/>
    <x v="1"/>
    <x v="1"/>
    <x v="115"/>
  </r>
  <r>
    <x v="8"/>
    <x v="0"/>
    <n v="2004"/>
    <s v="KS AZS AWF Katowice"/>
    <s v="Zabrze"/>
    <x v="0"/>
    <x v="1"/>
    <x v="2"/>
    <x v="116"/>
  </r>
  <r>
    <x v="8"/>
    <x v="0"/>
    <n v="2004"/>
    <s v="KS AZS AWF Katowice"/>
    <s v="Zabrze"/>
    <x v="0"/>
    <x v="2"/>
    <x v="0"/>
    <x v="73"/>
  </r>
  <r>
    <x v="8"/>
    <x v="0"/>
    <n v="2004"/>
    <s v="KS AZS AWF Katowice"/>
    <s v="Zabrze"/>
    <x v="0"/>
    <x v="2"/>
    <x v="1"/>
    <x v="85"/>
  </r>
  <r>
    <x v="8"/>
    <x v="0"/>
    <n v="2004"/>
    <s v="KS AZS AWF Katowice"/>
    <s v="Zabrze"/>
    <x v="0"/>
    <x v="2"/>
    <x v="2"/>
    <x v="95"/>
  </r>
  <r>
    <x v="8"/>
    <x v="0"/>
    <n v="2004"/>
    <s v="KS AZS AWF Katowice"/>
    <s v="Zabrze"/>
    <x v="0"/>
    <x v="3"/>
    <x v="0"/>
    <x v="45"/>
  </r>
  <r>
    <x v="8"/>
    <x v="0"/>
    <n v="2004"/>
    <s v="KS AZS AWF Katowice"/>
    <s v="Zabrze"/>
    <x v="0"/>
    <x v="3"/>
    <x v="1"/>
    <x v="1"/>
  </r>
  <r>
    <x v="8"/>
    <x v="0"/>
    <n v="2004"/>
    <s v="KS AZS AWF Katowice"/>
    <s v="Zabrze"/>
    <x v="0"/>
    <x v="3"/>
    <x v="2"/>
    <x v="104"/>
  </r>
  <r>
    <x v="8"/>
    <x v="0"/>
    <n v="2004"/>
    <s v="KS AZS AWF Katowice"/>
    <s v="Zabrze"/>
    <x v="0"/>
    <x v="4"/>
    <x v="0"/>
    <x v="45"/>
  </r>
  <r>
    <x v="8"/>
    <x v="0"/>
    <n v="2004"/>
    <s v="KS AZS AWF Katowice"/>
    <s v="Zabrze"/>
    <x v="0"/>
    <x v="4"/>
    <x v="1"/>
    <x v="117"/>
  </r>
  <r>
    <x v="8"/>
    <x v="0"/>
    <n v="2004"/>
    <s v="KS AZS AWF Katowice"/>
    <s v="Zabrze"/>
    <x v="0"/>
    <x v="4"/>
    <x v="2"/>
    <x v="118"/>
  </r>
  <r>
    <x v="8"/>
    <x v="0"/>
    <n v="2004"/>
    <s v="KS AZS AWF Katowice"/>
    <s v="Zabrze"/>
    <x v="0"/>
    <x v="5"/>
    <x v="0"/>
    <x v="83"/>
  </r>
  <r>
    <x v="8"/>
    <x v="0"/>
    <n v="2004"/>
    <s v="KS AZS AWF Katowice"/>
    <s v="Zabrze"/>
    <x v="0"/>
    <x v="5"/>
    <x v="1"/>
    <x v="85"/>
  </r>
  <r>
    <x v="8"/>
    <x v="0"/>
    <n v="2004"/>
    <s v="KS AZS AWF Katowice"/>
    <s v="Zabrze"/>
    <x v="0"/>
    <x v="5"/>
    <x v="2"/>
    <x v="119"/>
  </r>
  <r>
    <x v="8"/>
    <x v="0"/>
    <n v="2004"/>
    <s v="KS AZS AWF Katowice"/>
    <s v="Zabrze"/>
    <x v="0"/>
    <x v="6"/>
    <x v="3"/>
    <x v="120"/>
  </r>
  <r>
    <x v="8"/>
    <x v="0"/>
    <n v="2004"/>
    <s v="KS AZS AWF Katowice"/>
    <s v="Zabrze"/>
    <x v="0"/>
    <x v="6"/>
    <x v="4"/>
    <x v="121"/>
  </r>
  <r>
    <x v="8"/>
    <x v="0"/>
    <n v="2004"/>
    <s v="KS AZS AWF Katowice"/>
    <s v="Zabrze"/>
    <x v="0"/>
    <x v="6"/>
    <x v="5"/>
    <x v="122"/>
  </r>
  <r>
    <x v="9"/>
    <x v="0"/>
    <n v="2003"/>
    <s v="MKS Gdańsk"/>
    <s v="Zabrze"/>
    <x v="0"/>
    <x v="0"/>
    <x v="0"/>
    <x v="9"/>
  </r>
  <r>
    <x v="9"/>
    <x v="0"/>
    <n v="2003"/>
    <s v="MKS Gdańsk"/>
    <s v="Zabrze"/>
    <x v="0"/>
    <x v="0"/>
    <x v="1"/>
    <x v="25"/>
  </r>
  <r>
    <x v="9"/>
    <x v="0"/>
    <n v="2003"/>
    <s v="MKS Gdańsk"/>
    <s v="Zabrze"/>
    <x v="0"/>
    <x v="0"/>
    <x v="2"/>
    <x v="72"/>
  </r>
  <r>
    <x v="9"/>
    <x v="0"/>
    <n v="2003"/>
    <s v="MKS Gdańsk"/>
    <s v="Zabrze"/>
    <x v="0"/>
    <x v="1"/>
    <x v="0"/>
    <x v="113"/>
  </r>
  <r>
    <x v="9"/>
    <x v="0"/>
    <n v="2003"/>
    <s v="MKS Gdańsk"/>
    <s v="Zabrze"/>
    <x v="0"/>
    <x v="1"/>
    <x v="1"/>
    <x v="123"/>
  </r>
  <r>
    <x v="9"/>
    <x v="0"/>
    <n v="2003"/>
    <s v="MKS Gdańsk"/>
    <s v="Zabrze"/>
    <x v="0"/>
    <x v="1"/>
    <x v="2"/>
    <x v="124"/>
  </r>
  <r>
    <x v="9"/>
    <x v="0"/>
    <n v="2003"/>
    <s v="MKS Gdańsk"/>
    <s v="Zabrze"/>
    <x v="0"/>
    <x v="2"/>
    <x v="0"/>
    <x v="36"/>
  </r>
  <r>
    <x v="9"/>
    <x v="0"/>
    <n v="2003"/>
    <s v="MKS Gdańsk"/>
    <s v="Zabrze"/>
    <x v="0"/>
    <x v="2"/>
    <x v="1"/>
    <x v="81"/>
  </r>
  <r>
    <x v="9"/>
    <x v="0"/>
    <n v="2003"/>
    <s v="MKS Gdańsk"/>
    <s v="Zabrze"/>
    <x v="0"/>
    <x v="2"/>
    <x v="2"/>
    <x v="125"/>
  </r>
  <r>
    <x v="9"/>
    <x v="0"/>
    <n v="2003"/>
    <s v="MKS Gdańsk"/>
    <s v="Zabrze"/>
    <x v="0"/>
    <x v="3"/>
    <x v="0"/>
    <x v="41"/>
  </r>
  <r>
    <x v="9"/>
    <x v="0"/>
    <n v="2003"/>
    <s v="MKS Gdańsk"/>
    <s v="Zabrze"/>
    <x v="0"/>
    <x v="3"/>
    <x v="1"/>
    <x v="67"/>
  </r>
  <r>
    <x v="9"/>
    <x v="0"/>
    <n v="2003"/>
    <s v="MKS Gdańsk"/>
    <s v="Zabrze"/>
    <x v="0"/>
    <x v="3"/>
    <x v="2"/>
    <x v="126"/>
  </r>
  <r>
    <x v="9"/>
    <x v="0"/>
    <n v="2003"/>
    <s v="MKS Gdańsk"/>
    <s v="Zabrze"/>
    <x v="0"/>
    <x v="4"/>
    <x v="0"/>
    <x v="39"/>
  </r>
  <r>
    <x v="9"/>
    <x v="0"/>
    <n v="2003"/>
    <s v="MKS Gdańsk"/>
    <s v="Zabrze"/>
    <x v="0"/>
    <x v="4"/>
    <x v="1"/>
    <x v="108"/>
  </r>
  <r>
    <x v="9"/>
    <x v="0"/>
    <n v="2003"/>
    <s v="MKS Gdańsk"/>
    <s v="Zabrze"/>
    <x v="0"/>
    <x v="4"/>
    <x v="2"/>
    <x v="104"/>
  </r>
  <r>
    <x v="9"/>
    <x v="0"/>
    <n v="2003"/>
    <s v="MKS Gdańsk"/>
    <s v="Zabrze"/>
    <x v="0"/>
    <x v="5"/>
    <x v="0"/>
    <x v="66"/>
  </r>
  <r>
    <x v="9"/>
    <x v="0"/>
    <n v="2003"/>
    <s v="MKS Gdańsk"/>
    <s v="Zabrze"/>
    <x v="0"/>
    <x v="5"/>
    <x v="1"/>
    <x v="94"/>
  </r>
  <r>
    <x v="9"/>
    <x v="0"/>
    <n v="2003"/>
    <s v="MKS Gdańsk"/>
    <s v="Zabrze"/>
    <x v="0"/>
    <x v="5"/>
    <x v="2"/>
    <x v="93"/>
  </r>
  <r>
    <x v="9"/>
    <x v="0"/>
    <n v="2003"/>
    <s v="MKS Gdańsk"/>
    <s v="Zabrze"/>
    <x v="0"/>
    <x v="6"/>
    <x v="3"/>
    <x v="127"/>
  </r>
  <r>
    <x v="9"/>
    <x v="0"/>
    <n v="2003"/>
    <s v="MKS Gdańsk"/>
    <s v="Zabrze"/>
    <x v="0"/>
    <x v="6"/>
    <x v="4"/>
    <x v="128"/>
  </r>
  <r>
    <x v="9"/>
    <x v="0"/>
    <n v="2003"/>
    <s v="MKS Gdańsk"/>
    <s v="Zabrze"/>
    <x v="0"/>
    <x v="6"/>
    <x v="5"/>
    <x v="129"/>
  </r>
  <r>
    <x v="10"/>
    <x v="0"/>
    <n v="2004"/>
    <s v="KS AZS AWF Kraków"/>
    <s v="Zabrze"/>
    <x v="0"/>
    <x v="0"/>
    <x v="0"/>
    <x v="6"/>
  </r>
  <r>
    <x v="10"/>
    <x v="0"/>
    <n v="2004"/>
    <s v="KS AZS AWF Kraków"/>
    <s v="Zabrze"/>
    <x v="0"/>
    <x v="0"/>
    <x v="1"/>
    <x v="130"/>
  </r>
  <r>
    <x v="10"/>
    <x v="0"/>
    <n v="2004"/>
    <s v="KS AZS AWF Kraków"/>
    <s v="Zabrze"/>
    <x v="0"/>
    <x v="0"/>
    <x v="2"/>
    <x v="131"/>
  </r>
  <r>
    <x v="10"/>
    <x v="0"/>
    <n v="2004"/>
    <s v="KS AZS AWF Kraków"/>
    <s v="Zabrze"/>
    <x v="0"/>
    <x v="1"/>
    <x v="0"/>
    <x v="96"/>
  </r>
  <r>
    <x v="10"/>
    <x v="0"/>
    <n v="2004"/>
    <s v="KS AZS AWF Kraków"/>
    <s v="Zabrze"/>
    <x v="0"/>
    <x v="1"/>
    <x v="1"/>
    <x v="132"/>
  </r>
  <r>
    <x v="10"/>
    <x v="0"/>
    <n v="2004"/>
    <s v="KS AZS AWF Kraków"/>
    <s v="Zabrze"/>
    <x v="0"/>
    <x v="1"/>
    <x v="2"/>
    <x v="74"/>
  </r>
  <r>
    <x v="10"/>
    <x v="0"/>
    <n v="2004"/>
    <s v="KS AZS AWF Kraków"/>
    <s v="Zabrze"/>
    <x v="0"/>
    <x v="2"/>
    <x v="0"/>
    <x v="113"/>
  </r>
  <r>
    <x v="10"/>
    <x v="0"/>
    <n v="2004"/>
    <s v="KS AZS AWF Kraków"/>
    <s v="Zabrze"/>
    <x v="0"/>
    <x v="2"/>
    <x v="1"/>
    <x v="92"/>
  </r>
  <r>
    <x v="10"/>
    <x v="0"/>
    <n v="2004"/>
    <s v="KS AZS AWF Kraków"/>
    <s v="Zabrze"/>
    <x v="0"/>
    <x v="2"/>
    <x v="2"/>
    <x v="47"/>
  </r>
  <r>
    <x v="10"/>
    <x v="0"/>
    <n v="2004"/>
    <s v="KS AZS AWF Kraków"/>
    <s v="Zabrze"/>
    <x v="0"/>
    <x v="3"/>
    <x v="0"/>
    <x v="96"/>
  </r>
  <r>
    <x v="10"/>
    <x v="0"/>
    <n v="2004"/>
    <s v="KS AZS AWF Kraków"/>
    <s v="Zabrze"/>
    <x v="0"/>
    <x v="3"/>
    <x v="1"/>
    <x v="133"/>
  </r>
  <r>
    <x v="10"/>
    <x v="0"/>
    <n v="2004"/>
    <s v="KS AZS AWF Kraków"/>
    <s v="Zabrze"/>
    <x v="0"/>
    <x v="3"/>
    <x v="2"/>
    <x v="8"/>
  </r>
  <r>
    <x v="10"/>
    <x v="0"/>
    <n v="2004"/>
    <s v="KS AZS AWF Kraków"/>
    <s v="Zabrze"/>
    <x v="0"/>
    <x v="4"/>
    <x v="0"/>
    <x v="29"/>
  </r>
  <r>
    <x v="10"/>
    <x v="0"/>
    <n v="2004"/>
    <s v="KS AZS AWF Kraków"/>
    <s v="Zabrze"/>
    <x v="0"/>
    <x v="4"/>
    <x v="1"/>
    <x v="81"/>
  </r>
  <r>
    <x v="10"/>
    <x v="0"/>
    <n v="2004"/>
    <s v="KS AZS AWF Kraków"/>
    <s v="Zabrze"/>
    <x v="0"/>
    <x v="4"/>
    <x v="2"/>
    <x v="69"/>
  </r>
  <r>
    <x v="10"/>
    <x v="0"/>
    <n v="2004"/>
    <s v="KS AZS AWF Kraków"/>
    <s v="Zabrze"/>
    <x v="0"/>
    <x v="5"/>
    <x v="0"/>
    <x v="134"/>
  </r>
  <r>
    <x v="10"/>
    <x v="0"/>
    <n v="2004"/>
    <s v="KS AZS AWF Kraków"/>
    <s v="Zabrze"/>
    <x v="0"/>
    <x v="5"/>
    <x v="1"/>
    <x v="135"/>
  </r>
  <r>
    <x v="10"/>
    <x v="0"/>
    <n v="2004"/>
    <s v="KS AZS AWF Kraków"/>
    <s v="Zabrze"/>
    <x v="0"/>
    <x v="5"/>
    <x v="2"/>
    <x v="116"/>
  </r>
  <r>
    <x v="10"/>
    <x v="0"/>
    <n v="2004"/>
    <s v="KS AZS AWF Kraków"/>
    <s v="Zabrze"/>
    <x v="0"/>
    <x v="6"/>
    <x v="3"/>
    <x v="120"/>
  </r>
  <r>
    <x v="10"/>
    <x v="0"/>
    <n v="2004"/>
    <s v="KS AZS AWF Kraków"/>
    <s v="Zabrze"/>
    <x v="0"/>
    <x v="6"/>
    <x v="4"/>
    <x v="136"/>
  </r>
  <r>
    <x v="10"/>
    <x v="0"/>
    <n v="2004"/>
    <s v="KS AZS AWF Kraków"/>
    <s v="Zabrze"/>
    <x v="0"/>
    <x v="6"/>
    <x v="5"/>
    <x v="137"/>
  </r>
  <r>
    <x v="11"/>
    <x v="0"/>
    <n v="2003"/>
    <s v="KS AZS AWFiS Gdańsk"/>
    <s v="Zabrze"/>
    <x v="1"/>
    <x v="0"/>
    <x v="0"/>
    <x v="24"/>
  </r>
  <r>
    <x v="11"/>
    <x v="0"/>
    <n v="2003"/>
    <s v="KS AZS AWFiS Gdańsk"/>
    <s v="Zabrze"/>
    <x v="1"/>
    <x v="0"/>
    <x v="1"/>
    <x v="135"/>
  </r>
  <r>
    <x v="11"/>
    <x v="0"/>
    <n v="2003"/>
    <s v="KS AZS AWFiS Gdańsk"/>
    <s v="Zabrze"/>
    <x v="1"/>
    <x v="0"/>
    <x v="2"/>
    <x v="138"/>
  </r>
  <r>
    <x v="11"/>
    <x v="0"/>
    <n v="2003"/>
    <s v="KS AZS AWFiS Gdańsk"/>
    <s v="Zabrze"/>
    <x v="1"/>
    <x v="1"/>
    <x v="0"/>
    <x v="41"/>
  </r>
  <r>
    <x v="11"/>
    <x v="0"/>
    <n v="2003"/>
    <s v="KS AZS AWFiS Gdańsk"/>
    <s v="Zabrze"/>
    <x v="1"/>
    <x v="1"/>
    <x v="1"/>
    <x v="94"/>
  </r>
  <r>
    <x v="11"/>
    <x v="0"/>
    <n v="2003"/>
    <s v="KS AZS AWFiS Gdańsk"/>
    <s v="Zabrze"/>
    <x v="1"/>
    <x v="1"/>
    <x v="2"/>
    <x v="65"/>
  </r>
  <r>
    <x v="11"/>
    <x v="0"/>
    <n v="2003"/>
    <s v="KS AZS AWFiS Gdańsk"/>
    <s v="Zabrze"/>
    <x v="1"/>
    <x v="2"/>
    <x v="0"/>
    <x v="109"/>
  </r>
  <r>
    <x v="11"/>
    <x v="0"/>
    <n v="2003"/>
    <s v="KS AZS AWFiS Gdańsk"/>
    <s v="Zabrze"/>
    <x v="1"/>
    <x v="2"/>
    <x v="1"/>
    <x v="39"/>
  </r>
  <r>
    <x v="11"/>
    <x v="0"/>
    <n v="2003"/>
    <s v="KS AZS AWFiS Gdańsk"/>
    <s v="Zabrze"/>
    <x v="1"/>
    <x v="2"/>
    <x v="2"/>
    <x v="139"/>
  </r>
  <r>
    <x v="11"/>
    <x v="0"/>
    <n v="2003"/>
    <s v="KS AZS AWFiS Gdańsk"/>
    <s v="Zabrze"/>
    <x v="1"/>
    <x v="3"/>
    <x v="0"/>
    <x v="140"/>
  </r>
  <r>
    <x v="11"/>
    <x v="0"/>
    <n v="2003"/>
    <s v="KS AZS AWFiS Gdańsk"/>
    <s v="Zabrze"/>
    <x v="1"/>
    <x v="3"/>
    <x v="1"/>
    <x v="140"/>
  </r>
  <r>
    <x v="11"/>
    <x v="0"/>
    <n v="2003"/>
    <s v="KS AZS AWFiS Gdańsk"/>
    <s v="Zabrze"/>
    <x v="1"/>
    <x v="3"/>
    <x v="2"/>
    <x v="140"/>
  </r>
  <r>
    <x v="11"/>
    <x v="0"/>
    <n v="2003"/>
    <s v="KS AZS AWFiS Gdańsk"/>
    <s v="Zabrze"/>
    <x v="1"/>
    <x v="4"/>
    <x v="0"/>
    <x v="134"/>
  </r>
  <r>
    <x v="11"/>
    <x v="0"/>
    <n v="2003"/>
    <s v="KS AZS AWFiS Gdańsk"/>
    <s v="Zabrze"/>
    <x v="1"/>
    <x v="4"/>
    <x v="1"/>
    <x v="81"/>
  </r>
  <r>
    <x v="11"/>
    <x v="0"/>
    <n v="2003"/>
    <s v="KS AZS AWFiS Gdańsk"/>
    <s v="Zabrze"/>
    <x v="1"/>
    <x v="4"/>
    <x v="2"/>
    <x v="100"/>
  </r>
  <r>
    <x v="11"/>
    <x v="0"/>
    <n v="2003"/>
    <s v="KS AZS AWFiS Gdańsk"/>
    <s v="Zabrze"/>
    <x v="1"/>
    <x v="5"/>
    <x v="0"/>
    <x v="140"/>
  </r>
  <r>
    <x v="11"/>
    <x v="0"/>
    <n v="2003"/>
    <s v="KS AZS AWFiS Gdańsk"/>
    <s v="Zabrze"/>
    <x v="1"/>
    <x v="5"/>
    <x v="1"/>
    <x v="140"/>
  </r>
  <r>
    <x v="11"/>
    <x v="0"/>
    <n v="2003"/>
    <s v="KS AZS AWFiS Gdańsk"/>
    <s v="Zabrze"/>
    <x v="1"/>
    <x v="5"/>
    <x v="2"/>
    <x v="140"/>
  </r>
  <r>
    <x v="11"/>
    <x v="0"/>
    <n v="2003"/>
    <s v="KS AZS AWFiS Gdańsk"/>
    <s v="Zabrze"/>
    <x v="1"/>
    <x v="6"/>
    <x v="3"/>
    <x v="140"/>
  </r>
  <r>
    <x v="11"/>
    <x v="0"/>
    <n v="2003"/>
    <s v="KS AZS AWFiS Gdańsk"/>
    <s v="Zabrze"/>
    <x v="1"/>
    <x v="6"/>
    <x v="4"/>
    <x v="140"/>
  </r>
  <r>
    <x v="11"/>
    <x v="0"/>
    <n v="2003"/>
    <s v="KS AZS AWFiS Gdańsk"/>
    <s v="Zabrze"/>
    <x v="1"/>
    <x v="6"/>
    <x v="5"/>
    <x v="141"/>
  </r>
  <r>
    <x v="12"/>
    <x v="0"/>
    <n v="2003"/>
    <s v="MKS Gdańsk"/>
    <s v="Zabrze"/>
    <x v="1"/>
    <x v="0"/>
    <x v="0"/>
    <x v="140"/>
  </r>
  <r>
    <x v="12"/>
    <x v="0"/>
    <n v="2003"/>
    <s v="MKS Gdańsk"/>
    <s v="Zabrze"/>
    <x v="1"/>
    <x v="0"/>
    <x v="1"/>
    <x v="140"/>
  </r>
  <r>
    <x v="12"/>
    <x v="0"/>
    <n v="2003"/>
    <s v="MKS Gdańsk"/>
    <s v="Zabrze"/>
    <x v="1"/>
    <x v="0"/>
    <x v="2"/>
    <x v="140"/>
  </r>
  <r>
    <x v="12"/>
    <x v="0"/>
    <n v="2003"/>
    <s v="MKS Gdańsk"/>
    <s v="Zabrze"/>
    <x v="1"/>
    <x v="1"/>
    <x v="0"/>
    <x v="86"/>
  </r>
  <r>
    <x v="12"/>
    <x v="0"/>
    <n v="2003"/>
    <s v="MKS Gdańsk"/>
    <s v="Zabrze"/>
    <x v="1"/>
    <x v="1"/>
    <x v="1"/>
    <x v="142"/>
  </r>
  <r>
    <x v="12"/>
    <x v="0"/>
    <n v="2003"/>
    <s v="MKS Gdańsk"/>
    <s v="Zabrze"/>
    <x v="1"/>
    <x v="1"/>
    <x v="2"/>
    <x v="143"/>
  </r>
  <r>
    <x v="12"/>
    <x v="0"/>
    <n v="2003"/>
    <s v="MKS Gdańsk"/>
    <s v="Zabrze"/>
    <x v="1"/>
    <x v="2"/>
    <x v="0"/>
    <x v="83"/>
  </r>
  <r>
    <x v="12"/>
    <x v="0"/>
    <n v="2003"/>
    <s v="MKS Gdańsk"/>
    <s v="Zabrze"/>
    <x v="1"/>
    <x v="2"/>
    <x v="1"/>
    <x v="144"/>
  </r>
  <r>
    <x v="12"/>
    <x v="0"/>
    <n v="2003"/>
    <s v="MKS Gdańsk"/>
    <s v="Zabrze"/>
    <x v="1"/>
    <x v="2"/>
    <x v="2"/>
    <x v="143"/>
  </r>
  <r>
    <x v="12"/>
    <x v="0"/>
    <n v="2003"/>
    <s v="MKS Gdańsk"/>
    <s v="Zabrze"/>
    <x v="1"/>
    <x v="3"/>
    <x v="0"/>
    <x v="140"/>
  </r>
  <r>
    <x v="12"/>
    <x v="0"/>
    <n v="2003"/>
    <s v="MKS Gdańsk"/>
    <s v="Zabrze"/>
    <x v="1"/>
    <x v="3"/>
    <x v="1"/>
    <x v="140"/>
  </r>
  <r>
    <x v="12"/>
    <x v="0"/>
    <n v="2003"/>
    <s v="MKS Gdańsk"/>
    <s v="Zabrze"/>
    <x v="1"/>
    <x v="3"/>
    <x v="2"/>
    <x v="140"/>
  </r>
  <r>
    <x v="12"/>
    <x v="0"/>
    <n v="2003"/>
    <s v="MKS Gdańsk"/>
    <s v="Zabrze"/>
    <x v="1"/>
    <x v="4"/>
    <x v="0"/>
    <x v="134"/>
  </r>
  <r>
    <x v="12"/>
    <x v="0"/>
    <n v="2003"/>
    <s v="MKS Gdańsk"/>
    <s v="Zabrze"/>
    <x v="1"/>
    <x v="4"/>
    <x v="1"/>
    <x v="4"/>
  </r>
  <r>
    <x v="12"/>
    <x v="0"/>
    <n v="2003"/>
    <s v="MKS Gdańsk"/>
    <s v="Zabrze"/>
    <x v="1"/>
    <x v="4"/>
    <x v="2"/>
    <x v="145"/>
  </r>
  <r>
    <x v="12"/>
    <x v="0"/>
    <n v="2003"/>
    <s v="MKS Gdańsk"/>
    <s v="Zabrze"/>
    <x v="1"/>
    <x v="5"/>
    <x v="0"/>
    <x v="146"/>
  </r>
  <r>
    <x v="12"/>
    <x v="0"/>
    <n v="2003"/>
    <s v="MKS Gdańsk"/>
    <s v="Zabrze"/>
    <x v="1"/>
    <x v="5"/>
    <x v="1"/>
    <x v="147"/>
  </r>
  <r>
    <x v="12"/>
    <x v="0"/>
    <n v="2003"/>
    <s v="MKS Gdańsk"/>
    <s v="Zabrze"/>
    <x v="1"/>
    <x v="5"/>
    <x v="2"/>
    <x v="148"/>
  </r>
  <r>
    <x v="12"/>
    <x v="0"/>
    <n v="2003"/>
    <s v="MKS Gdańsk"/>
    <s v="Zabrze"/>
    <x v="1"/>
    <x v="6"/>
    <x v="3"/>
    <x v="140"/>
  </r>
  <r>
    <x v="12"/>
    <x v="0"/>
    <n v="2003"/>
    <s v="MKS Gdańsk"/>
    <s v="Zabrze"/>
    <x v="1"/>
    <x v="6"/>
    <x v="4"/>
    <x v="140"/>
  </r>
  <r>
    <x v="12"/>
    <x v="0"/>
    <n v="2003"/>
    <s v="MKS Gdańsk"/>
    <s v="Zabrze"/>
    <x v="1"/>
    <x v="6"/>
    <x v="5"/>
    <x v="149"/>
  </r>
  <r>
    <x v="13"/>
    <x v="0"/>
    <n v="2004"/>
    <s v="MKS Gdańsk"/>
    <s v="Zabrze"/>
    <x v="1"/>
    <x v="0"/>
    <x v="0"/>
    <x v="41"/>
  </r>
  <r>
    <x v="13"/>
    <x v="0"/>
    <n v="2004"/>
    <s v="MKS Gdańsk"/>
    <s v="Zabrze"/>
    <x v="1"/>
    <x v="0"/>
    <x v="1"/>
    <x v="60"/>
  </r>
  <r>
    <x v="13"/>
    <x v="0"/>
    <n v="2004"/>
    <s v="MKS Gdańsk"/>
    <s v="Zabrze"/>
    <x v="1"/>
    <x v="0"/>
    <x v="2"/>
    <x v="150"/>
  </r>
  <r>
    <x v="13"/>
    <x v="0"/>
    <n v="2004"/>
    <s v="MKS Gdańsk"/>
    <s v="Zabrze"/>
    <x v="1"/>
    <x v="1"/>
    <x v="0"/>
    <x v="109"/>
  </r>
  <r>
    <x v="13"/>
    <x v="0"/>
    <n v="2004"/>
    <s v="MKS Gdańsk"/>
    <s v="Zabrze"/>
    <x v="1"/>
    <x v="1"/>
    <x v="1"/>
    <x v="140"/>
  </r>
  <r>
    <x v="13"/>
    <x v="0"/>
    <n v="2004"/>
    <s v="MKS Gdańsk"/>
    <s v="Zabrze"/>
    <x v="1"/>
    <x v="1"/>
    <x v="2"/>
    <x v="109"/>
  </r>
  <r>
    <x v="13"/>
    <x v="0"/>
    <n v="2004"/>
    <s v="MKS Gdańsk"/>
    <s v="Zabrze"/>
    <x v="1"/>
    <x v="2"/>
    <x v="0"/>
    <x v="36"/>
  </r>
  <r>
    <x v="13"/>
    <x v="0"/>
    <n v="2004"/>
    <s v="MKS Gdańsk"/>
    <s v="Zabrze"/>
    <x v="1"/>
    <x v="2"/>
    <x v="1"/>
    <x v="142"/>
  </r>
  <r>
    <x v="13"/>
    <x v="0"/>
    <n v="2004"/>
    <s v="MKS Gdańsk"/>
    <s v="Zabrze"/>
    <x v="1"/>
    <x v="2"/>
    <x v="2"/>
    <x v="116"/>
  </r>
  <r>
    <x v="13"/>
    <x v="0"/>
    <n v="2004"/>
    <s v="MKS Gdańsk"/>
    <s v="Zabrze"/>
    <x v="1"/>
    <x v="3"/>
    <x v="0"/>
    <x v="41"/>
  </r>
  <r>
    <x v="13"/>
    <x v="0"/>
    <n v="2004"/>
    <s v="MKS Gdańsk"/>
    <s v="Zabrze"/>
    <x v="1"/>
    <x v="3"/>
    <x v="1"/>
    <x v="37"/>
  </r>
  <r>
    <x v="13"/>
    <x v="0"/>
    <n v="2004"/>
    <s v="MKS Gdańsk"/>
    <s v="Zabrze"/>
    <x v="1"/>
    <x v="3"/>
    <x v="2"/>
    <x v="31"/>
  </r>
  <r>
    <x v="13"/>
    <x v="0"/>
    <n v="2004"/>
    <s v="MKS Gdańsk"/>
    <s v="Zabrze"/>
    <x v="1"/>
    <x v="4"/>
    <x v="0"/>
    <x v="140"/>
  </r>
  <r>
    <x v="13"/>
    <x v="0"/>
    <n v="2004"/>
    <s v="MKS Gdańsk"/>
    <s v="Zabrze"/>
    <x v="1"/>
    <x v="4"/>
    <x v="1"/>
    <x v="140"/>
  </r>
  <r>
    <x v="13"/>
    <x v="0"/>
    <n v="2004"/>
    <s v="MKS Gdańsk"/>
    <s v="Zabrze"/>
    <x v="1"/>
    <x v="4"/>
    <x v="2"/>
    <x v="140"/>
  </r>
  <r>
    <x v="13"/>
    <x v="0"/>
    <n v="2004"/>
    <s v="MKS Gdańsk"/>
    <s v="Zabrze"/>
    <x v="1"/>
    <x v="5"/>
    <x v="0"/>
    <x v="140"/>
  </r>
  <r>
    <x v="13"/>
    <x v="0"/>
    <n v="2004"/>
    <s v="MKS Gdańsk"/>
    <s v="Zabrze"/>
    <x v="1"/>
    <x v="5"/>
    <x v="1"/>
    <x v="140"/>
  </r>
  <r>
    <x v="13"/>
    <x v="0"/>
    <n v="2004"/>
    <s v="MKS Gdańsk"/>
    <s v="Zabrze"/>
    <x v="1"/>
    <x v="5"/>
    <x v="2"/>
    <x v="140"/>
  </r>
  <r>
    <x v="13"/>
    <x v="0"/>
    <n v="2004"/>
    <s v="MKS Gdańsk"/>
    <s v="Zabrze"/>
    <x v="1"/>
    <x v="6"/>
    <x v="3"/>
    <x v="140"/>
  </r>
  <r>
    <x v="13"/>
    <x v="0"/>
    <n v="2004"/>
    <s v="MKS Gdańsk"/>
    <s v="Zabrze"/>
    <x v="1"/>
    <x v="6"/>
    <x v="4"/>
    <x v="140"/>
  </r>
  <r>
    <x v="13"/>
    <x v="0"/>
    <n v="2004"/>
    <s v="MKS Gdańsk"/>
    <s v="Zabrze"/>
    <x v="1"/>
    <x v="6"/>
    <x v="5"/>
    <x v="151"/>
  </r>
  <r>
    <x v="14"/>
    <x v="0"/>
    <n v="2004"/>
    <s v="KS AZS AWF Kraków"/>
    <s v="Zabrze"/>
    <x v="1"/>
    <x v="0"/>
    <x v="0"/>
    <x v="73"/>
  </r>
  <r>
    <x v="14"/>
    <x v="0"/>
    <n v="2004"/>
    <s v="KS AZS AWF Kraków"/>
    <s v="Zabrze"/>
    <x v="1"/>
    <x v="0"/>
    <x v="1"/>
    <x v="74"/>
  </r>
  <r>
    <x v="14"/>
    <x v="0"/>
    <n v="2004"/>
    <s v="KS AZS AWF Kraków"/>
    <s v="Zabrze"/>
    <x v="1"/>
    <x v="0"/>
    <x v="2"/>
    <x v="75"/>
  </r>
  <r>
    <x v="14"/>
    <x v="0"/>
    <n v="2004"/>
    <s v="KS AZS AWF Kraków"/>
    <s v="Zabrze"/>
    <x v="1"/>
    <x v="1"/>
    <x v="0"/>
    <x v="73"/>
  </r>
  <r>
    <x v="14"/>
    <x v="0"/>
    <n v="2004"/>
    <s v="KS AZS AWF Kraków"/>
    <s v="Zabrze"/>
    <x v="1"/>
    <x v="1"/>
    <x v="1"/>
    <x v="152"/>
  </r>
  <r>
    <x v="14"/>
    <x v="0"/>
    <n v="2004"/>
    <s v="KS AZS AWF Kraków"/>
    <s v="Zabrze"/>
    <x v="1"/>
    <x v="1"/>
    <x v="2"/>
    <x v="5"/>
  </r>
  <r>
    <x v="14"/>
    <x v="0"/>
    <n v="2004"/>
    <s v="KS AZS AWF Kraków"/>
    <s v="Zabrze"/>
    <x v="1"/>
    <x v="2"/>
    <x v="0"/>
    <x v="140"/>
  </r>
  <r>
    <x v="14"/>
    <x v="0"/>
    <n v="2004"/>
    <s v="KS AZS AWF Kraków"/>
    <s v="Zabrze"/>
    <x v="1"/>
    <x v="2"/>
    <x v="1"/>
    <x v="140"/>
  </r>
  <r>
    <x v="14"/>
    <x v="0"/>
    <n v="2004"/>
    <s v="KS AZS AWF Kraków"/>
    <s v="Zabrze"/>
    <x v="1"/>
    <x v="2"/>
    <x v="2"/>
    <x v="140"/>
  </r>
  <r>
    <x v="14"/>
    <x v="0"/>
    <n v="2004"/>
    <s v="KS AZS AWF Kraków"/>
    <s v="Zabrze"/>
    <x v="1"/>
    <x v="3"/>
    <x v="0"/>
    <x v="41"/>
  </r>
  <r>
    <x v="14"/>
    <x v="0"/>
    <n v="2004"/>
    <s v="KS AZS AWF Kraków"/>
    <s v="Zabrze"/>
    <x v="1"/>
    <x v="3"/>
    <x v="1"/>
    <x v="124"/>
  </r>
  <r>
    <x v="14"/>
    <x v="0"/>
    <n v="2004"/>
    <s v="KS AZS AWF Kraków"/>
    <s v="Zabrze"/>
    <x v="1"/>
    <x v="3"/>
    <x v="2"/>
    <x v="153"/>
  </r>
  <r>
    <x v="14"/>
    <x v="0"/>
    <n v="2004"/>
    <s v="KS AZS AWF Kraków"/>
    <s v="Zabrze"/>
    <x v="1"/>
    <x v="4"/>
    <x v="0"/>
    <x v="140"/>
  </r>
  <r>
    <x v="14"/>
    <x v="0"/>
    <n v="2004"/>
    <s v="KS AZS AWF Kraków"/>
    <s v="Zabrze"/>
    <x v="1"/>
    <x v="4"/>
    <x v="1"/>
    <x v="140"/>
  </r>
  <r>
    <x v="14"/>
    <x v="0"/>
    <n v="2004"/>
    <s v="KS AZS AWF Kraków"/>
    <s v="Zabrze"/>
    <x v="1"/>
    <x v="4"/>
    <x v="2"/>
    <x v="140"/>
  </r>
  <r>
    <x v="14"/>
    <x v="0"/>
    <n v="2004"/>
    <s v="KS AZS AWF Kraków"/>
    <s v="Zabrze"/>
    <x v="1"/>
    <x v="5"/>
    <x v="0"/>
    <x v="140"/>
  </r>
  <r>
    <x v="14"/>
    <x v="0"/>
    <n v="2004"/>
    <s v="KS AZS AWF Kraków"/>
    <s v="Zabrze"/>
    <x v="1"/>
    <x v="5"/>
    <x v="1"/>
    <x v="140"/>
  </r>
  <r>
    <x v="14"/>
    <x v="0"/>
    <n v="2004"/>
    <s v="KS AZS AWF Kraków"/>
    <s v="Zabrze"/>
    <x v="1"/>
    <x v="5"/>
    <x v="2"/>
    <x v="140"/>
  </r>
  <r>
    <x v="14"/>
    <x v="0"/>
    <n v="2004"/>
    <s v="KS AZS AWF Kraków"/>
    <s v="Zabrze"/>
    <x v="1"/>
    <x v="6"/>
    <x v="3"/>
    <x v="140"/>
  </r>
  <r>
    <x v="14"/>
    <x v="0"/>
    <n v="2004"/>
    <s v="KS AZS AWF Kraków"/>
    <s v="Zabrze"/>
    <x v="1"/>
    <x v="6"/>
    <x v="4"/>
    <x v="140"/>
  </r>
  <r>
    <x v="14"/>
    <x v="0"/>
    <n v="2004"/>
    <s v="KS AZS AWF Kraków"/>
    <s v="Zabrze"/>
    <x v="1"/>
    <x v="6"/>
    <x v="5"/>
    <x v="154"/>
  </r>
  <r>
    <x v="15"/>
    <x v="0"/>
    <n v="2002"/>
    <s v="KS AZS AWFiS Gdańsk"/>
    <s v="Zabrze"/>
    <x v="1"/>
    <x v="0"/>
    <x v="0"/>
    <x v="140"/>
  </r>
  <r>
    <x v="15"/>
    <x v="0"/>
    <n v="2002"/>
    <s v="KS AZS AWFiS Gdańsk"/>
    <s v="Zabrze"/>
    <x v="1"/>
    <x v="0"/>
    <x v="1"/>
    <x v="140"/>
  </r>
  <r>
    <x v="15"/>
    <x v="0"/>
    <n v="2002"/>
    <s v="KS AZS AWFiS Gdańsk"/>
    <s v="Zabrze"/>
    <x v="1"/>
    <x v="0"/>
    <x v="2"/>
    <x v="140"/>
  </r>
  <r>
    <x v="15"/>
    <x v="0"/>
    <n v="2002"/>
    <s v="KS AZS AWFiS Gdańsk"/>
    <s v="Zabrze"/>
    <x v="1"/>
    <x v="1"/>
    <x v="0"/>
    <x v="140"/>
  </r>
  <r>
    <x v="15"/>
    <x v="0"/>
    <n v="2002"/>
    <s v="KS AZS AWFiS Gdańsk"/>
    <s v="Zabrze"/>
    <x v="1"/>
    <x v="1"/>
    <x v="1"/>
    <x v="140"/>
  </r>
  <r>
    <x v="15"/>
    <x v="0"/>
    <n v="2002"/>
    <s v="KS AZS AWFiS Gdańsk"/>
    <s v="Zabrze"/>
    <x v="1"/>
    <x v="1"/>
    <x v="2"/>
    <x v="140"/>
  </r>
  <r>
    <x v="15"/>
    <x v="0"/>
    <n v="2002"/>
    <s v="KS AZS AWFiS Gdańsk"/>
    <s v="Zabrze"/>
    <x v="1"/>
    <x v="2"/>
    <x v="0"/>
    <x v="41"/>
  </r>
  <r>
    <x v="15"/>
    <x v="0"/>
    <n v="2002"/>
    <s v="KS AZS AWFiS Gdańsk"/>
    <s v="Zabrze"/>
    <x v="1"/>
    <x v="2"/>
    <x v="1"/>
    <x v="37"/>
  </r>
  <r>
    <x v="15"/>
    <x v="0"/>
    <n v="2002"/>
    <s v="KS AZS AWFiS Gdańsk"/>
    <s v="Zabrze"/>
    <x v="1"/>
    <x v="2"/>
    <x v="2"/>
    <x v="31"/>
  </r>
  <r>
    <x v="15"/>
    <x v="0"/>
    <n v="2002"/>
    <s v="KS AZS AWFiS Gdańsk"/>
    <s v="Zabrze"/>
    <x v="1"/>
    <x v="3"/>
    <x v="0"/>
    <x v="134"/>
  </r>
  <r>
    <x v="15"/>
    <x v="0"/>
    <n v="2002"/>
    <s v="KS AZS AWFiS Gdańsk"/>
    <s v="Zabrze"/>
    <x v="1"/>
    <x v="3"/>
    <x v="1"/>
    <x v="155"/>
  </r>
  <r>
    <x v="15"/>
    <x v="0"/>
    <n v="2002"/>
    <s v="KS AZS AWFiS Gdańsk"/>
    <s v="Zabrze"/>
    <x v="1"/>
    <x v="3"/>
    <x v="2"/>
    <x v="38"/>
  </r>
  <r>
    <x v="15"/>
    <x v="0"/>
    <n v="2002"/>
    <s v="KS AZS AWFiS Gdańsk"/>
    <s v="Zabrze"/>
    <x v="1"/>
    <x v="4"/>
    <x v="0"/>
    <x v="156"/>
  </r>
  <r>
    <x v="15"/>
    <x v="0"/>
    <n v="2002"/>
    <s v="KS AZS AWFiS Gdańsk"/>
    <s v="Zabrze"/>
    <x v="1"/>
    <x v="4"/>
    <x v="1"/>
    <x v="157"/>
  </r>
  <r>
    <x v="15"/>
    <x v="0"/>
    <n v="2002"/>
    <s v="KS AZS AWFiS Gdańsk"/>
    <s v="Zabrze"/>
    <x v="1"/>
    <x v="4"/>
    <x v="2"/>
    <x v="158"/>
  </r>
  <r>
    <x v="15"/>
    <x v="0"/>
    <n v="2002"/>
    <s v="KS AZS AWFiS Gdańsk"/>
    <s v="Zabrze"/>
    <x v="1"/>
    <x v="5"/>
    <x v="0"/>
    <x v="140"/>
  </r>
  <r>
    <x v="15"/>
    <x v="0"/>
    <n v="2002"/>
    <s v="KS AZS AWFiS Gdańsk"/>
    <s v="Zabrze"/>
    <x v="1"/>
    <x v="5"/>
    <x v="1"/>
    <x v="140"/>
  </r>
  <r>
    <x v="15"/>
    <x v="0"/>
    <n v="2002"/>
    <s v="KS AZS AWFiS Gdańsk"/>
    <s v="Zabrze"/>
    <x v="1"/>
    <x v="5"/>
    <x v="2"/>
    <x v="140"/>
  </r>
  <r>
    <x v="15"/>
    <x v="0"/>
    <n v="2002"/>
    <s v="KS AZS AWFiS Gdańsk"/>
    <s v="Zabrze"/>
    <x v="1"/>
    <x v="6"/>
    <x v="3"/>
    <x v="140"/>
  </r>
  <r>
    <x v="15"/>
    <x v="0"/>
    <n v="2002"/>
    <s v="KS AZS AWFiS Gdańsk"/>
    <s v="Zabrze"/>
    <x v="1"/>
    <x v="6"/>
    <x v="4"/>
    <x v="140"/>
  </r>
  <r>
    <x v="15"/>
    <x v="0"/>
    <n v="2002"/>
    <s v="KS AZS AWFiS Gdańsk"/>
    <s v="Zabrze"/>
    <x v="1"/>
    <x v="6"/>
    <x v="5"/>
    <x v="159"/>
  </r>
  <r>
    <x v="16"/>
    <x v="0"/>
    <n v="2002"/>
    <s v="KS AZS AWF Katowice"/>
    <s v="Zabrze"/>
    <x v="1"/>
    <x v="0"/>
    <x v="0"/>
    <x v="140"/>
  </r>
  <r>
    <x v="16"/>
    <x v="0"/>
    <n v="2002"/>
    <s v="KS AZS AWF Katowice"/>
    <s v="Zabrze"/>
    <x v="1"/>
    <x v="0"/>
    <x v="1"/>
    <x v="140"/>
  </r>
  <r>
    <x v="16"/>
    <x v="0"/>
    <n v="2002"/>
    <s v="KS AZS AWF Katowice"/>
    <s v="Zabrze"/>
    <x v="1"/>
    <x v="0"/>
    <x v="2"/>
    <x v="140"/>
  </r>
  <r>
    <x v="16"/>
    <x v="0"/>
    <n v="2002"/>
    <s v="KS AZS AWF Katowice"/>
    <s v="Zabrze"/>
    <x v="1"/>
    <x v="1"/>
    <x v="0"/>
    <x v="160"/>
  </r>
  <r>
    <x v="16"/>
    <x v="0"/>
    <n v="2002"/>
    <s v="KS AZS AWF Katowice"/>
    <s v="Zabrze"/>
    <x v="1"/>
    <x v="1"/>
    <x v="1"/>
    <x v="92"/>
  </r>
  <r>
    <x v="16"/>
    <x v="0"/>
    <n v="2002"/>
    <s v="KS AZS AWF Katowice"/>
    <s v="Zabrze"/>
    <x v="1"/>
    <x v="1"/>
    <x v="2"/>
    <x v="65"/>
  </r>
  <r>
    <x v="16"/>
    <x v="0"/>
    <n v="2002"/>
    <s v="KS AZS AWF Katowice"/>
    <s v="Zabrze"/>
    <x v="1"/>
    <x v="2"/>
    <x v="0"/>
    <x v="14"/>
  </r>
  <r>
    <x v="16"/>
    <x v="0"/>
    <n v="2002"/>
    <s v="KS AZS AWF Katowice"/>
    <s v="Zabrze"/>
    <x v="1"/>
    <x v="2"/>
    <x v="1"/>
    <x v="25"/>
  </r>
  <r>
    <x v="16"/>
    <x v="0"/>
    <n v="2002"/>
    <s v="KS AZS AWF Katowice"/>
    <s v="Zabrze"/>
    <x v="1"/>
    <x v="2"/>
    <x v="2"/>
    <x v="161"/>
  </r>
  <r>
    <x v="16"/>
    <x v="0"/>
    <n v="2002"/>
    <s v="KS AZS AWF Katowice"/>
    <s v="Zabrze"/>
    <x v="1"/>
    <x v="3"/>
    <x v="0"/>
    <x v="140"/>
  </r>
  <r>
    <x v="16"/>
    <x v="0"/>
    <n v="2002"/>
    <s v="KS AZS AWF Katowice"/>
    <s v="Zabrze"/>
    <x v="1"/>
    <x v="3"/>
    <x v="1"/>
    <x v="140"/>
  </r>
  <r>
    <x v="16"/>
    <x v="0"/>
    <n v="2002"/>
    <s v="KS AZS AWF Katowice"/>
    <s v="Zabrze"/>
    <x v="1"/>
    <x v="3"/>
    <x v="2"/>
    <x v="140"/>
  </r>
  <r>
    <x v="16"/>
    <x v="0"/>
    <n v="2002"/>
    <s v="KS AZS AWF Katowice"/>
    <s v="Zabrze"/>
    <x v="1"/>
    <x v="4"/>
    <x v="0"/>
    <x v="41"/>
  </r>
  <r>
    <x v="16"/>
    <x v="0"/>
    <n v="2002"/>
    <s v="KS AZS AWF Katowice"/>
    <s v="Zabrze"/>
    <x v="1"/>
    <x v="4"/>
    <x v="1"/>
    <x v="20"/>
  </r>
  <r>
    <x v="16"/>
    <x v="0"/>
    <n v="2002"/>
    <s v="KS AZS AWF Katowice"/>
    <s v="Zabrze"/>
    <x v="1"/>
    <x v="4"/>
    <x v="2"/>
    <x v="162"/>
  </r>
  <r>
    <x v="16"/>
    <x v="0"/>
    <n v="2002"/>
    <s v="KS AZS AWF Katowice"/>
    <s v="Zabrze"/>
    <x v="1"/>
    <x v="5"/>
    <x v="0"/>
    <x v="140"/>
  </r>
  <r>
    <x v="16"/>
    <x v="0"/>
    <n v="2002"/>
    <s v="KS AZS AWF Katowice"/>
    <s v="Zabrze"/>
    <x v="1"/>
    <x v="5"/>
    <x v="1"/>
    <x v="140"/>
  </r>
  <r>
    <x v="16"/>
    <x v="0"/>
    <n v="2002"/>
    <s v="KS AZS AWF Katowice"/>
    <s v="Zabrze"/>
    <x v="1"/>
    <x v="5"/>
    <x v="2"/>
    <x v="140"/>
  </r>
  <r>
    <x v="16"/>
    <x v="0"/>
    <n v="2002"/>
    <s v="KS AZS AWF Katowice"/>
    <s v="Zabrze"/>
    <x v="1"/>
    <x v="6"/>
    <x v="3"/>
    <x v="140"/>
  </r>
  <r>
    <x v="16"/>
    <x v="0"/>
    <n v="2002"/>
    <s v="KS AZS AWF Katowice"/>
    <s v="Zabrze"/>
    <x v="1"/>
    <x v="6"/>
    <x v="4"/>
    <x v="140"/>
  </r>
  <r>
    <x v="16"/>
    <x v="0"/>
    <n v="2002"/>
    <s v="KS AZS AWF Katowice"/>
    <s v="Zabrze"/>
    <x v="1"/>
    <x v="6"/>
    <x v="5"/>
    <x v="163"/>
  </r>
  <r>
    <x v="17"/>
    <x v="0"/>
    <n v="2003"/>
    <s v="KS AZS AWFiS Gdańsk"/>
    <s v="Zabrze"/>
    <x v="1"/>
    <x v="0"/>
    <x v="0"/>
    <x v="140"/>
  </r>
  <r>
    <x v="17"/>
    <x v="0"/>
    <n v="2003"/>
    <s v="KS AZS AWFiS Gdańsk"/>
    <s v="Zabrze"/>
    <x v="1"/>
    <x v="0"/>
    <x v="1"/>
    <x v="140"/>
  </r>
  <r>
    <x v="17"/>
    <x v="0"/>
    <n v="2003"/>
    <s v="KS AZS AWFiS Gdańsk"/>
    <s v="Zabrze"/>
    <x v="1"/>
    <x v="0"/>
    <x v="2"/>
    <x v="140"/>
  </r>
  <r>
    <x v="17"/>
    <x v="0"/>
    <n v="2003"/>
    <s v="KS AZS AWFiS Gdańsk"/>
    <s v="Zabrze"/>
    <x v="1"/>
    <x v="1"/>
    <x v="0"/>
    <x v="113"/>
  </r>
  <r>
    <x v="17"/>
    <x v="0"/>
    <n v="2003"/>
    <s v="KS AZS AWFiS Gdańsk"/>
    <s v="Zabrze"/>
    <x v="1"/>
    <x v="1"/>
    <x v="1"/>
    <x v="142"/>
  </r>
  <r>
    <x v="17"/>
    <x v="0"/>
    <n v="2003"/>
    <s v="KS AZS AWFiS Gdańsk"/>
    <s v="Zabrze"/>
    <x v="1"/>
    <x v="1"/>
    <x v="2"/>
    <x v="119"/>
  </r>
  <r>
    <x v="17"/>
    <x v="0"/>
    <n v="2003"/>
    <s v="KS AZS AWFiS Gdańsk"/>
    <s v="Zabrze"/>
    <x v="1"/>
    <x v="2"/>
    <x v="0"/>
    <x v="164"/>
  </r>
  <r>
    <x v="17"/>
    <x v="0"/>
    <n v="2003"/>
    <s v="KS AZS AWFiS Gdańsk"/>
    <s v="Zabrze"/>
    <x v="1"/>
    <x v="2"/>
    <x v="1"/>
    <x v="115"/>
  </r>
  <r>
    <x v="17"/>
    <x v="0"/>
    <n v="2003"/>
    <s v="KS AZS AWFiS Gdańsk"/>
    <s v="Zabrze"/>
    <x v="1"/>
    <x v="2"/>
    <x v="2"/>
    <x v="27"/>
  </r>
  <r>
    <x v="17"/>
    <x v="0"/>
    <n v="2003"/>
    <s v="KS AZS AWFiS Gdańsk"/>
    <s v="Zabrze"/>
    <x v="1"/>
    <x v="3"/>
    <x v="0"/>
    <x v="140"/>
  </r>
  <r>
    <x v="17"/>
    <x v="0"/>
    <n v="2003"/>
    <s v="KS AZS AWFiS Gdańsk"/>
    <s v="Zabrze"/>
    <x v="1"/>
    <x v="3"/>
    <x v="1"/>
    <x v="140"/>
  </r>
  <r>
    <x v="17"/>
    <x v="0"/>
    <n v="2003"/>
    <s v="KS AZS AWFiS Gdańsk"/>
    <s v="Zabrze"/>
    <x v="1"/>
    <x v="3"/>
    <x v="2"/>
    <x v="140"/>
  </r>
  <r>
    <x v="17"/>
    <x v="0"/>
    <n v="2003"/>
    <s v="KS AZS AWFiS Gdańsk"/>
    <s v="Zabrze"/>
    <x v="1"/>
    <x v="4"/>
    <x v="0"/>
    <x v="165"/>
  </r>
  <r>
    <x v="17"/>
    <x v="0"/>
    <n v="2003"/>
    <s v="KS AZS AWFiS Gdańsk"/>
    <s v="Zabrze"/>
    <x v="1"/>
    <x v="4"/>
    <x v="1"/>
    <x v="152"/>
  </r>
  <r>
    <x v="17"/>
    <x v="0"/>
    <n v="2003"/>
    <s v="KS AZS AWFiS Gdańsk"/>
    <s v="Zabrze"/>
    <x v="1"/>
    <x v="4"/>
    <x v="2"/>
    <x v="23"/>
  </r>
  <r>
    <x v="17"/>
    <x v="0"/>
    <n v="2003"/>
    <s v="KS AZS AWFiS Gdańsk"/>
    <s v="Zabrze"/>
    <x v="1"/>
    <x v="5"/>
    <x v="0"/>
    <x v="140"/>
  </r>
  <r>
    <x v="17"/>
    <x v="0"/>
    <n v="2003"/>
    <s v="KS AZS AWFiS Gdańsk"/>
    <s v="Zabrze"/>
    <x v="1"/>
    <x v="5"/>
    <x v="1"/>
    <x v="140"/>
  </r>
  <r>
    <x v="17"/>
    <x v="0"/>
    <n v="2003"/>
    <s v="KS AZS AWFiS Gdańsk"/>
    <s v="Zabrze"/>
    <x v="1"/>
    <x v="5"/>
    <x v="2"/>
    <x v="140"/>
  </r>
  <r>
    <x v="17"/>
    <x v="0"/>
    <n v="2003"/>
    <s v="KS AZS AWFiS Gdańsk"/>
    <s v="Zabrze"/>
    <x v="1"/>
    <x v="6"/>
    <x v="3"/>
    <x v="140"/>
  </r>
  <r>
    <x v="17"/>
    <x v="0"/>
    <n v="2003"/>
    <s v="KS AZS AWFiS Gdańsk"/>
    <s v="Zabrze"/>
    <x v="1"/>
    <x v="6"/>
    <x v="4"/>
    <x v="140"/>
  </r>
  <r>
    <x v="17"/>
    <x v="0"/>
    <n v="2003"/>
    <s v="KS AZS AWFiS Gdańsk"/>
    <s v="Zabrze"/>
    <x v="1"/>
    <x v="6"/>
    <x v="5"/>
    <x v="166"/>
  </r>
  <r>
    <x v="18"/>
    <x v="0"/>
    <n v="2004"/>
    <s v="MKS Kusy Szczecin"/>
    <s v="Zabrze"/>
    <x v="1"/>
    <x v="0"/>
    <x v="0"/>
    <x v="29"/>
  </r>
  <r>
    <x v="18"/>
    <x v="0"/>
    <n v="2004"/>
    <s v="MKS Kusy Szczecin"/>
    <s v="Zabrze"/>
    <x v="1"/>
    <x v="0"/>
    <x v="1"/>
    <x v="92"/>
  </r>
  <r>
    <x v="18"/>
    <x v="0"/>
    <n v="2004"/>
    <s v="MKS Kusy Szczecin"/>
    <s v="Zabrze"/>
    <x v="1"/>
    <x v="0"/>
    <x v="2"/>
    <x v="55"/>
  </r>
  <r>
    <x v="18"/>
    <x v="0"/>
    <n v="2004"/>
    <s v="MKS Kusy Szczecin"/>
    <s v="Zabrze"/>
    <x v="1"/>
    <x v="1"/>
    <x v="0"/>
    <x v="140"/>
  </r>
  <r>
    <x v="18"/>
    <x v="0"/>
    <n v="2004"/>
    <s v="MKS Kusy Szczecin"/>
    <s v="Zabrze"/>
    <x v="1"/>
    <x v="1"/>
    <x v="1"/>
    <x v="140"/>
  </r>
  <r>
    <x v="18"/>
    <x v="0"/>
    <n v="2004"/>
    <s v="MKS Kusy Szczecin"/>
    <s v="Zabrze"/>
    <x v="1"/>
    <x v="1"/>
    <x v="2"/>
    <x v="140"/>
  </r>
  <r>
    <x v="18"/>
    <x v="0"/>
    <n v="2004"/>
    <s v="MKS Kusy Szczecin"/>
    <s v="Zabrze"/>
    <x v="1"/>
    <x v="2"/>
    <x v="0"/>
    <x v="140"/>
  </r>
  <r>
    <x v="18"/>
    <x v="0"/>
    <n v="2004"/>
    <s v="MKS Kusy Szczecin"/>
    <s v="Zabrze"/>
    <x v="1"/>
    <x v="2"/>
    <x v="1"/>
    <x v="140"/>
  </r>
  <r>
    <x v="18"/>
    <x v="0"/>
    <n v="2004"/>
    <s v="MKS Kusy Szczecin"/>
    <s v="Zabrze"/>
    <x v="1"/>
    <x v="2"/>
    <x v="2"/>
    <x v="140"/>
  </r>
  <r>
    <x v="18"/>
    <x v="0"/>
    <n v="2004"/>
    <s v="MKS Kusy Szczecin"/>
    <s v="Zabrze"/>
    <x v="1"/>
    <x v="3"/>
    <x v="0"/>
    <x v="140"/>
  </r>
  <r>
    <x v="18"/>
    <x v="0"/>
    <n v="2004"/>
    <s v="MKS Kusy Szczecin"/>
    <s v="Zabrze"/>
    <x v="1"/>
    <x v="3"/>
    <x v="1"/>
    <x v="140"/>
  </r>
  <r>
    <x v="18"/>
    <x v="0"/>
    <n v="2004"/>
    <s v="MKS Kusy Szczecin"/>
    <s v="Zabrze"/>
    <x v="1"/>
    <x v="3"/>
    <x v="2"/>
    <x v="140"/>
  </r>
  <r>
    <x v="18"/>
    <x v="0"/>
    <n v="2004"/>
    <s v="MKS Kusy Szczecin"/>
    <s v="Zabrze"/>
    <x v="1"/>
    <x v="4"/>
    <x v="0"/>
    <x v="165"/>
  </r>
  <r>
    <x v="18"/>
    <x v="0"/>
    <n v="2004"/>
    <s v="MKS Kusy Szczecin"/>
    <s v="Zabrze"/>
    <x v="1"/>
    <x v="4"/>
    <x v="1"/>
    <x v="99"/>
  </r>
  <r>
    <x v="18"/>
    <x v="0"/>
    <n v="2004"/>
    <s v="MKS Kusy Szczecin"/>
    <s v="Zabrze"/>
    <x v="1"/>
    <x v="4"/>
    <x v="2"/>
    <x v="167"/>
  </r>
  <r>
    <x v="18"/>
    <x v="0"/>
    <n v="2004"/>
    <s v="MKS Kusy Szczecin"/>
    <s v="Zabrze"/>
    <x v="1"/>
    <x v="5"/>
    <x v="0"/>
    <x v="168"/>
  </r>
  <r>
    <x v="18"/>
    <x v="0"/>
    <n v="2004"/>
    <s v="MKS Kusy Szczecin"/>
    <s v="Zabrze"/>
    <x v="1"/>
    <x v="5"/>
    <x v="1"/>
    <x v="26"/>
  </r>
  <r>
    <x v="18"/>
    <x v="0"/>
    <n v="2004"/>
    <s v="MKS Kusy Szczecin"/>
    <s v="Zabrze"/>
    <x v="1"/>
    <x v="5"/>
    <x v="2"/>
    <x v="144"/>
  </r>
  <r>
    <x v="18"/>
    <x v="0"/>
    <n v="2004"/>
    <s v="MKS Kusy Szczecin"/>
    <s v="Zabrze"/>
    <x v="1"/>
    <x v="6"/>
    <x v="3"/>
    <x v="140"/>
  </r>
  <r>
    <x v="18"/>
    <x v="0"/>
    <n v="2004"/>
    <s v="MKS Kusy Szczecin"/>
    <s v="Zabrze"/>
    <x v="1"/>
    <x v="6"/>
    <x v="4"/>
    <x v="140"/>
  </r>
  <r>
    <x v="18"/>
    <x v="0"/>
    <n v="2004"/>
    <s v="MKS Kusy Szczecin"/>
    <s v="Zabrze"/>
    <x v="1"/>
    <x v="6"/>
    <x v="5"/>
    <x v="169"/>
  </r>
  <r>
    <x v="19"/>
    <x v="0"/>
    <n v="2003"/>
    <s v="MKS Kusy Szczecin"/>
    <s v="Zabrze"/>
    <x v="1"/>
    <x v="0"/>
    <x v="0"/>
    <x v="140"/>
  </r>
  <r>
    <x v="19"/>
    <x v="0"/>
    <n v="2003"/>
    <s v="MKS Kusy Szczecin"/>
    <s v="Zabrze"/>
    <x v="1"/>
    <x v="0"/>
    <x v="1"/>
    <x v="140"/>
  </r>
  <r>
    <x v="19"/>
    <x v="0"/>
    <n v="2003"/>
    <s v="MKS Kusy Szczecin"/>
    <s v="Zabrze"/>
    <x v="1"/>
    <x v="0"/>
    <x v="2"/>
    <x v="140"/>
  </r>
  <r>
    <x v="19"/>
    <x v="0"/>
    <n v="2003"/>
    <s v="MKS Kusy Szczecin"/>
    <s v="Zabrze"/>
    <x v="1"/>
    <x v="1"/>
    <x v="0"/>
    <x v="140"/>
  </r>
  <r>
    <x v="19"/>
    <x v="0"/>
    <n v="2003"/>
    <s v="MKS Kusy Szczecin"/>
    <s v="Zabrze"/>
    <x v="1"/>
    <x v="1"/>
    <x v="1"/>
    <x v="140"/>
  </r>
  <r>
    <x v="19"/>
    <x v="0"/>
    <n v="2003"/>
    <s v="MKS Kusy Szczecin"/>
    <s v="Zabrze"/>
    <x v="1"/>
    <x v="1"/>
    <x v="2"/>
    <x v="140"/>
  </r>
  <r>
    <x v="19"/>
    <x v="0"/>
    <n v="2003"/>
    <s v="MKS Kusy Szczecin"/>
    <s v="Zabrze"/>
    <x v="1"/>
    <x v="2"/>
    <x v="0"/>
    <x v="96"/>
  </r>
  <r>
    <x v="19"/>
    <x v="0"/>
    <n v="2003"/>
    <s v="MKS Kusy Szczecin"/>
    <s v="Zabrze"/>
    <x v="1"/>
    <x v="2"/>
    <x v="1"/>
    <x v="147"/>
  </r>
  <r>
    <x v="19"/>
    <x v="0"/>
    <n v="2003"/>
    <s v="MKS Kusy Szczecin"/>
    <s v="Zabrze"/>
    <x v="1"/>
    <x v="2"/>
    <x v="2"/>
    <x v="110"/>
  </r>
  <r>
    <x v="19"/>
    <x v="0"/>
    <n v="2003"/>
    <s v="MKS Kusy Szczecin"/>
    <s v="Zabrze"/>
    <x v="1"/>
    <x v="3"/>
    <x v="0"/>
    <x v="41"/>
  </r>
  <r>
    <x v="19"/>
    <x v="0"/>
    <n v="2003"/>
    <s v="MKS Kusy Szczecin"/>
    <s v="Zabrze"/>
    <x v="1"/>
    <x v="3"/>
    <x v="1"/>
    <x v="157"/>
  </r>
  <r>
    <x v="19"/>
    <x v="0"/>
    <n v="2003"/>
    <s v="MKS Kusy Szczecin"/>
    <s v="Zabrze"/>
    <x v="1"/>
    <x v="3"/>
    <x v="2"/>
    <x v="170"/>
  </r>
  <r>
    <x v="19"/>
    <x v="0"/>
    <n v="2003"/>
    <s v="MKS Kusy Szczecin"/>
    <s v="Zabrze"/>
    <x v="1"/>
    <x v="4"/>
    <x v="0"/>
    <x v="140"/>
  </r>
  <r>
    <x v="19"/>
    <x v="0"/>
    <n v="2003"/>
    <s v="MKS Kusy Szczecin"/>
    <s v="Zabrze"/>
    <x v="1"/>
    <x v="4"/>
    <x v="1"/>
    <x v="140"/>
  </r>
  <r>
    <x v="19"/>
    <x v="0"/>
    <n v="2003"/>
    <s v="MKS Kusy Szczecin"/>
    <s v="Zabrze"/>
    <x v="1"/>
    <x v="4"/>
    <x v="2"/>
    <x v="140"/>
  </r>
  <r>
    <x v="19"/>
    <x v="0"/>
    <n v="2003"/>
    <s v="MKS Kusy Szczecin"/>
    <s v="Zabrze"/>
    <x v="1"/>
    <x v="5"/>
    <x v="0"/>
    <x v="140"/>
  </r>
  <r>
    <x v="19"/>
    <x v="0"/>
    <n v="2003"/>
    <s v="MKS Kusy Szczecin"/>
    <s v="Zabrze"/>
    <x v="1"/>
    <x v="5"/>
    <x v="1"/>
    <x v="140"/>
  </r>
  <r>
    <x v="19"/>
    <x v="0"/>
    <n v="2003"/>
    <s v="MKS Kusy Szczecin"/>
    <s v="Zabrze"/>
    <x v="1"/>
    <x v="5"/>
    <x v="2"/>
    <x v="140"/>
  </r>
  <r>
    <x v="19"/>
    <x v="0"/>
    <n v="2003"/>
    <s v="MKS Kusy Szczecin"/>
    <s v="Zabrze"/>
    <x v="1"/>
    <x v="6"/>
    <x v="3"/>
    <x v="140"/>
  </r>
  <r>
    <x v="19"/>
    <x v="0"/>
    <n v="2003"/>
    <s v="MKS Kusy Szczecin"/>
    <s v="Zabrze"/>
    <x v="1"/>
    <x v="6"/>
    <x v="4"/>
    <x v="140"/>
  </r>
  <r>
    <x v="19"/>
    <x v="0"/>
    <n v="2003"/>
    <s v="MKS Kusy Szczecin"/>
    <s v="Zabrze"/>
    <x v="1"/>
    <x v="6"/>
    <x v="5"/>
    <x v="171"/>
  </r>
  <r>
    <x v="20"/>
    <x v="0"/>
    <n v="2004"/>
    <s v="CWZS Zawisza KG Bydgoszcz"/>
    <s v="Zabrze"/>
    <x v="1"/>
    <x v="0"/>
    <x v="0"/>
    <x v="160"/>
  </r>
  <r>
    <x v="20"/>
    <x v="0"/>
    <n v="2004"/>
    <s v="CWZS Zawisza KG Bydgoszcz"/>
    <s v="Zabrze"/>
    <x v="1"/>
    <x v="0"/>
    <x v="1"/>
    <x v="105"/>
  </r>
  <r>
    <x v="20"/>
    <x v="0"/>
    <n v="2004"/>
    <s v="CWZS Zawisza KG Bydgoszcz"/>
    <s v="Zabrze"/>
    <x v="1"/>
    <x v="0"/>
    <x v="2"/>
    <x v="47"/>
  </r>
  <r>
    <x v="20"/>
    <x v="0"/>
    <n v="2004"/>
    <s v="CWZS Zawisza KG Bydgoszcz"/>
    <s v="Zabrze"/>
    <x v="1"/>
    <x v="1"/>
    <x v="0"/>
    <x v="140"/>
  </r>
  <r>
    <x v="20"/>
    <x v="0"/>
    <n v="2004"/>
    <s v="CWZS Zawisza KG Bydgoszcz"/>
    <s v="Zabrze"/>
    <x v="1"/>
    <x v="1"/>
    <x v="1"/>
    <x v="140"/>
  </r>
  <r>
    <x v="20"/>
    <x v="0"/>
    <n v="2004"/>
    <s v="CWZS Zawisza KG Bydgoszcz"/>
    <s v="Zabrze"/>
    <x v="1"/>
    <x v="1"/>
    <x v="2"/>
    <x v="140"/>
  </r>
  <r>
    <x v="20"/>
    <x v="0"/>
    <n v="2004"/>
    <s v="CWZS Zawisza KG Bydgoszcz"/>
    <s v="Zabrze"/>
    <x v="1"/>
    <x v="2"/>
    <x v="0"/>
    <x v="140"/>
  </r>
  <r>
    <x v="20"/>
    <x v="0"/>
    <n v="2004"/>
    <s v="CWZS Zawisza KG Bydgoszcz"/>
    <s v="Zabrze"/>
    <x v="1"/>
    <x v="2"/>
    <x v="1"/>
    <x v="140"/>
  </r>
  <r>
    <x v="20"/>
    <x v="0"/>
    <n v="2004"/>
    <s v="CWZS Zawisza KG Bydgoszcz"/>
    <s v="Zabrze"/>
    <x v="1"/>
    <x v="2"/>
    <x v="2"/>
    <x v="140"/>
  </r>
  <r>
    <x v="20"/>
    <x v="0"/>
    <n v="2004"/>
    <s v="CWZS Zawisza KG Bydgoszcz"/>
    <s v="Zabrze"/>
    <x v="1"/>
    <x v="3"/>
    <x v="0"/>
    <x v="96"/>
  </r>
  <r>
    <x v="20"/>
    <x v="0"/>
    <n v="2004"/>
    <s v="CWZS Zawisza KG Bydgoszcz"/>
    <s v="Zabrze"/>
    <x v="1"/>
    <x v="3"/>
    <x v="1"/>
    <x v="172"/>
  </r>
  <r>
    <x v="20"/>
    <x v="0"/>
    <n v="2004"/>
    <s v="CWZS Zawisza KG Bydgoszcz"/>
    <s v="Zabrze"/>
    <x v="1"/>
    <x v="3"/>
    <x v="2"/>
    <x v="15"/>
  </r>
  <r>
    <x v="20"/>
    <x v="0"/>
    <n v="2004"/>
    <s v="CWZS Zawisza KG Bydgoszcz"/>
    <s v="Zabrze"/>
    <x v="1"/>
    <x v="4"/>
    <x v="0"/>
    <x v="140"/>
  </r>
  <r>
    <x v="20"/>
    <x v="0"/>
    <n v="2004"/>
    <s v="CWZS Zawisza KG Bydgoszcz"/>
    <s v="Zabrze"/>
    <x v="1"/>
    <x v="4"/>
    <x v="1"/>
    <x v="140"/>
  </r>
  <r>
    <x v="20"/>
    <x v="0"/>
    <n v="2004"/>
    <s v="CWZS Zawisza KG Bydgoszcz"/>
    <s v="Zabrze"/>
    <x v="1"/>
    <x v="4"/>
    <x v="2"/>
    <x v="140"/>
  </r>
  <r>
    <x v="20"/>
    <x v="0"/>
    <n v="2004"/>
    <s v="CWZS Zawisza KG Bydgoszcz"/>
    <s v="Zabrze"/>
    <x v="1"/>
    <x v="5"/>
    <x v="0"/>
    <x v="140"/>
  </r>
  <r>
    <x v="20"/>
    <x v="0"/>
    <n v="2004"/>
    <s v="CWZS Zawisza KG Bydgoszcz"/>
    <s v="Zabrze"/>
    <x v="1"/>
    <x v="5"/>
    <x v="1"/>
    <x v="140"/>
  </r>
  <r>
    <x v="20"/>
    <x v="0"/>
    <n v="2004"/>
    <s v="CWZS Zawisza KG Bydgoszcz"/>
    <s v="Zabrze"/>
    <x v="1"/>
    <x v="5"/>
    <x v="2"/>
    <x v="140"/>
  </r>
  <r>
    <x v="20"/>
    <x v="0"/>
    <n v="2004"/>
    <s v="CWZS Zawisza KG Bydgoszcz"/>
    <s v="Zabrze"/>
    <x v="1"/>
    <x v="6"/>
    <x v="3"/>
    <x v="140"/>
  </r>
  <r>
    <x v="20"/>
    <x v="0"/>
    <n v="2004"/>
    <s v="CWZS Zawisza KG Bydgoszcz"/>
    <s v="Zabrze"/>
    <x v="1"/>
    <x v="6"/>
    <x v="4"/>
    <x v="140"/>
  </r>
  <r>
    <x v="20"/>
    <x v="0"/>
    <n v="2004"/>
    <s v="CWZS Zawisza KG Bydgoszcz"/>
    <s v="Zabrze"/>
    <x v="1"/>
    <x v="6"/>
    <x v="5"/>
    <x v="173"/>
  </r>
  <r>
    <x v="21"/>
    <x v="0"/>
    <n v="2004"/>
    <s v="MKS Kusy Szczecin"/>
    <s v="Zabrze"/>
    <x v="1"/>
    <x v="0"/>
    <x v="0"/>
    <x v="41"/>
  </r>
  <r>
    <x v="21"/>
    <x v="0"/>
    <n v="2004"/>
    <s v="MKS Kusy Szczecin"/>
    <s v="Zabrze"/>
    <x v="1"/>
    <x v="0"/>
    <x v="1"/>
    <x v="19"/>
  </r>
  <r>
    <x v="21"/>
    <x v="0"/>
    <n v="2004"/>
    <s v="MKS Kusy Szczecin"/>
    <s v="Zabrze"/>
    <x v="1"/>
    <x v="0"/>
    <x v="2"/>
    <x v="106"/>
  </r>
  <r>
    <x v="21"/>
    <x v="0"/>
    <n v="2004"/>
    <s v="MKS Kusy Szczecin"/>
    <s v="Zabrze"/>
    <x v="1"/>
    <x v="1"/>
    <x v="0"/>
    <x v="140"/>
  </r>
  <r>
    <x v="21"/>
    <x v="0"/>
    <n v="2004"/>
    <s v="MKS Kusy Szczecin"/>
    <s v="Zabrze"/>
    <x v="1"/>
    <x v="1"/>
    <x v="1"/>
    <x v="140"/>
  </r>
  <r>
    <x v="21"/>
    <x v="0"/>
    <n v="2004"/>
    <s v="MKS Kusy Szczecin"/>
    <s v="Zabrze"/>
    <x v="1"/>
    <x v="1"/>
    <x v="2"/>
    <x v="140"/>
  </r>
  <r>
    <x v="21"/>
    <x v="0"/>
    <n v="2004"/>
    <s v="MKS Kusy Szczecin"/>
    <s v="Zabrze"/>
    <x v="1"/>
    <x v="2"/>
    <x v="0"/>
    <x v="140"/>
  </r>
  <r>
    <x v="21"/>
    <x v="0"/>
    <n v="2004"/>
    <s v="MKS Kusy Szczecin"/>
    <s v="Zabrze"/>
    <x v="1"/>
    <x v="2"/>
    <x v="1"/>
    <x v="140"/>
  </r>
  <r>
    <x v="21"/>
    <x v="0"/>
    <n v="2004"/>
    <s v="MKS Kusy Szczecin"/>
    <s v="Zabrze"/>
    <x v="1"/>
    <x v="2"/>
    <x v="2"/>
    <x v="140"/>
  </r>
  <r>
    <x v="21"/>
    <x v="0"/>
    <n v="2004"/>
    <s v="MKS Kusy Szczecin"/>
    <s v="Zabrze"/>
    <x v="1"/>
    <x v="3"/>
    <x v="0"/>
    <x v="96"/>
  </r>
  <r>
    <x v="21"/>
    <x v="0"/>
    <n v="2004"/>
    <s v="MKS Kusy Szczecin"/>
    <s v="Zabrze"/>
    <x v="1"/>
    <x v="3"/>
    <x v="1"/>
    <x v="174"/>
  </r>
  <r>
    <x v="21"/>
    <x v="0"/>
    <n v="2004"/>
    <s v="MKS Kusy Szczecin"/>
    <s v="Zabrze"/>
    <x v="1"/>
    <x v="3"/>
    <x v="2"/>
    <x v="118"/>
  </r>
  <r>
    <x v="21"/>
    <x v="0"/>
    <n v="2004"/>
    <s v="MKS Kusy Szczecin"/>
    <s v="Zabrze"/>
    <x v="1"/>
    <x v="4"/>
    <x v="0"/>
    <x v="140"/>
  </r>
  <r>
    <x v="21"/>
    <x v="0"/>
    <n v="2004"/>
    <s v="MKS Kusy Szczecin"/>
    <s v="Zabrze"/>
    <x v="1"/>
    <x v="4"/>
    <x v="1"/>
    <x v="140"/>
  </r>
  <r>
    <x v="21"/>
    <x v="0"/>
    <n v="2004"/>
    <s v="MKS Kusy Szczecin"/>
    <s v="Zabrze"/>
    <x v="1"/>
    <x v="4"/>
    <x v="2"/>
    <x v="140"/>
  </r>
  <r>
    <x v="21"/>
    <x v="0"/>
    <n v="2004"/>
    <s v="MKS Kusy Szczecin"/>
    <s v="Zabrze"/>
    <x v="1"/>
    <x v="5"/>
    <x v="0"/>
    <x v="140"/>
  </r>
  <r>
    <x v="21"/>
    <x v="0"/>
    <n v="2004"/>
    <s v="MKS Kusy Szczecin"/>
    <s v="Zabrze"/>
    <x v="1"/>
    <x v="5"/>
    <x v="1"/>
    <x v="140"/>
  </r>
  <r>
    <x v="21"/>
    <x v="0"/>
    <n v="2004"/>
    <s v="MKS Kusy Szczecin"/>
    <s v="Zabrze"/>
    <x v="1"/>
    <x v="5"/>
    <x v="2"/>
    <x v="140"/>
  </r>
  <r>
    <x v="21"/>
    <x v="0"/>
    <n v="2004"/>
    <s v="MKS Kusy Szczecin"/>
    <s v="Zabrze"/>
    <x v="1"/>
    <x v="6"/>
    <x v="3"/>
    <x v="140"/>
  </r>
  <r>
    <x v="21"/>
    <x v="0"/>
    <n v="2004"/>
    <s v="MKS Kusy Szczecin"/>
    <s v="Zabrze"/>
    <x v="1"/>
    <x v="6"/>
    <x v="4"/>
    <x v="140"/>
  </r>
  <r>
    <x v="21"/>
    <x v="0"/>
    <n v="2004"/>
    <s v="MKS Kusy Szczecin"/>
    <s v="Zabrze"/>
    <x v="1"/>
    <x v="6"/>
    <x v="5"/>
    <x v="175"/>
  </r>
  <r>
    <x v="22"/>
    <x v="0"/>
    <n v="2000"/>
    <s v="KS AZS AWF Katowice"/>
    <s v="Zabrze"/>
    <x v="1"/>
    <x v="0"/>
    <x v="0"/>
    <x v="66"/>
  </r>
  <r>
    <x v="22"/>
    <x v="0"/>
    <n v="2000"/>
    <s v="KS AZS AWF Katowice"/>
    <s v="Zabrze"/>
    <x v="1"/>
    <x v="0"/>
    <x v="1"/>
    <x v="37"/>
  </r>
  <r>
    <x v="22"/>
    <x v="0"/>
    <n v="2000"/>
    <s v="KS AZS AWF Katowice"/>
    <s v="Zabrze"/>
    <x v="1"/>
    <x v="0"/>
    <x v="2"/>
    <x v="69"/>
  </r>
  <r>
    <x v="22"/>
    <x v="0"/>
    <n v="2000"/>
    <s v="KS AZS AWF Katowice"/>
    <s v="Zabrze"/>
    <x v="1"/>
    <x v="1"/>
    <x v="0"/>
    <x v="140"/>
  </r>
  <r>
    <x v="22"/>
    <x v="0"/>
    <n v="2000"/>
    <s v="KS AZS AWF Katowice"/>
    <s v="Zabrze"/>
    <x v="1"/>
    <x v="1"/>
    <x v="1"/>
    <x v="140"/>
  </r>
  <r>
    <x v="22"/>
    <x v="0"/>
    <n v="2000"/>
    <s v="KS AZS AWF Katowice"/>
    <s v="Zabrze"/>
    <x v="1"/>
    <x v="1"/>
    <x v="2"/>
    <x v="140"/>
  </r>
  <r>
    <x v="22"/>
    <x v="0"/>
    <n v="2000"/>
    <s v="KS AZS AWF Katowice"/>
    <s v="Zabrze"/>
    <x v="1"/>
    <x v="2"/>
    <x v="0"/>
    <x v="109"/>
  </r>
  <r>
    <x v="22"/>
    <x v="0"/>
    <n v="2000"/>
    <s v="KS AZS AWF Katowice"/>
    <s v="Zabrze"/>
    <x v="1"/>
    <x v="2"/>
    <x v="1"/>
    <x v="176"/>
  </r>
  <r>
    <x v="22"/>
    <x v="0"/>
    <n v="2000"/>
    <s v="KS AZS AWF Katowice"/>
    <s v="Zabrze"/>
    <x v="1"/>
    <x v="2"/>
    <x v="2"/>
    <x v="71"/>
  </r>
  <r>
    <x v="22"/>
    <x v="0"/>
    <n v="2000"/>
    <s v="KS AZS AWF Katowice"/>
    <s v="Zabrze"/>
    <x v="1"/>
    <x v="3"/>
    <x v="0"/>
    <x v="140"/>
  </r>
  <r>
    <x v="22"/>
    <x v="0"/>
    <n v="2000"/>
    <s v="KS AZS AWF Katowice"/>
    <s v="Zabrze"/>
    <x v="1"/>
    <x v="3"/>
    <x v="1"/>
    <x v="140"/>
  </r>
  <r>
    <x v="22"/>
    <x v="0"/>
    <n v="2000"/>
    <s v="KS AZS AWF Katowice"/>
    <s v="Zabrze"/>
    <x v="1"/>
    <x v="3"/>
    <x v="2"/>
    <x v="140"/>
  </r>
  <r>
    <x v="22"/>
    <x v="0"/>
    <n v="2000"/>
    <s v="KS AZS AWF Katowice"/>
    <s v="Zabrze"/>
    <x v="1"/>
    <x v="4"/>
    <x v="0"/>
    <x v="140"/>
  </r>
  <r>
    <x v="22"/>
    <x v="0"/>
    <n v="2000"/>
    <s v="KS AZS AWF Katowice"/>
    <s v="Zabrze"/>
    <x v="1"/>
    <x v="4"/>
    <x v="1"/>
    <x v="140"/>
  </r>
  <r>
    <x v="22"/>
    <x v="0"/>
    <n v="2000"/>
    <s v="KS AZS AWF Katowice"/>
    <s v="Zabrze"/>
    <x v="1"/>
    <x v="4"/>
    <x v="2"/>
    <x v="140"/>
  </r>
  <r>
    <x v="22"/>
    <x v="0"/>
    <n v="2000"/>
    <s v="KS AZS AWF Katowice"/>
    <s v="Zabrze"/>
    <x v="1"/>
    <x v="5"/>
    <x v="0"/>
    <x v="140"/>
  </r>
  <r>
    <x v="22"/>
    <x v="0"/>
    <n v="2000"/>
    <s v="KS AZS AWF Katowice"/>
    <s v="Zabrze"/>
    <x v="1"/>
    <x v="5"/>
    <x v="1"/>
    <x v="140"/>
  </r>
  <r>
    <x v="22"/>
    <x v="0"/>
    <n v="2000"/>
    <s v="KS AZS AWF Katowice"/>
    <s v="Zabrze"/>
    <x v="1"/>
    <x v="5"/>
    <x v="2"/>
    <x v="140"/>
  </r>
  <r>
    <x v="22"/>
    <x v="0"/>
    <n v="2000"/>
    <s v="KS AZS AWF Katowice"/>
    <s v="Zabrze"/>
    <x v="1"/>
    <x v="6"/>
    <x v="3"/>
    <x v="140"/>
  </r>
  <r>
    <x v="22"/>
    <x v="0"/>
    <n v="2000"/>
    <s v="KS AZS AWF Katowice"/>
    <s v="Zabrze"/>
    <x v="1"/>
    <x v="6"/>
    <x v="4"/>
    <x v="140"/>
  </r>
  <r>
    <x v="22"/>
    <x v="0"/>
    <n v="2000"/>
    <s v="KS AZS AWF Katowice"/>
    <s v="Zabrze"/>
    <x v="1"/>
    <x v="6"/>
    <x v="5"/>
    <x v="177"/>
  </r>
  <r>
    <x v="23"/>
    <x v="0"/>
    <n v="2004"/>
    <s v="MKS Gdańsk"/>
    <s v="Zabrze"/>
    <x v="1"/>
    <x v="0"/>
    <x v="0"/>
    <x v="140"/>
  </r>
  <r>
    <x v="23"/>
    <x v="0"/>
    <n v="2004"/>
    <s v="MKS Gdańsk"/>
    <s v="Zabrze"/>
    <x v="1"/>
    <x v="0"/>
    <x v="1"/>
    <x v="140"/>
  </r>
  <r>
    <x v="23"/>
    <x v="0"/>
    <n v="2004"/>
    <s v="MKS Gdańsk"/>
    <s v="Zabrze"/>
    <x v="1"/>
    <x v="0"/>
    <x v="2"/>
    <x v="140"/>
  </r>
  <r>
    <x v="23"/>
    <x v="0"/>
    <n v="2004"/>
    <s v="MKS Gdańsk"/>
    <s v="Zabrze"/>
    <x v="1"/>
    <x v="1"/>
    <x v="0"/>
    <x v="156"/>
  </r>
  <r>
    <x v="23"/>
    <x v="0"/>
    <n v="2004"/>
    <s v="MKS Gdańsk"/>
    <s v="Zabrze"/>
    <x v="1"/>
    <x v="1"/>
    <x v="1"/>
    <x v="19"/>
  </r>
  <r>
    <x v="23"/>
    <x v="0"/>
    <n v="2004"/>
    <s v="MKS Gdańsk"/>
    <s v="Zabrze"/>
    <x v="1"/>
    <x v="1"/>
    <x v="2"/>
    <x v="10"/>
  </r>
  <r>
    <x v="23"/>
    <x v="0"/>
    <n v="2004"/>
    <s v="MKS Gdańsk"/>
    <s v="Zabrze"/>
    <x v="1"/>
    <x v="2"/>
    <x v="0"/>
    <x v="140"/>
  </r>
  <r>
    <x v="23"/>
    <x v="0"/>
    <n v="2004"/>
    <s v="MKS Gdańsk"/>
    <s v="Zabrze"/>
    <x v="1"/>
    <x v="2"/>
    <x v="1"/>
    <x v="140"/>
  </r>
  <r>
    <x v="23"/>
    <x v="0"/>
    <n v="2004"/>
    <s v="MKS Gdańsk"/>
    <s v="Zabrze"/>
    <x v="1"/>
    <x v="2"/>
    <x v="2"/>
    <x v="140"/>
  </r>
  <r>
    <x v="23"/>
    <x v="0"/>
    <n v="2004"/>
    <s v="MKS Gdańsk"/>
    <s v="Zabrze"/>
    <x v="1"/>
    <x v="3"/>
    <x v="0"/>
    <x v="140"/>
  </r>
  <r>
    <x v="23"/>
    <x v="0"/>
    <n v="2004"/>
    <s v="MKS Gdańsk"/>
    <s v="Zabrze"/>
    <x v="1"/>
    <x v="3"/>
    <x v="1"/>
    <x v="140"/>
  </r>
  <r>
    <x v="23"/>
    <x v="0"/>
    <n v="2004"/>
    <s v="MKS Gdańsk"/>
    <s v="Zabrze"/>
    <x v="1"/>
    <x v="3"/>
    <x v="2"/>
    <x v="140"/>
  </r>
  <r>
    <x v="23"/>
    <x v="0"/>
    <n v="2004"/>
    <s v="MKS Gdańsk"/>
    <s v="Zabrze"/>
    <x v="1"/>
    <x v="4"/>
    <x v="0"/>
    <x v="140"/>
  </r>
  <r>
    <x v="23"/>
    <x v="0"/>
    <n v="2004"/>
    <s v="MKS Gdańsk"/>
    <s v="Zabrze"/>
    <x v="1"/>
    <x v="4"/>
    <x v="1"/>
    <x v="140"/>
  </r>
  <r>
    <x v="23"/>
    <x v="0"/>
    <n v="2004"/>
    <s v="MKS Gdańsk"/>
    <s v="Zabrze"/>
    <x v="1"/>
    <x v="4"/>
    <x v="2"/>
    <x v="140"/>
  </r>
  <r>
    <x v="23"/>
    <x v="0"/>
    <n v="2004"/>
    <s v="MKS Gdańsk"/>
    <s v="Zabrze"/>
    <x v="1"/>
    <x v="5"/>
    <x v="0"/>
    <x v="140"/>
  </r>
  <r>
    <x v="23"/>
    <x v="0"/>
    <n v="2004"/>
    <s v="MKS Gdańsk"/>
    <s v="Zabrze"/>
    <x v="1"/>
    <x v="5"/>
    <x v="1"/>
    <x v="140"/>
  </r>
  <r>
    <x v="23"/>
    <x v="0"/>
    <n v="2004"/>
    <s v="MKS Gdańsk"/>
    <s v="Zabrze"/>
    <x v="1"/>
    <x v="5"/>
    <x v="2"/>
    <x v="140"/>
  </r>
  <r>
    <x v="23"/>
    <x v="0"/>
    <n v="2004"/>
    <s v="MKS Gdańsk"/>
    <s v="Zabrze"/>
    <x v="1"/>
    <x v="6"/>
    <x v="3"/>
    <x v="140"/>
  </r>
  <r>
    <x v="23"/>
    <x v="0"/>
    <n v="2004"/>
    <s v="MKS Gdańsk"/>
    <s v="Zabrze"/>
    <x v="1"/>
    <x v="6"/>
    <x v="4"/>
    <x v="140"/>
  </r>
  <r>
    <x v="23"/>
    <x v="0"/>
    <n v="2004"/>
    <s v="MKS Gdańsk"/>
    <s v="Zabrze"/>
    <x v="1"/>
    <x v="6"/>
    <x v="5"/>
    <x v="10"/>
  </r>
  <r>
    <x v="24"/>
    <x v="1"/>
    <n v="2008"/>
    <s v="CWZS Zawisza KG Bydgoszcz"/>
    <s v="Zabrze"/>
    <x v="0"/>
    <x v="0"/>
    <x v="0"/>
    <x v="41"/>
  </r>
  <r>
    <x v="24"/>
    <x v="1"/>
    <n v="2008"/>
    <s v="CWZS Zawisza KG Bydgoszcz"/>
    <s v="Zabrze"/>
    <x v="0"/>
    <x v="0"/>
    <x v="1"/>
    <x v="58"/>
  </r>
  <r>
    <x v="24"/>
    <x v="1"/>
    <n v="2008"/>
    <s v="CWZS Zawisza KG Bydgoszcz"/>
    <s v="Zabrze"/>
    <x v="0"/>
    <x v="0"/>
    <x v="2"/>
    <x v="161"/>
  </r>
  <r>
    <x v="24"/>
    <x v="1"/>
    <n v="2008"/>
    <s v="CWZS Zawisza KG Bydgoszcz"/>
    <s v="Zabrze"/>
    <x v="0"/>
    <x v="1"/>
    <x v="0"/>
    <x v="36"/>
  </r>
  <r>
    <x v="24"/>
    <x v="1"/>
    <n v="2008"/>
    <s v="CWZS Zawisza KG Bydgoszcz"/>
    <s v="Zabrze"/>
    <x v="0"/>
    <x v="1"/>
    <x v="1"/>
    <x v="124"/>
  </r>
  <r>
    <x v="24"/>
    <x v="1"/>
    <n v="2008"/>
    <s v="CWZS Zawisza KG Bydgoszcz"/>
    <s v="Zabrze"/>
    <x v="0"/>
    <x v="1"/>
    <x v="2"/>
    <x v="161"/>
  </r>
  <r>
    <x v="24"/>
    <x v="1"/>
    <n v="2008"/>
    <s v="CWZS Zawisza KG Bydgoszcz"/>
    <s v="Zabrze"/>
    <x v="0"/>
    <x v="2"/>
    <x v="0"/>
    <x v="109"/>
  </r>
  <r>
    <x v="24"/>
    <x v="1"/>
    <n v="2008"/>
    <s v="CWZS Zawisza KG Bydgoszcz"/>
    <s v="Zabrze"/>
    <x v="0"/>
    <x v="2"/>
    <x v="1"/>
    <x v="30"/>
  </r>
  <r>
    <x v="24"/>
    <x v="1"/>
    <n v="2008"/>
    <s v="CWZS Zawisza KG Bydgoszcz"/>
    <s v="Zabrze"/>
    <x v="0"/>
    <x v="2"/>
    <x v="2"/>
    <x v="116"/>
  </r>
  <r>
    <x v="24"/>
    <x v="1"/>
    <n v="2008"/>
    <s v="CWZS Zawisza KG Bydgoszcz"/>
    <s v="Zabrze"/>
    <x v="0"/>
    <x v="3"/>
    <x v="0"/>
    <x v="59"/>
  </r>
  <r>
    <x v="24"/>
    <x v="1"/>
    <n v="2008"/>
    <s v="CWZS Zawisza KG Bydgoszcz"/>
    <s v="Zabrze"/>
    <x v="0"/>
    <x v="3"/>
    <x v="1"/>
    <x v="174"/>
  </r>
  <r>
    <x v="24"/>
    <x v="1"/>
    <n v="2008"/>
    <s v="CWZS Zawisza KG Bydgoszcz"/>
    <s v="Zabrze"/>
    <x v="0"/>
    <x v="3"/>
    <x v="2"/>
    <x v="178"/>
  </r>
  <r>
    <x v="24"/>
    <x v="1"/>
    <n v="2008"/>
    <s v="CWZS Zawisza KG Bydgoszcz"/>
    <s v="Zabrze"/>
    <x v="0"/>
    <x v="4"/>
    <x v="0"/>
    <x v="29"/>
  </r>
  <r>
    <x v="24"/>
    <x v="1"/>
    <n v="2008"/>
    <s v="CWZS Zawisza KG Bydgoszcz"/>
    <s v="Zabrze"/>
    <x v="0"/>
    <x v="4"/>
    <x v="1"/>
    <x v="10"/>
  </r>
  <r>
    <x v="24"/>
    <x v="1"/>
    <n v="2008"/>
    <s v="CWZS Zawisza KG Bydgoszcz"/>
    <s v="Zabrze"/>
    <x v="0"/>
    <x v="4"/>
    <x v="2"/>
    <x v="126"/>
  </r>
  <r>
    <x v="24"/>
    <x v="1"/>
    <n v="2008"/>
    <s v="CWZS Zawisza KG Bydgoszcz"/>
    <s v="Zabrze"/>
    <x v="0"/>
    <x v="5"/>
    <x v="0"/>
    <x v="86"/>
  </r>
  <r>
    <x v="24"/>
    <x v="1"/>
    <n v="2008"/>
    <s v="CWZS Zawisza KG Bydgoszcz"/>
    <s v="Zabrze"/>
    <x v="0"/>
    <x v="5"/>
    <x v="1"/>
    <x v="10"/>
  </r>
  <r>
    <x v="24"/>
    <x v="1"/>
    <n v="2008"/>
    <s v="CWZS Zawisza KG Bydgoszcz"/>
    <s v="Zabrze"/>
    <x v="0"/>
    <x v="5"/>
    <x v="2"/>
    <x v="65"/>
  </r>
  <r>
    <x v="24"/>
    <x v="1"/>
    <n v="2008"/>
    <s v="CWZS Zawisza KG Bydgoszcz"/>
    <s v="Zabrze"/>
    <x v="0"/>
    <x v="6"/>
    <x v="3"/>
    <x v="179"/>
  </r>
  <r>
    <x v="24"/>
    <x v="1"/>
    <n v="2008"/>
    <s v="CWZS Zawisza KG Bydgoszcz"/>
    <s v="Zabrze"/>
    <x v="0"/>
    <x v="6"/>
    <x v="4"/>
    <x v="180"/>
  </r>
  <r>
    <x v="24"/>
    <x v="1"/>
    <n v="2008"/>
    <s v="CWZS Zawisza KG Bydgoszcz"/>
    <s v="Zabrze"/>
    <x v="0"/>
    <x v="6"/>
    <x v="5"/>
    <x v="181"/>
  </r>
  <r>
    <x v="25"/>
    <x v="1"/>
    <n v="2005"/>
    <s v="MKS Kusy Szczecin"/>
    <s v="Zabrze"/>
    <x v="0"/>
    <x v="0"/>
    <x v="0"/>
    <x v="71"/>
  </r>
  <r>
    <x v="25"/>
    <x v="1"/>
    <n v="2005"/>
    <s v="MKS Kusy Szczecin"/>
    <s v="Zabrze"/>
    <x v="0"/>
    <x v="0"/>
    <x v="1"/>
    <x v="1"/>
  </r>
  <r>
    <x v="25"/>
    <x v="1"/>
    <n v="2005"/>
    <s v="MKS Kusy Szczecin"/>
    <s v="Zabrze"/>
    <x v="0"/>
    <x v="0"/>
    <x v="2"/>
    <x v="8"/>
  </r>
  <r>
    <x v="25"/>
    <x v="1"/>
    <n v="2005"/>
    <s v="MKS Kusy Szczecin"/>
    <s v="Zabrze"/>
    <x v="0"/>
    <x v="1"/>
    <x v="0"/>
    <x v="45"/>
  </r>
  <r>
    <x v="25"/>
    <x v="1"/>
    <n v="2005"/>
    <s v="MKS Kusy Szczecin"/>
    <s v="Zabrze"/>
    <x v="0"/>
    <x v="1"/>
    <x v="1"/>
    <x v="7"/>
  </r>
  <r>
    <x v="25"/>
    <x v="1"/>
    <n v="2005"/>
    <s v="MKS Kusy Szczecin"/>
    <s v="Zabrze"/>
    <x v="0"/>
    <x v="1"/>
    <x v="2"/>
    <x v="158"/>
  </r>
  <r>
    <x v="25"/>
    <x v="1"/>
    <n v="2005"/>
    <s v="MKS Kusy Szczecin"/>
    <s v="Zabrze"/>
    <x v="0"/>
    <x v="2"/>
    <x v="0"/>
    <x v="164"/>
  </r>
  <r>
    <x v="25"/>
    <x v="1"/>
    <n v="2005"/>
    <s v="MKS Kusy Szczecin"/>
    <s v="Zabrze"/>
    <x v="0"/>
    <x v="2"/>
    <x v="1"/>
    <x v="25"/>
  </r>
  <r>
    <x v="25"/>
    <x v="1"/>
    <n v="2005"/>
    <s v="MKS Kusy Szczecin"/>
    <s v="Zabrze"/>
    <x v="0"/>
    <x v="2"/>
    <x v="2"/>
    <x v="23"/>
  </r>
  <r>
    <x v="25"/>
    <x v="1"/>
    <n v="2005"/>
    <s v="MKS Kusy Szczecin"/>
    <s v="Zabrze"/>
    <x v="0"/>
    <x v="3"/>
    <x v="0"/>
    <x v="41"/>
  </r>
  <r>
    <x v="25"/>
    <x v="1"/>
    <n v="2005"/>
    <s v="MKS Kusy Szczecin"/>
    <s v="Zabrze"/>
    <x v="0"/>
    <x v="3"/>
    <x v="1"/>
    <x v="182"/>
  </r>
  <r>
    <x v="25"/>
    <x v="1"/>
    <n v="2005"/>
    <s v="MKS Kusy Szczecin"/>
    <s v="Zabrze"/>
    <x v="0"/>
    <x v="3"/>
    <x v="2"/>
    <x v="183"/>
  </r>
  <r>
    <x v="25"/>
    <x v="1"/>
    <n v="2005"/>
    <s v="MKS Kusy Szczecin"/>
    <s v="Zabrze"/>
    <x v="0"/>
    <x v="4"/>
    <x v="0"/>
    <x v="113"/>
  </r>
  <r>
    <x v="25"/>
    <x v="1"/>
    <n v="2005"/>
    <s v="MKS Kusy Szczecin"/>
    <s v="Zabrze"/>
    <x v="0"/>
    <x v="4"/>
    <x v="1"/>
    <x v="7"/>
  </r>
  <r>
    <x v="25"/>
    <x v="1"/>
    <n v="2005"/>
    <s v="MKS Kusy Szczecin"/>
    <s v="Zabrze"/>
    <x v="0"/>
    <x v="4"/>
    <x v="2"/>
    <x v="104"/>
  </r>
  <r>
    <x v="25"/>
    <x v="1"/>
    <n v="2005"/>
    <s v="MKS Kusy Szczecin"/>
    <s v="Zabrze"/>
    <x v="0"/>
    <x v="5"/>
    <x v="0"/>
    <x v="39"/>
  </r>
  <r>
    <x v="25"/>
    <x v="1"/>
    <n v="2005"/>
    <s v="MKS Kusy Szczecin"/>
    <s v="Zabrze"/>
    <x v="0"/>
    <x v="5"/>
    <x v="1"/>
    <x v="85"/>
  </r>
  <r>
    <x v="25"/>
    <x v="1"/>
    <n v="2005"/>
    <s v="MKS Kusy Szczecin"/>
    <s v="Zabrze"/>
    <x v="0"/>
    <x v="5"/>
    <x v="2"/>
    <x v="184"/>
  </r>
  <r>
    <x v="25"/>
    <x v="1"/>
    <n v="2005"/>
    <s v="MKS Kusy Szczecin"/>
    <s v="Zabrze"/>
    <x v="0"/>
    <x v="6"/>
    <x v="3"/>
    <x v="185"/>
  </r>
  <r>
    <x v="25"/>
    <x v="1"/>
    <n v="2005"/>
    <s v="MKS Kusy Szczecin"/>
    <s v="Zabrze"/>
    <x v="0"/>
    <x v="6"/>
    <x v="4"/>
    <x v="186"/>
  </r>
  <r>
    <x v="25"/>
    <x v="1"/>
    <n v="2005"/>
    <s v="MKS Kusy Szczecin"/>
    <s v="Zabrze"/>
    <x v="0"/>
    <x v="6"/>
    <x v="5"/>
    <x v="187"/>
  </r>
  <r>
    <x v="26"/>
    <x v="1"/>
    <n v="2005"/>
    <s v="MKS Kusy Szczecin"/>
    <s v="Zabrze"/>
    <x v="0"/>
    <x v="0"/>
    <x v="0"/>
    <x v="29"/>
  </r>
  <r>
    <x v="26"/>
    <x v="1"/>
    <n v="2005"/>
    <s v="MKS Kusy Szczecin"/>
    <s v="Zabrze"/>
    <x v="0"/>
    <x v="0"/>
    <x v="1"/>
    <x v="188"/>
  </r>
  <r>
    <x v="26"/>
    <x v="1"/>
    <n v="2005"/>
    <s v="MKS Kusy Szczecin"/>
    <s v="Zabrze"/>
    <x v="0"/>
    <x v="0"/>
    <x v="2"/>
    <x v="189"/>
  </r>
  <r>
    <x v="26"/>
    <x v="1"/>
    <n v="2005"/>
    <s v="MKS Kusy Szczecin"/>
    <s v="Zabrze"/>
    <x v="0"/>
    <x v="1"/>
    <x v="0"/>
    <x v="45"/>
  </r>
  <r>
    <x v="26"/>
    <x v="1"/>
    <n v="2005"/>
    <s v="MKS Kusy Szczecin"/>
    <s v="Zabrze"/>
    <x v="0"/>
    <x v="1"/>
    <x v="1"/>
    <x v="105"/>
  </r>
  <r>
    <x v="26"/>
    <x v="1"/>
    <n v="2005"/>
    <s v="MKS Kusy Szczecin"/>
    <s v="Zabrze"/>
    <x v="0"/>
    <x v="1"/>
    <x v="2"/>
    <x v="190"/>
  </r>
  <r>
    <x v="26"/>
    <x v="1"/>
    <n v="2005"/>
    <s v="MKS Kusy Szczecin"/>
    <s v="Zabrze"/>
    <x v="0"/>
    <x v="2"/>
    <x v="0"/>
    <x v="96"/>
  </r>
  <r>
    <x v="26"/>
    <x v="1"/>
    <n v="2005"/>
    <s v="MKS Kusy Szczecin"/>
    <s v="Zabrze"/>
    <x v="0"/>
    <x v="2"/>
    <x v="1"/>
    <x v="148"/>
  </r>
  <r>
    <x v="26"/>
    <x v="1"/>
    <n v="2005"/>
    <s v="MKS Kusy Szczecin"/>
    <s v="Zabrze"/>
    <x v="0"/>
    <x v="2"/>
    <x v="2"/>
    <x v="38"/>
  </r>
  <r>
    <x v="26"/>
    <x v="1"/>
    <n v="2005"/>
    <s v="MKS Kusy Szczecin"/>
    <s v="Zabrze"/>
    <x v="0"/>
    <x v="3"/>
    <x v="0"/>
    <x v="96"/>
  </r>
  <r>
    <x v="26"/>
    <x v="1"/>
    <n v="2005"/>
    <s v="MKS Kusy Szczecin"/>
    <s v="Zabrze"/>
    <x v="0"/>
    <x v="3"/>
    <x v="1"/>
    <x v="97"/>
  </r>
  <r>
    <x v="26"/>
    <x v="1"/>
    <n v="2005"/>
    <s v="MKS Kusy Szczecin"/>
    <s v="Zabrze"/>
    <x v="0"/>
    <x v="3"/>
    <x v="2"/>
    <x v="98"/>
  </r>
  <r>
    <x v="26"/>
    <x v="1"/>
    <n v="2005"/>
    <s v="MKS Kusy Szczecin"/>
    <s v="Zabrze"/>
    <x v="0"/>
    <x v="4"/>
    <x v="0"/>
    <x v="113"/>
  </r>
  <r>
    <x v="26"/>
    <x v="1"/>
    <n v="2005"/>
    <s v="MKS Kusy Szczecin"/>
    <s v="Zabrze"/>
    <x v="0"/>
    <x v="4"/>
    <x v="1"/>
    <x v="74"/>
  </r>
  <r>
    <x v="26"/>
    <x v="1"/>
    <n v="2005"/>
    <s v="MKS Kusy Szczecin"/>
    <s v="Zabrze"/>
    <x v="0"/>
    <x v="4"/>
    <x v="2"/>
    <x v="191"/>
  </r>
  <r>
    <x v="26"/>
    <x v="1"/>
    <n v="2005"/>
    <s v="MKS Kusy Szczecin"/>
    <s v="Zabrze"/>
    <x v="0"/>
    <x v="5"/>
    <x v="0"/>
    <x v="96"/>
  </r>
  <r>
    <x v="26"/>
    <x v="1"/>
    <n v="2005"/>
    <s v="MKS Kusy Szczecin"/>
    <s v="Zabrze"/>
    <x v="0"/>
    <x v="5"/>
    <x v="1"/>
    <x v="94"/>
  </r>
  <r>
    <x v="26"/>
    <x v="1"/>
    <n v="2005"/>
    <s v="MKS Kusy Szczecin"/>
    <s v="Zabrze"/>
    <x v="0"/>
    <x v="5"/>
    <x v="2"/>
    <x v="23"/>
  </r>
  <r>
    <x v="26"/>
    <x v="1"/>
    <n v="2005"/>
    <s v="MKS Kusy Szczecin"/>
    <s v="Zabrze"/>
    <x v="0"/>
    <x v="6"/>
    <x v="3"/>
    <x v="192"/>
  </r>
  <r>
    <x v="26"/>
    <x v="1"/>
    <n v="2005"/>
    <s v="MKS Kusy Szczecin"/>
    <s v="Zabrze"/>
    <x v="0"/>
    <x v="6"/>
    <x v="4"/>
    <x v="193"/>
  </r>
  <r>
    <x v="26"/>
    <x v="1"/>
    <n v="2005"/>
    <s v="MKS Kusy Szczecin"/>
    <s v="Zabrze"/>
    <x v="0"/>
    <x v="6"/>
    <x v="5"/>
    <x v="194"/>
  </r>
  <r>
    <x v="27"/>
    <x v="1"/>
    <n v="2006"/>
    <s v="MKS Gdańsk"/>
    <s v="Zabrze"/>
    <x v="0"/>
    <x v="0"/>
    <x v="0"/>
    <x v="73"/>
  </r>
  <r>
    <x v="27"/>
    <x v="1"/>
    <n v="2006"/>
    <s v="MKS Gdańsk"/>
    <s v="Zabrze"/>
    <x v="0"/>
    <x v="0"/>
    <x v="1"/>
    <x v="25"/>
  </r>
  <r>
    <x v="27"/>
    <x v="1"/>
    <n v="2006"/>
    <s v="MKS Gdańsk"/>
    <s v="Zabrze"/>
    <x v="0"/>
    <x v="0"/>
    <x v="2"/>
    <x v="65"/>
  </r>
  <r>
    <x v="27"/>
    <x v="1"/>
    <n v="2006"/>
    <s v="MKS Gdańsk"/>
    <s v="Zabrze"/>
    <x v="0"/>
    <x v="1"/>
    <x v="0"/>
    <x v="24"/>
  </r>
  <r>
    <x v="27"/>
    <x v="1"/>
    <n v="2006"/>
    <s v="MKS Gdańsk"/>
    <s v="Zabrze"/>
    <x v="0"/>
    <x v="1"/>
    <x v="1"/>
    <x v="142"/>
  </r>
  <r>
    <x v="27"/>
    <x v="1"/>
    <n v="2006"/>
    <s v="MKS Gdańsk"/>
    <s v="Zabrze"/>
    <x v="0"/>
    <x v="1"/>
    <x v="2"/>
    <x v="184"/>
  </r>
  <r>
    <x v="27"/>
    <x v="1"/>
    <n v="2006"/>
    <s v="MKS Gdańsk"/>
    <s v="Zabrze"/>
    <x v="0"/>
    <x v="2"/>
    <x v="0"/>
    <x v="24"/>
  </r>
  <r>
    <x v="27"/>
    <x v="1"/>
    <n v="2006"/>
    <s v="MKS Gdańsk"/>
    <s v="Zabrze"/>
    <x v="0"/>
    <x v="2"/>
    <x v="1"/>
    <x v="25"/>
  </r>
  <r>
    <x v="27"/>
    <x v="1"/>
    <n v="2006"/>
    <s v="MKS Gdańsk"/>
    <s v="Zabrze"/>
    <x v="0"/>
    <x v="2"/>
    <x v="2"/>
    <x v="15"/>
  </r>
  <r>
    <x v="27"/>
    <x v="1"/>
    <n v="2006"/>
    <s v="MKS Gdańsk"/>
    <s v="Zabrze"/>
    <x v="0"/>
    <x v="3"/>
    <x v="0"/>
    <x v="165"/>
  </r>
  <r>
    <x v="27"/>
    <x v="1"/>
    <n v="2006"/>
    <s v="MKS Gdańsk"/>
    <s v="Zabrze"/>
    <x v="0"/>
    <x v="3"/>
    <x v="1"/>
    <x v="124"/>
  </r>
  <r>
    <x v="27"/>
    <x v="1"/>
    <n v="2006"/>
    <s v="MKS Gdańsk"/>
    <s v="Zabrze"/>
    <x v="0"/>
    <x v="3"/>
    <x v="2"/>
    <x v="125"/>
  </r>
  <r>
    <x v="27"/>
    <x v="1"/>
    <n v="2006"/>
    <s v="MKS Gdańsk"/>
    <s v="Zabrze"/>
    <x v="0"/>
    <x v="4"/>
    <x v="0"/>
    <x v="73"/>
  </r>
  <r>
    <x v="27"/>
    <x v="1"/>
    <n v="2006"/>
    <s v="MKS Gdańsk"/>
    <s v="Zabrze"/>
    <x v="0"/>
    <x v="4"/>
    <x v="1"/>
    <x v="13"/>
  </r>
  <r>
    <x v="27"/>
    <x v="1"/>
    <n v="2006"/>
    <s v="MKS Gdańsk"/>
    <s v="Zabrze"/>
    <x v="0"/>
    <x v="4"/>
    <x v="2"/>
    <x v="195"/>
  </r>
  <r>
    <x v="27"/>
    <x v="1"/>
    <n v="2006"/>
    <s v="MKS Gdańsk"/>
    <s v="Zabrze"/>
    <x v="0"/>
    <x v="5"/>
    <x v="0"/>
    <x v="113"/>
  </r>
  <r>
    <x v="27"/>
    <x v="1"/>
    <n v="2006"/>
    <s v="MKS Gdańsk"/>
    <s v="Zabrze"/>
    <x v="0"/>
    <x v="5"/>
    <x v="1"/>
    <x v="81"/>
  </r>
  <r>
    <x v="27"/>
    <x v="1"/>
    <n v="2006"/>
    <s v="MKS Gdańsk"/>
    <s v="Zabrze"/>
    <x v="0"/>
    <x v="5"/>
    <x v="2"/>
    <x v="184"/>
  </r>
  <r>
    <x v="27"/>
    <x v="1"/>
    <n v="2006"/>
    <s v="MKS Gdańsk"/>
    <s v="Zabrze"/>
    <x v="0"/>
    <x v="6"/>
    <x v="3"/>
    <x v="196"/>
  </r>
  <r>
    <x v="27"/>
    <x v="1"/>
    <n v="2006"/>
    <s v="MKS Gdańsk"/>
    <s v="Zabrze"/>
    <x v="0"/>
    <x v="6"/>
    <x v="4"/>
    <x v="197"/>
  </r>
  <r>
    <x v="27"/>
    <x v="1"/>
    <n v="2006"/>
    <s v="MKS Gdańsk"/>
    <s v="Zabrze"/>
    <x v="0"/>
    <x v="6"/>
    <x v="5"/>
    <x v="198"/>
  </r>
  <r>
    <x v="28"/>
    <x v="1"/>
    <n v="2006"/>
    <s v="KS AZS AWF Kraków"/>
    <s v="Zabrze"/>
    <x v="0"/>
    <x v="0"/>
    <x v="0"/>
    <x v="66"/>
  </r>
  <r>
    <x v="28"/>
    <x v="1"/>
    <n v="2006"/>
    <s v="KS AZS AWF Kraków"/>
    <s v="Zabrze"/>
    <x v="0"/>
    <x v="0"/>
    <x v="1"/>
    <x v="199"/>
  </r>
  <r>
    <x v="28"/>
    <x v="1"/>
    <n v="2006"/>
    <s v="KS AZS AWF Kraków"/>
    <s v="Zabrze"/>
    <x v="0"/>
    <x v="0"/>
    <x v="2"/>
    <x v="95"/>
  </r>
  <r>
    <x v="28"/>
    <x v="1"/>
    <n v="2006"/>
    <s v="KS AZS AWF Kraków"/>
    <s v="Zabrze"/>
    <x v="0"/>
    <x v="1"/>
    <x v="0"/>
    <x v="71"/>
  </r>
  <r>
    <x v="28"/>
    <x v="1"/>
    <n v="2006"/>
    <s v="KS AZS AWF Kraków"/>
    <s v="Zabrze"/>
    <x v="0"/>
    <x v="1"/>
    <x v="1"/>
    <x v="85"/>
  </r>
  <r>
    <x v="28"/>
    <x v="1"/>
    <n v="2006"/>
    <s v="KS AZS AWF Kraków"/>
    <s v="Zabrze"/>
    <x v="0"/>
    <x v="1"/>
    <x v="2"/>
    <x v="38"/>
  </r>
  <r>
    <x v="28"/>
    <x v="1"/>
    <n v="2006"/>
    <s v="KS AZS AWF Kraków"/>
    <s v="Zabrze"/>
    <x v="0"/>
    <x v="2"/>
    <x v="0"/>
    <x v="39"/>
  </r>
  <r>
    <x v="28"/>
    <x v="1"/>
    <n v="2006"/>
    <s v="KS AZS AWF Kraków"/>
    <s v="Zabrze"/>
    <x v="0"/>
    <x v="2"/>
    <x v="1"/>
    <x v="135"/>
  </r>
  <r>
    <x v="28"/>
    <x v="1"/>
    <n v="2006"/>
    <s v="KS AZS AWF Kraków"/>
    <s v="Zabrze"/>
    <x v="0"/>
    <x v="2"/>
    <x v="2"/>
    <x v="23"/>
  </r>
  <r>
    <x v="28"/>
    <x v="1"/>
    <n v="2006"/>
    <s v="KS AZS AWF Kraków"/>
    <s v="Zabrze"/>
    <x v="0"/>
    <x v="3"/>
    <x v="0"/>
    <x v="96"/>
  </r>
  <r>
    <x v="28"/>
    <x v="1"/>
    <n v="2006"/>
    <s v="KS AZS AWF Kraków"/>
    <s v="Zabrze"/>
    <x v="0"/>
    <x v="3"/>
    <x v="1"/>
    <x v="152"/>
  </r>
  <r>
    <x v="28"/>
    <x v="1"/>
    <n v="2006"/>
    <s v="KS AZS AWF Kraków"/>
    <s v="Zabrze"/>
    <x v="0"/>
    <x v="3"/>
    <x v="2"/>
    <x v="65"/>
  </r>
  <r>
    <x v="28"/>
    <x v="1"/>
    <n v="2006"/>
    <s v="KS AZS AWF Kraków"/>
    <s v="Zabrze"/>
    <x v="0"/>
    <x v="4"/>
    <x v="0"/>
    <x v="156"/>
  </r>
  <r>
    <x v="28"/>
    <x v="1"/>
    <n v="2006"/>
    <s v="KS AZS AWF Kraków"/>
    <s v="Zabrze"/>
    <x v="0"/>
    <x v="4"/>
    <x v="1"/>
    <x v="135"/>
  </r>
  <r>
    <x v="28"/>
    <x v="1"/>
    <n v="2006"/>
    <s v="KS AZS AWF Kraków"/>
    <s v="Zabrze"/>
    <x v="0"/>
    <x v="4"/>
    <x v="2"/>
    <x v="93"/>
  </r>
  <r>
    <x v="28"/>
    <x v="1"/>
    <n v="2006"/>
    <s v="KS AZS AWF Kraków"/>
    <s v="Zabrze"/>
    <x v="0"/>
    <x v="5"/>
    <x v="0"/>
    <x v="39"/>
  </r>
  <r>
    <x v="28"/>
    <x v="1"/>
    <n v="2006"/>
    <s v="KS AZS AWF Kraków"/>
    <s v="Zabrze"/>
    <x v="0"/>
    <x v="5"/>
    <x v="1"/>
    <x v="144"/>
  </r>
  <r>
    <x v="28"/>
    <x v="1"/>
    <n v="2006"/>
    <s v="KS AZS AWF Kraków"/>
    <s v="Zabrze"/>
    <x v="0"/>
    <x v="5"/>
    <x v="2"/>
    <x v="145"/>
  </r>
  <r>
    <x v="28"/>
    <x v="1"/>
    <n v="2006"/>
    <s v="KS AZS AWF Kraków"/>
    <s v="Zabrze"/>
    <x v="0"/>
    <x v="6"/>
    <x v="3"/>
    <x v="200"/>
  </r>
  <r>
    <x v="28"/>
    <x v="1"/>
    <n v="2006"/>
    <s v="KS AZS AWF Kraków"/>
    <s v="Zabrze"/>
    <x v="0"/>
    <x v="6"/>
    <x v="4"/>
    <x v="201"/>
  </r>
  <r>
    <x v="28"/>
    <x v="1"/>
    <n v="2006"/>
    <s v="KS AZS AWF Kraków"/>
    <s v="Zabrze"/>
    <x v="0"/>
    <x v="6"/>
    <x v="5"/>
    <x v="202"/>
  </r>
  <r>
    <x v="29"/>
    <x v="1"/>
    <n v="2007"/>
    <s v="KS AZS AWF Kraków"/>
    <s v="Zabrze"/>
    <x v="0"/>
    <x v="0"/>
    <x v="0"/>
    <x v="113"/>
  </r>
  <r>
    <x v="29"/>
    <x v="1"/>
    <n v="2007"/>
    <s v="KS AZS AWF Kraków"/>
    <s v="Zabrze"/>
    <x v="0"/>
    <x v="0"/>
    <x v="1"/>
    <x v="30"/>
  </r>
  <r>
    <x v="29"/>
    <x v="1"/>
    <n v="2007"/>
    <s v="KS AZS AWF Kraków"/>
    <s v="Zabrze"/>
    <x v="0"/>
    <x v="0"/>
    <x v="2"/>
    <x v="95"/>
  </r>
  <r>
    <x v="29"/>
    <x v="1"/>
    <n v="2007"/>
    <s v="KS AZS AWF Kraków"/>
    <s v="Zabrze"/>
    <x v="0"/>
    <x v="1"/>
    <x v="0"/>
    <x v="164"/>
  </r>
  <r>
    <x v="29"/>
    <x v="1"/>
    <n v="2007"/>
    <s v="KS AZS AWF Kraków"/>
    <s v="Zabrze"/>
    <x v="0"/>
    <x v="1"/>
    <x v="1"/>
    <x v="144"/>
  </r>
  <r>
    <x v="29"/>
    <x v="1"/>
    <n v="2007"/>
    <s v="KS AZS AWF Kraków"/>
    <s v="Zabrze"/>
    <x v="0"/>
    <x v="1"/>
    <x v="2"/>
    <x v="110"/>
  </r>
  <r>
    <x v="29"/>
    <x v="1"/>
    <n v="2007"/>
    <s v="KS AZS AWF Kraków"/>
    <s v="Zabrze"/>
    <x v="0"/>
    <x v="2"/>
    <x v="0"/>
    <x v="113"/>
  </r>
  <r>
    <x v="29"/>
    <x v="1"/>
    <n v="2007"/>
    <s v="KS AZS AWF Kraków"/>
    <s v="Zabrze"/>
    <x v="0"/>
    <x v="2"/>
    <x v="1"/>
    <x v="30"/>
  </r>
  <r>
    <x v="29"/>
    <x v="1"/>
    <n v="2007"/>
    <s v="KS AZS AWF Kraków"/>
    <s v="Zabrze"/>
    <x v="0"/>
    <x v="2"/>
    <x v="2"/>
    <x v="95"/>
  </r>
  <r>
    <x v="29"/>
    <x v="1"/>
    <n v="2007"/>
    <s v="KS AZS AWF Kraków"/>
    <s v="Zabrze"/>
    <x v="0"/>
    <x v="3"/>
    <x v="0"/>
    <x v="41"/>
  </r>
  <r>
    <x v="29"/>
    <x v="1"/>
    <n v="2007"/>
    <s v="KS AZS AWF Kraków"/>
    <s v="Zabrze"/>
    <x v="0"/>
    <x v="3"/>
    <x v="1"/>
    <x v="74"/>
  </r>
  <r>
    <x v="29"/>
    <x v="1"/>
    <n v="2007"/>
    <s v="KS AZS AWF Kraków"/>
    <s v="Zabrze"/>
    <x v="0"/>
    <x v="3"/>
    <x v="2"/>
    <x v="158"/>
  </r>
  <r>
    <x v="29"/>
    <x v="1"/>
    <n v="2007"/>
    <s v="KS AZS AWF Kraków"/>
    <s v="Zabrze"/>
    <x v="0"/>
    <x v="4"/>
    <x v="0"/>
    <x v="39"/>
  </r>
  <r>
    <x v="29"/>
    <x v="1"/>
    <n v="2007"/>
    <s v="KS AZS AWF Kraków"/>
    <s v="Zabrze"/>
    <x v="0"/>
    <x v="4"/>
    <x v="1"/>
    <x v="30"/>
  </r>
  <r>
    <x v="29"/>
    <x v="1"/>
    <n v="2007"/>
    <s v="KS AZS AWF Kraków"/>
    <s v="Zabrze"/>
    <x v="0"/>
    <x v="4"/>
    <x v="2"/>
    <x v="33"/>
  </r>
  <r>
    <x v="29"/>
    <x v="1"/>
    <n v="2007"/>
    <s v="KS AZS AWF Kraków"/>
    <s v="Zabrze"/>
    <x v="0"/>
    <x v="5"/>
    <x v="0"/>
    <x v="86"/>
  </r>
  <r>
    <x v="29"/>
    <x v="1"/>
    <n v="2007"/>
    <s v="KS AZS AWF Kraków"/>
    <s v="Zabrze"/>
    <x v="0"/>
    <x v="5"/>
    <x v="1"/>
    <x v="135"/>
  </r>
  <r>
    <x v="29"/>
    <x v="1"/>
    <n v="2007"/>
    <s v="KS AZS AWF Kraków"/>
    <s v="Zabrze"/>
    <x v="0"/>
    <x v="5"/>
    <x v="2"/>
    <x v="47"/>
  </r>
  <r>
    <x v="29"/>
    <x v="1"/>
    <n v="2007"/>
    <s v="KS AZS AWF Kraków"/>
    <s v="Zabrze"/>
    <x v="0"/>
    <x v="6"/>
    <x v="3"/>
    <x v="203"/>
  </r>
  <r>
    <x v="29"/>
    <x v="1"/>
    <n v="2007"/>
    <s v="KS AZS AWF Kraków"/>
    <s v="Zabrze"/>
    <x v="0"/>
    <x v="6"/>
    <x v="4"/>
    <x v="204"/>
  </r>
  <r>
    <x v="29"/>
    <x v="1"/>
    <n v="2007"/>
    <s v="KS AZS AWF Kraków"/>
    <s v="Zabrze"/>
    <x v="0"/>
    <x v="6"/>
    <x v="5"/>
    <x v="205"/>
  </r>
  <r>
    <x v="30"/>
    <x v="1"/>
    <n v="2007"/>
    <s v="MKS Gdańsk"/>
    <s v="Zabrze"/>
    <x v="0"/>
    <x v="0"/>
    <x v="0"/>
    <x v="113"/>
  </r>
  <r>
    <x v="30"/>
    <x v="1"/>
    <n v="2007"/>
    <s v="MKS Gdańsk"/>
    <s v="Zabrze"/>
    <x v="0"/>
    <x v="0"/>
    <x v="1"/>
    <x v="37"/>
  </r>
  <r>
    <x v="30"/>
    <x v="1"/>
    <n v="2007"/>
    <s v="MKS Gdańsk"/>
    <s v="Zabrze"/>
    <x v="0"/>
    <x v="0"/>
    <x v="2"/>
    <x v="65"/>
  </r>
  <r>
    <x v="30"/>
    <x v="1"/>
    <n v="2007"/>
    <s v="MKS Gdańsk"/>
    <s v="Zabrze"/>
    <x v="0"/>
    <x v="1"/>
    <x v="0"/>
    <x v="109"/>
  </r>
  <r>
    <x v="30"/>
    <x v="1"/>
    <n v="2007"/>
    <s v="MKS Gdańsk"/>
    <s v="Zabrze"/>
    <x v="0"/>
    <x v="1"/>
    <x v="1"/>
    <x v="188"/>
  </r>
  <r>
    <x v="30"/>
    <x v="1"/>
    <n v="2007"/>
    <s v="MKS Gdańsk"/>
    <s v="Zabrze"/>
    <x v="0"/>
    <x v="1"/>
    <x v="2"/>
    <x v="195"/>
  </r>
  <r>
    <x v="30"/>
    <x v="1"/>
    <n v="2007"/>
    <s v="MKS Gdańsk"/>
    <s v="Zabrze"/>
    <x v="0"/>
    <x v="2"/>
    <x v="0"/>
    <x v="165"/>
  </r>
  <r>
    <x v="30"/>
    <x v="1"/>
    <n v="2007"/>
    <s v="MKS Gdańsk"/>
    <s v="Zabrze"/>
    <x v="0"/>
    <x v="2"/>
    <x v="1"/>
    <x v="85"/>
  </r>
  <r>
    <x v="30"/>
    <x v="1"/>
    <n v="2007"/>
    <s v="MKS Gdańsk"/>
    <s v="Zabrze"/>
    <x v="0"/>
    <x v="2"/>
    <x v="2"/>
    <x v="100"/>
  </r>
  <r>
    <x v="30"/>
    <x v="1"/>
    <n v="2007"/>
    <s v="MKS Gdańsk"/>
    <s v="Zabrze"/>
    <x v="0"/>
    <x v="3"/>
    <x v="0"/>
    <x v="134"/>
  </r>
  <r>
    <x v="30"/>
    <x v="1"/>
    <n v="2007"/>
    <s v="MKS Gdańsk"/>
    <s v="Zabrze"/>
    <x v="0"/>
    <x v="3"/>
    <x v="1"/>
    <x v="174"/>
  </r>
  <r>
    <x v="30"/>
    <x v="1"/>
    <n v="2007"/>
    <s v="MKS Gdańsk"/>
    <s v="Zabrze"/>
    <x v="0"/>
    <x v="3"/>
    <x v="2"/>
    <x v="150"/>
  </r>
  <r>
    <x v="30"/>
    <x v="1"/>
    <n v="2007"/>
    <s v="MKS Gdańsk"/>
    <s v="Zabrze"/>
    <x v="0"/>
    <x v="4"/>
    <x v="0"/>
    <x v="156"/>
  </r>
  <r>
    <x v="30"/>
    <x v="1"/>
    <n v="2007"/>
    <s v="MKS Gdańsk"/>
    <s v="Zabrze"/>
    <x v="0"/>
    <x v="4"/>
    <x v="1"/>
    <x v="188"/>
  </r>
  <r>
    <x v="30"/>
    <x v="1"/>
    <n v="2007"/>
    <s v="MKS Gdańsk"/>
    <s v="Zabrze"/>
    <x v="0"/>
    <x v="4"/>
    <x v="2"/>
    <x v="75"/>
  </r>
  <r>
    <x v="30"/>
    <x v="1"/>
    <n v="2007"/>
    <s v="MKS Gdańsk"/>
    <s v="Zabrze"/>
    <x v="0"/>
    <x v="5"/>
    <x v="0"/>
    <x v="206"/>
  </r>
  <r>
    <x v="30"/>
    <x v="1"/>
    <n v="2007"/>
    <s v="MKS Gdańsk"/>
    <s v="Zabrze"/>
    <x v="0"/>
    <x v="5"/>
    <x v="1"/>
    <x v="37"/>
  </r>
  <r>
    <x v="30"/>
    <x v="1"/>
    <n v="2007"/>
    <s v="MKS Gdańsk"/>
    <s v="Zabrze"/>
    <x v="0"/>
    <x v="5"/>
    <x v="2"/>
    <x v="145"/>
  </r>
  <r>
    <x v="30"/>
    <x v="1"/>
    <n v="2007"/>
    <s v="MKS Gdańsk"/>
    <s v="Zabrze"/>
    <x v="0"/>
    <x v="6"/>
    <x v="3"/>
    <x v="207"/>
  </r>
  <r>
    <x v="30"/>
    <x v="1"/>
    <n v="2007"/>
    <s v="MKS Gdańsk"/>
    <s v="Zabrze"/>
    <x v="0"/>
    <x v="6"/>
    <x v="4"/>
    <x v="208"/>
  </r>
  <r>
    <x v="30"/>
    <x v="1"/>
    <n v="2007"/>
    <s v="MKS Gdańsk"/>
    <s v="Zabrze"/>
    <x v="0"/>
    <x v="6"/>
    <x v="5"/>
    <x v="209"/>
  </r>
  <r>
    <x v="31"/>
    <x v="1"/>
    <n v="2007"/>
    <s v="KS AZS AWF Kraków"/>
    <s v="Zabrze"/>
    <x v="0"/>
    <x v="0"/>
    <x v="0"/>
    <x v="156"/>
  </r>
  <r>
    <x v="31"/>
    <x v="1"/>
    <n v="2007"/>
    <s v="KS AZS AWF Kraków"/>
    <s v="Zabrze"/>
    <x v="0"/>
    <x v="0"/>
    <x v="1"/>
    <x v="7"/>
  </r>
  <r>
    <x v="31"/>
    <x v="1"/>
    <n v="2007"/>
    <s v="KS AZS AWF Kraków"/>
    <s v="Zabrze"/>
    <x v="0"/>
    <x v="0"/>
    <x v="2"/>
    <x v="210"/>
  </r>
  <r>
    <x v="31"/>
    <x v="1"/>
    <n v="2007"/>
    <s v="KS AZS AWF Kraków"/>
    <s v="Zabrze"/>
    <x v="0"/>
    <x v="1"/>
    <x v="0"/>
    <x v="39"/>
  </r>
  <r>
    <x v="31"/>
    <x v="1"/>
    <n v="2007"/>
    <s v="KS AZS AWF Kraków"/>
    <s v="Zabrze"/>
    <x v="0"/>
    <x v="1"/>
    <x v="1"/>
    <x v="144"/>
  </r>
  <r>
    <x v="31"/>
    <x v="1"/>
    <n v="2007"/>
    <s v="KS AZS AWF Kraków"/>
    <s v="Zabrze"/>
    <x v="0"/>
    <x v="1"/>
    <x v="2"/>
    <x v="145"/>
  </r>
  <r>
    <x v="31"/>
    <x v="1"/>
    <n v="2007"/>
    <s v="KS AZS AWF Kraków"/>
    <s v="Zabrze"/>
    <x v="0"/>
    <x v="2"/>
    <x v="0"/>
    <x v="146"/>
  </r>
  <r>
    <x v="31"/>
    <x v="1"/>
    <n v="2007"/>
    <s v="KS AZS AWF Kraków"/>
    <s v="Zabrze"/>
    <x v="0"/>
    <x v="2"/>
    <x v="1"/>
    <x v="99"/>
  </r>
  <r>
    <x v="31"/>
    <x v="1"/>
    <n v="2007"/>
    <s v="KS AZS AWF Kraków"/>
    <s v="Zabrze"/>
    <x v="0"/>
    <x v="2"/>
    <x v="2"/>
    <x v="211"/>
  </r>
  <r>
    <x v="31"/>
    <x v="1"/>
    <n v="2007"/>
    <s v="KS AZS AWF Kraków"/>
    <s v="Zabrze"/>
    <x v="0"/>
    <x v="3"/>
    <x v="0"/>
    <x v="165"/>
  </r>
  <r>
    <x v="31"/>
    <x v="1"/>
    <n v="2007"/>
    <s v="KS AZS AWF Kraków"/>
    <s v="Zabrze"/>
    <x v="0"/>
    <x v="3"/>
    <x v="1"/>
    <x v="124"/>
  </r>
  <r>
    <x v="31"/>
    <x v="1"/>
    <n v="2007"/>
    <s v="KS AZS AWF Kraków"/>
    <s v="Zabrze"/>
    <x v="0"/>
    <x v="3"/>
    <x v="2"/>
    <x v="125"/>
  </r>
  <r>
    <x v="31"/>
    <x v="1"/>
    <n v="2007"/>
    <s v="KS AZS AWF Kraków"/>
    <s v="Zabrze"/>
    <x v="0"/>
    <x v="4"/>
    <x v="0"/>
    <x v="39"/>
  </r>
  <r>
    <x v="31"/>
    <x v="1"/>
    <n v="2007"/>
    <s v="KS AZS AWF Kraków"/>
    <s v="Zabrze"/>
    <x v="0"/>
    <x v="4"/>
    <x v="1"/>
    <x v="148"/>
  </r>
  <r>
    <x v="31"/>
    <x v="1"/>
    <n v="2007"/>
    <s v="KS AZS AWF Kraków"/>
    <s v="Zabrze"/>
    <x v="0"/>
    <x v="4"/>
    <x v="2"/>
    <x v="15"/>
  </r>
  <r>
    <x v="31"/>
    <x v="1"/>
    <n v="2007"/>
    <s v="KS AZS AWF Kraków"/>
    <s v="Zabrze"/>
    <x v="0"/>
    <x v="5"/>
    <x v="0"/>
    <x v="165"/>
  </r>
  <r>
    <x v="31"/>
    <x v="1"/>
    <n v="2007"/>
    <s v="KS AZS AWF Kraków"/>
    <s v="Zabrze"/>
    <x v="0"/>
    <x v="5"/>
    <x v="1"/>
    <x v="85"/>
  </r>
  <r>
    <x v="31"/>
    <x v="1"/>
    <n v="2007"/>
    <s v="KS AZS AWF Kraków"/>
    <s v="Zabrze"/>
    <x v="0"/>
    <x v="5"/>
    <x v="2"/>
    <x v="100"/>
  </r>
  <r>
    <x v="31"/>
    <x v="1"/>
    <n v="2007"/>
    <s v="KS AZS AWF Kraków"/>
    <s v="Zabrze"/>
    <x v="0"/>
    <x v="6"/>
    <x v="3"/>
    <x v="177"/>
  </r>
  <r>
    <x v="31"/>
    <x v="1"/>
    <n v="2007"/>
    <s v="KS AZS AWF Kraków"/>
    <s v="Zabrze"/>
    <x v="0"/>
    <x v="6"/>
    <x v="4"/>
    <x v="212"/>
  </r>
  <r>
    <x v="31"/>
    <x v="1"/>
    <n v="2007"/>
    <s v="KS AZS AWF Kraków"/>
    <s v="Zabrze"/>
    <x v="0"/>
    <x v="6"/>
    <x v="5"/>
    <x v="213"/>
  </r>
  <r>
    <x v="32"/>
    <x v="1"/>
    <n v="2006"/>
    <s v="MKS Gdańsk"/>
    <s v="Zabrze"/>
    <x v="0"/>
    <x v="0"/>
    <x v="0"/>
    <x v="164"/>
  </r>
  <r>
    <x v="32"/>
    <x v="1"/>
    <n v="2006"/>
    <s v="MKS Gdańsk"/>
    <s v="Zabrze"/>
    <x v="0"/>
    <x v="0"/>
    <x v="1"/>
    <x v="30"/>
  </r>
  <r>
    <x v="32"/>
    <x v="1"/>
    <n v="2006"/>
    <s v="MKS Gdańsk"/>
    <s v="Zabrze"/>
    <x v="0"/>
    <x v="0"/>
    <x v="2"/>
    <x v="93"/>
  </r>
  <r>
    <x v="32"/>
    <x v="1"/>
    <n v="2006"/>
    <s v="MKS Gdańsk"/>
    <s v="Zabrze"/>
    <x v="0"/>
    <x v="1"/>
    <x v="0"/>
    <x v="59"/>
  </r>
  <r>
    <x v="32"/>
    <x v="1"/>
    <n v="2006"/>
    <s v="MKS Gdańsk"/>
    <s v="Zabrze"/>
    <x v="0"/>
    <x v="1"/>
    <x v="1"/>
    <x v="214"/>
  </r>
  <r>
    <x v="32"/>
    <x v="1"/>
    <n v="2006"/>
    <s v="MKS Gdańsk"/>
    <s v="Zabrze"/>
    <x v="0"/>
    <x v="1"/>
    <x v="2"/>
    <x v="74"/>
  </r>
  <r>
    <x v="32"/>
    <x v="1"/>
    <n v="2006"/>
    <s v="MKS Gdańsk"/>
    <s v="Zabrze"/>
    <x v="0"/>
    <x v="2"/>
    <x v="0"/>
    <x v="176"/>
  </r>
  <r>
    <x v="32"/>
    <x v="1"/>
    <n v="2006"/>
    <s v="MKS Gdańsk"/>
    <s v="Zabrze"/>
    <x v="0"/>
    <x v="2"/>
    <x v="1"/>
    <x v="32"/>
  </r>
  <r>
    <x v="32"/>
    <x v="1"/>
    <n v="2006"/>
    <s v="MKS Gdańsk"/>
    <s v="Zabrze"/>
    <x v="0"/>
    <x v="2"/>
    <x v="2"/>
    <x v="215"/>
  </r>
  <r>
    <x v="32"/>
    <x v="1"/>
    <n v="2006"/>
    <s v="MKS Gdańsk"/>
    <s v="Zabrze"/>
    <x v="0"/>
    <x v="3"/>
    <x v="0"/>
    <x v="216"/>
  </r>
  <r>
    <x v="32"/>
    <x v="1"/>
    <n v="2006"/>
    <s v="MKS Gdańsk"/>
    <s v="Zabrze"/>
    <x v="0"/>
    <x v="3"/>
    <x v="1"/>
    <x v="148"/>
  </r>
  <r>
    <x v="32"/>
    <x v="1"/>
    <n v="2006"/>
    <s v="MKS Gdańsk"/>
    <s v="Zabrze"/>
    <x v="0"/>
    <x v="3"/>
    <x v="2"/>
    <x v="162"/>
  </r>
  <r>
    <x v="32"/>
    <x v="1"/>
    <n v="2006"/>
    <s v="MKS Gdańsk"/>
    <s v="Zabrze"/>
    <x v="0"/>
    <x v="4"/>
    <x v="0"/>
    <x v="165"/>
  </r>
  <r>
    <x v="32"/>
    <x v="1"/>
    <n v="2006"/>
    <s v="MKS Gdańsk"/>
    <s v="Zabrze"/>
    <x v="0"/>
    <x v="4"/>
    <x v="1"/>
    <x v="152"/>
  </r>
  <r>
    <x v="32"/>
    <x v="1"/>
    <n v="2006"/>
    <s v="MKS Gdańsk"/>
    <s v="Zabrze"/>
    <x v="0"/>
    <x v="4"/>
    <x v="2"/>
    <x v="23"/>
  </r>
  <r>
    <x v="32"/>
    <x v="1"/>
    <n v="2006"/>
    <s v="MKS Gdańsk"/>
    <s v="Zabrze"/>
    <x v="0"/>
    <x v="5"/>
    <x v="0"/>
    <x v="206"/>
  </r>
  <r>
    <x v="32"/>
    <x v="1"/>
    <n v="2006"/>
    <s v="MKS Gdańsk"/>
    <s v="Zabrze"/>
    <x v="0"/>
    <x v="5"/>
    <x v="1"/>
    <x v="54"/>
  </r>
  <r>
    <x v="32"/>
    <x v="1"/>
    <n v="2006"/>
    <s v="MKS Gdańsk"/>
    <s v="Zabrze"/>
    <x v="0"/>
    <x v="5"/>
    <x v="2"/>
    <x v="217"/>
  </r>
  <r>
    <x v="32"/>
    <x v="1"/>
    <n v="2006"/>
    <s v="MKS Gdańsk"/>
    <s v="Zabrze"/>
    <x v="0"/>
    <x v="6"/>
    <x v="3"/>
    <x v="218"/>
  </r>
  <r>
    <x v="32"/>
    <x v="1"/>
    <n v="2006"/>
    <s v="MKS Gdańsk"/>
    <s v="Zabrze"/>
    <x v="0"/>
    <x v="6"/>
    <x v="4"/>
    <x v="219"/>
  </r>
  <r>
    <x v="32"/>
    <x v="1"/>
    <n v="2006"/>
    <s v="MKS Gdańsk"/>
    <s v="Zabrze"/>
    <x v="0"/>
    <x v="6"/>
    <x v="5"/>
    <x v="220"/>
  </r>
  <r>
    <x v="33"/>
    <x v="1"/>
    <n v="2006"/>
    <s v="MKS Gdańsk"/>
    <s v="Zabrze"/>
    <x v="0"/>
    <x v="0"/>
    <x v="0"/>
    <x v="96"/>
  </r>
  <r>
    <x v="33"/>
    <x v="1"/>
    <n v="2006"/>
    <s v="MKS Gdańsk"/>
    <s v="Zabrze"/>
    <x v="0"/>
    <x v="0"/>
    <x v="1"/>
    <x v="1"/>
  </r>
  <r>
    <x v="33"/>
    <x v="1"/>
    <n v="2006"/>
    <s v="MKS Gdańsk"/>
    <s v="Zabrze"/>
    <x v="0"/>
    <x v="0"/>
    <x v="2"/>
    <x v="191"/>
  </r>
  <r>
    <x v="33"/>
    <x v="1"/>
    <n v="2006"/>
    <s v="MKS Gdańsk"/>
    <s v="Zabrze"/>
    <x v="0"/>
    <x v="1"/>
    <x v="0"/>
    <x v="86"/>
  </r>
  <r>
    <x v="33"/>
    <x v="1"/>
    <n v="2006"/>
    <s v="MKS Gdańsk"/>
    <s v="Zabrze"/>
    <x v="0"/>
    <x v="1"/>
    <x v="1"/>
    <x v="221"/>
  </r>
  <r>
    <x v="33"/>
    <x v="1"/>
    <n v="2006"/>
    <s v="MKS Gdańsk"/>
    <s v="Zabrze"/>
    <x v="0"/>
    <x v="1"/>
    <x v="2"/>
    <x v="222"/>
  </r>
  <r>
    <x v="33"/>
    <x v="1"/>
    <n v="2006"/>
    <s v="MKS Gdańsk"/>
    <s v="Zabrze"/>
    <x v="0"/>
    <x v="2"/>
    <x v="0"/>
    <x v="83"/>
  </r>
  <r>
    <x v="33"/>
    <x v="1"/>
    <n v="2006"/>
    <s v="MKS Gdańsk"/>
    <s v="Zabrze"/>
    <x v="0"/>
    <x v="2"/>
    <x v="1"/>
    <x v="223"/>
  </r>
  <r>
    <x v="33"/>
    <x v="1"/>
    <n v="2006"/>
    <s v="MKS Gdańsk"/>
    <s v="Zabrze"/>
    <x v="0"/>
    <x v="2"/>
    <x v="2"/>
    <x v="148"/>
  </r>
  <r>
    <x v="33"/>
    <x v="1"/>
    <n v="2006"/>
    <s v="MKS Gdańsk"/>
    <s v="Zabrze"/>
    <x v="0"/>
    <x v="3"/>
    <x v="0"/>
    <x v="216"/>
  </r>
  <r>
    <x v="33"/>
    <x v="1"/>
    <n v="2006"/>
    <s v="MKS Gdańsk"/>
    <s v="Zabrze"/>
    <x v="0"/>
    <x v="3"/>
    <x v="1"/>
    <x v="217"/>
  </r>
  <r>
    <x v="33"/>
    <x v="1"/>
    <n v="2006"/>
    <s v="MKS Gdańsk"/>
    <s v="Zabrze"/>
    <x v="0"/>
    <x v="3"/>
    <x v="2"/>
    <x v="93"/>
  </r>
  <r>
    <x v="33"/>
    <x v="1"/>
    <n v="2006"/>
    <s v="MKS Gdańsk"/>
    <s v="Zabrze"/>
    <x v="0"/>
    <x v="4"/>
    <x v="0"/>
    <x v="156"/>
  </r>
  <r>
    <x v="33"/>
    <x v="1"/>
    <n v="2006"/>
    <s v="MKS Gdańsk"/>
    <s v="Zabrze"/>
    <x v="0"/>
    <x v="4"/>
    <x v="1"/>
    <x v="94"/>
  </r>
  <r>
    <x v="33"/>
    <x v="1"/>
    <n v="2006"/>
    <s v="MKS Gdańsk"/>
    <s v="Zabrze"/>
    <x v="0"/>
    <x v="4"/>
    <x v="2"/>
    <x v="184"/>
  </r>
  <r>
    <x v="33"/>
    <x v="1"/>
    <n v="2006"/>
    <s v="MKS Gdańsk"/>
    <s v="Zabrze"/>
    <x v="0"/>
    <x v="5"/>
    <x v="0"/>
    <x v="224"/>
  </r>
  <r>
    <x v="33"/>
    <x v="1"/>
    <n v="2006"/>
    <s v="MKS Gdańsk"/>
    <s v="Zabrze"/>
    <x v="0"/>
    <x v="5"/>
    <x v="1"/>
    <x v="30"/>
  </r>
  <r>
    <x v="33"/>
    <x v="1"/>
    <n v="2006"/>
    <s v="MKS Gdańsk"/>
    <s v="Zabrze"/>
    <x v="0"/>
    <x v="5"/>
    <x v="2"/>
    <x v="110"/>
  </r>
  <r>
    <x v="33"/>
    <x v="1"/>
    <n v="2006"/>
    <s v="MKS Gdańsk"/>
    <s v="Zabrze"/>
    <x v="0"/>
    <x v="6"/>
    <x v="3"/>
    <x v="225"/>
  </r>
  <r>
    <x v="33"/>
    <x v="1"/>
    <n v="2006"/>
    <s v="MKS Gdańsk"/>
    <s v="Zabrze"/>
    <x v="0"/>
    <x v="6"/>
    <x v="4"/>
    <x v="226"/>
  </r>
  <r>
    <x v="33"/>
    <x v="1"/>
    <n v="2006"/>
    <s v="MKS Gdańsk"/>
    <s v="Zabrze"/>
    <x v="0"/>
    <x v="6"/>
    <x v="5"/>
    <x v="227"/>
  </r>
  <r>
    <x v="34"/>
    <x v="1"/>
    <n v="2007"/>
    <s v="MKS Gdańsk"/>
    <s v="Zabrze"/>
    <x v="1"/>
    <x v="0"/>
    <x v="0"/>
    <x v="73"/>
  </r>
  <r>
    <x v="34"/>
    <x v="1"/>
    <n v="2007"/>
    <s v="MKS Gdańsk"/>
    <s v="Zabrze"/>
    <x v="1"/>
    <x v="0"/>
    <x v="1"/>
    <x v="199"/>
  </r>
  <r>
    <x v="34"/>
    <x v="1"/>
    <n v="2007"/>
    <s v="MKS Gdańsk"/>
    <s v="Zabrze"/>
    <x v="1"/>
    <x v="0"/>
    <x v="2"/>
    <x v="15"/>
  </r>
  <r>
    <x v="34"/>
    <x v="1"/>
    <n v="2007"/>
    <s v="MKS Gdańsk"/>
    <s v="Zabrze"/>
    <x v="1"/>
    <x v="1"/>
    <x v="0"/>
    <x v="140"/>
  </r>
  <r>
    <x v="34"/>
    <x v="1"/>
    <n v="2007"/>
    <s v="MKS Gdańsk"/>
    <s v="Zabrze"/>
    <x v="1"/>
    <x v="1"/>
    <x v="1"/>
    <x v="140"/>
  </r>
  <r>
    <x v="34"/>
    <x v="1"/>
    <n v="2007"/>
    <s v="MKS Gdańsk"/>
    <s v="Zabrze"/>
    <x v="1"/>
    <x v="1"/>
    <x v="2"/>
    <x v="140"/>
  </r>
  <r>
    <x v="34"/>
    <x v="1"/>
    <n v="2007"/>
    <s v="MKS Gdańsk"/>
    <s v="Zabrze"/>
    <x v="1"/>
    <x v="2"/>
    <x v="0"/>
    <x v="73"/>
  </r>
  <r>
    <x v="34"/>
    <x v="1"/>
    <n v="2007"/>
    <s v="MKS Gdańsk"/>
    <s v="Zabrze"/>
    <x v="1"/>
    <x v="2"/>
    <x v="1"/>
    <x v="25"/>
  </r>
  <r>
    <x v="34"/>
    <x v="1"/>
    <n v="2007"/>
    <s v="MKS Gdańsk"/>
    <s v="Zabrze"/>
    <x v="1"/>
    <x v="2"/>
    <x v="2"/>
    <x v="65"/>
  </r>
  <r>
    <x v="34"/>
    <x v="1"/>
    <n v="2007"/>
    <s v="MKS Gdańsk"/>
    <s v="Zabrze"/>
    <x v="1"/>
    <x v="3"/>
    <x v="0"/>
    <x v="140"/>
  </r>
  <r>
    <x v="34"/>
    <x v="1"/>
    <n v="2007"/>
    <s v="MKS Gdańsk"/>
    <s v="Zabrze"/>
    <x v="1"/>
    <x v="3"/>
    <x v="1"/>
    <x v="140"/>
  </r>
  <r>
    <x v="34"/>
    <x v="1"/>
    <n v="2007"/>
    <s v="MKS Gdańsk"/>
    <s v="Zabrze"/>
    <x v="1"/>
    <x v="3"/>
    <x v="2"/>
    <x v="140"/>
  </r>
  <r>
    <x v="34"/>
    <x v="1"/>
    <n v="2007"/>
    <s v="MKS Gdańsk"/>
    <s v="Zabrze"/>
    <x v="1"/>
    <x v="4"/>
    <x v="0"/>
    <x v="140"/>
  </r>
  <r>
    <x v="34"/>
    <x v="1"/>
    <n v="2007"/>
    <s v="MKS Gdańsk"/>
    <s v="Zabrze"/>
    <x v="1"/>
    <x v="4"/>
    <x v="1"/>
    <x v="140"/>
  </r>
  <r>
    <x v="34"/>
    <x v="1"/>
    <n v="2007"/>
    <s v="MKS Gdańsk"/>
    <s v="Zabrze"/>
    <x v="1"/>
    <x v="4"/>
    <x v="2"/>
    <x v="140"/>
  </r>
  <r>
    <x v="34"/>
    <x v="1"/>
    <n v="2007"/>
    <s v="MKS Gdańsk"/>
    <s v="Zabrze"/>
    <x v="1"/>
    <x v="5"/>
    <x v="0"/>
    <x v="86"/>
  </r>
  <r>
    <x v="34"/>
    <x v="1"/>
    <n v="2007"/>
    <s v="MKS Gdańsk"/>
    <s v="Zabrze"/>
    <x v="1"/>
    <x v="5"/>
    <x v="1"/>
    <x v="135"/>
  </r>
  <r>
    <x v="34"/>
    <x v="1"/>
    <n v="2007"/>
    <s v="MKS Gdańsk"/>
    <s v="Zabrze"/>
    <x v="1"/>
    <x v="5"/>
    <x v="2"/>
    <x v="47"/>
  </r>
  <r>
    <x v="34"/>
    <x v="1"/>
    <n v="2007"/>
    <s v="MKS Gdańsk"/>
    <s v="Zabrze"/>
    <x v="1"/>
    <x v="6"/>
    <x v="3"/>
    <x v="140"/>
  </r>
  <r>
    <x v="34"/>
    <x v="1"/>
    <n v="2007"/>
    <s v="MKS Gdańsk"/>
    <s v="Zabrze"/>
    <x v="1"/>
    <x v="6"/>
    <x v="4"/>
    <x v="140"/>
  </r>
  <r>
    <x v="34"/>
    <x v="1"/>
    <n v="2007"/>
    <s v="MKS Gdańsk"/>
    <s v="Zabrze"/>
    <x v="1"/>
    <x v="6"/>
    <x v="5"/>
    <x v="228"/>
  </r>
  <r>
    <x v="35"/>
    <x v="1"/>
    <n v="2006"/>
    <s v="MKS Gdańsk"/>
    <s v="Zabrze"/>
    <x v="1"/>
    <x v="0"/>
    <x v="0"/>
    <x v="140"/>
  </r>
  <r>
    <x v="35"/>
    <x v="1"/>
    <n v="2006"/>
    <s v="MKS Gdańsk"/>
    <s v="Zabrze"/>
    <x v="1"/>
    <x v="0"/>
    <x v="1"/>
    <x v="140"/>
  </r>
  <r>
    <x v="35"/>
    <x v="1"/>
    <n v="2006"/>
    <s v="MKS Gdańsk"/>
    <s v="Zabrze"/>
    <x v="1"/>
    <x v="0"/>
    <x v="2"/>
    <x v="140"/>
  </r>
  <r>
    <x v="35"/>
    <x v="1"/>
    <n v="2006"/>
    <s v="MKS Gdańsk"/>
    <s v="Zabrze"/>
    <x v="1"/>
    <x v="1"/>
    <x v="0"/>
    <x v="59"/>
  </r>
  <r>
    <x v="35"/>
    <x v="1"/>
    <n v="2006"/>
    <s v="MKS Gdańsk"/>
    <s v="Zabrze"/>
    <x v="1"/>
    <x v="1"/>
    <x v="1"/>
    <x v="223"/>
  </r>
  <r>
    <x v="35"/>
    <x v="1"/>
    <n v="2006"/>
    <s v="MKS Gdańsk"/>
    <s v="Zabrze"/>
    <x v="1"/>
    <x v="1"/>
    <x v="2"/>
    <x v="58"/>
  </r>
  <r>
    <x v="35"/>
    <x v="1"/>
    <n v="2006"/>
    <s v="MKS Gdańsk"/>
    <s v="Zabrze"/>
    <x v="1"/>
    <x v="2"/>
    <x v="0"/>
    <x v="140"/>
  </r>
  <r>
    <x v="35"/>
    <x v="1"/>
    <n v="2006"/>
    <s v="MKS Gdańsk"/>
    <s v="Zabrze"/>
    <x v="1"/>
    <x v="2"/>
    <x v="1"/>
    <x v="140"/>
  </r>
  <r>
    <x v="35"/>
    <x v="1"/>
    <n v="2006"/>
    <s v="MKS Gdańsk"/>
    <s v="Zabrze"/>
    <x v="1"/>
    <x v="2"/>
    <x v="2"/>
    <x v="140"/>
  </r>
  <r>
    <x v="35"/>
    <x v="1"/>
    <n v="2006"/>
    <s v="MKS Gdańsk"/>
    <s v="Zabrze"/>
    <x v="1"/>
    <x v="3"/>
    <x v="0"/>
    <x v="140"/>
  </r>
  <r>
    <x v="35"/>
    <x v="1"/>
    <n v="2006"/>
    <s v="MKS Gdańsk"/>
    <s v="Zabrze"/>
    <x v="1"/>
    <x v="3"/>
    <x v="1"/>
    <x v="140"/>
  </r>
  <r>
    <x v="35"/>
    <x v="1"/>
    <n v="2006"/>
    <s v="MKS Gdańsk"/>
    <s v="Zabrze"/>
    <x v="1"/>
    <x v="3"/>
    <x v="2"/>
    <x v="140"/>
  </r>
  <r>
    <x v="35"/>
    <x v="1"/>
    <n v="2006"/>
    <s v="MKS Gdańsk"/>
    <s v="Zabrze"/>
    <x v="1"/>
    <x v="4"/>
    <x v="0"/>
    <x v="156"/>
  </r>
  <r>
    <x v="35"/>
    <x v="1"/>
    <n v="2006"/>
    <s v="MKS Gdańsk"/>
    <s v="Zabrze"/>
    <x v="1"/>
    <x v="4"/>
    <x v="1"/>
    <x v="135"/>
  </r>
  <r>
    <x v="35"/>
    <x v="1"/>
    <n v="2006"/>
    <s v="MKS Gdańsk"/>
    <s v="Zabrze"/>
    <x v="1"/>
    <x v="4"/>
    <x v="2"/>
    <x v="93"/>
  </r>
  <r>
    <x v="35"/>
    <x v="1"/>
    <n v="2006"/>
    <s v="MKS Gdańsk"/>
    <s v="Zabrze"/>
    <x v="1"/>
    <x v="5"/>
    <x v="0"/>
    <x v="140"/>
  </r>
  <r>
    <x v="35"/>
    <x v="1"/>
    <n v="2006"/>
    <s v="MKS Gdańsk"/>
    <s v="Zabrze"/>
    <x v="1"/>
    <x v="5"/>
    <x v="1"/>
    <x v="140"/>
  </r>
  <r>
    <x v="35"/>
    <x v="1"/>
    <n v="2006"/>
    <s v="MKS Gdańsk"/>
    <s v="Zabrze"/>
    <x v="1"/>
    <x v="5"/>
    <x v="2"/>
    <x v="140"/>
  </r>
  <r>
    <x v="35"/>
    <x v="1"/>
    <n v="2006"/>
    <s v="MKS Gdańsk"/>
    <s v="Zabrze"/>
    <x v="1"/>
    <x v="6"/>
    <x v="3"/>
    <x v="140"/>
  </r>
  <r>
    <x v="35"/>
    <x v="1"/>
    <n v="2006"/>
    <s v="MKS Gdańsk"/>
    <s v="Zabrze"/>
    <x v="1"/>
    <x v="6"/>
    <x v="4"/>
    <x v="140"/>
  </r>
  <r>
    <x v="35"/>
    <x v="1"/>
    <n v="2006"/>
    <s v="MKS Gdańsk"/>
    <s v="Zabrze"/>
    <x v="1"/>
    <x v="6"/>
    <x v="5"/>
    <x v="229"/>
  </r>
  <r>
    <x v="36"/>
    <x v="1"/>
    <n v="2008"/>
    <s v="KS Iskra Zabrze"/>
    <s v="Zabrze"/>
    <x v="1"/>
    <x v="0"/>
    <x v="0"/>
    <x v="140"/>
  </r>
  <r>
    <x v="36"/>
    <x v="1"/>
    <n v="2008"/>
    <s v="KS Iskra Zabrze"/>
    <s v="Zabrze"/>
    <x v="1"/>
    <x v="0"/>
    <x v="1"/>
    <x v="140"/>
  </r>
  <r>
    <x v="36"/>
    <x v="1"/>
    <n v="2008"/>
    <s v="KS Iskra Zabrze"/>
    <s v="Zabrze"/>
    <x v="1"/>
    <x v="0"/>
    <x v="2"/>
    <x v="140"/>
  </r>
  <r>
    <x v="36"/>
    <x v="1"/>
    <n v="2008"/>
    <s v="KS Iskra Zabrze"/>
    <s v="Zabrze"/>
    <x v="1"/>
    <x v="1"/>
    <x v="0"/>
    <x v="140"/>
  </r>
  <r>
    <x v="36"/>
    <x v="1"/>
    <n v="2008"/>
    <s v="KS Iskra Zabrze"/>
    <s v="Zabrze"/>
    <x v="1"/>
    <x v="1"/>
    <x v="1"/>
    <x v="140"/>
  </r>
  <r>
    <x v="36"/>
    <x v="1"/>
    <n v="2008"/>
    <s v="KS Iskra Zabrze"/>
    <s v="Zabrze"/>
    <x v="1"/>
    <x v="1"/>
    <x v="2"/>
    <x v="140"/>
  </r>
  <r>
    <x v="36"/>
    <x v="1"/>
    <n v="2008"/>
    <s v="KS Iskra Zabrze"/>
    <s v="Zabrze"/>
    <x v="1"/>
    <x v="2"/>
    <x v="0"/>
    <x v="140"/>
  </r>
  <r>
    <x v="36"/>
    <x v="1"/>
    <n v="2008"/>
    <s v="KS Iskra Zabrze"/>
    <s v="Zabrze"/>
    <x v="1"/>
    <x v="2"/>
    <x v="1"/>
    <x v="140"/>
  </r>
  <r>
    <x v="36"/>
    <x v="1"/>
    <n v="2008"/>
    <s v="KS Iskra Zabrze"/>
    <s v="Zabrze"/>
    <x v="1"/>
    <x v="2"/>
    <x v="2"/>
    <x v="140"/>
  </r>
  <r>
    <x v="36"/>
    <x v="1"/>
    <n v="2008"/>
    <s v="KS Iskra Zabrze"/>
    <s v="Zabrze"/>
    <x v="1"/>
    <x v="3"/>
    <x v="0"/>
    <x v="216"/>
  </r>
  <r>
    <x v="36"/>
    <x v="1"/>
    <n v="2008"/>
    <s v="KS Iskra Zabrze"/>
    <s v="Zabrze"/>
    <x v="1"/>
    <x v="3"/>
    <x v="1"/>
    <x v="199"/>
  </r>
  <r>
    <x v="36"/>
    <x v="1"/>
    <n v="2008"/>
    <s v="KS Iskra Zabrze"/>
    <s v="Zabrze"/>
    <x v="1"/>
    <x v="3"/>
    <x v="2"/>
    <x v="230"/>
  </r>
  <r>
    <x v="36"/>
    <x v="1"/>
    <n v="2008"/>
    <s v="KS Iskra Zabrze"/>
    <s v="Zabrze"/>
    <x v="1"/>
    <x v="4"/>
    <x v="0"/>
    <x v="140"/>
  </r>
  <r>
    <x v="36"/>
    <x v="1"/>
    <n v="2008"/>
    <s v="KS Iskra Zabrze"/>
    <s v="Zabrze"/>
    <x v="1"/>
    <x v="4"/>
    <x v="1"/>
    <x v="140"/>
  </r>
  <r>
    <x v="36"/>
    <x v="1"/>
    <n v="2008"/>
    <s v="KS Iskra Zabrze"/>
    <s v="Zabrze"/>
    <x v="1"/>
    <x v="4"/>
    <x v="2"/>
    <x v="140"/>
  </r>
  <r>
    <x v="36"/>
    <x v="1"/>
    <n v="2008"/>
    <s v="KS Iskra Zabrze"/>
    <s v="Zabrze"/>
    <x v="1"/>
    <x v="5"/>
    <x v="0"/>
    <x v="140"/>
  </r>
  <r>
    <x v="36"/>
    <x v="1"/>
    <n v="2008"/>
    <s v="KS Iskra Zabrze"/>
    <s v="Zabrze"/>
    <x v="1"/>
    <x v="5"/>
    <x v="1"/>
    <x v="140"/>
  </r>
  <r>
    <x v="36"/>
    <x v="1"/>
    <n v="2008"/>
    <s v="KS Iskra Zabrze"/>
    <s v="Zabrze"/>
    <x v="1"/>
    <x v="5"/>
    <x v="2"/>
    <x v="140"/>
  </r>
  <r>
    <x v="36"/>
    <x v="1"/>
    <n v="2008"/>
    <s v="KS Iskra Zabrze"/>
    <s v="Zabrze"/>
    <x v="1"/>
    <x v="6"/>
    <x v="3"/>
    <x v="140"/>
  </r>
  <r>
    <x v="36"/>
    <x v="1"/>
    <n v="2008"/>
    <s v="KS Iskra Zabrze"/>
    <s v="Zabrze"/>
    <x v="1"/>
    <x v="6"/>
    <x v="4"/>
    <x v="140"/>
  </r>
  <r>
    <x v="36"/>
    <x v="1"/>
    <n v="2008"/>
    <s v="KS Iskra Zabrze"/>
    <s v="Zabrze"/>
    <x v="1"/>
    <x v="6"/>
    <x v="5"/>
    <x v="23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9">
  <r>
    <x v="0"/>
    <x v="0"/>
    <n v="1997"/>
    <s v="KS AZS AWF Kraków"/>
    <x v="0"/>
    <x v="0"/>
    <x v="0"/>
    <x v="0"/>
  </r>
  <r>
    <x v="0"/>
    <x v="0"/>
    <n v="1997"/>
    <s v="KS AZS AWF Kraków"/>
    <x v="0"/>
    <x v="0"/>
    <x v="1"/>
    <x v="1"/>
  </r>
  <r>
    <x v="0"/>
    <x v="0"/>
    <n v="1997"/>
    <s v="KS AZS AWF Kraków"/>
    <x v="0"/>
    <x v="0"/>
    <x v="2"/>
    <x v="2"/>
  </r>
  <r>
    <x v="0"/>
    <x v="0"/>
    <n v="1997"/>
    <s v="KS AZS AWF Kraków"/>
    <x v="0"/>
    <x v="1"/>
    <x v="0"/>
    <x v="3"/>
  </r>
  <r>
    <x v="0"/>
    <x v="0"/>
    <n v="1997"/>
    <s v="KS AZS AWF Kraków"/>
    <x v="0"/>
    <x v="1"/>
    <x v="1"/>
    <x v="4"/>
  </r>
  <r>
    <x v="0"/>
    <x v="0"/>
    <n v="1997"/>
    <s v="KS AZS AWF Kraków"/>
    <x v="0"/>
    <x v="1"/>
    <x v="2"/>
    <x v="5"/>
  </r>
  <r>
    <x v="0"/>
    <x v="0"/>
    <n v="1997"/>
    <s v="KS AZS AWF Kraków"/>
    <x v="0"/>
    <x v="2"/>
    <x v="0"/>
    <x v="6"/>
  </r>
  <r>
    <x v="0"/>
    <x v="0"/>
    <n v="1997"/>
    <s v="KS AZS AWF Kraków"/>
    <x v="0"/>
    <x v="2"/>
    <x v="1"/>
    <x v="7"/>
  </r>
  <r>
    <x v="0"/>
    <x v="0"/>
    <n v="1997"/>
    <s v="KS AZS AWF Kraków"/>
    <x v="0"/>
    <x v="2"/>
    <x v="2"/>
    <x v="8"/>
  </r>
  <r>
    <x v="0"/>
    <x v="0"/>
    <n v="1997"/>
    <s v="KS AZS AWF Kraków"/>
    <x v="0"/>
    <x v="3"/>
    <x v="0"/>
    <x v="9"/>
  </r>
  <r>
    <x v="0"/>
    <x v="0"/>
    <n v="1997"/>
    <s v="KS AZS AWF Kraków"/>
    <x v="0"/>
    <x v="3"/>
    <x v="1"/>
    <x v="10"/>
  </r>
  <r>
    <x v="0"/>
    <x v="0"/>
    <n v="1997"/>
    <s v="KS AZS AWF Kraków"/>
    <x v="0"/>
    <x v="3"/>
    <x v="2"/>
    <x v="2"/>
  </r>
  <r>
    <x v="0"/>
    <x v="0"/>
    <n v="1997"/>
    <s v="KS AZS AWF Kraków"/>
    <x v="0"/>
    <x v="4"/>
    <x v="0"/>
    <x v="11"/>
  </r>
  <r>
    <x v="0"/>
    <x v="0"/>
    <n v="1997"/>
    <s v="KS AZS AWF Kraków"/>
    <x v="0"/>
    <x v="4"/>
    <x v="1"/>
    <x v="12"/>
  </r>
  <r>
    <x v="0"/>
    <x v="0"/>
    <n v="1997"/>
    <s v="KS AZS AWF Kraków"/>
    <x v="0"/>
    <x v="4"/>
    <x v="2"/>
    <x v="13"/>
  </r>
  <r>
    <x v="0"/>
    <x v="0"/>
    <n v="1997"/>
    <s v="KS AZS AWF Kraków"/>
    <x v="0"/>
    <x v="5"/>
    <x v="0"/>
    <x v="3"/>
  </r>
  <r>
    <x v="0"/>
    <x v="0"/>
    <n v="1997"/>
    <s v="KS AZS AWF Kraków"/>
    <x v="0"/>
    <x v="5"/>
    <x v="1"/>
    <x v="14"/>
  </r>
  <r>
    <x v="0"/>
    <x v="0"/>
    <n v="1997"/>
    <s v="KS AZS AWF Kraków"/>
    <x v="0"/>
    <x v="5"/>
    <x v="2"/>
    <x v="15"/>
  </r>
  <r>
    <x v="0"/>
    <x v="0"/>
    <n v="1997"/>
    <s v="KS AZS AWF Kraków"/>
    <x v="0"/>
    <x v="6"/>
    <x v="3"/>
    <x v="16"/>
  </r>
  <r>
    <x v="0"/>
    <x v="0"/>
    <n v="1997"/>
    <s v="KS AZS AWF Kraków"/>
    <x v="0"/>
    <x v="6"/>
    <x v="4"/>
    <x v="17"/>
  </r>
  <r>
    <x v="0"/>
    <x v="0"/>
    <n v="1997"/>
    <s v="KS AZS AWF Kraków"/>
    <x v="0"/>
    <x v="6"/>
    <x v="5"/>
    <x v="18"/>
  </r>
  <r>
    <x v="1"/>
    <x v="0"/>
    <n v="2002"/>
    <s v="KS AZS AWF Katowice"/>
    <x v="0"/>
    <x v="0"/>
    <x v="0"/>
    <x v="19"/>
  </r>
  <r>
    <x v="1"/>
    <x v="0"/>
    <n v="2002"/>
    <s v="KS AZS AWF Katowice"/>
    <x v="0"/>
    <x v="0"/>
    <x v="1"/>
    <x v="20"/>
  </r>
  <r>
    <x v="1"/>
    <x v="0"/>
    <n v="2002"/>
    <s v="KS AZS AWF Katowice"/>
    <x v="0"/>
    <x v="0"/>
    <x v="2"/>
    <x v="21"/>
  </r>
  <r>
    <x v="1"/>
    <x v="0"/>
    <n v="2002"/>
    <s v="KS AZS AWF Katowice"/>
    <x v="0"/>
    <x v="1"/>
    <x v="0"/>
    <x v="9"/>
  </r>
  <r>
    <x v="1"/>
    <x v="0"/>
    <n v="2002"/>
    <s v="KS AZS AWF Katowice"/>
    <x v="0"/>
    <x v="1"/>
    <x v="1"/>
    <x v="22"/>
  </r>
  <r>
    <x v="1"/>
    <x v="0"/>
    <n v="2002"/>
    <s v="KS AZS AWF Katowice"/>
    <x v="0"/>
    <x v="1"/>
    <x v="2"/>
    <x v="23"/>
  </r>
  <r>
    <x v="1"/>
    <x v="0"/>
    <n v="2002"/>
    <s v="KS AZS AWF Katowice"/>
    <x v="0"/>
    <x v="2"/>
    <x v="0"/>
    <x v="24"/>
  </r>
  <r>
    <x v="1"/>
    <x v="0"/>
    <n v="2002"/>
    <s v="KS AZS AWF Katowice"/>
    <x v="0"/>
    <x v="2"/>
    <x v="1"/>
    <x v="25"/>
  </r>
  <r>
    <x v="1"/>
    <x v="0"/>
    <n v="2002"/>
    <s v="KS AZS AWF Katowice"/>
    <x v="0"/>
    <x v="2"/>
    <x v="2"/>
    <x v="26"/>
  </r>
  <r>
    <x v="1"/>
    <x v="0"/>
    <n v="2002"/>
    <s v="KS AZS AWF Katowice"/>
    <x v="0"/>
    <x v="3"/>
    <x v="0"/>
    <x v="3"/>
  </r>
  <r>
    <x v="1"/>
    <x v="0"/>
    <n v="2002"/>
    <s v="KS AZS AWF Katowice"/>
    <x v="0"/>
    <x v="3"/>
    <x v="1"/>
    <x v="27"/>
  </r>
  <r>
    <x v="1"/>
    <x v="0"/>
    <n v="2002"/>
    <s v="KS AZS AWF Katowice"/>
    <x v="0"/>
    <x v="3"/>
    <x v="2"/>
    <x v="28"/>
  </r>
  <r>
    <x v="1"/>
    <x v="0"/>
    <n v="2002"/>
    <s v="KS AZS AWF Katowice"/>
    <x v="0"/>
    <x v="4"/>
    <x v="0"/>
    <x v="19"/>
  </r>
  <r>
    <x v="1"/>
    <x v="0"/>
    <n v="2002"/>
    <s v="KS AZS AWF Katowice"/>
    <x v="0"/>
    <x v="4"/>
    <x v="1"/>
    <x v="29"/>
  </r>
  <r>
    <x v="1"/>
    <x v="0"/>
    <n v="2002"/>
    <s v="KS AZS AWF Katowice"/>
    <x v="0"/>
    <x v="4"/>
    <x v="2"/>
    <x v="30"/>
  </r>
  <r>
    <x v="1"/>
    <x v="0"/>
    <n v="2002"/>
    <s v="KS AZS AWF Katowice"/>
    <x v="0"/>
    <x v="5"/>
    <x v="0"/>
    <x v="31"/>
  </r>
  <r>
    <x v="1"/>
    <x v="0"/>
    <n v="2002"/>
    <s v="KS AZS AWF Katowice"/>
    <x v="0"/>
    <x v="5"/>
    <x v="1"/>
    <x v="32"/>
  </r>
  <r>
    <x v="1"/>
    <x v="0"/>
    <n v="2002"/>
    <s v="KS AZS AWF Katowice"/>
    <x v="0"/>
    <x v="5"/>
    <x v="2"/>
    <x v="33"/>
  </r>
  <r>
    <x v="1"/>
    <x v="0"/>
    <n v="2002"/>
    <s v="KS AZS AWF Katowice"/>
    <x v="0"/>
    <x v="6"/>
    <x v="3"/>
    <x v="34"/>
  </r>
  <r>
    <x v="1"/>
    <x v="0"/>
    <n v="2002"/>
    <s v="KS AZS AWF Katowice"/>
    <x v="0"/>
    <x v="6"/>
    <x v="4"/>
    <x v="35"/>
  </r>
  <r>
    <x v="1"/>
    <x v="0"/>
    <n v="2002"/>
    <s v="KS AZS AWF Katowice"/>
    <x v="0"/>
    <x v="6"/>
    <x v="5"/>
    <x v="18"/>
  </r>
  <r>
    <x v="2"/>
    <x v="0"/>
    <n v="2004"/>
    <s v="MKS Kusy Szczecin"/>
    <x v="0"/>
    <x v="0"/>
    <x v="0"/>
    <x v="36"/>
  </r>
  <r>
    <x v="2"/>
    <x v="0"/>
    <n v="2004"/>
    <s v="MKS Kusy Szczecin"/>
    <x v="0"/>
    <x v="0"/>
    <x v="1"/>
    <x v="37"/>
  </r>
  <r>
    <x v="2"/>
    <x v="0"/>
    <n v="2004"/>
    <s v="MKS Kusy Szczecin"/>
    <x v="0"/>
    <x v="0"/>
    <x v="2"/>
    <x v="38"/>
  </r>
  <r>
    <x v="2"/>
    <x v="0"/>
    <n v="2004"/>
    <s v="MKS Kusy Szczecin"/>
    <x v="0"/>
    <x v="1"/>
    <x v="0"/>
    <x v="39"/>
  </r>
  <r>
    <x v="2"/>
    <x v="0"/>
    <n v="2004"/>
    <s v="MKS Kusy Szczecin"/>
    <x v="0"/>
    <x v="1"/>
    <x v="1"/>
    <x v="37"/>
  </r>
  <r>
    <x v="2"/>
    <x v="0"/>
    <n v="2004"/>
    <s v="MKS Kusy Szczecin"/>
    <x v="0"/>
    <x v="1"/>
    <x v="2"/>
    <x v="40"/>
  </r>
  <r>
    <x v="2"/>
    <x v="0"/>
    <n v="2004"/>
    <s v="MKS Kusy Szczecin"/>
    <x v="0"/>
    <x v="2"/>
    <x v="0"/>
    <x v="39"/>
  </r>
  <r>
    <x v="2"/>
    <x v="0"/>
    <n v="2004"/>
    <s v="MKS Kusy Szczecin"/>
    <x v="0"/>
    <x v="2"/>
    <x v="1"/>
    <x v="41"/>
  </r>
  <r>
    <x v="2"/>
    <x v="0"/>
    <n v="2004"/>
    <s v="MKS Kusy Szczecin"/>
    <x v="0"/>
    <x v="2"/>
    <x v="2"/>
    <x v="42"/>
  </r>
  <r>
    <x v="2"/>
    <x v="0"/>
    <n v="2004"/>
    <s v="MKS Kusy Szczecin"/>
    <x v="0"/>
    <x v="3"/>
    <x v="0"/>
    <x v="43"/>
  </r>
  <r>
    <x v="2"/>
    <x v="0"/>
    <n v="2004"/>
    <s v="MKS Kusy Szczecin"/>
    <x v="0"/>
    <x v="3"/>
    <x v="1"/>
    <x v="44"/>
  </r>
  <r>
    <x v="2"/>
    <x v="0"/>
    <n v="2004"/>
    <s v="MKS Kusy Szczecin"/>
    <x v="0"/>
    <x v="3"/>
    <x v="2"/>
    <x v="45"/>
  </r>
  <r>
    <x v="2"/>
    <x v="0"/>
    <n v="2004"/>
    <s v="MKS Kusy Szczecin"/>
    <x v="0"/>
    <x v="4"/>
    <x v="0"/>
    <x v="46"/>
  </r>
  <r>
    <x v="2"/>
    <x v="0"/>
    <n v="2004"/>
    <s v="MKS Kusy Szczecin"/>
    <x v="0"/>
    <x v="4"/>
    <x v="1"/>
    <x v="47"/>
  </r>
  <r>
    <x v="2"/>
    <x v="0"/>
    <n v="2004"/>
    <s v="MKS Kusy Szczecin"/>
    <x v="0"/>
    <x v="4"/>
    <x v="2"/>
    <x v="8"/>
  </r>
  <r>
    <x v="2"/>
    <x v="0"/>
    <n v="2004"/>
    <s v="MKS Kusy Szczecin"/>
    <x v="0"/>
    <x v="5"/>
    <x v="0"/>
    <x v="48"/>
  </r>
  <r>
    <x v="2"/>
    <x v="0"/>
    <n v="2004"/>
    <s v="MKS Kusy Szczecin"/>
    <x v="0"/>
    <x v="5"/>
    <x v="1"/>
    <x v="49"/>
  </r>
  <r>
    <x v="2"/>
    <x v="0"/>
    <n v="2004"/>
    <s v="MKS Kusy Szczecin"/>
    <x v="0"/>
    <x v="5"/>
    <x v="2"/>
    <x v="50"/>
  </r>
  <r>
    <x v="2"/>
    <x v="0"/>
    <n v="2004"/>
    <s v="MKS Kusy Szczecin"/>
    <x v="0"/>
    <x v="6"/>
    <x v="3"/>
    <x v="51"/>
  </r>
  <r>
    <x v="2"/>
    <x v="0"/>
    <n v="2004"/>
    <s v="MKS Kusy Szczecin"/>
    <x v="0"/>
    <x v="6"/>
    <x v="4"/>
    <x v="52"/>
  </r>
  <r>
    <x v="2"/>
    <x v="0"/>
    <n v="2004"/>
    <s v="MKS Kusy Szczecin"/>
    <x v="0"/>
    <x v="6"/>
    <x v="5"/>
    <x v="53"/>
  </r>
  <r>
    <x v="3"/>
    <x v="0"/>
    <n v="2000"/>
    <s v="MKS Kusy Szczecin"/>
    <x v="0"/>
    <x v="0"/>
    <x v="0"/>
    <x v="54"/>
  </r>
  <r>
    <x v="3"/>
    <x v="0"/>
    <n v="2000"/>
    <s v="MKS Kusy Szczecin"/>
    <x v="0"/>
    <x v="0"/>
    <x v="1"/>
    <x v="22"/>
  </r>
  <r>
    <x v="3"/>
    <x v="0"/>
    <n v="2000"/>
    <s v="MKS Kusy Szczecin"/>
    <x v="0"/>
    <x v="0"/>
    <x v="2"/>
    <x v="38"/>
  </r>
  <r>
    <x v="3"/>
    <x v="0"/>
    <n v="2000"/>
    <s v="MKS Kusy Szczecin"/>
    <x v="0"/>
    <x v="1"/>
    <x v="0"/>
    <x v="31"/>
  </r>
  <r>
    <x v="3"/>
    <x v="0"/>
    <n v="2000"/>
    <s v="MKS Kusy Szczecin"/>
    <x v="0"/>
    <x v="1"/>
    <x v="1"/>
    <x v="22"/>
  </r>
  <r>
    <x v="3"/>
    <x v="0"/>
    <n v="2000"/>
    <s v="MKS Kusy Szczecin"/>
    <x v="0"/>
    <x v="1"/>
    <x v="2"/>
    <x v="55"/>
  </r>
  <r>
    <x v="3"/>
    <x v="0"/>
    <n v="2000"/>
    <s v="MKS Kusy Szczecin"/>
    <x v="0"/>
    <x v="2"/>
    <x v="0"/>
    <x v="43"/>
  </r>
  <r>
    <x v="3"/>
    <x v="0"/>
    <n v="2000"/>
    <s v="MKS Kusy Szczecin"/>
    <x v="0"/>
    <x v="2"/>
    <x v="1"/>
    <x v="1"/>
  </r>
  <r>
    <x v="3"/>
    <x v="0"/>
    <n v="2000"/>
    <s v="MKS Kusy Szczecin"/>
    <x v="0"/>
    <x v="2"/>
    <x v="2"/>
    <x v="56"/>
  </r>
  <r>
    <x v="3"/>
    <x v="0"/>
    <n v="2000"/>
    <s v="MKS Kusy Szczecin"/>
    <x v="0"/>
    <x v="3"/>
    <x v="0"/>
    <x v="43"/>
  </r>
  <r>
    <x v="3"/>
    <x v="0"/>
    <n v="2000"/>
    <s v="MKS Kusy Szczecin"/>
    <x v="0"/>
    <x v="3"/>
    <x v="1"/>
    <x v="57"/>
  </r>
  <r>
    <x v="3"/>
    <x v="0"/>
    <n v="2000"/>
    <s v="MKS Kusy Szczecin"/>
    <x v="0"/>
    <x v="3"/>
    <x v="2"/>
    <x v="58"/>
  </r>
  <r>
    <x v="3"/>
    <x v="0"/>
    <n v="2000"/>
    <s v="MKS Kusy Szczecin"/>
    <x v="0"/>
    <x v="4"/>
    <x v="0"/>
    <x v="6"/>
  </r>
  <r>
    <x v="3"/>
    <x v="0"/>
    <n v="2000"/>
    <s v="MKS Kusy Szczecin"/>
    <x v="0"/>
    <x v="4"/>
    <x v="1"/>
    <x v="59"/>
  </r>
  <r>
    <x v="3"/>
    <x v="0"/>
    <n v="2000"/>
    <s v="MKS Kusy Szczecin"/>
    <x v="0"/>
    <x v="4"/>
    <x v="2"/>
    <x v="5"/>
  </r>
  <r>
    <x v="3"/>
    <x v="0"/>
    <n v="2000"/>
    <s v="MKS Kusy Szczecin"/>
    <x v="0"/>
    <x v="5"/>
    <x v="0"/>
    <x v="60"/>
  </r>
  <r>
    <x v="3"/>
    <x v="0"/>
    <n v="2000"/>
    <s v="MKS Kusy Szczecin"/>
    <x v="0"/>
    <x v="5"/>
    <x v="1"/>
    <x v="32"/>
  </r>
  <r>
    <x v="3"/>
    <x v="0"/>
    <n v="2000"/>
    <s v="MKS Kusy Szczecin"/>
    <x v="0"/>
    <x v="5"/>
    <x v="2"/>
    <x v="61"/>
  </r>
  <r>
    <x v="3"/>
    <x v="0"/>
    <n v="2000"/>
    <s v="MKS Kusy Szczecin"/>
    <x v="0"/>
    <x v="6"/>
    <x v="3"/>
    <x v="62"/>
  </r>
  <r>
    <x v="3"/>
    <x v="0"/>
    <n v="2000"/>
    <s v="MKS Kusy Szczecin"/>
    <x v="0"/>
    <x v="6"/>
    <x v="4"/>
    <x v="63"/>
  </r>
  <r>
    <x v="3"/>
    <x v="0"/>
    <n v="2000"/>
    <s v="MKS Kusy Szczecin"/>
    <x v="0"/>
    <x v="6"/>
    <x v="5"/>
    <x v="64"/>
  </r>
  <r>
    <x v="4"/>
    <x v="0"/>
    <n v="1996"/>
    <s v="KS AZS AWF Katowice"/>
    <x v="0"/>
    <x v="0"/>
    <x v="0"/>
    <x v="65"/>
  </r>
  <r>
    <x v="4"/>
    <x v="0"/>
    <n v="1996"/>
    <s v="KS AZS AWF Katowice"/>
    <x v="0"/>
    <x v="0"/>
    <x v="1"/>
    <x v="66"/>
  </r>
  <r>
    <x v="4"/>
    <x v="0"/>
    <n v="1996"/>
    <s v="KS AZS AWF Katowice"/>
    <x v="0"/>
    <x v="0"/>
    <x v="2"/>
    <x v="67"/>
  </r>
  <r>
    <x v="4"/>
    <x v="0"/>
    <n v="1996"/>
    <s v="KS AZS AWF Katowice"/>
    <x v="0"/>
    <x v="1"/>
    <x v="0"/>
    <x v="11"/>
  </r>
  <r>
    <x v="4"/>
    <x v="0"/>
    <n v="1996"/>
    <s v="KS AZS AWF Katowice"/>
    <x v="0"/>
    <x v="1"/>
    <x v="1"/>
    <x v="68"/>
  </r>
  <r>
    <x v="4"/>
    <x v="0"/>
    <n v="1996"/>
    <s v="KS AZS AWF Katowice"/>
    <x v="0"/>
    <x v="1"/>
    <x v="2"/>
    <x v="69"/>
  </r>
  <r>
    <x v="4"/>
    <x v="0"/>
    <n v="1996"/>
    <s v="KS AZS AWF Katowice"/>
    <x v="0"/>
    <x v="2"/>
    <x v="0"/>
    <x v="70"/>
  </r>
  <r>
    <x v="4"/>
    <x v="0"/>
    <n v="1996"/>
    <s v="KS AZS AWF Katowice"/>
    <x v="0"/>
    <x v="2"/>
    <x v="1"/>
    <x v="25"/>
  </r>
  <r>
    <x v="4"/>
    <x v="0"/>
    <n v="1996"/>
    <s v="KS AZS AWF Katowice"/>
    <x v="0"/>
    <x v="2"/>
    <x v="2"/>
    <x v="71"/>
  </r>
  <r>
    <x v="4"/>
    <x v="0"/>
    <n v="1996"/>
    <s v="KS AZS AWF Katowice"/>
    <x v="0"/>
    <x v="3"/>
    <x v="0"/>
    <x v="9"/>
  </r>
  <r>
    <x v="4"/>
    <x v="0"/>
    <n v="1996"/>
    <s v="KS AZS AWF Katowice"/>
    <x v="0"/>
    <x v="3"/>
    <x v="1"/>
    <x v="25"/>
  </r>
  <r>
    <x v="4"/>
    <x v="0"/>
    <n v="1996"/>
    <s v="KS AZS AWF Katowice"/>
    <x v="0"/>
    <x v="3"/>
    <x v="2"/>
    <x v="58"/>
  </r>
  <r>
    <x v="4"/>
    <x v="0"/>
    <n v="1996"/>
    <s v="KS AZS AWF Katowice"/>
    <x v="0"/>
    <x v="4"/>
    <x v="0"/>
    <x v="36"/>
  </r>
  <r>
    <x v="4"/>
    <x v="0"/>
    <n v="1996"/>
    <s v="KS AZS AWF Katowice"/>
    <x v="0"/>
    <x v="4"/>
    <x v="1"/>
    <x v="72"/>
  </r>
  <r>
    <x v="4"/>
    <x v="0"/>
    <n v="1996"/>
    <s v="KS AZS AWF Katowice"/>
    <x v="0"/>
    <x v="4"/>
    <x v="2"/>
    <x v="73"/>
  </r>
  <r>
    <x v="4"/>
    <x v="0"/>
    <n v="1996"/>
    <s v="KS AZS AWF Katowice"/>
    <x v="0"/>
    <x v="5"/>
    <x v="0"/>
    <x v="31"/>
  </r>
  <r>
    <x v="4"/>
    <x v="0"/>
    <n v="1996"/>
    <s v="KS AZS AWF Katowice"/>
    <x v="0"/>
    <x v="5"/>
    <x v="1"/>
    <x v="74"/>
  </r>
  <r>
    <x v="4"/>
    <x v="0"/>
    <n v="1996"/>
    <s v="KS AZS AWF Katowice"/>
    <x v="0"/>
    <x v="5"/>
    <x v="2"/>
    <x v="75"/>
  </r>
  <r>
    <x v="4"/>
    <x v="0"/>
    <n v="1996"/>
    <s v="KS AZS AWF Katowice"/>
    <x v="0"/>
    <x v="6"/>
    <x v="3"/>
    <x v="34"/>
  </r>
  <r>
    <x v="4"/>
    <x v="0"/>
    <n v="1996"/>
    <s v="KS AZS AWF Katowice"/>
    <x v="0"/>
    <x v="6"/>
    <x v="4"/>
    <x v="76"/>
  </r>
  <r>
    <x v="4"/>
    <x v="0"/>
    <n v="1996"/>
    <s v="KS AZS AWF Katowice"/>
    <x v="0"/>
    <x v="6"/>
    <x v="5"/>
    <x v="77"/>
  </r>
  <r>
    <x v="5"/>
    <x v="0"/>
    <n v="2000"/>
    <s v="KS AZS AWFiS Gdańsk"/>
    <x v="0"/>
    <x v="0"/>
    <x v="0"/>
    <x v="60"/>
  </r>
  <r>
    <x v="5"/>
    <x v="0"/>
    <n v="2000"/>
    <s v="KS AZS AWFiS Gdańsk"/>
    <x v="0"/>
    <x v="0"/>
    <x v="1"/>
    <x v="59"/>
  </r>
  <r>
    <x v="5"/>
    <x v="0"/>
    <n v="2000"/>
    <s v="KS AZS AWFiS Gdańsk"/>
    <x v="0"/>
    <x v="0"/>
    <x v="2"/>
    <x v="78"/>
  </r>
  <r>
    <x v="5"/>
    <x v="0"/>
    <n v="2000"/>
    <s v="KS AZS AWFiS Gdańsk"/>
    <x v="0"/>
    <x v="1"/>
    <x v="0"/>
    <x v="3"/>
  </r>
  <r>
    <x v="5"/>
    <x v="0"/>
    <n v="2000"/>
    <s v="KS AZS AWFiS Gdańsk"/>
    <x v="0"/>
    <x v="1"/>
    <x v="1"/>
    <x v="79"/>
  </r>
  <r>
    <x v="5"/>
    <x v="0"/>
    <n v="2000"/>
    <s v="KS AZS AWFiS Gdańsk"/>
    <x v="0"/>
    <x v="1"/>
    <x v="2"/>
    <x v="80"/>
  </r>
  <r>
    <x v="5"/>
    <x v="0"/>
    <n v="2000"/>
    <s v="KS AZS AWFiS Gdańsk"/>
    <x v="0"/>
    <x v="2"/>
    <x v="0"/>
    <x v="39"/>
  </r>
  <r>
    <x v="5"/>
    <x v="0"/>
    <n v="2000"/>
    <s v="KS AZS AWFiS Gdańsk"/>
    <x v="0"/>
    <x v="2"/>
    <x v="1"/>
    <x v="81"/>
  </r>
  <r>
    <x v="5"/>
    <x v="0"/>
    <n v="2000"/>
    <s v="KS AZS AWFiS Gdańsk"/>
    <x v="0"/>
    <x v="2"/>
    <x v="2"/>
    <x v="8"/>
  </r>
  <r>
    <x v="5"/>
    <x v="0"/>
    <n v="2000"/>
    <s v="KS AZS AWFiS Gdańsk"/>
    <x v="0"/>
    <x v="3"/>
    <x v="0"/>
    <x v="43"/>
  </r>
  <r>
    <x v="5"/>
    <x v="0"/>
    <n v="2000"/>
    <s v="KS AZS AWFiS Gdańsk"/>
    <x v="0"/>
    <x v="3"/>
    <x v="1"/>
    <x v="27"/>
  </r>
  <r>
    <x v="5"/>
    <x v="0"/>
    <n v="2000"/>
    <s v="KS AZS AWFiS Gdańsk"/>
    <x v="0"/>
    <x v="3"/>
    <x v="2"/>
    <x v="82"/>
  </r>
  <r>
    <x v="5"/>
    <x v="0"/>
    <n v="2000"/>
    <s v="KS AZS AWFiS Gdańsk"/>
    <x v="0"/>
    <x v="4"/>
    <x v="0"/>
    <x v="43"/>
  </r>
  <r>
    <x v="5"/>
    <x v="0"/>
    <n v="2000"/>
    <s v="KS AZS AWFiS Gdańsk"/>
    <x v="0"/>
    <x v="4"/>
    <x v="1"/>
    <x v="83"/>
  </r>
  <r>
    <x v="5"/>
    <x v="0"/>
    <n v="2000"/>
    <s v="KS AZS AWFiS Gdańsk"/>
    <x v="0"/>
    <x v="4"/>
    <x v="2"/>
    <x v="55"/>
  </r>
  <r>
    <x v="5"/>
    <x v="0"/>
    <n v="2000"/>
    <s v="KS AZS AWFiS Gdańsk"/>
    <x v="0"/>
    <x v="5"/>
    <x v="0"/>
    <x v="43"/>
  </r>
  <r>
    <x v="5"/>
    <x v="0"/>
    <n v="2000"/>
    <s v="KS AZS AWFiS Gdańsk"/>
    <x v="0"/>
    <x v="5"/>
    <x v="1"/>
    <x v="10"/>
  </r>
  <r>
    <x v="5"/>
    <x v="0"/>
    <n v="2000"/>
    <s v="KS AZS AWFiS Gdańsk"/>
    <x v="0"/>
    <x v="5"/>
    <x v="2"/>
    <x v="84"/>
  </r>
  <r>
    <x v="5"/>
    <x v="0"/>
    <n v="2000"/>
    <s v="KS AZS AWFiS Gdańsk"/>
    <x v="0"/>
    <x v="6"/>
    <x v="3"/>
    <x v="85"/>
  </r>
  <r>
    <x v="5"/>
    <x v="0"/>
    <n v="2000"/>
    <s v="KS AZS AWFiS Gdańsk"/>
    <x v="0"/>
    <x v="6"/>
    <x v="4"/>
    <x v="86"/>
  </r>
  <r>
    <x v="5"/>
    <x v="0"/>
    <n v="2000"/>
    <s v="KS AZS AWFiS Gdańsk"/>
    <x v="0"/>
    <x v="6"/>
    <x v="5"/>
    <x v="87"/>
  </r>
  <r>
    <x v="6"/>
    <x v="0"/>
    <n v="2003"/>
    <s v="CWZS Zawisza KG Bydgoszcz"/>
    <x v="0"/>
    <x v="0"/>
    <x v="0"/>
    <x v="88"/>
  </r>
  <r>
    <x v="6"/>
    <x v="0"/>
    <n v="2003"/>
    <s v="CWZS Zawisza KG Bydgoszcz"/>
    <x v="0"/>
    <x v="0"/>
    <x v="1"/>
    <x v="89"/>
  </r>
  <r>
    <x v="6"/>
    <x v="0"/>
    <n v="2003"/>
    <s v="CWZS Zawisza KG Bydgoszcz"/>
    <x v="0"/>
    <x v="0"/>
    <x v="2"/>
    <x v="40"/>
  </r>
  <r>
    <x v="6"/>
    <x v="0"/>
    <n v="2003"/>
    <s v="CWZS Zawisza KG Bydgoszcz"/>
    <x v="0"/>
    <x v="1"/>
    <x v="0"/>
    <x v="11"/>
  </r>
  <r>
    <x v="6"/>
    <x v="0"/>
    <n v="2003"/>
    <s v="CWZS Zawisza KG Bydgoszcz"/>
    <x v="0"/>
    <x v="1"/>
    <x v="1"/>
    <x v="90"/>
  </r>
  <r>
    <x v="6"/>
    <x v="0"/>
    <n v="2003"/>
    <s v="CWZS Zawisza KG Bydgoszcz"/>
    <x v="0"/>
    <x v="1"/>
    <x v="2"/>
    <x v="91"/>
  </r>
  <r>
    <x v="6"/>
    <x v="0"/>
    <n v="2003"/>
    <s v="CWZS Zawisza KG Bydgoszcz"/>
    <x v="0"/>
    <x v="2"/>
    <x v="0"/>
    <x v="46"/>
  </r>
  <r>
    <x v="6"/>
    <x v="0"/>
    <n v="2003"/>
    <s v="CWZS Zawisza KG Bydgoszcz"/>
    <x v="0"/>
    <x v="2"/>
    <x v="1"/>
    <x v="22"/>
  </r>
  <r>
    <x v="6"/>
    <x v="0"/>
    <n v="2003"/>
    <s v="CWZS Zawisza KG Bydgoszcz"/>
    <x v="0"/>
    <x v="2"/>
    <x v="2"/>
    <x v="92"/>
  </r>
  <r>
    <x v="6"/>
    <x v="0"/>
    <n v="2003"/>
    <s v="CWZS Zawisza KG Bydgoszcz"/>
    <x v="0"/>
    <x v="3"/>
    <x v="0"/>
    <x v="93"/>
  </r>
  <r>
    <x v="6"/>
    <x v="0"/>
    <n v="2003"/>
    <s v="CWZS Zawisza KG Bydgoszcz"/>
    <x v="0"/>
    <x v="3"/>
    <x v="1"/>
    <x v="94"/>
  </r>
  <r>
    <x v="6"/>
    <x v="0"/>
    <n v="2003"/>
    <s v="CWZS Zawisza KG Bydgoszcz"/>
    <x v="0"/>
    <x v="3"/>
    <x v="2"/>
    <x v="95"/>
  </r>
  <r>
    <x v="6"/>
    <x v="0"/>
    <n v="2003"/>
    <s v="CWZS Zawisza KG Bydgoszcz"/>
    <x v="0"/>
    <x v="4"/>
    <x v="0"/>
    <x v="96"/>
  </r>
  <r>
    <x v="6"/>
    <x v="0"/>
    <n v="2003"/>
    <s v="CWZS Zawisza KG Bydgoszcz"/>
    <x v="0"/>
    <x v="4"/>
    <x v="1"/>
    <x v="97"/>
  </r>
  <r>
    <x v="6"/>
    <x v="0"/>
    <n v="2003"/>
    <s v="CWZS Zawisza KG Bydgoszcz"/>
    <x v="0"/>
    <x v="4"/>
    <x v="2"/>
    <x v="98"/>
  </r>
  <r>
    <x v="6"/>
    <x v="0"/>
    <n v="2003"/>
    <s v="CWZS Zawisza KG Bydgoszcz"/>
    <x v="0"/>
    <x v="5"/>
    <x v="0"/>
    <x v="99"/>
  </r>
  <r>
    <x v="6"/>
    <x v="0"/>
    <n v="2003"/>
    <s v="CWZS Zawisza KG Bydgoszcz"/>
    <x v="0"/>
    <x v="5"/>
    <x v="1"/>
    <x v="32"/>
  </r>
  <r>
    <x v="6"/>
    <x v="0"/>
    <n v="2003"/>
    <s v="CWZS Zawisza KG Bydgoszcz"/>
    <x v="0"/>
    <x v="5"/>
    <x v="2"/>
    <x v="100"/>
  </r>
  <r>
    <x v="6"/>
    <x v="0"/>
    <n v="2003"/>
    <s v="CWZS Zawisza KG Bydgoszcz"/>
    <x v="0"/>
    <x v="6"/>
    <x v="3"/>
    <x v="101"/>
  </r>
  <r>
    <x v="6"/>
    <x v="0"/>
    <n v="2003"/>
    <s v="CWZS Zawisza KG Bydgoszcz"/>
    <x v="0"/>
    <x v="6"/>
    <x v="4"/>
    <x v="102"/>
  </r>
  <r>
    <x v="6"/>
    <x v="0"/>
    <n v="2003"/>
    <s v="CWZS Zawisza KG Bydgoszcz"/>
    <x v="0"/>
    <x v="6"/>
    <x v="5"/>
    <x v="103"/>
  </r>
  <r>
    <x v="7"/>
    <x v="0"/>
    <n v="2004"/>
    <s v="KS AZS AWF Katowice"/>
    <x v="0"/>
    <x v="0"/>
    <x v="0"/>
    <x v="104"/>
  </r>
  <r>
    <x v="7"/>
    <x v="0"/>
    <n v="2004"/>
    <s v="KS AZS AWF Katowice"/>
    <x v="0"/>
    <x v="0"/>
    <x v="1"/>
    <x v="14"/>
  </r>
  <r>
    <x v="7"/>
    <x v="0"/>
    <n v="2004"/>
    <s v="KS AZS AWF Katowice"/>
    <x v="0"/>
    <x v="0"/>
    <x v="2"/>
    <x v="105"/>
  </r>
  <r>
    <x v="7"/>
    <x v="0"/>
    <n v="2004"/>
    <s v="KS AZS AWF Katowice"/>
    <x v="0"/>
    <x v="1"/>
    <x v="0"/>
    <x v="104"/>
  </r>
  <r>
    <x v="7"/>
    <x v="0"/>
    <n v="2004"/>
    <s v="KS AZS AWF Katowice"/>
    <x v="0"/>
    <x v="1"/>
    <x v="1"/>
    <x v="37"/>
  </r>
  <r>
    <x v="7"/>
    <x v="0"/>
    <n v="2004"/>
    <s v="KS AZS AWF Katowice"/>
    <x v="0"/>
    <x v="1"/>
    <x v="2"/>
    <x v="80"/>
  </r>
  <r>
    <x v="7"/>
    <x v="0"/>
    <n v="2004"/>
    <s v="KS AZS AWF Katowice"/>
    <x v="0"/>
    <x v="2"/>
    <x v="0"/>
    <x v="88"/>
  </r>
  <r>
    <x v="7"/>
    <x v="0"/>
    <n v="2004"/>
    <s v="KS AZS AWF Katowice"/>
    <x v="0"/>
    <x v="2"/>
    <x v="1"/>
    <x v="106"/>
  </r>
  <r>
    <x v="7"/>
    <x v="0"/>
    <n v="2004"/>
    <s v="KS AZS AWF Katowice"/>
    <x v="0"/>
    <x v="2"/>
    <x v="2"/>
    <x v="107"/>
  </r>
  <r>
    <x v="7"/>
    <x v="0"/>
    <n v="2004"/>
    <s v="KS AZS AWF Katowice"/>
    <x v="0"/>
    <x v="3"/>
    <x v="0"/>
    <x v="43"/>
  </r>
  <r>
    <x v="7"/>
    <x v="0"/>
    <n v="2004"/>
    <s v="KS AZS AWF Katowice"/>
    <x v="0"/>
    <x v="3"/>
    <x v="1"/>
    <x v="108"/>
  </r>
  <r>
    <x v="7"/>
    <x v="0"/>
    <n v="2004"/>
    <s v="KS AZS AWF Katowice"/>
    <x v="0"/>
    <x v="3"/>
    <x v="2"/>
    <x v="109"/>
  </r>
  <r>
    <x v="7"/>
    <x v="0"/>
    <n v="2004"/>
    <s v="KS AZS AWF Katowice"/>
    <x v="0"/>
    <x v="4"/>
    <x v="0"/>
    <x v="43"/>
  </r>
  <r>
    <x v="7"/>
    <x v="0"/>
    <n v="2004"/>
    <s v="KS AZS AWF Katowice"/>
    <x v="0"/>
    <x v="4"/>
    <x v="1"/>
    <x v="110"/>
  </r>
  <r>
    <x v="7"/>
    <x v="0"/>
    <n v="2004"/>
    <s v="KS AZS AWF Katowice"/>
    <x v="0"/>
    <x v="4"/>
    <x v="2"/>
    <x v="111"/>
  </r>
  <r>
    <x v="7"/>
    <x v="0"/>
    <n v="2004"/>
    <s v="KS AZS AWF Katowice"/>
    <x v="0"/>
    <x v="5"/>
    <x v="0"/>
    <x v="99"/>
  </r>
  <r>
    <x v="7"/>
    <x v="0"/>
    <n v="2004"/>
    <s v="KS AZS AWF Katowice"/>
    <x v="0"/>
    <x v="5"/>
    <x v="1"/>
    <x v="79"/>
  </r>
  <r>
    <x v="7"/>
    <x v="0"/>
    <n v="2004"/>
    <s v="KS AZS AWF Katowice"/>
    <x v="0"/>
    <x v="5"/>
    <x v="2"/>
    <x v="112"/>
  </r>
  <r>
    <x v="7"/>
    <x v="0"/>
    <n v="2004"/>
    <s v="KS AZS AWF Katowice"/>
    <x v="0"/>
    <x v="6"/>
    <x v="3"/>
    <x v="113"/>
  </r>
  <r>
    <x v="7"/>
    <x v="0"/>
    <n v="2004"/>
    <s v="KS AZS AWF Katowice"/>
    <x v="0"/>
    <x v="6"/>
    <x v="4"/>
    <x v="114"/>
  </r>
  <r>
    <x v="7"/>
    <x v="0"/>
    <n v="2004"/>
    <s v="KS AZS AWF Katowice"/>
    <x v="0"/>
    <x v="6"/>
    <x v="5"/>
    <x v="115"/>
  </r>
  <r>
    <x v="8"/>
    <x v="0"/>
    <n v="2002"/>
    <s v="UKS SP7 Łódź"/>
    <x v="0"/>
    <x v="0"/>
    <x v="0"/>
    <x v="88"/>
  </r>
  <r>
    <x v="8"/>
    <x v="0"/>
    <n v="2002"/>
    <s v="UKS SP7 Łódź"/>
    <x v="0"/>
    <x v="0"/>
    <x v="1"/>
    <x v="37"/>
  </r>
  <r>
    <x v="8"/>
    <x v="0"/>
    <n v="2002"/>
    <s v="UKS SP7 Łódź"/>
    <x v="0"/>
    <x v="0"/>
    <x v="2"/>
    <x v="30"/>
  </r>
  <r>
    <x v="8"/>
    <x v="0"/>
    <n v="2002"/>
    <s v="UKS SP7 Łódź"/>
    <x v="0"/>
    <x v="1"/>
    <x v="0"/>
    <x v="60"/>
  </r>
  <r>
    <x v="8"/>
    <x v="0"/>
    <n v="2002"/>
    <s v="UKS SP7 Łódź"/>
    <x v="0"/>
    <x v="1"/>
    <x v="1"/>
    <x v="4"/>
  </r>
  <r>
    <x v="8"/>
    <x v="0"/>
    <n v="2002"/>
    <s v="UKS SP7 Łódź"/>
    <x v="0"/>
    <x v="1"/>
    <x v="2"/>
    <x v="69"/>
  </r>
  <r>
    <x v="8"/>
    <x v="0"/>
    <n v="2002"/>
    <s v="UKS SP7 Łódź"/>
    <x v="0"/>
    <x v="2"/>
    <x v="0"/>
    <x v="39"/>
  </r>
  <r>
    <x v="8"/>
    <x v="0"/>
    <n v="2002"/>
    <s v="UKS SP7 Łódź"/>
    <x v="0"/>
    <x v="2"/>
    <x v="1"/>
    <x v="10"/>
  </r>
  <r>
    <x v="8"/>
    <x v="0"/>
    <n v="2002"/>
    <s v="UKS SP7 Łódź"/>
    <x v="0"/>
    <x v="2"/>
    <x v="2"/>
    <x v="61"/>
  </r>
  <r>
    <x v="8"/>
    <x v="0"/>
    <n v="2002"/>
    <s v="UKS SP7 Łódź"/>
    <x v="0"/>
    <x v="3"/>
    <x v="0"/>
    <x v="93"/>
  </r>
  <r>
    <x v="8"/>
    <x v="0"/>
    <n v="2002"/>
    <s v="UKS SP7 Łódź"/>
    <x v="0"/>
    <x v="3"/>
    <x v="1"/>
    <x v="94"/>
  </r>
  <r>
    <x v="8"/>
    <x v="0"/>
    <n v="2002"/>
    <s v="UKS SP7 Łódź"/>
    <x v="0"/>
    <x v="3"/>
    <x v="2"/>
    <x v="95"/>
  </r>
  <r>
    <x v="8"/>
    <x v="0"/>
    <n v="2002"/>
    <s v="UKS SP7 Łódź"/>
    <x v="0"/>
    <x v="4"/>
    <x v="0"/>
    <x v="39"/>
  </r>
  <r>
    <x v="8"/>
    <x v="0"/>
    <n v="2002"/>
    <s v="UKS SP7 Łódź"/>
    <x v="0"/>
    <x v="4"/>
    <x v="1"/>
    <x v="90"/>
  </r>
  <r>
    <x v="8"/>
    <x v="0"/>
    <n v="2002"/>
    <s v="UKS SP7 Łódź"/>
    <x v="0"/>
    <x v="4"/>
    <x v="2"/>
    <x v="55"/>
  </r>
  <r>
    <x v="8"/>
    <x v="0"/>
    <n v="2002"/>
    <s v="UKS SP7 Łódź"/>
    <x v="0"/>
    <x v="5"/>
    <x v="0"/>
    <x v="116"/>
  </r>
  <r>
    <x v="8"/>
    <x v="0"/>
    <n v="2002"/>
    <s v="UKS SP7 Łódź"/>
    <x v="0"/>
    <x v="5"/>
    <x v="1"/>
    <x v="25"/>
  </r>
  <r>
    <x v="8"/>
    <x v="0"/>
    <n v="2002"/>
    <s v="UKS SP7 Łódź"/>
    <x v="0"/>
    <x v="5"/>
    <x v="2"/>
    <x v="92"/>
  </r>
  <r>
    <x v="8"/>
    <x v="0"/>
    <n v="2002"/>
    <s v="UKS SP7 Łódź"/>
    <x v="0"/>
    <x v="6"/>
    <x v="3"/>
    <x v="117"/>
  </r>
  <r>
    <x v="8"/>
    <x v="0"/>
    <n v="2002"/>
    <s v="UKS SP7 Łódź"/>
    <x v="0"/>
    <x v="6"/>
    <x v="4"/>
    <x v="118"/>
  </r>
  <r>
    <x v="8"/>
    <x v="0"/>
    <n v="2002"/>
    <s v="UKS SP7 Łódź"/>
    <x v="0"/>
    <x v="6"/>
    <x v="5"/>
    <x v="119"/>
  </r>
  <r>
    <x v="9"/>
    <x v="0"/>
    <n v="2001"/>
    <s v="KS AZS AWF Katowice"/>
    <x v="0"/>
    <x v="0"/>
    <x v="0"/>
    <x v="36"/>
  </r>
  <r>
    <x v="9"/>
    <x v="0"/>
    <n v="2001"/>
    <s v="KS AZS AWF Katowice"/>
    <x v="0"/>
    <x v="0"/>
    <x v="1"/>
    <x v="32"/>
  </r>
  <r>
    <x v="9"/>
    <x v="0"/>
    <n v="2001"/>
    <s v="KS AZS AWF Katowice"/>
    <x v="0"/>
    <x v="0"/>
    <x v="2"/>
    <x v="109"/>
  </r>
  <r>
    <x v="9"/>
    <x v="0"/>
    <n v="2001"/>
    <s v="KS AZS AWF Katowice"/>
    <x v="0"/>
    <x v="1"/>
    <x v="0"/>
    <x v="120"/>
  </r>
  <r>
    <x v="9"/>
    <x v="0"/>
    <n v="2001"/>
    <s v="KS AZS AWF Katowice"/>
    <x v="0"/>
    <x v="1"/>
    <x v="1"/>
    <x v="121"/>
  </r>
  <r>
    <x v="9"/>
    <x v="0"/>
    <n v="2001"/>
    <s v="KS AZS AWF Katowice"/>
    <x v="0"/>
    <x v="1"/>
    <x v="2"/>
    <x v="122"/>
  </r>
  <r>
    <x v="9"/>
    <x v="0"/>
    <n v="2001"/>
    <s v="KS AZS AWF Katowice"/>
    <x v="0"/>
    <x v="2"/>
    <x v="0"/>
    <x v="123"/>
  </r>
  <r>
    <x v="9"/>
    <x v="0"/>
    <n v="2001"/>
    <s v="KS AZS AWF Katowice"/>
    <x v="0"/>
    <x v="2"/>
    <x v="1"/>
    <x v="59"/>
  </r>
  <r>
    <x v="9"/>
    <x v="0"/>
    <n v="2001"/>
    <s v="KS AZS AWF Katowice"/>
    <x v="0"/>
    <x v="2"/>
    <x v="2"/>
    <x v="124"/>
  </r>
  <r>
    <x v="9"/>
    <x v="0"/>
    <n v="2001"/>
    <s v="KS AZS AWF Katowice"/>
    <x v="0"/>
    <x v="3"/>
    <x v="0"/>
    <x v="43"/>
  </r>
  <r>
    <x v="9"/>
    <x v="0"/>
    <n v="2001"/>
    <s v="KS AZS AWF Katowice"/>
    <x v="0"/>
    <x v="3"/>
    <x v="1"/>
    <x v="44"/>
  </r>
  <r>
    <x v="9"/>
    <x v="0"/>
    <n v="2001"/>
    <s v="KS AZS AWF Katowice"/>
    <x v="0"/>
    <x v="3"/>
    <x v="2"/>
    <x v="45"/>
  </r>
  <r>
    <x v="9"/>
    <x v="0"/>
    <n v="2001"/>
    <s v="KS AZS AWF Katowice"/>
    <x v="0"/>
    <x v="4"/>
    <x v="0"/>
    <x v="60"/>
  </r>
  <r>
    <x v="9"/>
    <x v="0"/>
    <n v="2001"/>
    <s v="KS AZS AWF Katowice"/>
    <x v="0"/>
    <x v="4"/>
    <x v="1"/>
    <x v="125"/>
  </r>
  <r>
    <x v="9"/>
    <x v="0"/>
    <n v="2001"/>
    <s v="KS AZS AWF Katowice"/>
    <x v="0"/>
    <x v="4"/>
    <x v="2"/>
    <x v="126"/>
  </r>
  <r>
    <x v="9"/>
    <x v="0"/>
    <n v="2001"/>
    <s v="KS AZS AWF Katowice"/>
    <x v="0"/>
    <x v="5"/>
    <x v="0"/>
    <x v="127"/>
  </r>
  <r>
    <x v="9"/>
    <x v="0"/>
    <n v="2001"/>
    <s v="KS AZS AWF Katowice"/>
    <x v="0"/>
    <x v="5"/>
    <x v="1"/>
    <x v="106"/>
  </r>
  <r>
    <x v="9"/>
    <x v="0"/>
    <n v="2001"/>
    <s v="KS AZS AWF Katowice"/>
    <x v="0"/>
    <x v="5"/>
    <x v="2"/>
    <x v="128"/>
  </r>
  <r>
    <x v="9"/>
    <x v="0"/>
    <n v="2001"/>
    <s v="KS AZS AWF Katowice"/>
    <x v="0"/>
    <x v="6"/>
    <x v="3"/>
    <x v="129"/>
  </r>
  <r>
    <x v="9"/>
    <x v="0"/>
    <n v="2001"/>
    <s v="KS AZS AWF Katowice"/>
    <x v="0"/>
    <x v="6"/>
    <x v="4"/>
    <x v="130"/>
  </r>
  <r>
    <x v="9"/>
    <x v="0"/>
    <n v="2001"/>
    <s v="KS AZS AWF Katowice"/>
    <x v="0"/>
    <x v="6"/>
    <x v="5"/>
    <x v="131"/>
  </r>
  <r>
    <x v="10"/>
    <x v="0"/>
    <n v="2004"/>
    <s v="KS AZS AWF Kraków"/>
    <x v="0"/>
    <x v="0"/>
    <x v="0"/>
    <x v="24"/>
  </r>
  <r>
    <x v="10"/>
    <x v="0"/>
    <n v="2004"/>
    <s v="KS AZS AWF Kraków"/>
    <x v="0"/>
    <x v="0"/>
    <x v="1"/>
    <x v="14"/>
  </r>
  <r>
    <x v="10"/>
    <x v="0"/>
    <n v="2004"/>
    <s v="KS AZS AWF Kraków"/>
    <x v="0"/>
    <x v="0"/>
    <x v="2"/>
    <x v="38"/>
  </r>
  <r>
    <x v="10"/>
    <x v="0"/>
    <n v="2004"/>
    <s v="KS AZS AWF Kraków"/>
    <x v="0"/>
    <x v="1"/>
    <x v="0"/>
    <x v="93"/>
  </r>
  <r>
    <x v="10"/>
    <x v="0"/>
    <n v="2004"/>
    <s v="KS AZS AWF Kraków"/>
    <x v="0"/>
    <x v="1"/>
    <x v="1"/>
    <x v="31"/>
  </r>
  <r>
    <x v="10"/>
    <x v="0"/>
    <n v="2004"/>
    <s v="KS AZS AWF Kraków"/>
    <x v="0"/>
    <x v="1"/>
    <x v="2"/>
    <x v="132"/>
  </r>
  <r>
    <x v="10"/>
    <x v="0"/>
    <n v="2004"/>
    <s v="KS AZS AWF Kraków"/>
    <x v="0"/>
    <x v="2"/>
    <x v="0"/>
    <x v="133"/>
  </r>
  <r>
    <x v="10"/>
    <x v="0"/>
    <n v="2004"/>
    <s v="KS AZS AWF Kraków"/>
    <x v="0"/>
    <x v="2"/>
    <x v="1"/>
    <x v="122"/>
  </r>
  <r>
    <x v="10"/>
    <x v="0"/>
    <n v="2004"/>
    <s v="KS AZS AWF Kraków"/>
    <x v="0"/>
    <x v="2"/>
    <x v="2"/>
    <x v="94"/>
  </r>
  <r>
    <x v="10"/>
    <x v="0"/>
    <n v="2004"/>
    <s v="KS AZS AWF Kraków"/>
    <x v="0"/>
    <x v="3"/>
    <x v="0"/>
    <x v="93"/>
  </r>
  <r>
    <x v="10"/>
    <x v="0"/>
    <n v="2004"/>
    <s v="KS AZS AWF Kraków"/>
    <x v="0"/>
    <x v="3"/>
    <x v="1"/>
    <x v="57"/>
  </r>
  <r>
    <x v="10"/>
    <x v="0"/>
    <n v="2004"/>
    <s v="KS AZS AWF Kraków"/>
    <x v="0"/>
    <x v="3"/>
    <x v="2"/>
    <x v="38"/>
  </r>
  <r>
    <x v="10"/>
    <x v="0"/>
    <n v="2004"/>
    <s v="KS AZS AWF Kraków"/>
    <x v="0"/>
    <x v="4"/>
    <x v="0"/>
    <x v="104"/>
  </r>
  <r>
    <x v="10"/>
    <x v="0"/>
    <n v="2004"/>
    <s v="KS AZS AWF Kraków"/>
    <x v="0"/>
    <x v="4"/>
    <x v="1"/>
    <x v="89"/>
  </r>
  <r>
    <x v="10"/>
    <x v="0"/>
    <n v="2004"/>
    <s v="KS AZS AWF Kraków"/>
    <x v="0"/>
    <x v="4"/>
    <x v="2"/>
    <x v="50"/>
  </r>
  <r>
    <x v="10"/>
    <x v="0"/>
    <n v="2004"/>
    <s v="KS AZS AWF Kraków"/>
    <x v="0"/>
    <x v="5"/>
    <x v="0"/>
    <x v="133"/>
  </r>
  <r>
    <x v="10"/>
    <x v="0"/>
    <n v="2004"/>
    <s v="KS AZS AWF Kraków"/>
    <x v="0"/>
    <x v="5"/>
    <x v="1"/>
    <x v="20"/>
  </r>
  <r>
    <x v="10"/>
    <x v="0"/>
    <n v="2004"/>
    <s v="KS AZS AWF Kraków"/>
    <x v="0"/>
    <x v="5"/>
    <x v="2"/>
    <x v="134"/>
  </r>
  <r>
    <x v="10"/>
    <x v="0"/>
    <n v="2004"/>
    <s v="KS AZS AWF Kraków"/>
    <x v="0"/>
    <x v="6"/>
    <x v="3"/>
    <x v="135"/>
  </r>
  <r>
    <x v="10"/>
    <x v="0"/>
    <n v="2004"/>
    <s v="KS AZS AWF Kraków"/>
    <x v="0"/>
    <x v="6"/>
    <x v="4"/>
    <x v="136"/>
  </r>
  <r>
    <x v="10"/>
    <x v="0"/>
    <n v="2004"/>
    <s v="KS AZS AWF Kraków"/>
    <x v="0"/>
    <x v="6"/>
    <x v="5"/>
    <x v="131"/>
  </r>
  <r>
    <x v="11"/>
    <x v="0"/>
    <n v="2001"/>
    <s v="KS AZS AWFiS Gdańsk"/>
    <x v="1"/>
    <x v="0"/>
    <x v="0"/>
    <x v="137"/>
  </r>
  <r>
    <x v="11"/>
    <x v="0"/>
    <n v="2001"/>
    <s v="KS AZS AWFiS Gdańsk"/>
    <x v="1"/>
    <x v="0"/>
    <x v="1"/>
    <x v="138"/>
  </r>
  <r>
    <x v="11"/>
    <x v="0"/>
    <n v="2001"/>
    <s v="KS AZS AWFiS Gdańsk"/>
    <x v="1"/>
    <x v="0"/>
    <x v="2"/>
    <x v="38"/>
  </r>
  <r>
    <x v="11"/>
    <x v="0"/>
    <n v="2001"/>
    <s v="KS AZS AWFiS Gdańsk"/>
    <x v="1"/>
    <x v="1"/>
    <x v="0"/>
    <x v="104"/>
  </r>
  <r>
    <x v="11"/>
    <x v="0"/>
    <n v="2001"/>
    <s v="KS AZS AWFiS Gdańsk"/>
    <x v="1"/>
    <x v="1"/>
    <x v="1"/>
    <x v="139"/>
  </r>
  <r>
    <x v="11"/>
    <x v="0"/>
    <n v="2001"/>
    <s v="KS AZS AWFiS Gdańsk"/>
    <x v="1"/>
    <x v="1"/>
    <x v="2"/>
    <x v="140"/>
  </r>
  <r>
    <x v="11"/>
    <x v="0"/>
    <n v="2001"/>
    <s v="KS AZS AWFiS Gdańsk"/>
    <x v="1"/>
    <x v="2"/>
    <x v="0"/>
    <x v="24"/>
  </r>
  <r>
    <x v="11"/>
    <x v="0"/>
    <n v="2001"/>
    <s v="KS AZS AWFiS Gdańsk"/>
    <x v="1"/>
    <x v="2"/>
    <x v="1"/>
    <x v="132"/>
  </r>
  <r>
    <x v="11"/>
    <x v="0"/>
    <n v="2001"/>
    <s v="KS AZS AWFiS Gdańsk"/>
    <x v="1"/>
    <x v="2"/>
    <x v="2"/>
    <x v="30"/>
  </r>
  <r>
    <x v="11"/>
    <x v="0"/>
    <n v="2001"/>
    <s v="KS AZS AWFiS Gdańsk"/>
    <x v="1"/>
    <x v="3"/>
    <x v="0"/>
    <x v="9"/>
  </r>
  <r>
    <x v="11"/>
    <x v="0"/>
    <n v="2001"/>
    <s v="KS AZS AWFiS Gdańsk"/>
    <x v="1"/>
    <x v="3"/>
    <x v="1"/>
    <x v="1"/>
  </r>
  <r>
    <x v="11"/>
    <x v="0"/>
    <n v="2001"/>
    <s v="KS AZS AWFiS Gdańsk"/>
    <x v="1"/>
    <x v="3"/>
    <x v="2"/>
    <x v="111"/>
  </r>
  <r>
    <x v="11"/>
    <x v="0"/>
    <n v="2001"/>
    <s v="KS AZS AWFiS Gdańsk"/>
    <x v="1"/>
    <x v="4"/>
    <x v="0"/>
    <x v="141"/>
  </r>
  <r>
    <x v="11"/>
    <x v="0"/>
    <n v="2001"/>
    <s v="KS AZS AWFiS Gdańsk"/>
    <x v="1"/>
    <x v="4"/>
    <x v="1"/>
    <x v="141"/>
  </r>
  <r>
    <x v="11"/>
    <x v="0"/>
    <n v="2001"/>
    <s v="KS AZS AWFiS Gdańsk"/>
    <x v="1"/>
    <x v="4"/>
    <x v="2"/>
    <x v="141"/>
  </r>
  <r>
    <x v="11"/>
    <x v="0"/>
    <n v="2001"/>
    <s v="KS AZS AWFiS Gdańsk"/>
    <x v="1"/>
    <x v="5"/>
    <x v="0"/>
    <x v="60"/>
  </r>
  <r>
    <x v="11"/>
    <x v="0"/>
    <n v="2001"/>
    <s v="KS AZS AWFiS Gdańsk"/>
    <x v="1"/>
    <x v="5"/>
    <x v="1"/>
    <x v="142"/>
  </r>
  <r>
    <x v="11"/>
    <x v="0"/>
    <n v="2001"/>
    <s v="KS AZS AWFiS Gdańsk"/>
    <x v="1"/>
    <x v="5"/>
    <x v="2"/>
    <x v="92"/>
  </r>
  <r>
    <x v="11"/>
    <x v="0"/>
    <n v="2001"/>
    <s v="KS AZS AWFiS Gdańsk"/>
    <x v="1"/>
    <x v="6"/>
    <x v="3"/>
    <x v="141"/>
  </r>
  <r>
    <x v="11"/>
    <x v="0"/>
    <n v="2001"/>
    <s v="KS AZS AWFiS Gdańsk"/>
    <x v="1"/>
    <x v="6"/>
    <x v="4"/>
    <x v="141"/>
  </r>
  <r>
    <x v="11"/>
    <x v="0"/>
    <n v="2001"/>
    <s v="KS AZS AWFiS Gdańsk"/>
    <x v="1"/>
    <x v="6"/>
    <x v="5"/>
    <x v="143"/>
  </r>
  <r>
    <x v="12"/>
    <x v="0"/>
    <n v="2003"/>
    <s v="MKS Gdańsk"/>
    <x v="1"/>
    <x v="0"/>
    <x v="0"/>
    <x v="24"/>
  </r>
  <r>
    <x v="12"/>
    <x v="0"/>
    <n v="2003"/>
    <s v="MKS Gdańsk"/>
    <x v="1"/>
    <x v="0"/>
    <x v="1"/>
    <x v="139"/>
  </r>
  <r>
    <x v="12"/>
    <x v="0"/>
    <n v="2003"/>
    <s v="MKS Gdańsk"/>
    <x v="1"/>
    <x v="0"/>
    <x v="2"/>
    <x v="78"/>
  </r>
  <r>
    <x v="12"/>
    <x v="0"/>
    <n v="2003"/>
    <s v="MKS Gdańsk"/>
    <x v="1"/>
    <x v="1"/>
    <x v="0"/>
    <x v="141"/>
  </r>
  <r>
    <x v="12"/>
    <x v="0"/>
    <n v="2003"/>
    <s v="MKS Gdańsk"/>
    <x v="1"/>
    <x v="1"/>
    <x v="1"/>
    <x v="141"/>
  </r>
  <r>
    <x v="12"/>
    <x v="0"/>
    <n v="2003"/>
    <s v="MKS Gdańsk"/>
    <x v="1"/>
    <x v="1"/>
    <x v="2"/>
    <x v="141"/>
  </r>
  <r>
    <x v="12"/>
    <x v="0"/>
    <n v="2003"/>
    <s v="MKS Gdańsk"/>
    <x v="1"/>
    <x v="2"/>
    <x v="0"/>
    <x v="39"/>
  </r>
  <r>
    <x v="12"/>
    <x v="0"/>
    <n v="2003"/>
    <s v="MKS Gdańsk"/>
    <x v="1"/>
    <x v="2"/>
    <x v="1"/>
    <x v="22"/>
  </r>
  <r>
    <x v="12"/>
    <x v="0"/>
    <n v="2003"/>
    <s v="MKS Gdańsk"/>
    <x v="1"/>
    <x v="2"/>
    <x v="2"/>
    <x v="50"/>
  </r>
  <r>
    <x v="12"/>
    <x v="0"/>
    <n v="2003"/>
    <s v="MKS Gdańsk"/>
    <x v="1"/>
    <x v="3"/>
    <x v="0"/>
    <x v="43"/>
  </r>
  <r>
    <x v="12"/>
    <x v="0"/>
    <n v="2003"/>
    <s v="MKS Gdańsk"/>
    <x v="1"/>
    <x v="3"/>
    <x v="1"/>
    <x v="97"/>
  </r>
  <r>
    <x v="12"/>
    <x v="0"/>
    <n v="2003"/>
    <s v="MKS Gdańsk"/>
    <x v="1"/>
    <x v="3"/>
    <x v="2"/>
    <x v="71"/>
  </r>
  <r>
    <x v="12"/>
    <x v="0"/>
    <n v="2003"/>
    <s v="MKS Gdańsk"/>
    <x v="1"/>
    <x v="4"/>
    <x v="0"/>
    <x v="99"/>
  </r>
  <r>
    <x v="12"/>
    <x v="0"/>
    <n v="2003"/>
    <s v="MKS Gdańsk"/>
    <x v="1"/>
    <x v="4"/>
    <x v="1"/>
    <x v="144"/>
  </r>
  <r>
    <x v="12"/>
    <x v="0"/>
    <n v="2003"/>
    <s v="MKS Gdańsk"/>
    <x v="1"/>
    <x v="4"/>
    <x v="2"/>
    <x v="145"/>
  </r>
  <r>
    <x v="12"/>
    <x v="0"/>
    <n v="2003"/>
    <s v="MKS Gdańsk"/>
    <x v="1"/>
    <x v="5"/>
    <x v="0"/>
    <x v="43"/>
  </r>
  <r>
    <x v="12"/>
    <x v="0"/>
    <n v="2003"/>
    <s v="MKS Gdańsk"/>
    <x v="1"/>
    <x v="5"/>
    <x v="1"/>
    <x v="66"/>
  </r>
  <r>
    <x v="12"/>
    <x v="0"/>
    <n v="2003"/>
    <s v="MKS Gdańsk"/>
    <x v="1"/>
    <x v="5"/>
    <x v="2"/>
    <x v="95"/>
  </r>
  <r>
    <x v="12"/>
    <x v="0"/>
    <n v="2003"/>
    <s v="MKS Gdańsk"/>
    <x v="1"/>
    <x v="6"/>
    <x v="3"/>
    <x v="141"/>
  </r>
  <r>
    <x v="12"/>
    <x v="0"/>
    <n v="2003"/>
    <s v="MKS Gdańsk"/>
    <x v="1"/>
    <x v="6"/>
    <x v="4"/>
    <x v="141"/>
  </r>
  <r>
    <x v="12"/>
    <x v="0"/>
    <n v="2003"/>
    <s v="MKS Gdańsk"/>
    <x v="1"/>
    <x v="6"/>
    <x v="5"/>
    <x v="146"/>
  </r>
  <r>
    <x v="13"/>
    <x v="0"/>
    <n v="2004"/>
    <s v="MKS Gdańsk"/>
    <x v="1"/>
    <x v="0"/>
    <x v="0"/>
    <x v="43"/>
  </r>
  <r>
    <x v="13"/>
    <x v="0"/>
    <n v="2004"/>
    <s v="MKS Gdańsk"/>
    <x v="1"/>
    <x v="0"/>
    <x v="1"/>
    <x v="89"/>
  </r>
  <r>
    <x v="13"/>
    <x v="0"/>
    <n v="2004"/>
    <s v="MKS Gdańsk"/>
    <x v="1"/>
    <x v="0"/>
    <x v="2"/>
    <x v="30"/>
  </r>
  <r>
    <x v="13"/>
    <x v="0"/>
    <n v="2004"/>
    <s v="MKS Gdańsk"/>
    <x v="1"/>
    <x v="1"/>
    <x v="0"/>
    <x v="133"/>
  </r>
  <r>
    <x v="13"/>
    <x v="0"/>
    <n v="2004"/>
    <s v="MKS Gdańsk"/>
    <x v="1"/>
    <x v="1"/>
    <x v="1"/>
    <x v="70"/>
  </r>
  <r>
    <x v="13"/>
    <x v="0"/>
    <n v="2004"/>
    <s v="MKS Gdańsk"/>
    <x v="1"/>
    <x v="1"/>
    <x v="2"/>
    <x v="89"/>
  </r>
  <r>
    <x v="13"/>
    <x v="0"/>
    <n v="2004"/>
    <s v="MKS Gdańsk"/>
    <x v="1"/>
    <x v="2"/>
    <x v="0"/>
    <x v="116"/>
  </r>
  <r>
    <x v="13"/>
    <x v="0"/>
    <n v="2004"/>
    <s v="MKS Gdańsk"/>
    <x v="1"/>
    <x v="2"/>
    <x v="1"/>
    <x v="147"/>
  </r>
  <r>
    <x v="13"/>
    <x v="0"/>
    <n v="2004"/>
    <s v="MKS Gdańsk"/>
    <x v="1"/>
    <x v="2"/>
    <x v="2"/>
    <x v="44"/>
  </r>
  <r>
    <x v="13"/>
    <x v="0"/>
    <n v="2004"/>
    <s v="MKS Gdańsk"/>
    <x v="1"/>
    <x v="3"/>
    <x v="0"/>
    <x v="43"/>
  </r>
  <r>
    <x v="13"/>
    <x v="0"/>
    <n v="2004"/>
    <s v="MKS Gdańsk"/>
    <x v="1"/>
    <x v="3"/>
    <x v="1"/>
    <x v="148"/>
  </r>
  <r>
    <x v="13"/>
    <x v="0"/>
    <n v="2004"/>
    <s v="MKS Gdańsk"/>
    <x v="1"/>
    <x v="3"/>
    <x v="2"/>
    <x v="2"/>
  </r>
  <r>
    <x v="13"/>
    <x v="0"/>
    <n v="2004"/>
    <s v="MKS Gdańsk"/>
    <x v="1"/>
    <x v="4"/>
    <x v="0"/>
    <x v="133"/>
  </r>
  <r>
    <x v="13"/>
    <x v="0"/>
    <n v="2004"/>
    <s v="MKS Gdańsk"/>
    <x v="1"/>
    <x v="4"/>
    <x v="1"/>
    <x v="90"/>
  </r>
  <r>
    <x v="13"/>
    <x v="0"/>
    <n v="2004"/>
    <s v="MKS Gdańsk"/>
    <x v="1"/>
    <x v="4"/>
    <x v="2"/>
    <x v="5"/>
  </r>
  <r>
    <x v="13"/>
    <x v="0"/>
    <n v="2004"/>
    <s v="MKS Gdańsk"/>
    <x v="1"/>
    <x v="5"/>
    <x v="0"/>
    <x v="141"/>
  </r>
  <r>
    <x v="13"/>
    <x v="0"/>
    <n v="2004"/>
    <s v="MKS Gdańsk"/>
    <x v="1"/>
    <x v="5"/>
    <x v="1"/>
    <x v="141"/>
  </r>
  <r>
    <x v="13"/>
    <x v="0"/>
    <n v="2004"/>
    <s v="MKS Gdańsk"/>
    <x v="1"/>
    <x v="5"/>
    <x v="2"/>
    <x v="141"/>
  </r>
  <r>
    <x v="13"/>
    <x v="0"/>
    <n v="2004"/>
    <s v="MKS Gdańsk"/>
    <x v="1"/>
    <x v="6"/>
    <x v="3"/>
    <x v="141"/>
  </r>
  <r>
    <x v="13"/>
    <x v="0"/>
    <n v="2004"/>
    <s v="MKS Gdańsk"/>
    <x v="1"/>
    <x v="6"/>
    <x v="4"/>
    <x v="141"/>
  </r>
  <r>
    <x v="13"/>
    <x v="0"/>
    <n v="2004"/>
    <s v="MKS Gdańsk"/>
    <x v="1"/>
    <x v="6"/>
    <x v="5"/>
    <x v="149"/>
  </r>
  <r>
    <x v="14"/>
    <x v="0"/>
    <n v="2004"/>
    <s v="KS AZS AWF Kraków"/>
    <x v="1"/>
    <x v="0"/>
    <x v="0"/>
    <x v="24"/>
  </r>
  <r>
    <x v="14"/>
    <x v="0"/>
    <n v="2004"/>
    <s v="KS AZS AWF Kraków"/>
    <x v="1"/>
    <x v="0"/>
    <x v="1"/>
    <x v="150"/>
  </r>
  <r>
    <x v="14"/>
    <x v="0"/>
    <n v="2004"/>
    <s v="KS AZS AWF Kraków"/>
    <x v="1"/>
    <x v="0"/>
    <x v="2"/>
    <x v="84"/>
  </r>
  <r>
    <x v="14"/>
    <x v="0"/>
    <n v="2004"/>
    <s v="KS AZS AWF Kraków"/>
    <x v="1"/>
    <x v="1"/>
    <x v="0"/>
    <x v="60"/>
  </r>
  <r>
    <x v="14"/>
    <x v="0"/>
    <n v="2004"/>
    <s v="KS AZS AWF Kraków"/>
    <x v="1"/>
    <x v="1"/>
    <x v="1"/>
    <x v="110"/>
  </r>
  <r>
    <x v="14"/>
    <x v="0"/>
    <n v="2004"/>
    <s v="KS AZS AWF Kraków"/>
    <x v="1"/>
    <x v="1"/>
    <x v="2"/>
    <x v="21"/>
  </r>
  <r>
    <x v="14"/>
    <x v="0"/>
    <n v="2004"/>
    <s v="KS AZS AWF Kraków"/>
    <x v="1"/>
    <x v="2"/>
    <x v="0"/>
    <x v="141"/>
  </r>
  <r>
    <x v="14"/>
    <x v="0"/>
    <n v="2004"/>
    <s v="KS AZS AWF Kraków"/>
    <x v="1"/>
    <x v="2"/>
    <x v="1"/>
    <x v="141"/>
  </r>
  <r>
    <x v="14"/>
    <x v="0"/>
    <n v="2004"/>
    <s v="KS AZS AWF Kraków"/>
    <x v="1"/>
    <x v="2"/>
    <x v="2"/>
    <x v="141"/>
  </r>
  <r>
    <x v="14"/>
    <x v="0"/>
    <n v="2004"/>
    <s v="KS AZS AWF Kraków"/>
    <x v="1"/>
    <x v="3"/>
    <x v="0"/>
    <x v="3"/>
  </r>
  <r>
    <x v="14"/>
    <x v="0"/>
    <n v="2004"/>
    <s v="KS AZS AWF Kraków"/>
    <x v="1"/>
    <x v="3"/>
    <x v="1"/>
    <x v="44"/>
  </r>
  <r>
    <x v="14"/>
    <x v="0"/>
    <n v="2004"/>
    <s v="KS AZS AWF Kraków"/>
    <x v="1"/>
    <x v="3"/>
    <x v="2"/>
    <x v="151"/>
  </r>
  <r>
    <x v="14"/>
    <x v="0"/>
    <n v="2004"/>
    <s v="KS AZS AWF Kraków"/>
    <x v="1"/>
    <x v="4"/>
    <x v="0"/>
    <x v="141"/>
  </r>
  <r>
    <x v="14"/>
    <x v="0"/>
    <n v="2004"/>
    <s v="KS AZS AWF Kraków"/>
    <x v="1"/>
    <x v="4"/>
    <x v="1"/>
    <x v="141"/>
  </r>
  <r>
    <x v="14"/>
    <x v="0"/>
    <n v="2004"/>
    <s v="KS AZS AWF Kraków"/>
    <x v="1"/>
    <x v="4"/>
    <x v="2"/>
    <x v="141"/>
  </r>
  <r>
    <x v="14"/>
    <x v="0"/>
    <n v="2004"/>
    <s v="KS AZS AWF Kraków"/>
    <x v="1"/>
    <x v="5"/>
    <x v="0"/>
    <x v="141"/>
  </r>
  <r>
    <x v="14"/>
    <x v="0"/>
    <n v="2004"/>
    <s v="KS AZS AWF Kraków"/>
    <x v="1"/>
    <x v="5"/>
    <x v="1"/>
    <x v="141"/>
  </r>
  <r>
    <x v="14"/>
    <x v="0"/>
    <n v="2004"/>
    <s v="KS AZS AWF Kraków"/>
    <x v="1"/>
    <x v="5"/>
    <x v="2"/>
    <x v="141"/>
  </r>
  <r>
    <x v="14"/>
    <x v="0"/>
    <n v="2004"/>
    <s v="KS AZS AWF Kraków"/>
    <x v="1"/>
    <x v="6"/>
    <x v="3"/>
    <x v="141"/>
  </r>
  <r>
    <x v="14"/>
    <x v="0"/>
    <n v="2004"/>
    <s v="KS AZS AWF Kraków"/>
    <x v="1"/>
    <x v="6"/>
    <x v="4"/>
    <x v="141"/>
  </r>
  <r>
    <x v="14"/>
    <x v="0"/>
    <n v="2004"/>
    <s v="KS AZS AWF Kraków"/>
    <x v="1"/>
    <x v="6"/>
    <x v="5"/>
    <x v="152"/>
  </r>
  <r>
    <x v="15"/>
    <x v="0"/>
    <n v="2003"/>
    <s v="KS AZS AWFiS Gdańsk"/>
    <x v="1"/>
    <x v="0"/>
    <x v="0"/>
    <x v="141"/>
  </r>
  <r>
    <x v="15"/>
    <x v="0"/>
    <n v="2003"/>
    <s v="KS AZS AWFiS Gdańsk"/>
    <x v="1"/>
    <x v="0"/>
    <x v="1"/>
    <x v="141"/>
  </r>
  <r>
    <x v="15"/>
    <x v="0"/>
    <n v="2003"/>
    <s v="KS AZS AWFiS Gdańsk"/>
    <x v="1"/>
    <x v="0"/>
    <x v="2"/>
    <x v="141"/>
  </r>
  <r>
    <x v="15"/>
    <x v="0"/>
    <n v="2003"/>
    <s v="KS AZS AWFiS Gdańsk"/>
    <x v="1"/>
    <x v="1"/>
    <x v="0"/>
    <x v="153"/>
  </r>
  <r>
    <x v="15"/>
    <x v="0"/>
    <n v="2003"/>
    <s v="KS AZS AWFiS Gdańsk"/>
    <x v="1"/>
    <x v="1"/>
    <x v="1"/>
    <x v="154"/>
  </r>
  <r>
    <x v="15"/>
    <x v="0"/>
    <n v="2003"/>
    <s v="KS AZS AWFiS Gdańsk"/>
    <x v="1"/>
    <x v="1"/>
    <x v="2"/>
    <x v="155"/>
  </r>
  <r>
    <x v="15"/>
    <x v="0"/>
    <n v="2003"/>
    <s v="KS AZS AWFiS Gdańsk"/>
    <x v="1"/>
    <x v="2"/>
    <x v="0"/>
    <x v="99"/>
  </r>
  <r>
    <x v="15"/>
    <x v="0"/>
    <n v="2003"/>
    <s v="KS AZS AWFiS Gdańsk"/>
    <x v="1"/>
    <x v="2"/>
    <x v="1"/>
    <x v="156"/>
  </r>
  <r>
    <x v="15"/>
    <x v="0"/>
    <n v="2003"/>
    <s v="KS AZS AWFiS Gdańsk"/>
    <x v="1"/>
    <x v="2"/>
    <x v="2"/>
    <x v="94"/>
  </r>
  <r>
    <x v="15"/>
    <x v="0"/>
    <n v="2003"/>
    <s v="KS AZS AWFiS Gdańsk"/>
    <x v="1"/>
    <x v="3"/>
    <x v="0"/>
    <x v="141"/>
  </r>
  <r>
    <x v="15"/>
    <x v="0"/>
    <n v="2003"/>
    <s v="KS AZS AWFiS Gdańsk"/>
    <x v="1"/>
    <x v="3"/>
    <x v="1"/>
    <x v="141"/>
  </r>
  <r>
    <x v="15"/>
    <x v="0"/>
    <n v="2003"/>
    <s v="KS AZS AWFiS Gdańsk"/>
    <x v="1"/>
    <x v="3"/>
    <x v="2"/>
    <x v="141"/>
  </r>
  <r>
    <x v="15"/>
    <x v="0"/>
    <n v="2003"/>
    <s v="KS AZS AWFiS Gdańsk"/>
    <x v="1"/>
    <x v="4"/>
    <x v="0"/>
    <x v="99"/>
  </r>
  <r>
    <x v="15"/>
    <x v="0"/>
    <n v="2003"/>
    <s v="KS AZS AWFiS Gdańsk"/>
    <x v="1"/>
    <x v="4"/>
    <x v="1"/>
    <x v="157"/>
  </r>
  <r>
    <x v="15"/>
    <x v="0"/>
    <n v="2003"/>
    <s v="KS AZS AWFiS Gdańsk"/>
    <x v="1"/>
    <x v="4"/>
    <x v="2"/>
    <x v="158"/>
  </r>
  <r>
    <x v="15"/>
    <x v="0"/>
    <n v="2003"/>
    <s v="KS AZS AWFiS Gdańsk"/>
    <x v="1"/>
    <x v="5"/>
    <x v="0"/>
    <x v="48"/>
  </r>
  <r>
    <x v="15"/>
    <x v="0"/>
    <n v="2003"/>
    <s v="KS AZS AWFiS Gdańsk"/>
    <x v="1"/>
    <x v="5"/>
    <x v="1"/>
    <x v="159"/>
  </r>
  <r>
    <x v="15"/>
    <x v="0"/>
    <n v="2003"/>
    <s v="KS AZS AWFiS Gdańsk"/>
    <x v="1"/>
    <x v="5"/>
    <x v="2"/>
    <x v="160"/>
  </r>
  <r>
    <x v="15"/>
    <x v="0"/>
    <n v="2003"/>
    <s v="KS AZS AWFiS Gdańsk"/>
    <x v="1"/>
    <x v="6"/>
    <x v="3"/>
    <x v="141"/>
  </r>
  <r>
    <x v="15"/>
    <x v="0"/>
    <n v="2003"/>
    <s v="KS AZS AWFiS Gdańsk"/>
    <x v="1"/>
    <x v="6"/>
    <x v="4"/>
    <x v="141"/>
  </r>
  <r>
    <x v="15"/>
    <x v="0"/>
    <n v="2003"/>
    <s v="KS AZS AWFiS Gdańsk"/>
    <x v="1"/>
    <x v="6"/>
    <x v="5"/>
    <x v="161"/>
  </r>
  <r>
    <x v="16"/>
    <x v="0"/>
    <n v="2002"/>
    <s v="KS AZS AWF Katowice"/>
    <x v="1"/>
    <x v="0"/>
    <x v="0"/>
    <x v="141"/>
  </r>
  <r>
    <x v="16"/>
    <x v="0"/>
    <n v="2002"/>
    <s v="KS AZS AWF Katowice"/>
    <x v="1"/>
    <x v="0"/>
    <x v="1"/>
    <x v="141"/>
  </r>
  <r>
    <x v="16"/>
    <x v="0"/>
    <n v="2002"/>
    <s v="KS AZS AWF Katowice"/>
    <x v="1"/>
    <x v="0"/>
    <x v="2"/>
    <x v="141"/>
  </r>
  <r>
    <x v="16"/>
    <x v="0"/>
    <n v="2002"/>
    <s v="KS AZS AWF Katowice"/>
    <x v="1"/>
    <x v="1"/>
    <x v="0"/>
    <x v="162"/>
  </r>
  <r>
    <x v="16"/>
    <x v="0"/>
    <n v="2002"/>
    <s v="KS AZS AWF Katowice"/>
    <x v="1"/>
    <x v="1"/>
    <x v="1"/>
    <x v="163"/>
  </r>
  <r>
    <x v="16"/>
    <x v="0"/>
    <n v="2002"/>
    <s v="KS AZS AWF Katowice"/>
    <x v="1"/>
    <x v="1"/>
    <x v="2"/>
    <x v="50"/>
  </r>
  <r>
    <x v="16"/>
    <x v="0"/>
    <n v="2002"/>
    <s v="KS AZS AWF Katowice"/>
    <x v="1"/>
    <x v="2"/>
    <x v="0"/>
    <x v="11"/>
  </r>
  <r>
    <x v="16"/>
    <x v="0"/>
    <n v="2002"/>
    <s v="KS AZS AWF Katowice"/>
    <x v="1"/>
    <x v="2"/>
    <x v="1"/>
    <x v="90"/>
  </r>
  <r>
    <x v="16"/>
    <x v="0"/>
    <n v="2002"/>
    <s v="KS AZS AWF Katowice"/>
    <x v="1"/>
    <x v="2"/>
    <x v="2"/>
    <x v="91"/>
  </r>
  <r>
    <x v="16"/>
    <x v="0"/>
    <n v="2002"/>
    <s v="KS AZS AWF Katowice"/>
    <x v="1"/>
    <x v="3"/>
    <x v="0"/>
    <x v="141"/>
  </r>
  <r>
    <x v="16"/>
    <x v="0"/>
    <n v="2002"/>
    <s v="KS AZS AWF Katowice"/>
    <x v="1"/>
    <x v="3"/>
    <x v="1"/>
    <x v="141"/>
  </r>
  <r>
    <x v="16"/>
    <x v="0"/>
    <n v="2002"/>
    <s v="KS AZS AWF Katowice"/>
    <x v="1"/>
    <x v="3"/>
    <x v="2"/>
    <x v="141"/>
  </r>
  <r>
    <x v="16"/>
    <x v="0"/>
    <n v="2002"/>
    <s v="KS AZS AWF Katowice"/>
    <x v="1"/>
    <x v="4"/>
    <x v="0"/>
    <x v="39"/>
  </r>
  <r>
    <x v="16"/>
    <x v="0"/>
    <n v="2002"/>
    <s v="KS AZS AWF Katowice"/>
    <x v="1"/>
    <x v="4"/>
    <x v="1"/>
    <x v="79"/>
  </r>
  <r>
    <x v="16"/>
    <x v="0"/>
    <n v="2002"/>
    <s v="KS AZS AWF Katowice"/>
    <x v="1"/>
    <x v="4"/>
    <x v="2"/>
    <x v="164"/>
  </r>
  <r>
    <x v="16"/>
    <x v="0"/>
    <n v="2002"/>
    <s v="KS AZS AWF Katowice"/>
    <x v="1"/>
    <x v="5"/>
    <x v="0"/>
    <x v="141"/>
  </r>
  <r>
    <x v="16"/>
    <x v="0"/>
    <n v="2002"/>
    <s v="KS AZS AWF Katowice"/>
    <x v="1"/>
    <x v="5"/>
    <x v="1"/>
    <x v="141"/>
  </r>
  <r>
    <x v="16"/>
    <x v="0"/>
    <n v="2002"/>
    <s v="KS AZS AWF Katowice"/>
    <x v="1"/>
    <x v="5"/>
    <x v="2"/>
    <x v="141"/>
  </r>
  <r>
    <x v="16"/>
    <x v="0"/>
    <n v="2002"/>
    <s v="KS AZS AWF Katowice"/>
    <x v="1"/>
    <x v="6"/>
    <x v="3"/>
    <x v="141"/>
  </r>
  <r>
    <x v="16"/>
    <x v="0"/>
    <n v="2002"/>
    <s v="KS AZS AWF Katowice"/>
    <x v="1"/>
    <x v="6"/>
    <x v="4"/>
    <x v="141"/>
  </r>
  <r>
    <x v="16"/>
    <x v="0"/>
    <n v="2002"/>
    <s v="KS AZS AWF Katowice"/>
    <x v="1"/>
    <x v="6"/>
    <x v="5"/>
    <x v="165"/>
  </r>
  <r>
    <x v="17"/>
    <x v="0"/>
    <n v="2002"/>
    <s v="KS AZS AWFiS Gdańsk"/>
    <x v="1"/>
    <x v="0"/>
    <x v="0"/>
    <x v="141"/>
  </r>
  <r>
    <x v="17"/>
    <x v="0"/>
    <n v="2002"/>
    <s v="KS AZS AWFiS Gdańsk"/>
    <x v="1"/>
    <x v="0"/>
    <x v="1"/>
    <x v="141"/>
  </r>
  <r>
    <x v="17"/>
    <x v="0"/>
    <n v="2002"/>
    <s v="KS AZS AWFiS Gdańsk"/>
    <x v="1"/>
    <x v="0"/>
    <x v="2"/>
    <x v="141"/>
  </r>
  <r>
    <x v="17"/>
    <x v="0"/>
    <n v="2002"/>
    <s v="KS AZS AWFiS Gdańsk"/>
    <x v="1"/>
    <x v="1"/>
    <x v="0"/>
    <x v="141"/>
  </r>
  <r>
    <x v="17"/>
    <x v="0"/>
    <n v="2002"/>
    <s v="KS AZS AWFiS Gdańsk"/>
    <x v="1"/>
    <x v="1"/>
    <x v="1"/>
    <x v="141"/>
  </r>
  <r>
    <x v="17"/>
    <x v="0"/>
    <n v="2002"/>
    <s v="KS AZS AWFiS Gdańsk"/>
    <x v="1"/>
    <x v="1"/>
    <x v="2"/>
    <x v="141"/>
  </r>
  <r>
    <x v="17"/>
    <x v="0"/>
    <n v="2002"/>
    <s v="KS AZS AWFiS Gdańsk"/>
    <x v="1"/>
    <x v="2"/>
    <x v="0"/>
    <x v="43"/>
  </r>
  <r>
    <x v="17"/>
    <x v="0"/>
    <n v="2002"/>
    <s v="KS AZS AWFiS Gdańsk"/>
    <x v="1"/>
    <x v="2"/>
    <x v="1"/>
    <x v="1"/>
  </r>
  <r>
    <x v="17"/>
    <x v="0"/>
    <n v="2002"/>
    <s v="KS AZS AWFiS Gdańsk"/>
    <x v="1"/>
    <x v="2"/>
    <x v="2"/>
    <x v="56"/>
  </r>
  <r>
    <x v="17"/>
    <x v="0"/>
    <n v="2002"/>
    <s v="KS AZS AWFiS Gdańsk"/>
    <x v="1"/>
    <x v="3"/>
    <x v="0"/>
    <x v="123"/>
  </r>
  <r>
    <x v="17"/>
    <x v="0"/>
    <n v="2002"/>
    <s v="KS AZS AWFiS Gdańsk"/>
    <x v="1"/>
    <x v="3"/>
    <x v="1"/>
    <x v="97"/>
  </r>
  <r>
    <x v="17"/>
    <x v="0"/>
    <n v="2002"/>
    <s v="KS AZS AWFiS Gdańsk"/>
    <x v="1"/>
    <x v="3"/>
    <x v="2"/>
    <x v="30"/>
  </r>
  <r>
    <x v="17"/>
    <x v="0"/>
    <n v="2002"/>
    <s v="KS AZS AWFiS Gdańsk"/>
    <x v="1"/>
    <x v="4"/>
    <x v="0"/>
    <x v="93"/>
  </r>
  <r>
    <x v="17"/>
    <x v="0"/>
    <n v="2002"/>
    <s v="KS AZS AWFiS Gdańsk"/>
    <x v="1"/>
    <x v="4"/>
    <x v="1"/>
    <x v="81"/>
  </r>
  <r>
    <x v="17"/>
    <x v="0"/>
    <n v="2002"/>
    <s v="KS AZS AWFiS Gdańsk"/>
    <x v="1"/>
    <x v="4"/>
    <x v="2"/>
    <x v="166"/>
  </r>
  <r>
    <x v="17"/>
    <x v="0"/>
    <n v="2002"/>
    <s v="KS AZS AWFiS Gdańsk"/>
    <x v="1"/>
    <x v="5"/>
    <x v="0"/>
    <x v="141"/>
  </r>
  <r>
    <x v="17"/>
    <x v="0"/>
    <n v="2002"/>
    <s v="KS AZS AWFiS Gdańsk"/>
    <x v="1"/>
    <x v="5"/>
    <x v="1"/>
    <x v="141"/>
  </r>
  <r>
    <x v="17"/>
    <x v="0"/>
    <n v="2002"/>
    <s v="KS AZS AWFiS Gdańsk"/>
    <x v="1"/>
    <x v="5"/>
    <x v="2"/>
    <x v="141"/>
  </r>
  <r>
    <x v="17"/>
    <x v="0"/>
    <n v="2002"/>
    <s v="KS AZS AWFiS Gdańsk"/>
    <x v="1"/>
    <x v="6"/>
    <x v="3"/>
    <x v="141"/>
  </r>
  <r>
    <x v="17"/>
    <x v="0"/>
    <n v="2002"/>
    <s v="KS AZS AWFiS Gdańsk"/>
    <x v="1"/>
    <x v="6"/>
    <x v="4"/>
    <x v="141"/>
  </r>
  <r>
    <x v="17"/>
    <x v="0"/>
    <n v="2002"/>
    <s v="KS AZS AWFiS Gdańsk"/>
    <x v="1"/>
    <x v="6"/>
    <x v="5"/>
    <x v="167"/>
  </r>
  <r>
    <x v="18"/>
    <x v="0"/>
    <n v="1999"/>
    <s v="KS AZS AWFiS Gdańsk"/>
    <x v="1"/>
    <x v="0"/>
    <x v="0"/>
    <x v="3"/>
  </r>
  <r>
    <x v="18"/>
    <x v="0"/>
    <n v="1999"/>
    <s v="KS AZS AWFiS Gdańsk"/>
    <x v="1"/>
    <x v="0"/>
    <x v="1"/>
    <x v="168"/>
  </r>
  <r>
    <x v="18"/>
    <x v="0"/>
    <n v="1999"/>
    <s v="KS AZS AWFiS Gdańsk"/>
    <x v="1"/>
    <x v="0"/>
    <x v="2"/>
    <x v="169"/>
  </r>
  <r>
    <x v="18"/>
    <x v="0"/>
    <n v="1999"/>
    <s v="KS AZS AWFiS Gdańsk"/>
    <x v="1"/>
    <x v="1"/>
    <x v="0"/>
    <x v="141"/>
  </r>
  <r>
    <x v="18"/>
    <x v="0"/>
    <n v="1999"/>
    <s v="KS AZS AWFiS Gdańsk"/>
    <x v="1"/>
    <x v="1"/>
    <x v="1"/>
    <x v="141"/>
  </r>
  <r>
    <x v="18"/>
    <x v="0"/>
    <n v="1999"/>
    <s v="KS AZS AWFiS Gdańsk"/>
    <x v="1"/>
    <x v="1"/>
    <x v="2"/>
    <x v="141"/>
  </r>
  <r>
    <x v="18"/>
    <x v="0"/>
    <n v="1999"/>
    <s v="KS AZS AWFiS Gdańsk"/>
    <x v="1"/>
    <x v="2"/>
    <x v="0"/>
    <x v="141"/>
  </r>
  <r>
    <x v="18"/>
    <x v="0"/>
    <n v="1999"/>
    <s v="KS AZS AWFiS Gdańsk"/>
    <x v="1"/>
    <x v="2"/>
    <x v="1"/>
    <x v="141"/>
  </r>
  <r>
    <x v="18"/>
    <x v="0"/>
    <n v="1999"/>
    <s v="KS AZS AWFiS Gdańsk"/>
    <x v="1"/>
    <x v="2"/>
    <x v="2"/>
    <x v="141"/>
  </r>
  <r>
    <x v="18"/>
    <x v="0"/>
    <n v="1999"/>
    <s v="KS AZS AWFiS Gdańsk"/>
    <x v="1"/>
    <x v="3"/>
    <x v="0"/>
    <x v="123"/>
  </r>
  <r>
    <x v="18"/>
    <x v="0"/>
    <n v="1999"/>
    <s v="KS AZS AWFiS Gdańsk"/>
    <x v="1"/>
    <x v="3"/>
    <x v="1"/>
    <x v="41"/>
  </r>
  <r>
    <x v="18"/>
    <x v="0"/>
    <n v="1999"/>
    <s v="KS AZS AWFiS Gdańsk"/>
    <x v="1"/>
    <x v="3"/>
    <x v="2"/>
    <x v="170"/>
  </r>
  <r>
    <x v="18"/>
    <x v="0"/>
    <n v="1999"/>
    <s v="KS AZS AWFiS Gdańsk"/>
    <x v="1"/>
    <x v="4"/>
    <x v="0"/>
    <x v="127"/>
  </r>
  <r>
    <x v="18"/>
    <x v="0"/>
    <n v="1999"/>
    <s v="KS AZS AWFiS Gdańsk"/>
    <x v="1"/>
    <x v="4"/>
    <x v="1"/>
    <x v="41"/>
  </r>
  <r>
    <x v="18"/>
    <x v="0"/>
    <n v="1999"/>
    <s v="KS AZS AWFiS Gdańsk"/>
    <x v="1"/>
    <x v="4"/>
    <x v="2"/>
    <x v="75"/>
  </r>
  <r>
    <x v="18"/>
    <x v="0"/>
    <n v="1999"/>
    <s v="KS AZS AWFiS Gdańsk"/>
    <x v="1"/>
    <x v="5"/>
    <x v="0"/>
    <x v="141"/>
  </r>
  <r>
    <x v="18"/>
    <x v="0"/>
    <n v="1999"/>
    <s v="KS AZS AWFiS Gdańsk"/>
    <x v="1"/>
    <x v="5"/>
    <x v="1"/>
    <x v="141"/>
  </r>
  <r>
    <x v="18"/>
    <x v="0"/>
    <n v="1999"/>
    <s v="KS AZS AWFiS Gdańsk"/>
    <x v="1"/>
    <x v="5"/>
    <x v="2"/>
    <x v="141"/>
  </r>
  <r>
    <x v="18"/>
    <x v="0"/>
    <n v="1999"/>
    <s v="KS AZS AWFiS Gdańsk"/>
    <x v="1"/>
    <x v="6"/>
    <x v="3"/>
    <x v="141"/>
  </r>
  <r>
    <x v="18"/>
    <x v="0"/>
    <n v="1999"/>
    <s v="KS AZS AWFiS Gdańsk"/>
    <x v="1"/>
    <x v="6"/>
    <x v="4"/>
    <x v="141"/>
  </r>
  <r>
    <x v="18"/>
    <x v="0"/>
    <n v="1999"/>
    <s v="KS AZS AWFiS Gdańsk"/>
    <x v="1"/>
    <x v="6"/>
    <x v="5"/>
    <x v="171"/>
  </r>
  <r>
    <x v="19"/>
    <x v="0"/>
    <n v="2003"/>
    <s v="KS AZS AWFiS Gdańsk"/>
    <x v="1"/>
    <x v="0"/>
    <x v="0"/>
    <x v="11"/>
  </r>
  <r>
    <x v="19"/>
    <x v="0"/>
    <n v="2003"/>
    <s v="KS AZS AWFiS Gdańsk"/>
    <x v="1"/>
    <x v="0"/>
    <x v="1"/>
    <x v="172"/>
  </r>
  <r>
    <x v="19"/>
    <x v="0"/>
    <n v="2003"/>
    <s v="KS AZS AWFiS Gdańsk"/>
    <x v="1"/>
    <x v="0"/>
    <x v="2"/>
    <x v="173"/>
  </r>
  <r>
    <x v="19"/>
    <x v="0"/>
    <n v="2003"/>
    <s v="KS AZS AWFiS Gdańsk"/>
    <x v="1"/>
    <x v="1"/>
    <x v="0"/>
    <x v="11"/>
  </r>
  <r>
    <x v="19"/>
    <x v="0"/>
    <n v="2003"/>
    <s v="KS AZS AWFiS Gdańsk"/>
    <x v="1"/>
    <x v="1"/>
    <x v="1"/>
    <x v="37"/>
  </r>
  <r>
    <x v="19"/>
    <x v="0"/>
    <n v="2003"/>
    <s v="KS AZS AWFiS Gdańsk"/>
    <x v="1"/>
    <x v="1"/>
    <x v="2"/>
    <x v="26"/>
  </r>
  <r>
    <x v="19"/>
    <x v="0"/>
    <n v="2003"/>
    <s v="KS AZS AWFiS Gdańsk"/>
    <x v="1"/>
    <x v="2"/>
    <x v="0"/>
    <x v="141"/>
  </r>
  <r>
    <x v="19"/>
    <x v="0"/>
    <n v="2003"/>
    <s v="KS AZS AWFiS Gdańsk"/>
    <x v="1"/>
    <x v="2"/>
    <x v="1"/>
    <x v="141"/>
  </r>
  <r>
    <x v="19"/>
    <x v="0"/>
    <n v="2003"/>
    <s v="KS AZS AWFiS Gdańsk"/>
    <x v="1"/>
    <x v="2"/>
    <x v="2"/>
    <x v="141"/>
  </r>
  <r>
    <x v="19"/>
    <x v="0"/>
    <n v="2003"/>
    <s v="KS AZS AWFiS Gdańsk"/>
    <x v="1"/>
    <x v="3"/>
    <x v="0"/>
    <x v="141"/>
  </r>
  <r>
    <x v="19"/>
    <x v="0"/>
    <n v="2003"/>
    <s v="KS AZS AWFiS Gdańsk"/>
    <x v="1"/>
    <x v="3"/>
    <x v="1"/>
    <x v="141"/>
  </r>
  <r>
    <x v="19"/>
    <x v="0"/>
    <n v="2003"/>
    <s v="KS AZS AWFiS Gdańsk"/>
    <x v="1"/>
    <x v="3"/>
    <x v="2"/>
    <x v="141"/>
  </r>
  <r>
    <x v="19"/>
    <x v="0"/>
    <n v="2003"/>
    <s v="KS AZS AWFiS Gdańsk"/>
    <x v="1"/>
    <x v="4"/>
    <x v="0"/>
    <x v="133"/>
  </r>
  <r>
    <x v="19"/>
    <x v="0"/>
    <n v="2003"/>
    <s v="KS AZS AWFiS Gdańsk"/>
    <x v="1"/>
    <x v="4"/>
    <x v="1"/>
    <x v="79"/>
  </r>
  <r>
    <x v="19"/>
    <x v="0"/>
    <n v="2003"/>
    <s v="KS AZS AWFiS Gdańsk"/>
    <x v="1"/>
    <x v="4"/>
    <x v="2"/>
    <x v="174"/>
  </r>
  <r>
    <x v="19"/>
    <x v="0"/>
    <n v="2003"/>
    <s v="KS AZS AWFiS Gdańsk"/>
    <x v="1"/>
    <x v="5"/>
    <x v="0"/>
    <x v="141"/>
  </r>
  <r>
    <x v="19"/>
    <x v="0"/>
    <n v="2003"/>
    <s v="KS AZS AWFiS Gdańsk"/>
    <x v="1"/>
    <x v="5"/>
    <x v="1"/>
    <x v="141"/>
  </r>
  <r>
    <x v="19"/>
    <x v="0"/>
    <n v="2003"/>
    <s v="KS AZS AWFiS Gdańsk"/>
    <x v="1"/>
    <x v="5"/>
    <x v="2"/>
    <x v="141"/>
  </r>
  <r>
    <x v="19"/>
    <x v="0"/>
    <n v="2003"/>
    <s v="KS AZS AWFiS Gdańsk"/>
    <x v="1"/>
    <x v="6"/>
    <x v="3"/>
    <x v="141"/>
  </r>
  <r>
    <x v="19"/>
    <x v="0"/>
    <n v="2003"/>
    <s v="KS AZS AWFiS Gdańsk"/>
    <x v="1"/>
    <x v="6"/>
    <x v="4"/>
    <x v="141"/>
  </r>
  <r>
    <x v="19"/>
    <x v="0"/>
    <n v="2003"/>
    <s v="KS AZS AWFiS Gdańsk"/>
    <x v="1"/>
    <x v="6"/>
    <x v="5"/>
    <x v="171"/>
  </r>
  <r>
    <x v="20"/>
    <x v="0"/>
    <n v="2004"/>
    <s v="MKS Kusy Szczecin"/>
    <x v="1"/>
    <x v="0"/>
    <x v="0"/>
    <x v="3"/>
  </r>
  <r>
    <x v="20"/>
    <x v="0"/>
    <n v="2004"/>
    <s v="MKS Kusy Szczecin"/>
    <x v="1"/>
    <x v="0"/>
    <x v="1"/>
    <x v="172"/>
  </r>
  <r>
    <x v="20"/>
    <x v="0"/>
    <n v="2004"/>
    <s v="MKS Kusy Szczecin"/>
    <x v="1"/>
    <x v="0"/>
    <x v="2"/>
    <x v="175"/>
  </r>
  <r>
    <x v="20"/>
    <x v="0"/>
    <n v="2004"/>
    <s v="MKS Kusy Szczecin"/>
    <x v="1"/>
    <x v="1"/>
    <x v="0"/>
    <x v="141"/>
  </r>
  <r>
    <x v="20"/>
    <x v="0"/>
    <n v="2004"/>
    <s v="MKS Kusy Szczecin"/>
    <x v="1"/>
    <x v="1"/>
    <x v="1"/>
    <x v="141"/>
  </r>
  <r>
    <x v="20"/>
    <x v="0"/>
    <n v="2004"/>
    <s v="MKS Kusy Szczecin"/>
    <x v="1"/>
    <x v="1"/>
    <x v="2"/>
    <x v="141"/>
  </r>
  <r>
    <x v="20"/>
    <x v="0"/>
    <n v="2004"/>
    <s v="MKS Kusy Szczecin"/>
    <x v="1"/>
    <x v="2"/>
    <x v="0"/>
    <x v="141"/>
  </r>
  <r>
    <x v="20"/>
    <x v="0"/>
    <n v="2004"/>
    <s v="MKS Kusy Szczecin"/>
    <x v="1"/>
    <x v="2"/>
    <x v="1"/>
    <x v="141"/>
  </r>
  <r>
    <x v="20"/>
    <x v="0"/>
    <n v="2004"/>
    <s v="MKS Kusy Szczecin"/>
    <x v="1"/>
    <x v="2"/>
    <x v="2"/>
    <x v="141"/>
  </r>
  <r>
    <x v="20"/>
    <x v="0"/>
    <n v="2004"/>
    <s v="MKS Kusy Szczecin"/>
    <x v="1"/>
    <x v="3"/>
    <x v="0"/>
    <x v="141"/>
  </r>
  <r>
    <x v="20"/>
    <x v="0"/>
    <n v="2004"/>
    <s v="MKS Kusy Szczecin"/>
    <x v="1"/>
    <x v="3"/>
    <x v="1"/>
    <x v="141"/>
  </r>
  <r>
    <x v="20"/>
    <x v="0"/>
    <n v="2004"/>
    <s v="MKS Kusy Szczecin"/>
    <x v="1"/>
    <x v="3"/>
    <x v="2"/>
    <x v="141"/>
  </r>
  <r>
    <x v="20"/>
    <x v="0"/>
    <n v="2004"/>
    <s v="MKS Kusy Szczecin"/>
    <x v="1"/>
    <x v="4"/>
    <x v="0"/>
    <x v="141"/>
  </r>
  <r>
    <x v="20"/>
    <x v="0"/>
    <n v="2004"/>
    <s v="MKS Kusy Szczecin"/>
    <x v="1"/>
    <x v="4"/>
    <x v="1"/>
    <x v="141"/>
  </r>
  <r>
    <x v="20"/>
    <x v="0"/>
    <n v="2004"/>
    <s v="MKS Kusy Szczecin"/>
    <x v="1"/>
    <x v="4"/>
    <x v="2"/>
    <x v="141"/>
  </r>
  <r>
    <x v="20"/>
    <x v="0"/>
    <n v="2004"/>
    <s v="MKS Kusy Szczecin"/>
    <x v="1"/>
    <x v="5"/>
    <x v="0"/>
    <x v="176"/>
  </r>
  <r>
    <x v="20"/>
    <x v="0"/>
    <n v="2004"/>
    <s v="MKS Kusy Szczecin"/>
    <x v="1"/>
    <x v="5"/>
    <x v="1"/>
    <x v="90"/>
  </r>
  <r>
    <x v="20"/>
    <x v="0"/>
    <n v="2004"/>
    <s v="MKS Kusy Szczecin"/>
    <x v="1"/>
    <x v="5"/>
    <x v="2"/>
    <x v="177"/>
  </r>
  <r>
    <x v="20"/>
    <x v="0"/>
    <n v="2004"/>
    <s v="MKS Kusy Szczecin"/>
    <x v="1"/>
    <x v="6"/>
    <x v="3"/>
    <x v="141"/>
  </r>
  <r>
    <x v="20"/>
    <x v="0"/>
    <n v="2004"/>
    <s v="MKS Kusy Szczecin"/>
    <x v="1"/>
    <x v="6"/>
    <x v="4"/>
    <x v="141"/>
  </r>
  <r>
    <x v="20"/>
    <x v="0"/>
    <n v="2004"/>
    <s v="MKS Kusy Szczecin"/>
    <x v="1"/>
    <x v="6"/>
    <x v="5"/>
    <x v="178"/>
  </r>
  <r>
    <x v="21"/>
    <x v="0"/>
    <n v="2004"/>
    <s v="MKS Kusy Szczecin"/>
    <x v="1"/>
    <x v="0"/>
    <x v="0"/>
    <x v="39"/>
  </r>
  <r>
    <x v="21"/>
    <x v="0"/>
    <n v="2004"/>
    <s v="MKS Kusy Szczecin"/>
    <x v="1"/>
    <x v="0"/>
    <x v="1"/>
    <x v="155"/>
  </r>
  <r>
    <x v="21"/>
    <x v="0"/>
    <n v="2004"/>
    <s v="MKS Kusy Szczecin"/>
    <x v="1"/>
    <x v="0"/>
    <x v="2"/>
    <x v="75"/>
  </r>
  <r>
    <x v="21"/>
    <x v="0"/>
    <n v="2004"/>
    <s v="MKS Kusy Szczecin"/>
    <x v="1"/>
    <x v="1"/>
    <x v="0"/>
    <x v="141"/>
  </r>
  <r>
    <x v="21"/>
    <x v="0"/>
    <n v="2004"/>
    <s v="MKS Kusy Szczecin"/>
    <x v="1"/>
    <x v="1"/>
    <x v="1"/>
    <x v="141"/>
  </r>
  <r>
    <x v="21"/>
    <x v="0"/>
    <n v="2004"/>
    <s v="MKS Kusy Szczecin"/>
    <x v="1"/>
    <x v="1"/>
    <x v="2"/>
    <x v="141"/>
  </r>
  <r>
    <x v="21"/>
    <x v="0"/>
    <n v="2004"/>
    <s v="MKS Kusy Szczecin"/>
    <x v="1"/>
    <x v="2"/>
    <x v="0"/>
    <x v="141"/>
  </r>
  <r>
    <x v="21"/>
    <x v="0"/>
    <n v="2004"/>
    <s v="MKS Kusy Szczecin"/>
    <x v="1"/>
    <x v="2"/>
    <x v="1"/>
    <x v="141"/>
  </r>
  <r>
    <x v="21"/>
    <x v="0"/>
    <n v="2004"/>
    <s v="MKS Kusy Szczecin"/>
    <x v="1"/>
    <x v="2"/>
    <x v="2"/>
    <x v="141"/>
  </r>
  <r>
    <x v="21"/>
    <x v="0"/>
    <n v="2004"/>
    <s v="MKS Kusy Szczecin"/>
    <x v="1"/>
    <x v="3"/>
    <x v="0"/>
    <x v="93"/>
  </r>
  <r>
    <x v="21"/>
    <x v="0"/>
    <n v="2004"/>
    <s v="MKS Kusy Szczecin"/>
    <x v="1"/>
    <x v="3"/>
    <x v="1"/>
    <x v="142"/>
  </r>
  <r>
    <x v="21"/>
    <x v="0"/>
    <n v="2004"/>
    <s v="MKS Kusy Szczecin"/>
    <x v="1"/>
    <x v="3"/>
    <x v="2"/>
    <x v="177"/>
  </r>
  <r>
    <x v="21"/>
    <x v="0"/>
    <n v="2004"/>
    <s v="MKS Kusy Szczecin"/>
    <x v="1"/>
    <x v="4"/>
    <x v="0"/>
    <x v="141"/>
  </r>
  <r>
    <x v="21"/>
    <x v="0"/>
    <n v="2004"/>
    <s v="MKS Kusy Szczecin"/>
    <x v="1"/>
    <x v="4"/>
    <x v="1"/>
    <x v="141"/>
  </r>
  <r>
    <x v="21"/>
    <x v="0"/>
    <n v="2004"/>
    <s v="MKS Kusy Szczecin"/>
    <x v="1"/>
    <x v="4"/>
    <x v="2"/>
    <x v="141"/>
  </r>
  <r>
    <x v="21"/>
    <x v="0"/>
    <n v="2004"/>
    <s v="MKS Kusy Szczecin"/>
    <x v="1"/>
    <x v="5"/>
    <x v="0"/>
    <x v="141"/>
  </r>
  <r>
    <x v="21"/>
    <x v="0"/>
    <n v="2004"/>
    <s v="MKS Kusy Szczecin"/>
    <x v="1"/>
    <x v="5"/>
    <x v="1"/>
    <x v="141"/>
  </r>
  <r>
    <x v="21"/>
    <x v="0"/>
    <n v="2004"/>
    <s v="MKS Kusy Szczecin"/>
    <x v="1"/>
    <x v="5"/>
    <x v="2"/>
    <x v="141"/>
  </r>
  <r>
    <x v="21"/>
    <x v="0"/>
    <n v="2004"/>
    <s v="MKS Kusy Szczecin"/>
    <x v="1"/>
    <x v="6"/>
    <x v="3"/>
    <x v="141"/>
  </r>
  <r>
    <x v="21"/>
    <x v="0"/>
    <n v="2004"/>
    <s v="MKS Kusy Szczecin"/>
    <x v="1"/>
    <x v="6"/>
    <x v="4"/>
    <x v="141"/>
  </r>
  <r>
    <x v="21"/>
    <x v="0"/>
    <n v="2004"/>
    <s v="MKS Kusy Szczecin"/>
    <x v="1"/>
    <x v="6"/>
    <x v="5"/>
    <x v="179"/>
  </r>
  <r>
    <x v="22"/>
    <x v="0"/>
    <n v="2000"/>
    <s v="KS AZS AWF Katowice"/>
    <x v="1"/>
    <x v="0"/>
    <x v="0"/>
    <x v="96"/>
  </r>
  <r>
    <x v="22"/>
    <x v="0"/>
    <n v="2000"/>
    <s v="KS AZS AWF Katowice"/>
    <x v="1"/>
    <x v="0"/>
    <x v="1"/>
    <x v="155"/>
  </r>
  <r>
    <x v="22"/>
    <x v="0"/>
    <n v="2000"/>
    <s v="KS AZS AWF Katowice"/>
    <x v="1"/>
    <x v="0"/>
    <x v="2"/>
    <x v="73"/>
  </r>
  <r>
    <x v="22"/>
    <x v="0"/>
    <n v="2000"/>
    <s v="KS AZS AWF Katowice"/>
    <x v="1"/>
    <x v="1"/>
    <x v="0"/>
    <x v="141"/>
  </r>
  <r>
    <x v="22"/>
    <x v="0"/>
    <n v="2000"/>
    <s v="KS AZS AWF Katowice"/>
    <x v="1"/>
    <x v="1"/>
    <x v="1"/>
    <x v="141"/>
  </r>
  <r>
    <x v="22"/>
    <x v="0"/>
    <n v="2000"/>
    <s v="KS AZS AWF Katowice"/>
    <x v="1"/>
    <x v="1"/>
    <x v="2"/>
    <x v="141"/>
  </r>
  <r>
    <x v="22"/>
    <x v="0"/>
    <n v="2000"/>
    <s v="KS AZS AWF Katowice"/>
    <x v="1"/>
    <x v="2"/>
    <x v="0"/>
    <x v="133"/>
  </r>
  <r>
    <x v="22"/>
    <x v="0"/>
    <n v="2000"/>
    <s v="KS AZS AWF Katowice"/>
    <x v="1"/>
    <x v="2"/>
    <x v="1"/>
    <x v="180"/>
  </r>
  <r>
    <x v="22"/>
    <x v="0"/>
    <n v="2000"/>
    <s v="KS AZS AWF Katowice"/>
    <x v="1"/>
    <x v="2"/>
    <x v="2"/>
    <x v="108"/>
  </r>
  <r>
    <x v="22"/>
    <x v="0"/>
    <n v="2000"/>
    <s v="KS AZS AWF Katowice"/>
    <x v="1"/>
    <x v="3"/>
    <x v="0"/>
    <x v="141"/>
  </r>
  <r>
    <x v="22"/>
    <x v="0"/>
    <n v="2000"/>
    <s v="KS AZS AWF Katowice"/>
    <x v="1"/>
    <x v="3"/>
    <x v="1"/>
    <x v="141"/>
  </r>
  <r>
    <x v="22"/>
    <x v="0"/>
    <n v="2000"/>
    <s v="KS AZS AWF Katowice"/>
    <x v="1"/>
    <x v="3"/>
    <x v="2"/>
    <x v="141"/>
  </r>
  <r>
    <x v="22"/>
    <x v="0"/>
    <n v="2000"/>
    <s v="KS AZS AWF Katowice"/>
    <x v="1"/>
    <x v="4"/>
    <x v="0"/>
    <x v="141"/>
  </r>
  <r>
    <x v="22"/>
    <x v="0"/>
    <n v="2000"/>
    <s v="KS AZS AWF Katowice"/>
    <x v="1"/>
    <x v="4"/>
    <x v="1"/>
    <x v="141"/>
  </r>
  <r>
    <x v="22"/>
    <x v="0"/>
    <n v="2000"/>
    <s v="KS AZS AWF Katowice"/>
    <x v="1"/>
    <x v="4"/>
    <x v="2"/>
    <x v="141"/>
  </r>
  <r>
    <x v="22"/>
    <x v="0"/>
    <n v="2000"/>
    <s v="KS AZS AWF Katowice"/>
    <x v="1"/>
    <x v="5"/>
    <x v="0"/>
    <x v="141"/>
  </r>
  <r>
    <x v="22"/>
    <x v="0"/>
    <n v="2000"/>
    <s v="KS AZS AWF Katowice"/>
    <x v="1"/>
    <x v="5"/>
    <x v="1"/>
    <x v="141"/>
  </r>
  <r>
    <x v="22"/>
    <x v="0"/>
    <n v="2000"/>
    <s v="KS AZS AWF Katowice"/>
    <x v="1"/>
    <x v="5"/>
    <x v="2"/>
    <x v="141"/>
  </r>
  <r>
    <x v="22"/>
    <x v="0"/>
    <n v="2000"/>
    <s v="KS AZS AWF Katowice"/>
    <x v="1"/>
    <x v="6"/>
    <x v="3"/>
    <x v="141"/>
  </r>
  <r>
    <x v="22"/>
    <x v="0"/>
    <n v="2000"/>
    <s v="KS AZS AWF Katowice"/>
    <x v="1"/>
    <x v="6"/>
    <x v="4"/>
    <x v="141"/>
  </r>
  <r>
    <x v="22"/>
    <x v="0"/>
    <n v="2000"/>
    <s v="KS AZS AWF Katowice"/>
    <x v="1"/>
    <x v="6"/>
    <x v="5"/>
    <x v="181"/>
  </r>
  <r>
    <x v="23"/>
    <x v="0"/>
    <n v="2004"/>
    <s v="MKS Gdańsk"/>
    <x v="1"/>
    <x v="0"/>
    <x v="0"/>
    <x v="141"/>
  </r>
  <r>
    <x v="23"/>
    <x v="0"/>
    <n v="2004"/>
    <s v="MKS Gdańsk"/>
    <x v="1"/>
    <x v="0"/>
    <x v="1"/>
    <x v="141"/>
  </r>
  <r>
    <x v="23"/>
    <x v="0"/>
    <n v="2004"/>
    <s v="MKS Gdańsk"/>
    <x v="1"/>
    <x v="0"/>
    <x v="2"/>
    <x v="141"/>
  </r>
  <r>
    <x v="23"/>
    <x v="0"/>
    <n v="2004"/>
    <s v="MKS Gdańsk"/>
    <x v="1"/>
    <x v="1"/>
    <x v="0"/>
    <x v="96"/>
  </r>
  <r>
    <x v="23"/>
    <x v="0"/>
    <n v="2004"/>
    <s v="MKS Gdańsk"/>
    <x v="1"/>
    <x v="1"/>
    <x v="1"/>
    <x v="0"/>
  </r>
  <r>
    <x v="23"/>
    <x v="0"/>
    <n v="2004"/>
    <s v="MKS Gdańsk"/>
    <x v="1"/>
    <x v="1"/>
    <x v="2"/>
    <x v="97"/>
  </r>
  <r>
    <x v="23"/>
    <x v="0"/>
    <n v="2004"/>
    <s v="MKS Gdańsk"/>
    <x v="1"/>
    <x v="2"/>
    <x v="0"/>
    <x v="141"/>
  </r>
  <r>
    <x v="23"/>
    <x v="0"/>
    <n v="2004"/>
    <s v="MKS Gdańsk"/>
    <x v="1"/>
    <x v="2"/>
    <x v="1"/>
    <x v="141"/>
  </r>
  <r>
    <x v="23"/>
    <x v="0"/>
    <n v="2004"/>
    <s v="MKS Gdańsk"/>
    <x v="1"/>
    <x v="2"/>
    <x v="2"/>
    <x v="141"/>
  </r>
  <r>
    <x v="23"/>
    <x v="0"/>
    <n v="2004"/>
    <s v="MKS Gdańsk"/>
    <x v="1"/>
    <x v="3"/>
    <x v="0"/>
    <x v="141"/>
  </r>
  <r>
    <x v="23"/>
    <x v="0"/>
    <n v="2004"/>
    <s v="MKS Gdańsk"/>
    <x v="1"/>
    <x v="3"/>
    <x v="1"/>
    <x v="141"/>
  </r>
  <r>
    <x v="23"/>
    <x v="0"/>
    <n v="2004"/>
    <s v="MKS Gdańsk"/>
    <x v="1"/>
    <x v="3"/>
    <x v="2"/>
    <x v="141"/>
  </r>
  <r>
    <x v="23"/>
    <x v="0"/>
    <n v="2004"/>
    <s v="MKS Gdańsk"/>
    <x v="1"/>
    <x v="4"/>
    <x v="0"/>
    <x v="141"/>
  </r>
  <r>
    <x v="23"/>
    <x v="0"/>
    <n v="2004"/>
    <s v="MKS Gdańsk"/>
    <x v="1"/>
    <x v="4"/>
    <x v="1"/>
    <x v="141"/>
  </r>
  <r>
    <x v="23"/>
    <x v="0"/>
    <n v="2004"/>
    <s v="MKS Gdańsk"/>
    <x v="1"/>
    <x v="4"/>
    <x v="2"/>
    <x v="141"/>
  </r>
  <r>
    <x v="23"/>
    <x v="0"/>
    <n v="2004"/>
    <s v="MKS Gdańsk"/>
    <x v="1"/>
    <x v="5"/>
    <x v="0"/>
    <x v="141"/>
  </r>
  <r>
    <x v="23"/>
    <x v="0"/>
    <n v="2004"/>
    <s v="MKS Gdańsk"/>
    <x v="1"/>
    <x v="5"/>
    <x v="1"/>
    <x v="141"/>
  </r>
  <r>
    <x v="23"/>
    <x v="0"/>
    <n v="2004"/>
    <s v="MKS Gdańsk"/>
    <x v="1"/>
    <x v="5"/>
    <x v="2"/>
    <x v="141"/>
  </r>
  <r>
    <x v="23"/>
    <x v="0"/>
    <n v="2004"/>
    <s v="MKS Gdańsk"/>
    <x v="1"/>
    <x v="6"/>
    <x v="3"/>
    <x v="141"/>
  </r>
  <r>
    <x v="23"/>
    <x v="0"/>
    <n v="2004"/>
    <s v="MKS Gdańsk"/>
    <x v="1"/>
    <x v="6"/>
    <x v="4"/>
    <x v="141"/>
  </r>
  <r>
    <x v="23"/>
    <x v="0"/>
    <n v="2004"/>
    <s v="MKS Gdańsk"/>
    <x v="1"/>
    <x v="6"/>
    <x v="5"/>
    <x v="97"/>
  </r>
  <r>
    <x v="24"/>
    <x v="1"/>
    <n v="2008"/>
    <s v="CWZS Zawisza KG Bydgoszcz"/>
    <x v="0"/>
    <x v="0"/>
    <x v="0"/>
    <x v="43"/>
  </r>
  <r>
    <x v="24"/>
    <x v="1"/>
    <n v="2008"/>
    <s v="CWZS Zawisza KG Bydgoszcz"/>
    <x v="0"/>
    <x v="0"/>
    <x v="1"/>
    <x v="182"/>
  </r>
  <r>
    <x v="24"/>
    <x v="1"/>
    <n v="2008"/>
    <s v="CWZS Zawisza KG Bydgoszcz"/>
    <x v="0"/>
    <x v="0"/>
    <x v="2"/>
    <x v="183"/>
  </r>
  <r>
    <x v="24"/>
    <x v="1"/>
    <n v="2008"/>
    <s v="CWZS Zawisza KG Bydgoszcz"/>
    <x v="0"/>
    <x v="1"/>
    <x v="0"/>
    <x v="39"/>
  </r>
  <r>
    <x v="24"/>
    <x v="1"/>
    <n v="2008"/>
    <s v="CWZS Zawisza KG Bydgoszcz"/>
    <x v="0"/>
    <x v="1"/>
    <x v="1"/>
    <x v="41"/>
  </r>
  <r>
    <x v="24"/>
    <x v="1"/>
    <n v="2008"/>
    <s v="CWZS Zawisza KG Bydgoszcz"/>
    <x v="0"/>
    <x v="1"/>
    <x v="2"/>
    <x v="42"/>
  </r>
  <r>
    <x v="24"/>
    <x v="1"/>
    <n v="2008"/>
    <s v="CWZS Zawisza KG Bydgoszcz"/>
    <x v="0"/>
    <x v="2"/>
    <x v="0"/>
    <x v="123"/>
  </r>
  <r>
    <x v="24"/>
    <x v="1"/>
    <n v="2008"/>
    <s v="CWZS Zawisza KG Bydgoszcz"/>
    <x v="0"/>
    <x v="2"/>
    <x v="1"/>
    <x v="14"/>
  </r>
  <r>
    <x v="24"/>
    <x v="1"/>
    <n v="2008"/>
    <s v="CWZS Zawisza KG Bydgoszcz"/>
    <x v="0"/>
    <x v="2"/>
    <x v="2"/>
    <x v="158"/>
  </r>
  <r>
    <x v="24"/>
    <x v="1"/>
    <n v="2008"/>
    <s v="CWZS Zawisza KG Bydgoszcz"/>
    <x v="0"/>
    <x v="3"/>
    <x v="0"/>
    <x v="184"/>
  </r>
  <r>
    <x v="24"/>
    <x v="1"/>
    <n v="2008"/>
    <s v="CWZS Zawisza KG Bydgoszcz"/>
    <x v="0"/>
    <x v="3"/>
    <x v="1"/>
    <x v="94"/>
  </r>
  <r>
    <x v="24"/>
    <x v="1"/>
    <n v="2008"/>
    <s v="CWZS Zawisza KG Bydgoszcz"/>
    <x v="0"/>
    <x v="3"/>
    <x v="2"/>
    <x v="75"/>
  </r>
  <r>
    <x v="24"/>
    <x v="1"/>
    <n v="2008"/>
    <s v="CWZS Zawisza KG Bydgoszcz"/>
    <x v="0"/>
    <x v="4"/>
    <x v="0"/>
    <x v="11"/>
  </r>
  <r>
    <x v="24"/>
    <x v="1"/>
    <n v="2008"/>
    <s v="CWZS Zawisza KG Bydgoszcz"/>
    <x v="0"/>
    <x v="4"/>
    <x v="1"/>
    <x v="185"/>
  </r>
  <r>
    <x v="24"/>
    <x v="1"/>
    <n v="2008"/>
    <s v="CWZS Zawisza KG Bydgoszcz"/>
    <x v="0"/>
    <x v="4"/>
    <x v="2"/>
    <x v="15"/>
  </r>
  <r>
    <x v="24"/>
    <x v="1"/>
    <n v="2008"/>
    <s v="CWZS Zawisza KG Bydgoszcz"/>
    <x v="0"/>
    <x v="5"/>
    <x v="0"/>
    <x v="127"/>
  </r>
  <r>
    <x v="24"/>
    <x v="1"/>
    <n v="2008"/>
    <s v="CWZS Zawisza KG Bydgoszcz"/>
    <x v="0"/>
    <x v="5"/>
    <x v="1"/>
    <x v="186"/>
  </r>
  <r>
    <x v="24"/>
    <x v="1"/>
    <n v="2008"/>
    <s v="CWZS Zawisza KG Bydgoszcz"/>
    <x v="0"/>
    <x v="5"/>
    <x v="2"/>
    <x v="8"/>
  </r>
  <r>
    <x v="24"/>
    <x v="1"/>
    <n v="2008"/>
    <s v="CWZS Zawisza KG Bydgoszcz"/>
    <x v="0"/>
    <x v="6"/>
    <x v="3"/>
    <x v="187"/>
  </r>
  <r>
    <x v="24"/>
    <x v="1"/>
    <n v="2008"/>
    <s v="CWZS Zawisza KG Bydgoszcz"/>
    <x v="0"/>
    <x v="6"/>
    <x v="4"/>
    <x v="188"/>
  </r>
  <r>
    <x v="24"/>
    <x v="1"/>
    <n v="2008"/>
    <s v="CWZS Zawisza KG Bydgoszcz"/>
    <x v="0"/>
    <x v="6"/>
    <x v="5"/>
    <x v="189"/>
  </r>
  <r>
    <x v="25"/>
    <x v="1"/>
    <n v="2006"/>
    <s v="MKS Gdańsk"/>
    <x v="0"/>
    <x v="0"/>
    <x v="0"/>
    <x v="104"/>
  </r>
  <r>
    <x v="25"/>
    <x v="1"/>
    <n v="2006"/>
    <s v="MKS Gdańsk"/>
    <x v="0"/>
    <x v="0"/>
    <x v="1"/>
    <x v="66"/>
  </r>
  <r>
    <x v="25"/>
    <x v="1"/>
    <n v="2006"/>
    <s v="MKS Gdańsk"/>
    <x v="0"/>
    <x v="0"/>
    <x v="2"/>
    <x v="61"/>
  </r>
  <r>
    <x v="25"/>
    <x v="1"/>
    <n v="2006"/>
    <s v="MKS Gdańsk"/>
    <x v="0"/>
    <x v="1"/>
    <x v="0"/>
    <x v="104"/>
  </r>
  <r>
    <x v="25"/>
    <x v="1"/>
    <n v="2006"/>
    <s v="MKS Gdańsk"/>
    <x v="0"/>
    <x v="1"/>
    <x v="1"/>
    <x v="14"/>
  </r>
  <r>
    <x v="25"/>
    <x v="1"/>
    <n v="2006"/>
    <s v="MKS Gdańsk"/>
    <x v="0"/>
    <x v="1"/>
    <x v="2"/>
    <x v="105"/>
  </r>
  <r>
    <x v="25"/>
    <x v="1"/>
    <n v="2006"/>
    <s v="MKS Gdańsk"/>
    <x v="0"/>
    <x v="2"/>
    <x v="0"/>
    <x v="60"/>
  </r>
  <r>
    <x v="25"/>
    <x v="1"/>
    <n v="2006"/>
    <s v="MKS Gdańsk"/>
    <x v="0"/>
    <x v="2"/>
    <x v="1"/>
    <x v="155"/>
  </r>
  <r>
    <x v="25"/>
    <x v="1"/>
    <n v="2006"/>
    <s v="MKS Gdańsk"/>
    <x v="0"/>
    <x v="2"/>
    <x v="2"/>
    <x v="190"/>
  </r>
  <r>
    <x v="25"/>
    <x v="1"/>
    <n v="2006"/>
    <s v="MKS Gdańsk"/>
    <x v="0"/>
    <x v="3"/>
    <x v="0"/>
    <x v="93"/>
  </r>
  <r>
    <x v="25"/>
    <x v="1"/>
    <n v="2006"/>
    <s v="MKS Gdańsk"/>
    <x v="0"/>
    <x v="3"/>
    <x v="1"/>
    <x v="157"/>
  </r>
  <r>
    <x v="25"/>
    <x v="1"/>
    <n v="2006"/>
    <s v="MKS Gdańsk"/>
    <x v="0"/>
    <x v="3"/>
    <x v="2"/>
    <x v="30"/>
  </r>
  <r>
    <x v="25"/>
    <x v="1"/>
    <n v="2006"/>
    <s v="MKS Gdańsk"/>
    <x v="0"/>
    <x v="4"/>
    <x v="0"/>
    <x v="60"/>
  </r>
  <r>
    <x v="25"/>
    <x v="1"/>
    <n v="2006"/>
    <s v="MKS Gdańsk"/>
    <x v="0"/>
    <x v="4"/>
    <x v="1"/>
    <x v="37"/>
  </r>
  <r>
    <x v="25"/>
    <x v="1"/>
    <n v="2006"/>
    <s v="MKS Gdańsk"/>
    <x v="0"/>
    <x v="4"/>
    <x v="2"/>
    <x v="191"/>
  </r>
  <r>
    <x v="25"/>
    <x v="1"/>
    <n v="2006"/>
    <s v="MKS Gdańsk"/>
    <x v="0"/>
    <x v="5"/>
    <x v="0"/>
    <x v="46"/>
  </r>
  <r>
    <x v="25"/>
    <x v="1"/>
    <n v="2006"/>
    <s v="MKS Gdańsk"/>
    <x v="0"/>
    <x v="5"/>
    <x v="1"/>
    <x v="185"/>
  </r>
  <r>
    <x v="25"/>
    <x v="1"/>
    <n v="2006"/>
    <s v="MKS Gdańsk"/>
    <x v="0"/>
    <x v="5"/>
    <x v="2"/>
    <x v="105"/>
  </r>
  <r>
    <x v="25"/>
    <x v="1"/>
    <n v="2006"/>
    <s v="MKS Gdańsk"/>
    <x v="0"/>
    <x v="6"/>
    <x v="3"/>
    <x v="192"/>
  </r>
  <r>
    <x v="25"/>
    <x v="1"/>
    <n v="2006"/>
    <s v="MKS Gdańsk"/>
    <x v="0"/>
    <x v="6"/>
    <x v="4"/>
    <x v="193"/>
  </r>
  <r>
    <x v="25"/>
    <x v="1"/>
    <n v="2006"/>
    <s v="MKS Gdańsk"/>
    <x v="0"/>
    <x v="6"/>
    <x v="5"/>
    <x v="194"/>
  </r>
  <r>
    <x v="26"/>
    <x v="1"/>
    <n v="2007"/>
    <s v="KS AZS AWF Kraków"/>
    <x v="0"/>
    <x v="0"/>
    <x v="0"/>
    <x v="46"/>
  </r>
  <r>
    <x v="26"/>
    <x v="1"/>
    <n v="2007"/>
    <s v="KS AZS AWF Kraków"/>
    <x v="0"/>
    <x v="0"/>
    <x v="1"/>
    <x v="150"/>
  </r>
  <r>
    <x v="26"/>
    <x v="1"/>
    <n v="2007"/>
    <s v="KS AZS AWF Kraków"/>
    <x v="0"/>
    <x v="0"/>
    <x v="2"/>
    <x v="170"/>
  </r>
  <r>
    <x v="26"/>
    <x v="1"/>
    <n v="2007"/>
    <s v="KS AZS AWF Kraków"/>
    <x v="0"/>
    <x v="1"/>
    <x v="0"/>
    <x v="133"/>
  </r>
  <r>
    <x v="26"/>
    <x v="1"/>
    <n v="2007"/>
    <s v="KS AZS AWF Kraków"/>
    <x v="0"/>
    <x v="1"/>
    <x v="1"/>
    <x v="32"/>
  </r>
  <r>
    <x v="26"/>
    <x v="1"/>
    <n v="2007"/>
    <s v="KS AZS AWF Kraków"/>
    <x v="0"/>
    <x v="1"/>
    <x v="2"/>
    <x v="195"/>
  </r>
  <r>
    <x v="26"/>
    <x v="1"/>
    <n v="2007"/>
    <s v="KS AZS AWF Kraków"/>
    <x v="0"/>
    <x v="2"/>
    <x v="0"/>
    <x v="46"/>
  </r>
  <r>
    <x v="26"/>
    <x v="1"/>
    <n v="2007"/>
    <s v="KS AZS AWF Kraków"/>
    <x v="0"/>
    <x v="2"/>
    <x v="1"/>
    <x v="89"/>
  </r>
  <r>
    <x v="26"/>
    <x v="1"/>
    <n v="2007"/>
    <s v="KS AZS AWF Kraków"/>
    <x v="0"/>
    <x v="2"/>
    <x v="2"/>
    <x v="196"/>
  </r>
  <r>
    <x v="26"/>
    <x v="1"/>
    <n v="2007"/>
    <s v="KS AZS AWF Kraków"/>
    <x v="0"/>
    <x v="3"/>
    <x v="0"/>
    <x v="43"/>
  </r>
  <r>
    <x v="26"/>
    <x v="1"/>
    <n v="2007"/>
    <s v="KS AZS AWF Kraków"/>
    <x v="0"/>
    <x v="3"/>
    <x v="1"/>
    <x v="12"/>
  </r>
  <r>
    <x v="26"/>
    <x v="1"/>
    <n v="2007"/>
    <s v="KS AZS AWF Kraków"/>
    <x v="0"/>
    <x v="3"/>
    <x v="2"/>
    <x v="15"/>
  </r>
  <r>
    <x v="26"/>
    <x v="1"/>
    <n v="2007"/>
    <s v="KS AZS AWF Kraków"/>
    <x v="0"/>
    <x v="4"/>
    <x v="0"/>
    <x v="116"/>
  </r>
  <r>
    <x v="26"/>
    <x v="1"/>
    <n v="2007"/>
    <s v="KS AZS AWF Kraków"/>
    <x v="0"/>
    <x v="4"/>
    <x v="1"/>
    <x v="25"/>
  </r>
  <r>
    <x v="26"/>
    <x v="1"/>
    <n v="2007"/>
    <s v="KS AZS AWF Kraków"/>
    <x v="0"/>
    <x v="4"/>
    <x v="2"/>
    <x v="92"/>
  </r>
  <r>
    <x v="26"/>
    <x v="1"/>
    <n v="2007"/>
    <s v="KS AZS AWF Kraków"/>
    <x v="0"/>
    <x v="5"/>
    <x v="0"/>
    <x v="48"/>
  </r>
  <r>
    <x v="26"/>
    <x v="1"/>
    <n v="2007"/>
    <s v="KS AZS AWF Kraków"/>
    <x v="0"/>
    <x v="5"/>
    <x v="1"/>
    <x v="1"/>
  </r>
  <r>
    <x v="26"/>
    <x v="1"/>
    <n v="2007"/>
    <s v="KS AZS AWF Kraków"/>
    <x v="0"/>
    <x v="5"/>
    <x v="2"/>
    <x v="197"/>
  </r>
  <r>
    <x v="26"/>
    <x v="1"/>
    <n v="2007"/>
    <s v="KS AZS AWF Kraków"/>
    <x v="0"/>
    <x v="6"/>
    <x v="3"/>
    <x v="198"/>
  </r>
  <r>
    <x v="26"/>
    <x v="1"/>
    <n v="2007"/>
    <s v="KS AZS AWF Kraków"/>
    <x v="0"/>
    <x v="6"/>
    <x v="4"/>
    <x v="199"/>
  </r>
  <r>
    <x v="26"/>
    <x v="1"/>
    <n v="2007"/>
    <s v="KS AZS AWF Kraków"/>
    <x v="0"/>
    <x v="6"/>
    <x v="5"/>
    <x v="200"/>
  </r>
  <r>
    <x v="27"/>
    <x v="1"/>
    <n v="2005"/>
    <s v="MKS Kusy Szczecin"/>
    <x v="0"/>
    <x v="0"/>
    <x v="0"/>
    <x v="11"/>
  </r>
  <r>
    <x v="27"/>
    <x v="1"/>
    <n v="2005"/>
    <s v="MKS Kusy Szczecin"/>
    <x v="0"/>
    <x v="0"/>
    <x v="1"/>
    <x v="83"/>
  </r>
  <r>
    <x v="27"/>
    <x v="1"/>
    <n v="2005"/>
    <s v="MKS Kusy Szczecin"/>
    <x v="0"/>
    <x v="0"/>
    <x v="2"/>
    <x v="38"/>
  </r>
  <r>
    <x v="27"/>
    <x v="1"/>
    <n v="2005"/>
    <s v="MKS Kusy Szczecin"/>
    <x v="0"/>
    <x v="1"/>
    <x v="0"/>
    <x v="46"/>
  </r>
  <r>
    <x v="27"/>
    <x v="1"/>
    <n v="2005"/>
    <s v="MKS Kusy Szczecin"/>
    <x v="0"/>
    <x v="1"/>
    <x v="1"/>
    <x v="150"/>
  </r>
  <r>
    <x v="27"/>
    <x v="1"/>
    <n v="2005"/>
    <s v="MKS Kusy Szczecin"/>
    <x v="0"/>
    <x v="1"/>
    <x v="2"/>
    <x v="170"/>
  </r>
  <r>
    <x v="27"/>
    <x v="1"/>
    <n v="2005"/>
    <s v="MKS Kusy Szczecin"/>
    <x v="0"/>
    <x v="2"/>
    <x v="0"/>
    <x v="153"/>
  </r>
  <r>
    <x v="27"/>
    <x v="1"/>
    <n v="2005"/>
    <s v="MKS Kusy Szczecin"/>
    <x v="0"/>
    <x v="2"/>
    <x v="1"/>
    <x v="159"/>
  </r>
  <r>
    <x v="27"/>
    <x v="1"/>
    <n v="2005"/>
    <s v="MKS Kusy Szczecin"/>
    <x v="0"/>
    <x v="2"/>
    <x v="2"/>
    <x v="197"/>
  </r>
  <r>
    <x v="27"/>
    <x v="1"/>
    <n v="2005"/>
    <s v="MKS Kusy Szczecin"/>
    <x v="0"/>
    <x v="3"/>
    <x v="0"/>
    <x v="93"/>
  </r>
  <r>
    <x v="27"/>
    <x v="1"/>
    <n v="2005"/>
    <s v="MKS Kusy Szczecin"/>
    <x v="0"/>
    <x v="3"/>
    <x v="1"/>
    <x v="201"/>
  </r>
  <r>
    <x v="27"/>
    <x v="1"/>
    <n v="2005"/>
    <s v="MKS Kusy Szczecin"/>
    <x v="0"/>
    <x v="3"/>
    <x v="2"/>
    <x v="202"/>
  </r>
  <r>
    <x v="27"/>
    <x v="1"/>
    <n v="2005"/>
    <s v="MKS Kusy Szczecin"/>
    <x v="0"/>
    <x v="4"/>
    <x v="0"/>
    <x v="93"/>
  </r>
  <r>
    <x v="27"/>
    <x v="1"/>
    <n v="2005"/>
    <s v="MKS Kusy Szczecin"/>
    <x v="0"/>
    <x v="4"/>
    <x v="1"/>
    <x v="12"/>
  </r>
  <r>
    <x v="27"/>
    <x v="1"/>
    <n v="2005"/>
    <s v="MKS Kusy Szczecin"/>
    <x v="0"/>
    <x v="4"/>
    <x v="2"/>
    <x v="105"/>
  </r>
  <r>
    <x v="27"/>
    <x v="1"/>
    <n v="2005"/>
    <s v="MKS Kusy Szczecin"/>
    <x v="0"/>
    <x v="5"/>
    <x v="0"/>
    <x v="120"/>
  </r>
  <r>
    <x v="27"/>
    <x v="1"/>
    <n v="2005"/>
    <s v="MKS Kusy Szczecin"/>
    <x v="0"/>
    <x v="5"/>
    <x v="1"/>
    <x v="162"/>
  </r>
  <r>
    <x v="27"/>
    <x v="1"/>
    <n v="2005"/>
    <s v="MKS Kusy Szczecin"/>
    <x v="0"/>
    <x v="5"/>
    <x v="2"/>
    <x v="132"/>
  </r>
  <r>
    <x v="27"/>
    <x v="1"/>
    <n v="2005"/>
    <s v="MKS Kusy Szczecin"/>
    <x v="0"/>
    <x v="6"/>
    <x v="3"/>
    <x v="203"/>
  </r>
  <r>
    <x v="27"/>
    <x v="1"/>
    <n v="2005"/>
    <s v="MKS Kusy Szczecin"/>
    <x v="0"/>
    <x v="6"/>
    <x v="4"/>
    <x v="204"/>
  </r>
  <r>
    <x v="27"/>
    <x v="1"/>
    <n v="2005"/>
    <s v="MKS Kusy Szczecin"/>
    <x v="0"/>
    <x v="6"/>
    <x v="5"/>
    <x v="205"/>
  </r>
  <r>
    <x v="28"/>
    <x v="1"/>
    <n v="2007"/>
    <s v="KS AZS AWF Kraków"/>
    <x v="0"/>
    <x v="0"/>
    <x v="0"/>
    <x v="46"/>
  </r>
  <r>
    <x v="28"/>
    <x v="1"/>
    <n v="2007"/>
    <s v="KS AZS AWF Kraków"/>
    <x v="0"/>
    <x v="0"/>
    <x v="1"/>
    <x v="10"/>
  </r>
  <r>
    <x v="28"/>
    <x v="1"/>
    <n v="2007"/>
    <s v="KS AZS AWF Kraków"/>
    <x v="0"/>
    <x v="0"/>
    <x v="2"/>
    <x v="169"/>
  </r>
  <r>
    <x v="28"/>
    <x v="1"/>
    <n v="2007"/>
    <s v="KS AZS AWF Kraków"/>
    <x v="0"/>
    <x v="1"/>
    <x v="0"/>
    <x v="116"/>
  </r>
  <r>
    <x v="28"/>
    <x v="1"/>
    <n v="2007"/>
    <s v="KS AZS AWF Kraków"/>
    <x v="0"/>
    <x v="1"/>
    <x v="1"/>
    <x v="180"/>
  </r>
  <r>
    <x v="28"/>
    <x v="1"/>
    <n v="2007"/>
    <s v="KS AZS AWF Kraków"/>
    <x v="0"/>
    <x v="1"/>
    <x v="2"/>
    <x v="47"/>
  </r>
  <r>
    <x v="28"/>
    <x v="1"/>
    <n v="2007"/>
    <s v="KS AZS AWF Kraków"/>
    <x v="0"/>
    <x v="2"/>
    <x v="0"/>
    <x v="206"/>
  </r>
  <r>
    <x v="28"/>
    <x v="1"/>
    <n v="2007"/>
    <s v="KS AZS AWF Kraków"/>
    <x v="0"/>
    <x v="2"/>
    <x v="1"/>
    <x v="89"/>
  </r>
  <r>
    <x v="28"/>
    <x v="1"/>
    <n v="2007"/>
    <s v="KS AZS AWF Kraków"/>
    <x v="0"/>
    <x v="2"/>
    <x v="2"/>
    <x v="207"/>
  </r>
  <r>
    <x v="28"/>
    <x v="1"/>
    <n v="2007"/>
    <s v="KS AZS AWF Kraków"/>
    <x v="0"/>
    <x v="3"/>
    <x v="0"/>
    <x v="123"/>
  </r>
  <r>
    <x v="28"/>
    <x v="1"/>
    <n v="2007"/>
    <s v="KS AZS AWF Kraków"/>
    <x v="0"/>
    <x v="3"/>
    <x v="1"/>
    <x v="47"/>
  </r>
  <r>
    <x v="28"/>
    <x v="1"/>
    <n v="2007"/>
    <s v="KS AZS AWF Kraków"/>
    <x v="0"/>
    <x v="3"/>
    <x v="2"/>
    <x v="166"/>
  </r>
  <r>
    <x v="28"/>
    <x v="1"/>
    <n v="2007"/>
    <s v="KS AZS AWF Kraków"/>
    <x v="0"/>
    <x v="4"/>
    <x v="0"/>
    <x v="116"/>
  </r>
  <r>
    <x v="28"/>
    <x v="1"/>
    <n v="2007"/>
    <s v="KS AZS AWF Kraków"/>
    <x v="0"/>
    <x v="4"/>
    <x v="1"/>
    <x v="49"/>
  </r>
  <r>
    <x v="28"/>
    <x v="1"/>
    <n v="2007"/>
    <s v="KS AZS AWF Kraków"/>
    <x v="0"/>
    <x v="4"/>
    <x v="2"/>
    <x v="30"/>
  </r>
  <r>
    <x v="28"/>
    <x v="1"/>
    <n v="2007"/>
    <s v="KS AZS AWF Kraków"/>
    <x v="0"/>
    <x v="5"/>
    <x v="0"/>
    <x v="127"/>
  </r>
  <r>
    <x v="28"/>
    <x v="1"/>
    <n v="2007"/>
    <s v="KS AZS AWF Kraków"/>
    <x v="0"/>
    <x v="5"/>
    <x v="1"/>
    <x v="32"/>
  </r>
  <r>
    <x v="28"/>
    <x v="1"/>
    <n v="2007"/>
    <s v="KS AZS AWF Kraków"/>
    <x v="0"/>
    <x v="5"/>
    <x v="2"/>
    <x v="208"/>
  </r>
  <r>
    <x v="28"/>
    <x v="1"/>
    <n v="2007"/>
    <s v="KS AZS AWF Kraków"/>
    <x v="0"/>
    <x v="6"/>
    <x v="3"/>
    <x v="209"/>
  </r>
  <r>
    <x v="28"/>
    <x v="1"/>
    <n v="2007"/>
    <s v="KS AZS AWF Kraków"/>
    <x v="0"/>
    <x v="6"/>
    <x v="4"/>
    <x v="210"/>
  </r>
  <r>
    <x v="28"/>
    <x v="1"/>
    <n v="2007"/>
    <s v="KS AZS AWF Kraków"/>
    <x v="0"/>
    <x v="6"/>
    <x v="5"/>
    <x v="211"/>
  </r>
  <r>
    <x v="29"/>
    <x v="1"/>
    <n v="2007"/>
    <s v="MKS Gdańsk"/>
    <x v="0"/>
    <x v="0"/>
    <x v="0"/>
    <x v="39"/>
  </r>
  <r>
    <x v="29"/>
    <x v="1"/>
    <n v="2007"/>
    <s v="MKS Gdańsk"/>
    <x v="0"/>
    <x v="0"/>
    <x v="1"/>
    <x v="59"/>
  </r>
  <r>
    <x v="29"/>
    <x v="1"/>
    <n v="2007"/>
    <s v="MKS Gdańsk"/>
    <x v="0"/>
    <x v="0"/>
    <x v="2"/>
    <x v="128"/>
  </r>
  <r>
    <x v="29"/>
    <x v="1"/>
    <n v="2007"/>
    <s v="MKS Gdańsk"/>
    <x v="0"/>
    <x v="1"/>
    <x v="0"/>
    <x v="48"/>
  </r>
  <r>
    <x v="29"/>
    <x v="1"/>
    <n v="2007"/>
    <s v="MKS Gdańsk"/>
    <x v="0"/>
    <x v="1"/>
    <x v="1"/>
    <x v="1"/>
  </r>
  <r>
    <x v="29"/>
    <x v="1"/>
    <n v="2007"/>
    <s v="MKS Gdańsk"/>
    <x v="0"/>
    <x v="1"/>
    <x v="2"/>
    <x v="197"/>
  </r>
  <r>
    <x v="29"/>
    <x v="1"/>
    <n v="2007"/>
    <s v="MKS Gdańsk"/>
    <x v="0"/>
    <x v="2"/>
    <x v="0"/>
    <x v="212"/>
  </r>
  <r>
    <x v="29"/>
    <x v="1"/>
    <n v="2007"/>
    <s v="MKS Gdańsk"/>
    <x v="0"/>
    <x v="2"/>
    <x v="1"/>
    <x v="10"/>
  </r>
  <r>
    <x v="29"/>
    <x v="1"/>
    <n v="2007"/>
    <s v="MKS Gdańsk"/>
    <x v="0"/>
    <x v="2"/>
    <x v="2"/>
    <x v="213"/>
  </r>
  <r>
    <x v="29"/>
    <x v="1"/>
    <n v="2007"/>
    <s v="MKS Gdańsk"/>
    <x v="0"/>
    <x v="3"/>
    <x v="0"/>
    <x v="123"/>
  </r>
  <r>
    <x v="29"/>
    <x v="1"/>
    <n v="2007"/>
    <s v="MKS Gdańsk"/>
    <x v="0"/>
    <x v="3"/>
    <x v="1"/>
    <x v="201"/>
  </r>
  <r>
    <x v="29"/>
    <x v="1"/>
    <n v="2007"/>
    <s v="MKS Gdańsk"/>
    <x v="0"/>
    <x v="3"/>
    <x v="2"/>
    <x v="105"/>
  </r>
  <r>
    <x v="29"/>
    <x v="1"/>
    <n v="2007"/>
    <s v="MKS Gdańsk"/>
    <x v="0"/>
    <x v="4"/>
    <x v="0"/>
    <x v="120"/>
  </r>
  <r>
    <x v="29"/>
    <x v="1"/>
    <n v="2007"/>
    <s v="MKS Gdańsk"/>
    <x v="0"/>
    <x v="4"/>
    <x v="1"/>
    <x v="59"/>
  </r>
  <r>
    <x v="29"/>
    <x v="1"/>
    <n v="2007"/>
    <s v="MKS Gdańsk"/>
    <x v="0"/>
    <x v="4"/>
    <x v="2"/>
    <x v="207"/>
  </r>
  <r>
    <x v="29"/>
    <x v="1"/>
    <n v="2007"/>
    <s v="MKS Gdańsk"/>
    <x v="0"/>
    <x v="5"/>
    <x v="0"/>
    <x v="214"/>
  </r>
  <r>
    <x v="29"/>
    <x v="1"/>
    <n v="2007"/>
    <s v="MKS Gdańsk"/>
    <x v="0"/>
    <x v="5"/>
    <x v="1"/>
    <x v="14"/>
  </r>
  <r>
    <x v="29"/>
    <x v="1"/>
    <n v="2007"/>
    <s v="MKS Gdańsk"/>
    <x v="0"/>
    <x v="5"/>
    <x v="2"/>
    <x v="207"/>
  </r>
  <r>
    <x v="29"/>
    <x v="1"/>
    <n v="2007"/>
    <s v="MKS Gdańsk"/>
    <x v="0"/>
    <x v="6"/>
    <x v="3"/>
    <x v="215"/>
  </r>
  <r>
    <x v="29"/>
    <x v="1"/>
    <n v="2007"/>
    <s v="MKS Gdańsk"/>
    <x v="0"/>
    <x v="6"/>
    <x v="4"/>
    <x v="210"/>
  </r>
  <r>
    <x v="29"/>
    <x v="1"/>
    <n v="2007"/>
    <s v="MKS Gdańsk"/>
    <x v="0"/>
    <x v="6"/>
    <x v="5"/>
    <x v="216"/>
  </r>
  <r>
    <x v="30"/>
    <x v="1"/>
    <n v="2006"/>
    <s v="KS AZS AWF Kraków"/>
    <x v="0"/>
    <x v="0"/>
    <x v="0"/>
    <x v="153"/>
  </r>
  <r>
    <x v="30"/>
    <x v="1"/>
    <n v="2006"/>
    <s v="KS AZS AWF Kraków"/>
    <x v="0"/>
    <x v="0"/>
    <x v="1"/>
    <x v="20"/>
  </r>
  <r>
    <x v="30"/>
    <x v="1"/>
    <n v="2006"/>
    <s v="KS AZS AWF Kraków"/>
    <x v="0"/>
    <x v="0"/>
    <x v="2"/>
    <x v="126"/>
  </r>
  <r>
    <x v="30"/>
    <x v="1"/>
    <n v="2006"/>
    <s v="KS AZS AWF Kraków"/>
    <x v="0"/>
    <x v="1"/>
    <x v="0"/>
    <x v="104"/>
  </r>
  <r>
    <x v="30"/>
    <x v="1"/>
    <n v="2006"/>
    <s v="KS AZS AWF Kraków"/>
    <x v="0"/>
    <x v="1"/>
    <x v="1"/>
    <x v="155"/>
  </r>
  <r>
    <x v="30"/>
    <x v="1"/>
    <n v="2006"/>
    <s v="KS AZS AWF Kraków"/>
    <x v="0"/>
    <x v="1"/>
    <x v="2"/>
    <x v="195"/>
  </r>
  <r>
    <x v="30"/>
    <x v="1"/>
    <n v="2006"/>
    <s v="KS AZS AWF Kraków"/>
    <x v="0"/>
    <x v="2"/>
    <x v="0"/>
    <x v="206"/>
  </r>
  <r>
    <x v="30"/>
    <x v="1"/>
    <n v="2006"/>
    <s v="KS AZS AWF Kraków"/>
    <x v="0"/>
    <x v="2"/>
    <x v="1"/>
    <x v="125"/>
  </r>
  <r>
    <x v="30"/>
    <x v="1"/>
    <n v="2006"/>
    <s v="KS AZS AWF Kraków"/>
    <x v="0"/>
    <x v="2"/>
    <x v="2"/>
    <x v="27"/>
  </r>
  <r>
    <x v="30"/>
    <x v="1"/>
    <n v="2006"/>
    <s v="KS AZS AWF Kraków"/>
    <x v="0"/>
    <x v="3"/>
    <x v="0"/>
    <x v="212"/>
  </r>
  <r>
    <x v="30"/>
    <x v="1"/>
    <n v="2006"/>
    <s v="KS AZS AWF Kraków"/>
    <x v="0"/>
    <x v="3"/>
    <x v="1"/>
    <x v="83"/>
  </r>
  <r>
    <x v="30"/>
    <x v="1"/>
    <n v="2006"/>
    <s v="KS AZS AWF Kraków"/>
    <x v="0"/>
    <x v="3"/>
    <x v="2"/>
    <x v="69"/>
  </r>
  <r>
    <x v="30"/>
    <x v="1"/>
    <n v="2006"/>
    <s v="KS AZS AWF Kraków"/>
    <x v="0"/>
    <x v="4"/>
    <x v="0"/>
    <x v="120"/>
  </r>
  <r>
    <x v="30"/>
    <x v="1"/>
    <n v="2006"/>
    <s v="KS AZS AWF Kraków"/>
    <x v="0"/>
    <x v="4"/>
    <x v="1"/>
    <x v="14"/>
  </r>
  <r>
    <x v="30"/>
    <x v="1"/>
    <n v="2006"/>
    <s v="KS AZS AWF Kraków"/>
    <x v="0"/>
    <x v="4"/>
    <x v="2"/>
    <x v="50"/>
  </r>
  <r>
    <x v="30"/>
    <x v="1"/>
    <n v="2006"/>
    <s v="KS AZS AWF Kraków"/>
    <x v="0"/>
    <x v="5"/>
    <x v="0"/>
    <x v="120"/>
  </r>
  <r>
    <x v="30"/>
    <x v="1"/>
    <n v="2006"/>
    <s v="KS AZS AWF Kraków"/>
    <x v="0"/>
    <x v="5"/>
    <x v="1"/>
    <x v="1"/>
  </r>
  <r>
    <x v="30"/>
    <x v="1"/>
    <n v="2006"/>
    <s v="KS AZS AWF Kraków"/>
    <x v="0"/>
    <x v="5"/>
    <x v="2"/>
    <x v="217"/>
  </r>
  <r>
    <x v="30"/>
    <x v="1"/>
    <n v="2006"/>
    <s v="KS AZS AWF Kraków"/>
    <x v="0"/>
    <x v="6"/>
    <x v="3"/>
    <x v="218"/>
  </r>
  <r>
    <x v="30"/>
    <x v="1"/>
    <n v="2006"/>
    <s v="KS AZS AWF Kraków"/>
    <x v="0"/>
    <x v="6"/>
    <x v="4"/>
    <x v="219"/>
  </r>
  <r>
    <x v="30"/>
    <x v="1"/>
    <n v="2006"/>
    <s v="KS AZS AWF Kraków"/>
    <x v="0"/>
    <x v="6"/>
    <x v="5"/>
    <x v="220"/>
  </r>
  <r>
    <x v="31"/>
    <x v="1"/>
    <n v="2006"/>
    <s v="MKS Gdańsk"/>
    <x v="0"/>
    <x v="0"/>
    <x v="0"/>
    <x v="96"/>
  </r>
  <r>
    <x v="31"/>
    <x v="1"/>
    <n v="2006"/>
    <s v="MKS Gdańsk"/>
    <x v="0"/>
    <x v="0"/>
    <x v="1"/>
    <x v="1"/>
  </r>
  <r>
    <x v="31"/>
    <x v="1"/>
    <n v="2006"/>
    <s v="MKS Gdańsk"/>
    <x v="0"/>
    <x v="0"/>
    <x v="2"/>
    <x v="190"/>
  </r>
  <r>
    <x v="31"/>
    <x v="1"/>
    <n v="2006"/>
    <s v="MKS Gdańsk"/>
    <x v="0"/>
    <x v="1"/>
    <x v="0"/>
    <x v="184"/>
  </r>
  <r>
    <x v="31"/>
    <x v="1"/>
    <n v="2006"/>
    <s v="MKS Gdańsk"/>
    <x v="0"/>
    <x v="1"/>
    <x v="1"/>
    <x v="221"/>
  </r>
  <r>
    <x v="31"/>
    <x v="1"/>
    <n v="2006"/>
    <s v="MKS Gdańsk"/>
    <x v="0"/>
    <x v="1"/>
    <x v="2"/>
    <x v="144"/>
  </r>
  <r>
    <x v="31"/>
    <x v="1"/>
    <n v="2006"/>
    <s v="MKS Gdańsk"/>
    <x v="0"/>
    <x v="2"/>
    <x v="0"/>
    <x v="99"/>
  </r>
  <r>
    <x v="31"/>
    <x v="1"/>
    <n v="2006"/>
    <s v="MKS Gdańsk"/>
    <x v="0"/>
    <x v="2"/>
    <x v="1"/>
    <x v="74"/>
  </r>
  <r>
    <x v="31"/>
    <x v="1"/>
    <n v="2006"/>
    <s v="MKS Gdańsk"/>
    <x v="0"/>
    <x v="2"/>
    <x v="2"/>
    <x v="27"/>
  </r>
  <r>
    <x v="31"/>
    <x v="1"/>
    <n v="2006"/>
    <s v="MKS Gdańsk"/>
    <x v="0"/>
    <x v="3"/>
    <x v="0"/>
    <x v="212"/>
  </r>
  <r>
    <x v="31"/>
    <x v="1"/>
    <n v="2006"/>
    <s v="MKS Gdańsk"/>
    <x v="0"/>
    <x v="3"/>
    <x v="1"/>
    <x v="110"/>
  </r>
  <r>
    <x v="31"/>
    <x v="1"/>
    <n v="2006"/>
    <s v="MKS Gdańsk"/>
    <x v="0"/>
    <x v="3"/>
    <x v="2"/>
    <x v="75"/>
  </r>
  <r>
    <x v="31"/>
    <x v="1"/>
    <n v="2006"/>
    <s v="MKS Gdańsk"/>
    <x v="0"/>
    <x v="4"/>
    <x v="0"/>
    <x v="120"/>
  </r>
  <r>
    <x v="31"/>
    <x v="1"/>
    <n v="2006"/>
    <s v="MKS Gdańsk"/>
    <x v="0"/>
    <x v="4"/>
    <x v="1"/>
    <x v="155"/>
  </r>
  <r>
    <x v="31"/>
    <x v="1"/>
    <n v="2006"/>
    <s v="MKS Gdańsk"/>
    <x v="0"/>
    <x v="4"/>
    <x v="2"/>
    <x v="126"/>
  </r>
  <r>
    <x v="31"/>
    <x v="1"/>
    <n v="2006"/>
    <s v="MKS Gdańsk"/>
    <x v="0"/>
    <x v="5"/>
    <x v="0"/>
    <x v="222"/>
  </r>
  <r>
    <x v="31"/>
    <x v="1"/>
    <n v="2006"/>
    <s v="MKS Gdańsk"/>
    <x v="0"/>
    <x v="5"/>
    <x v="1"/>
    <x v="185"/>
  </r>
  <r>
    <x v="31"/>
    <x v="1"/>
    <n v="2006"/>
    <s v="MKS Gdańsk"/>
    <x v="0"/>
    <x v="5"/>
    <x v="2"/>
    <x v="223"/>
  </r>
  <r>
    <x v="31"/>
    <x v="1"/>
    <n v="2006"/>
    <s v="MKS Gdańsk"/>
    <x v="0"/>
    <x v="6"/>
    <x v="3"/>
    <x v="224"/>
  </r>
  <r>
    <x v="31"/>
    <x v="1"/>
    <n v="2006"/>
    <s v="MKS Gdańsk"/>
    <x v="0"/>
    <x v="6"/>
    <x v="4"/>
    <x v="225"/>
  </r>
  <r>
    <x v="31"/>
    <x v="1"/>
    <n v="2006"/>
    <s v="MKS Gdańsk"/>
    <x v="0"/>
    <x v="6"/>
    <x v="5"/>
    <x v="226"/>
  </r>
  <r>
    <x v="32"/>
    <x v="1"/>
    <n v="2006"/>
    <s v="MKS Gdańsk"/>
    <x v="0"/>
    <x v="0"/>
    <x v="0"/>
    <x v="120"/>
  </r>
  <r>
    <x v="32"/>
    <x v="1"/>
    <n v="2006"/>
    <s v="MKS Gdańsk"/>
    <x v="0"/>
    <x v="0"/>
    <x v="1"/>
    <x v="22"/>
  </r>
  <r>
    <x v="32"/>
    <x v="1"/>
    <n v="2006"/>
    <s v="MKS Gdańsk"/>
    <x v="0"/>
    <x v="0"/>
    <x v="2"/>
    <x v="78"/>
  </r>
  <r>
    <x v="32"/>
    <x v="1"/>
    <n v="2006"/>
    <s v="MKS Gdańsk"/>
    <x v="0"/>
    <x v="1"/>
    <x v="0"/>
    <x v="184"/>
  </r>
  <r>
    <x v="32"/>
    <x v="1"/>
    <n v="2006"/>
    <s v="MKS Gdańsk"/>
    <x v="0"/>
    <x v="1"/>
    <x v="1"/>
    <x v="227"/>
  </r>
  <r>
    <x v="32"/>
    <x v="1"/>
    <n v="2006"/>
    <s v="MKS Gdańsk"/>
    <x v="0"/>
    <x v="1"/>
    <x v="2"/>
    <x v="221"/>
  </r>
  <r>
    <x v="32"/>
    <x v="1"/>
    <n v="2006"/>
    <s v="MKS Gdańsk"/>
    <x v="0"/>
    <x v="2"/>
    <x v="0"/>
    <x v="176"/>
  </r>
  <r>
    <x v="32"/>
    <x v="1"/>
    <n v="2006"/>
    <s v="MKS Gdańsk"/>
    <x v="0"/>
    <x v="2"/>
    <x v="1"/>
    <x v="74"/>
  </r>
  <r>
    <x v="32"/>
    <x v="1"/>
    <n v="2006"/>
    <s v="MKS Gdańsk"/>
    <x v="0"/>
    <x v="2"/>
    <x v="2"/>
    <x v="47"/>
  </r>
  <r>
    <x v="32"/>
    <x v="1"/>
    <n v="2006"/>
    <s v="MKS Gdańsk"/>
    <x v="0"/>
    <x v="3"/>
    <x v="0"/>
    <x v="228"/>
  </r>
  <r>
    <x v="32"/>
    <x v="1"/>
    <n v="2006"/>
    <s v="MKS Gdańsk"/>
    <x v="0"/>
    <x v="3"/>
    <x v="1"/>
    <x v="229"/>
  </r>
  <r>
    <x v="32"/>
    <x v="1"/>
    <n v="2006"/>
    <s v="MKS Gdańsk"/>
    <x v="0"/>
    <x v="3"/>
    <x v="2"/>
    <x v="177"/>
  </r>
  <r>
    <x v="32"/>
    <x v="1"/>
    <n v="2006"/>
    <s v="MKS Gdańsk"/>
    <x v="0"/>
    <x v="4"/>
    <x v="0"/>
    <x v="120"/>
  </r>
  <r>
    <x v="32"/>
    <x v="1"/>
    <n v="2006"/>
    <s v="MKS Gdańsk"/>
    <x v="0"/>
    <x v="4"/>
    <x v="1"/>
    <x v="185"/>
  </r>
  <r>
    <x v="32"/>
    <x v="1"/>
    <n v="2006"/>
    <s v="MKS Gdańsk"/>
    <x v="0"/>
    <x v="4"/>
    <x v="2"/>
    <x v="191"/>
  </r>
  <r>
    <x v="32"/>
    <x v="1"/>
    <n v="2006"/>
    <s v="MKS Gdańsk"/>
    <x v="0"/>
    <x v="5"/>
    <x v="0"/>
    <x v="222"/>
  </r>
  <r>
    <x v="32"/>
    <x v="1"/>
    <n v="2006"/>
    <s v="MKS Gdańsk"/>
    <x v="0"/>
    <x v="5"/>
    <x v="1"/>
    <x v="230"/>
  </r>
  <r>
    <x v="32"/>
    <x v="1"/>
    <n v="2006"/>
    <s v="MKS Gdańsk"/>
    <x v="0"/>
    <x v="5"/>
    <x v="2"/>
    <x v="145"/>
  </r>
  <r>
    <x v="32"/>
    <x v="1"/>
    <n v="2006"/>
    <s v="MKS Gdańsk"/>
    <x v="0"/>
    <x v="6"/>
    <x v="3"/>
    <x v="231"/>
  </r>
  <r>
    <x v="32"/>
    <x v="1"/>
    <n v="2006"/>
    <s v="MKS Gdańsk"/>
    <x v="0"/>
    <x v="6"/>
    <x v="4"/>
    <x v="232"/>
  </r>
  <r>
    <x v="32"/>
    <x v="1"/>
    <n v="2006"/>
    <s v="MKS Gdańsk"/>
    <x v="0"/>
    <x v="6"/>
    <x v="5"/>
    <x v="233"/>
  </r>
  <r>
    <x v="33"/>
    <x v="1"/>
    <n v="2006"/>
    <s v="MKS Gdańsk"/>
    <x v="1"/>
    <x v="0"/>
    <x v="0"/>
    <x v="141"/>
  </r>
  <r>
    <x v="33"/>
    <x v="1"/>
    <n v="2006"/>
    <s v="MKS Gdańsk"/>
    <x v="1"/>
    <x v="0"/>
    <x v="1"/>
    <x v="141"/>
  </r>
  <r>
    <x v="33"/>
    <x v="1"/>
    <n v="2006"/>
    <s v="MKS Gdańsk"/>
    <x v="1"/>
    <x v="0"/>
    <x v="2"/>
    <x v="141"/>
  </r>
  <r>
    <x v="33"/>
    <x v="1"/>
    <n v="2006"/>
    <s v="MKS Gdańsk"/>
    <x v="1"/>
    <x v="1"/>
    <x v="0"/>
    <x v="48"/>
  </r>
  <r>
    <x v="33"/>
    <x v="1"/>
    <n v="2006"/>
    <s v="MKS Gdańsk"/>
    <x v="1"/>
    <x v="1"/>
    <x v="1"/>
    <x v="1"/>
  </r>
  <r>
    <x v="33"/>
    <x v="1"/>
    <n v="2006"/>
    <s v="MKS Gdańsk"/>
    <x v="1"/>
    <x v="1"/>
    <x v="2"/>
    <x v="197"/>
  </r>
  <r>
    <x v="33"/>
    <x v="1"/>
    <n v="2006"/>
    <s v="MKS Gdańsk"/>
    <x v="1"/>
    <x v="2"/>
    <x v="0"/>
    <x v="234"/>
  </r>
  <r>
    <x v="33"/>
    <x v="1"/>
    <n v="2006"/>
    <s v="MKS Gdańsk"/>
    <x v="1"/>
    <x v="2"/>
    <x v="1"/>
    <x v="7"/>
  </r>
  <r>
    <x v="33"/>
    <x v="1"/>
    <n v="2006"/>
    <s v="MKS Gdańsk"/>
    <x v="1"/>
    <x v="2"/>
    <x v="2"/>
    <x v="160"/>
  </r>
  <r>
    <x v="33"/>
    <x v="1"/>
    <n v="2006"/>
    <s v="MKS Gdańsk"/>
    <x v="1"/>
    <x v="3"/>
    <x v="0"/>
    <x v="228"/>
  </r>
  <r>
    <x v="33"/>
    <x v="1"/>
    <n v="2006"/>
    <s v="MKS Gdańsk"/>
    <x v="1"/>
    <x v="3"/>
    <x v="1"/>
    <x v="12"/>
  </r>
  <r>
    <x v="33"/>
    <x v="1"/>
    <n v="2006"/>
    <s v="MKS Gdańsk"/>
    <x v="1"/>
    <x v="3"/>
    <x v="2"/>
    <x v="235"/>
  </r>
  <r>
    <x v="33"/>
    <x v="1"/>
    <n v="2006"/>
    <s v="MKS Gdańsk"/>
    <x v="1"/>
    <x v="4"/>
    <x v="0"/>
    <x v="212"/>
  </r>
  <r>
    <x v="33"/>
    <x v="1"/>
    <n v="2006"/>
    <s v="MKS Gdańsk"/>
    <x v="1"/>
    <x v="4"/>
    <x v="1"/>
    <x v="37"/>
  </r>
  <r>
    <x v="33"/>
    <x v="1"/>
    <n v="2006"/>
    <s v="MKS Gdańsk"/>
    <x v="1"/>
    <x v="4"/>
    <x v="2"/>
    <x v="235"/>
  </r>
  <r>
    <x v="33"/>
    <x v="1"/>
    <n v="2006"/>
    <s v="MKS Gdańsk"/>
    <x v="1"/>
    <x v="5"/>
    <x v="0"/>
    <x v="214"/>
  </r>
  <r>
    <x v="33"/>
    <x v="1"/>
    <n v="2006"/>
    <s v="MKS Gdańsk"/>
    <x v="1"/>
    <x v="5"/>
    <x v="1"/>
    <x v="12"/>
  </r>
  <r>
    <x v="33"/>
    <x v="1"/>
    <n v="2006"/>
    <s v="MKS Gdańsk"/>
    <x v="1"/>
    <x v="5"/>
    <x v="2"/>
    <x v="177"/>
  </r>
  <r>
    <x v="33"/>
    <x v="1"/>
    <n v="2006"/>
    <s v="MKS Gdańsk"/>
    <x v="1"/>
    <x v="6"/>
    <x v="3"/>
    <x v="141"/>
  </r>
  <r>
    <x v="33"/>
    <x v="1"/>
    <n v="2006"/>
    <s v="MKS Gdańsk"/>
    <x v="1"/>
    <x v="6"/>
    <x v="4"/>
    <x v="141"/>
  </r>
  <r>
    <x v="33"/>
    <x v="1"/>
    <n v="2006"/>
    <s v="MKS Gdańsk"/>
    <x v="1"/>
    <x v="6"/>
    <x v="5"/>
    <x v="236"/>
  </r>
  <r>
    <x v="34"/>
    <x v="1"/>
    <n v="2006"/>
    <s v="KS AZS AWF Kraków"/>
    <x v="1"/>
    <x v="0"/>
    <x v="0"/>
    <x v="48"/>
  </r>
  <r>
    <x v="34"/>
    <x v="1"/>
    <n v="2006"/>
    <s v="KS AZS AWF Kraków"/>
    <x v="1"/>
    <x v="0"/>
    <x v="1"/>
    <x v="132"/>
  </r>
  <r>
    <x v="34"/>
    <x v="1"/>
    <n v="2006"/>
    <s v="KS AZS AWF Kraków"/>
    <x v="1"/>
    <x v="0"/>
    <x v="2"/>
    <x v="235"/>
  </r>
  <r>
    <x v="34"/>
    <x v="1"/>
    <n v="2006"/>
    <s v="KS AZS AWF Kraków"/>
    <x v="1"/>
    <x v="1"/>
    <x v="0"/>
    <x v="212"/>
  </r>
  <r>
    <x v="34"/>
    <x v="1"/>
    <n v="2006"/>
    <s v="KS AZS AWF Kraków"/>
    <x v="1"/>
    <x v="1"/>
    <x v="1"/>
    <x v="237"/>
  </r>
  <r>
    <x v="34"/>
    <x v="1"/>
    <n v="2006"/>
    <s v="KS AZS AWF Kraków"/>
    <x v="1"/>
    <x v="1"/>
    <x v="2"/>
    <x v="25"/>
  </r>
  <r>
    <x v="34"/>
    <x v="1"/>
    <n v="2006"/>
    <s v="KS AZS AWF Kraków"/>
    <x v="1"/>
    <x v="2"/>
    <x v="0"/>
    <x v="214"/>
  </r>
  <r>
    <x v="34"/>
    <x v="1"/>
    <n v="2006"/>
    <s v="KS AZS AWF Kraków"/>
    <x v="1"/>
    <x v="2"/>
    <x v="1"/>
    <x v="163"/>
  </r>
  <r>
    <x v="34"/>
    <x v="1"/>
    <n v="2006"/>
    <s v="KS AZS AWF Kraków"/>
    <x v="1"/>
    <x v="2"/>
    <x v="2"/>
    <x v="185"/>
  </r>
  <r>
    <x v="34"/>
    <x v="1"/>
    <n v="2006"/>
    <s v="KS AZS AWF Kraków"/>
    <x v="1"/>
    <x v="3"/>
    <x v="0"/>
    <x v="212"/>
  </r>
  <r>
    <x v="34"/>
    <x v="1"/>
    <n v="2006"/>
    <s v="KS AZS AWF Kraków"/>
    <x v="1"/>
    <x v="3"/>
    <x v="1"/>
    <x v="132"/>
  </r>
  <r>
    <x v="34"/>
    <x v="1"/>
    <n v="2006"/>
    <s v="KS AZS AWF Kraków"/>
    <x v="1"/>
    <x v="3"/>
    <x v="2"/>
    <x v="207"/>
  </r>
  <r>
    <x v="34"/>
    <x v="1"/>
    <n v="2006"/>
    <s v="KS AZS AWF Kraków"/>
    <x v="1"/>
    <x v="4"/>
    <x v="0"/>
    <x v="206"/>
  </r>
  <r>
    <x v="34"/>
    <x v="1"/>
    <n v="2006"/>
    <s v="KS AZS AWF Kraków"/>
    <x v="1"/>
    <x v="4"/>
    <x v="1"/>
    <x v="155"/>
  </r>
  <r>
    <x v="34"/>
    <x v="1"/>
    <n v="2006"/>
    <s v="KS AZS AWF Kraków"/>
    <x v="1"/>
    <x v="4"/>
    <x v="2"/>
    <x v="238"/>
  </r>
  <r>
    <x v="34"/>
    <x v="1"/>
    <n v="2006"/>
    <s v="KS AZS AWF Kraków"/>
    <x v="1"/>
    <x v="5"/>
    <x v="0"/>
    <x v="141"/>
  </r>
  <r>
    <x v="34"/>
    <x v="1"/>
    <n v="2006"/>
    <s v="KS AZS AWF Kraków"/>
    <x v="1"/>
    <x v="5"/>
    <x v="1"/>
    <x v="141"/>
  </r>
  <r>
    <x v="34"/>
    <x v="1"/>
    <n v="2006"/>
    <s v="KS AZS AWF Kraków"/>
    <x v="1"/>
    <x v="5"/>
    <x v="2"/>
    <x v="141"/>
  </r>
  <r>
    <x v="34"/>
    <x v="1"/>
    <n v="2006"/>
    <s v="KS AZS AWF Kraków"/>
    <x v="1"/>
    <x v="6"/>
    <x v="3"/>
    <x v="141"/>
  </r>
  <r>
    <x v="34"/>
    <x v="1"/>
    <n v="2006"/>
    <s v="KS AZS AWF Kraków"/>
    <x v="1"/>
    <x v="6"/>
    <x v="4"/>
    <x v="141"/>
  </r>
  <r>
    <x v="34"/>
    <x v="1"/>
    <n v="2006"/>
    <s v="KS AZS AWF Kraków"/>
    <x v="1"/>
    <x v="6"/>
    <x v="5"/>
    <x v="239"/>
  </r>
  <r>
    <x v="35"/>
    <x v="1"/>
    <n v="2006"/>
    <s v="KG Radlin"/>
    <x v="1"/>
    <x v="0"/>
    <x v="0"/>
    <x v="120"/>
  </r>
  <r>
    <x v="35"/>
    <x v="1"/>
    <n v="2006"/>
    <s v="KG Radlin"/>
    <x v="1"/>
    <x v="0"/>
    <x v="1"/>
    <x v="172"/>
  </r>
  <r>
    <x v="35"/>
    <x v="1"/>
    <n v="2006"/>
    <s v="KG Radlin"/>
    <x v="1"/>
    <x v="0"/>
    <x v="2"/>
    <x v="100"/>
  </r>
  <r>
    <x v="35"/>
    <x v="1"/>
    <n v="2006"/>
    <s v="KG Radlin"/>
    <x v="1"/>
    <x v="1"/>
    <x v="0"/>
    <x v="141"/>
  </r>
  <r>
    <x v="35"/>
    <x v="1"/>
    <n v="2006"/>
    <s v="KG Radlin"/>
    <x v="1"/>
    <x v="1"/>
    <x v="1"/>
    <x v="141"/>
  </r>
  <r>
    <x v="35"/>
    <x v="1"/>
    <n v="2006"/>
    <s v="KG Radlin"/>
    <x v="1"/>
    <x v="1"/>
    <x v="2"/>
    <x v="141"/>
  </r>
  <r>
    <x v="35"/>
    <x v="1"/>
    <n v="2006"/>
    <s v="KG Radlin"/>
    <x v="1"/>
    <x v="2"/>
    <x v="0"/>
    <x v="240"/>
  </r>
  <r>
    <x v="35"/>
    <x v="1"/>
    <n v="2006"/>
    <s v="KG Radlin"/>
    <x v="1"/>
    <x v="2"/>
    <x v="1"/>
    <x v="241"/>
  </r>
  <r>
    <x v="35"/>
    <x v="1"/>
    <n v="2006"/>
    <s v="KG Radlin"/>
    <x v="1"/>
    <x v="2"/>
    <x v="2"/>
    <x v="44"/>
  </r>
  <r>
    <x v="35"/>
    <x v="1"/>
    <n v="2006"/>
    <s v="KG Radlin"/>
    <x v="1"/>
    <x v="3"/>
    <x v="0"/>
    <x v="184"/>
  </r>
  <r>
    <x v="35"/>
    <x v="1"/>
    <n v="2006"/>
    <s v="KG Radlin"/>
    <x v="1"/>
    <x v="3"/>
    <x v="1"/>
    <x v="12"/>
  </r>
  <r>
    <x v="35"/>
    <x v="1"/>
    <n v="2006"/>
    <s v="KG Radlin"/>
    <x v="1"/>
    <x v="3"/>
    <x v="2"/>
    <x v="164"/>
  </r>
  <r>
    <x v="35"/>
    <x v="1"/>
    <n v="2006"/>
    <s v="KG Radlin"/>
    <x v="1"/>
    <x v="4"/>
    <x v="0"/>
    <x v="141"/>
  </r>
  <r>
    <x v="35"/>
    <x v="1"/>
    <n v="2006"/>
    <s v="KG Radlin"/>
    <x v="1"/>
    <x v="4"/>
    <x v="1"/>
    <x v="141"/>
  </r>
  <r>
    <x v="35"/>
    <x v="1"/>
    <n v="2006"/>
    <s v="KG Radlin"/>
    <x v="1"/>
    <x v="4"/>
    <x v="2"/>
    <x v="141"/>
  </r>
  <r>
    <x v="35"/>
    <x v="1"/>
    <n v="2006"/>
    <s v="KG Radlin"/>
    <x v="1"/>
    <x v="5"/>
    <x v="0"/>
    <x v="240"/>
  </r>
  <r>
    <x v="35"/>
    <x v="1"/>
    <n v="2006"/>
    <s v="KG Radlin"/>
    <x v="1"/>
    <x v="5"/>
    <x v="1"/>
    <x v="29"/>
  </r>
  <r>
    <x v="35"/>
    <x v="1"/>
    <n v="2006"/>
    <s v="KG Radlin"/>
    <x v="1"/>
    <x v="5"/>
    <x v="2"/>
    <x v="185"/>
  </r>
  <r>
    <x v="35"/>
    <x v="1"/>
    <n v="2006"/>
    <s v="KG Radlin"/>
    <x v="1"/>
    <x v="6"/>
    <x v="3"/>
    <x v="141"/>
  </r>
  <r>
    <x v="35"/>
    <x v="1"/>
    <n v="2006"/>
    <s v="KG Radlin"/>
    <x v="1"/>
    <x v="6"/>
    <x v="4"/>
    <x v="141"/>
  </r>
  <r>
    <x v="35"/>
    <x v="1"/>
    <n v="2006"/>
    <s v="KG Radlin"/>
    <x v="1"/>
    <x v="6"/>
    <x v="5"/>
    <x v="242"/>
  </r>
  <r>
    <x v="36"/>
    <x v="1"/>
    <n v="2007"/>
    <s v="MKS Gdańsk"/>
    <x v="1"/>
    <x v="0"/>
    <x v="0"/>
    <x v="88"/>
  </r>
  <r>
    <x v="36"/>
    <x v="1"/>
    <n v="2007"/>
    <s v="MKS Gdańsk"/>
    <x v="1"/>
    <x v="0"/>
    <x v="1"/>
    <x v="241"/>
  </r>
  <r>
    <x v="36"/>
    <x v="1"/>
    <n v="2007"/>
    <s v="MKS Gdańsk"/>
    <x v="1"/>
    <x v="0"/>
    <x v="2"/>
    <x v="75"/>
  </r>
  <r>
    <x v="36"/>
    <x v="1"/>
    <n v="2007"/>
    <s v="MKS Gdańsk"/>
    <x v="1"/>
    <x v="1"/>
    <x v="0"/>
    <x v="141"/>
  </r>
  <r>
    <x v="36"/>
    <x v="1"/>
    <n v="2007"/>
    <s v="MKS Gdańsk"/>
    <x v="1"/>
    <x v="1"/>
    <x v="1"/>
    <x v="141"/>
  </r>
  <r>
    <x v="36"/>
    <x v="1"/>
    <n v="2007"/>
    <s v="MKS Gdańsk"/>
    <x v="1"/>
    <x v="1"/>
    <x v="2"/>
    <x v="141"/>
  </r>
  <r>
    <x v="36"/>
    <x v="1"/>
    <n v="2007"/>
    <s v="MKS Gdańsk"/>
    <x v="1"/>
    <x v="2"/>
    <x v="0"/>
    <x v="60"/>
  </r>
  <r>
    <x v="36"/>
    <x v="1"/>
    <n v="2007"/>
    <s v="MKS Gdańsk"/>
    <x v="1"/>
    <x v="2"/>
    <x v="1"/>
    <x v="132"/>
  </r>
  <r>
    <x v="36"/>
    <x v="1"/>
    <n v="2007"/>
    <s v="MKS Gdańsk"/>
    <x v="1"/>
    <x v="2"/>
    <x v="2"/>
    <x v="50"/>
  </r>
  <r>
    <x v="36"/>
    <x v="1"/>
    <n v="2007"/>
    <s v="MKS Gdańsk"/>
    <x v="1"/>
    <x v="3"/>
    <x v="0"/>
    <x v="141"/>
  </r>
  <r>
    <x v="36"/>
    <x v="1"/>
    <n v="2007"/>
    <s v="MKS Gdańsk"/>
    <x v="1"/>
    <x v="3"/>
    <x v="1"/>
    <x v="141"/>
  </r>
  <r>
    <x v="36"/>
    <x v="1"/>
    <n v="2007"/>
    <s v="MKS Gdańsk"/>
    <x v="1"/>
    <x v="3"/>
    <x v="2"/>
    <x v="141"/>
  </r>
  <r>
    <x v="36"/>
    <x v="1"/>
    <n v="2007"/>
    <s v="MKS Gdańsk"/>
    <x v="1"/>
    <x v="4"/>
    <x v="0"/>
    <x v="141"/>
  </r>
  <r>
    <x v="36"/>
    <x v="1"/>
    <n v="2007"/>
    <s v="MKS Gdańsk"/>
    <x v="1"/>
    <x v="4"/>
    <x v="1"/>
    <x v="141"/>
  </r>
  <r>
    <x v="36"/>
    <x v="1"/>
    <n v="2007"/>
    <s v="MKS Gdańsk"/>
    <x v="1"/>
    <x v="4"/>
    <x v="2"/>
    <x v="141"/>
  </r>
  <r>
    <x v="36"/>
    <x v="1"/>
    <n v="2007"/>
    <s v="MKS Gdańsk"/>
    <x v="1"/>
    <x v="5"/>
    <x v="0"/>
    <x v="127"/>
  </r>
  <r>
    <x v="36"/>
    <x v="1"/>
    <n v="2007"/>
    <s v="MKS Gdańsk"/>
    <x v="1"/>
    <x v="5"/>
    <x v="1"/>
    <x v="97"/>
  </r>
  <r>
    <x v="36"/>
    <x v="1"/>
    <n v="2007"/>
    <s v="MKS Gdańsk"/>
    <x v="1"/>
    <x v="5"/>
    <x v="2"/>
    <x v="40"/>
  </r>
  <r>
    <x v="36"/>
    <x v="1"/>
    <n v="2007"/>
    <s v="MKS Gdańsk"/>
    <x v="1"/>
    <x v="6"/>
    <x v="3"/>
    <x v="141"/>
  </r>
  <r>
    <x v="36"/>
    <x v="1"/>
    <n v="2007"/>
    <s v="MKS Gdańsk"/>
    <x v="1"/>
    <x v="6"/>
    <x v="4"/>
    <x v="141"/>
  </r>
  <r>
    <x v="36"/>
    <x v="1"/>
    <n v="2007"/>
    <s v="MKS Gdańsk"/>
    <x v="1"/>
    <x v="6"/>
    <x v="5"/>
    <x v="243"/>
  </r>
  <r>
    <x v="37"/>
    <x v="1"/>
    <n v="2006"/>
    <s v="MKS Gdańsk"/>
    <x v="1"/>
    <x v="0"/>
    <x v="0"/>
    <x v="141"/>
  </r>
  <r>
    <x v="37"/>
    <x v="1"/>
    <n v="2006"/>
    <s v="MKS Gdańsk"/>
    <x v="1"/>
    <x v="0"/>
    <x v="1"/>
    <x v="141"/>
  </r>
  <r>
    <x v="37"/>
    <x v="1"/>
    <n v="2006"/>
    <s v="MKS Gdańsk"/>
    <x v="1"/>
    <x v="0"/>
    <x v="2"/>
    <x v="141"/>
  </r>
  <r>
    <x v="37"/>
    <x v="1"/>
    <n v="2006"/>
    <s v="MKS Gdańsk"/>
    <x v="1"/>
    <x v="1"/>
    <x v="0"/>
    <x v="184"/>
  </r>
  <r>
    <x v="37"/>
    <x v="1"/>
    <n v="2006"/>
    <s v="MKS Gdańsk"/>
    <x v="1"/>
    <x v="1"/>
    <x v="1"/>
    <x v="244"/>
  </r>
  <r>
    <x v="37"/>
    <x v="1"/>
    <n v="2006"/>
    <s v="MKS Gdańsk"/>
    <x v="1"/>
    <x v="1"/>
    <x v="2"/>
    <x v="14"/>
  </r>
  <r>
    <x v="37"/>
    <x v="1"/>
    <n v="2006"/>
    <s v="MKS Gdańsk"/>
    <x v="1"/>
    <x v="2"/>
    <x v="0"/>
    <x v="141"/>
  </r>
  <r>
    <x v="37"/>
    <x v="1"/>
    <n v="2006"/>
    <s v="MKS Gdańsk"/>
    <x v="1"/>
    <x v="2"/>
    <x v="1"/>
    <x v="141"/>
  </r>
  <r>
    <x v="37"/>
    <x v="1"/>
    <n v="2006"/>
    <s v="MKS Gdańsk"/>
    <x v="1"/>
    <x v="2"/>
    <x v="2"/>
    <x v="141"/>
  </r>
  <r>
    <x v="37"/>
    <x v="1"/>
    <n v="2006"/>
    <s v="MKS Gdańsk"/>
    <x v="1"/>
    <x v="3"/>
    <x v="0"/>
    <x v="228"/>
  </r>
  <r>
    <x v="37"/>
    <x v="1"/>
    <n v="2006"/>
    <s v="MKS Gdańsk"/>
    <x v="1"/>
    <x v="3"/>
    <x v="1"/>
    <x v="186"/>
  </r>
  <r>
    <x v="37"/>
    <x v="1"/>
    <n v="2006"/>
    <s v="MKS Gdańsk"/>
    <x v="1"/>
    <x v="3"/>
    <x v="2"/>
    <x v="195"/>
  </r>
  <r>
    <x v="37"/>
    <x v="1"/>
    <n v="2006"/>
    <s v="MKS Gdańsk"/>
    <x v="1"/>
    <x v="4"/>
    <x v="0"/>
    <x v="212"/>
  </r>
  <r>
    <x v="37"/>
    <x v="1"/>
    <n v="2006"/>
    <s v="MKS Gdańsk"/>
    <x v="1"/>
    <x v="4"/>
    <x v="1"/>
    <x v="97"/>
  </r>
  <r>
    <x v="37"/>
    <x v="1"/>
    <n v="2006"/>
    <s v="MKS Gdańsk"/>
    <x v="1"/>
    <x v="4"/>
    <x v="2"/>
    <x v="50"/>
  </r>
  <r>
    <x v="37"/>
    <x v="1"/>
    <n v="2006"/>
    <s v="MKS Gdańsk"/>
    <x v="1"/>
    <x v="5"/>
    <x v="0"/>
    <x v="141"/>
  </r>
  <r>
    <x v="37"/>
    <x v="1"/>
    <n v="2006"/>
    <s v="MKS Gdańsk"/>
    <x v="1"/>
    <x v="5"/>
    <x v="1"/>
    <x v="141"/>
  </r>
  <r>
    <x v="37"/>
    <x v="1"/>
    <n v="2006"/>
    <s v="MKS Gdańsk"/>
    <x v="1"/>
    <x v="5"/>
    <x v="2"/>
    <x v="141"/>
  </r>
  <r>
    <x v="37"/>
    <x v="1"/>
    <n v="2006"/>
    <s v="MKS Gdańsk"/>
    <x v="1"/>
    <x v="6"/>
    <x v="3"/>
    <x v="141"/>
  </r>
  <r>
    <x v="37"/>
    <x v="1"/>
    <n v="2006"/>
    <s v="MKS Gdańsk"/>
    <x v="1"/>
    <x v="6"/>
    <x v="4"/>
    <x v="141"/>
  </r>
  <r>
    <x v="37"/>
    <x v="1"/>
    <n v="2006"/>
    <s v="MKS Gdańsk"/>
    <x v="1"/>
    <x v="6"/>
    <x v="5"/>
    <x v="245"/>
  </r>
  <r>
    <x v="38"/>
    <x v="1"/>
    <n v="2006"/>
    <s v="NTG Nysa"/>
    <x v="1"/>
    <x v="0"/>
    <x v="0"/>
    <x v="96"/>
  </r>
  <r>
    <x v="38"/>
    <x v="1"/>
    <n v="2006"/>
    <s v="NTG Nysa"/>
    <x v="1"/>
    <x v="0"/>
    <x v="1"/>
    <x v="7"/>
  </r>
  <r>
    <x v="38"/>
    <x v="1"/>
    <n v="2006"/>
    <s v="NTG Nysa"/>
    <x v="1"/>
    <x v="0"/>
    <x v="2"/>
    <x v="170"/>
  </r>
  <r>
    <x v="38"/>
    <x v="1"/>
    <n v="2006"/>
    <s v="NTG Nysa"/>
    <x v="1"/>
    <x v="1"/>
    <x v="0"/>
    <x v="141"/>
  </r>
  <r>
    <x v="38"/>
    <x v="1"/>
    <n v="2006"/>
    <s v="NTG Nysa"/>
    <x v="1"/>
    <x v="1"/>
    <x v="1"/>
    <x v="141"/>
  </r>
  <r>
    <x v="38"/>
    <x v="1"/>
    <n v="2006"/>
    <s v="NTG Nysa"/>
    <x v="1"/>
    <x v="1"/>
    <x v="2"/>
    <x v="141"/>
  </r>
  <r>
    <x v="38"/>
    <x v="1"/>
    <n v="2006"/>
    <s v="NTG Nysa"/>
    <x v="1"/>
    <x v="2"/>
    <x v="0"/>
    <x v="141"/>
  </r>
  <r>
    <x v="38"/>
    <x v="1"/>
    <n v="2006"/>
    <s v="NTG Nysa"/>
    <x v="1"/>
    <x v="2"/>
    <x v="1"/>
    <x v="141"/>
  </r>
  <r>
    <x v="38"/>
    <x v="1"/>
    <n v="2006"/>
    <s v="NTG Nysa"/>
    <x v="1"/>
    <x v="2"/>
    <x v="2"/>
    <x v="141"/>
  </r>
  <r>
    <x v="38"/>
    <x v="1"/>
    <n v="2006"/>
    <s v="NTG Nysa"/>
    <x v="1"/>
    <x v="3"/>
    <x v="0"/>
    <x v="93"/>
  </r>
  <r>
    <x v="38"/>
    <x v="1"/>
    <n v="2006"/>
    <s v="NTG Nysa"/>
    <x v="1"/>
    <x v="3"/>
    <x v="1"/>
    <x v="106"/>
  </r>
  <r>
    <x v="38"/>
    <x v="1"/>
    <n v="2006"/>
    <s v="NTG Nysa"/>
    <x v="1"/>
    <x v="3"/>
    <x v="2"/>
    <x v="5"/>
  </r>
  <r>
    <x v="38"/>
    <x v="1"/>
    <n v="2006"/>
    <s v="NTG Nysa"/>
    <x v="1"/>
    <x v="4"/>
    <x v="0"/>
    <x v="141"/>
  </r>
  <r>
    <x v="38"/>
    <x v="1"/>
    <n v="2006"/>
    <s v="NTG Nysa"/>
    <x v="1"/>
    <x v="4"/>
    <x v="1"/>
    <x v="141"/>
  </r>
  <r>
    <x v="38"/>
    <x v="1"/>
    <n v="2006"/>
    <s v="NTG Nysa"/>
    <x v="1"/>
    <x v="4"/>
    <x v="2"/>
    <x v="141"/>
  </r>
  <r>
    <x v="38"/>
    <x v="1"/>
    <n v="2006"/>
    <s v="NTG Nysa"/>
    <x v="1"/>
    <x v="5"/>
    <x v="0"/>
    <x v="141"/>
  </r>
  <r>
    <x v="38"/>
    <x v="1"/>
    <n v="2006"/>
    <s v="NTG Nysa"/>
    <x v="1"/>
    <x v="5"/>
    <x v="1"/>
    <x v="141"/>
  </r>
  <r>
    <x v="38"/>
    <x v="1"/>
    <n v="2006"/>
    <s v="NTG Nysa"/>
    <x v="1"/>
    <x v="5"/>
    <x v="2"/>
    <x v="141"/>
  </r>
  <r>
    <x v="38"/>
    <x v="1"/>
    <n v="2006"/>
    <s v="NTG Nysa"/>
    <x v="1"/>
    <x v="6"/>
    <x v="3"/>
    <x v="141"/>
  </r>
  <r>
    <x v="38"/>
    <x v="1"/>
    <n v="2006"/>
    <s v="NTG Nysa"/>
    <x v="1"/>
    <x v="6"/>
    <x v="4"/>
    <x v="141"/>
  </r>
  <r>
    <x v="38"/>
    <x v="1"/>
    <n v="2006"/>
    <s v="NTG Nysa"/>
    <x v="1"/>
    <x v="6"/>
    <x v="5"/>
    <x v="246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3">
  <r>
    <x v="0"/>
    <x v="0"/>
    <n v="1997"/>
    <s v="KS AZS AWF Kraków"/>
    <x v="0"/>
    <x v="0"/>
    <x v="0"/>
    <x v="0"/>
  </r>
  <r>
    <x v="0"/>
    <x v="0"/>
    <n v="1997"/>
    <s v="KS AZS AWF Kraków"/>
    <x v="0"/>
    <x v="0"/>
    <x v="1"/>
    <x v="1"/>
  </r>
  <r>
    <x v="0"/>
    <x v="0"/>
    <n v="1997"/>
    <s v="KS AZS AWF Kraków"/>
    <x v="0"/>
    <x v="0"/>
    <x v="2"/>
    <x v="2"/>
  </r>
  <r>
    <x v="0"/>
    <x v="0"/>
    <n v="1997"/>
    <s v="KS AZS AWF Kraków"/>
    <x v="0"/>
    <x v="1"/>
    <x v="0"/>
    <x v="3"/>
  </r>
  <r>
    <x v="0"/>
    <x v="0"/>
    <n v="1997"/>
    <s v="KS AZS AWF Kraków"/>
    <x v="0"/>
    <x v="1"/>
    <x v="1"/>
    <x v="4"/>
  </r>
  <r>
    <x v="0"/>
    <x v="0"/>
    <n v="1997"/>
    <s v="KS AZS AWF Kraków"/>
    <x v="0"/>
    <x v="1"/>
    <x v="2"/>
    <x v="5"/>
  </r>
  <r>
    <x v="0"/>
    <x v="0"/>
    <n v="1997"/>
    <s v="KS AZS AWF Kraków"/>
    <x v="0"/>
    <x v="2"/>
    <x v="0"/>
    <x v="6"/>
  </r>
  <r>
    <x v="0"/>
    <x v="0"/>
    <n v="1997"/>
    <s v="KS AZS AWF Kraków"/>
    <x v="0"/>
    <x v="2"/>
    <x v="1"/>
    <x v="7"/>
  </r>
  <r>
    <x v="0"/>
    <x v="0"/>
    <n v="1997"/>
    <s v="KS AZS AWF Kraków"/>
    <x v="0"/>
    <x v="2"/>
    <x v="2"/>
    <x v="8"/>
  </r>
  <r>
    <x v="0"/>
    <x v="0"/>
    <n v="1997"/>
    <s v="KS AZS AWF Kraków"/>
    <x v="0"/>
    <x v="3"/>
    <x v="0"/>
    <x v="9"/>
  </r>
  <r>
    <x v="0"/>
    <x v="0"/>
    <n v="1997"/>
    <s v="KS AZS AWF Kraków"/>
    <x v="0"/>
    <x v="3"/>
    <x v="1"/>
    <x v="10"/>
  </r>
  <r>
    <x v="0"/>
    <x v="0"/>
    <n v="1997"/>
    <s v="KS AZS AWF Kraków"/>
    <x v="0"/>
    <x v="3"/>
    <x v="2"/>
    <x v="11"/>
  </r>
  <r>
    <x v="0"/>
    <x v="0"/>
    <n v="1997"/>
    <s v="KS AZS AWF Kraków"/>
    <x v="0"/>
    <x v="4"/>
    <x v="0"/>
    <x v="6"/>
  </r>
  <r>
    <x v="0"/>
    <x v="0"/>
    <n v="1997"/>
    <s v="KS AZS AWF Kraków"/>
    <x v="0"/>
    <x v="4"/>
    <x v="1"/>
    <x v="12"/>
  </r>
  <r>
    <x v="0"/>
    <x v="0"/>
    <n v="1997"/>
    <s v="KS AZS AWF Kraków"/>
    <x v="0"/>
    <x v="4"/>
    <x v="2"/>
    <x v="13"/>
  </r>
  <r>
    <x v="0"/>
    <x v="0"/>
    <n v="1997"/>
    <s v="KS AZS AWF Kraków"/>
    <x v="0"/>
    <x v="5"/>
    <x v="0"/>
    <x v="6"/>
  </r>
  <r>
    <x v="0"/>
    <x v="0"/>
    <n v="1997"/>
    <s v="KS AZS AWF Kraków"/>
    <x v="0"/>
    <x v="5"/>
    <x v="1"/>
    <x v="7"/>
  </r>
  <r>
    <x v="0"/>
    <x v="0"/>
    <n v="1997"/>
    <s v="KS AZS AWF Kraków"/>
    <x v="0"/>
    <x v="5"/>
    <x v="2"/>
    <x v="8"/>
  </r>
  <r>
    <x v="0"/>
    <x v="0"/>
    <n v="1997"/>
    <s v="KS AZS AWF Kraków"/>
    <x v="0"/>
    <x v="6"/>
    <x v="3"/>
    <x v="14"/>
  </r>
  <r>
    <x v="0"/>
    <x v="0"/>
    <n v="1997"/>
    <s v="KS AZS AWF Kraków"/>
    <x v="0"/>
    <x v="6"/>
    <x v="4"/>
    <x v="15"/>
  </r>
  <r>
    <x v="0"/>
    <x v="0"/>
    <n v="1997"/>
    <s v="KS AZS AWF Kraków"/>
    <x v="0"/>
    <x v="6"/>
    <x v="5"/>
    <x v="16"/>
  </r>
  <r>
    <x v="1"/>
    <x v="0"/>
    <n v="2002"/>
    <s v="KS AZS AWF Katowice"/>
    <x v="0"/>
    <x v="0"/>
    <x v="0"/>
    <x v="17"/>
  </r>
  <r>
    <x v="1"/>
    <x v="0"/>
    <n v="2002"/>
    <s v="KS AZS AWF Katowice"/>
    <x v="0"/>
    <x v="0"/>
    <x v="1"/>
    <x v="18"/>
  </r>
  <r>
    <x v="1"/>
    <x v="0"/>
    <n v="2002"/>
    <s v="KS AZS AWF Katowice"/>
    <x v="0"/>
    <x v="0"/>
    <x v="2"/>
    <x v="19"/>
  </r>
  <r>
    <x v="1"/>
    <x v="0"/>
    <n v="2002"/>
    <s v="KS AZS AWF Katowice"/>
    <x v="0"/>
    <x v="1"/>
    <x v="0"/>
    <x v="20"/>
  </r>
  <r>
    <x v="1"/>
    <x v="0"/>
    <n v="2002"/>
    <s v="KS AZS AWF Katowice"/>
    <x v="0"/>
    <x v="1"/>
    <x v="1"/>
    <x v="21"/>
  </r>
  <r>
    <x v="1"/>
    <x v="0"/>
    <n v="2002"/>
    <s v="KS AZS AWF Katowice"/>
    <x v="0"/>
    <x v="1"/>
    <x v="2"/>
    <x v="22"/>
  </r>
  <r>
    <x v="1"/>
    <x v="0"/>
    <n v="2002"/>
    <s v="KS AZS AWF Katowice"/>
    <x v="0"/>
    <x v="2"/>
    <x v="0"/>
    <x v="23"/>
  </r>
  <r>
    <x v="1"/>
    <x v="0"/>
    <n v="2002"/>
    <s v="KS AZS AWF Katowice"/>
    <x v="0"/>
    <x v="2"/>
    <x v="1"/>
    <x v="12"/>
  </r>
  <r>
    <x v="1"/>
    <x v="0"/>
    <n v="2002"/>
    <s v="KS AZS AWF Katowice"/>
    <x v="0"/>
    <x v="2"/>
    <x v="2"/>
    <x v="24"/>
  </r>
  <r>
    <x v="1"/>
    <x v="0"/>
    <n v="2002"/>
    <s v="KS AZS AWF Katowice"/>
    <x v="0"/>
    <x v="3"/>
    <x v="0"/>
    <x v="3"/>
  </r>
  <r>
    <x v="1"/>
    <x v="0"/>
    <n v="2002"/>
    <s v="KS AZS AWF Katowice"/>
    <x v="0"/>
    <x v="3"/>
    <x v="1"/>
    <x v="10"/>
  </r>
  <r>
    <x v="1"/>
    <x v="0"/>
    <n v="2002"/>
    <s v="KS AZS AWF Katowice"/>
    <x v="0"/>
    <x v="3"/>
    <x v="2"/>
    <x v="25"/>
  </r>
  <r>
    <x v="1"/>
    <x v="0"/>
    <n v="2002"/>
    <s v="KS AZS AWF Katowice"/>
    <x v="0"/>
    <x v="4"/>
    <x v="0"/>
    <x v="26"/>
  </r>
  <r>
    <x v="1"/>
    <x v="0"/>
    <n v="2002"/>
    <s v="KS AZS AWF Katowice"/>
    <x v="0"/>
    <x v="4"/>
    <x v="1"/>
    <x v="27"/>
  </r>
  <r>
    <x v="1"/>
    <x v="0"/>
    <n v="2002"/>
    <s v="KS AZS AWF Katowice"/>
    <x v="0"/>
    <x v="4"/>
    <x v="2"/>
    <x v="28"/>
  </r>
  <r>
    <x v="1"/>
    <x v="0"/>
    <n v="2002"/>
    <s v="KS AZS AWF Katowice"/>
    <x v="0"/>
    <x v="5"/>
    <x v="0"/>
    <x v="20"/>
  </r>
  <r>
    <x v="1"/>
    <x v="0"/>
    <n v="2002"/>
    <s v="KS AZS AWF Katowice"/>
    <x v="0"/>
    <x v="5"/>
    <x v="1"/>
    <x v="29"/>
  </r>
  <r>
    <x v="1"/>
    <x v="0"/>
    <n v="2002"/>
    <s v="KS AZS AWF Katowice"/>
    <x v="0"/>
    <x v="5"/>
    <x v="2"/>
    <x v="30"/>
  </r>
  <r>
    <x v="1"/>
    <x v="0"/>
    <n v="2002"/>
    <s v="KS AZS AWF Katowice"/>
    <x v="0"/>
    <x v="6"/>
    <x v="3"/>
    <x v="31"/>
  </r>
  <r>
    <x v="1"/>
    <x v="0"/>
    <n v="2002"/>
    <s v="KS AZS AWF Katowice"/>
    <x v="0"/>
    <x v="6"/>
    <x v="4"/>
    <x v="32"/>
  </r>
  <r>
    <x v="1"/>
    <x v="0"/>
    <n v="2002"/>
    <s v="KS AZS AWF Katowice"/>
    <x v="0"/>
    <x v="6"/>
    <x v="5"/>
    <x v="33"/>
  </r>
  <r>
    <x v="2"/>
    <x v="0"/>
    <n v="1996"/>
    <s v="KS AZS AWF Katowice"/>
    <x v="0"/>
    <x v="0"/>
    <x v="0"/>
    <x v="34"/>
  </r>
  <r>
    <x v="2"/>
    <x v="0"/>
    <n v="1996"/>
    <s v="KS AZS AWF Katowice"/>
    <x v="0"/>
    <x v="0"/>
    <x v="1"/>
    <x v="17"/>
  </r>
  <r>
    <x v="2"/>
    <x v="0"/>
    <n v="1996"/>
    <s v="KS AZS AWF Katowice"/>
    <x v="0"/>
    <x v="0"/>
    <x v="2"/>
    <x v="35"/>
  </r>
  <r>
    <x v="2"/>
    <x v="0"/>
    <n v="1996"/>
    <s v="KS AZS AWF Katowice"/>
    <x v="0"/>
    <x v="1"/>
    <x v="0"/>
    <x v="36"/>
  </r>
  <r>
    <x v="2"/>
    <x v="0"/>
    <n v="1996"/>
    <s v="KS AZS AWF Katowice"/>
    <x v="0"/>
    <x v="1"/>
    <x v="1"/>
    <x v="37"/>
  </r>
  <r>
    <x v="2"/>
    <x v="0"/>
    <n v="1996"/>
    <s v="KS AZS AWF Katowice"/>
    <x v="0"/>
    <x v="1"/>
    <x v="2"/>
    <x v="24"/>
  </r>
  <r>
    <x v="2"/>
    <x v="0"/>
    <n v="1996"/>
    <s v="KS AZS AWF Katowice"/>
    <x v="0"/>
    <x v="2"/>
    <x v="0"/>
    <x v="26"/>
  </r>
  <r>
    <x v="2"/>
    <x v="0"/>
    <n v="1996"/>
    <s v="KS AZS AWF Katowice"/>
    <x v="0"/>
    <x v="2"/>
    <x v="1"/>
    <x v="38"/>
  </r>
  <r>
    <x v="2"/>
    <x v="0"/>
    <n v="1996"/>
    <s v="KS AZS AWF Katowice"/>
    <x v="0"/>
    <x v="2"/>
    <x v="2"/>
    <x v="39"/>
  </r>
  <r>
    <x v="2"/>
    <x v="0"/>
    <n v="1996"/>
    <s v="KS AZS AWF Katowice"/>
    <x v="0"/>
    <x v="3"/>
    <x v="0"/>
    <x v="40"/>
  </r>
  <r>
    <x v="2"/>
    <x v="0"/>
    <n v="1996"/>
    <s v="KS AZS AWF Katowice"/>
    <x v="0"/>
    <x v="3"/>
    <x v="1"/>
    <x v="7"/>
  </r>
  <r>
    <x v="2"/>
    <x v="0"/>
    <n v="1996"/>
    <s v="KS AZS AWF Katowice"/>
    <x v="0"/>
    <x v="3"/>
    <x v="2"/>
    <x v="41"/>
  </r>
  <r>
    <x v="2"/>
    <x v="0"/>
    <n v="1996"/>
    <s v="KS AZS AWF Katowice"/>
    <x v="0"/>
    <x v="4"/>
    <x v="0"/>
    <x v="20"/>
  </r>
  <r>
    <x v="2"/>
    <x v="0"/>
    <n v="1996"/>
    <s v="KS AZS AWF Katowice"/>
    <x v="0"/>
    <x v="4"/>
    <x v="1"/>
    <x v="18"/>
  </r>
  <r>
    <x v="2"/>
    <x v="0"/>
    <n v="1996"/>
    <s v="KS AZS AWF Katowice"/>
    <x v="0"/>
    <x v="4"/>
    <x v="2"/>
    <x v="28"/>
  </r>
  <r>
    <x v="2"/>
    <x v="0"/>
    <n v="1996"/>
    <s v="KS AZS AWF Katowice"/>
    <x v="0"/>
    <x v="5"/>
    <x v="0"/>
    <x v="9"/>
  </r>
  <r>
    <x v="2"/>
    <x v="0"/>
    <n v="1996"/>
    <s v="KS AZS AWF Katowice"/>
    <x v="0"/>
    <x v="5"/>
    <x v="1"/>
    <x v="42"/>
  </r>
  <r>
    <x v="2"/>
    <x v="0"/>
    <n v="1996"/>
    <s v="KS AZS AWF Katowice"/>
    <x v="0"/>
    <x v="5"/>
    <x v="2"/>
    <x v="43"/>
  </r>
  <r>
    <x v="2"/>
    <x v="0"/>
    <n v="1996"/>
    <s v="KS AZS AWF Katowice"/>
    <x v="0"/>
    <x v="6"/>
    <x v="3"/>
    <x v="44"/>
  </r>
  <r>
    <x v="2"/>
    <x v="0"/>
    <n v="1996"/>
    <s v="KS AZS AWF Katowice"/>
    <x v="0"/>
    <x v="6"/>
    <x v="4"/>
    <x v="45"/>
  </r>
  <r>
    <x v="2"/>
    <x v="0"/>
    <n v="1996"/>
    <s v="KS AZS AWF Katowice"/>
    <x v="0"/>
    <x v="6"/>
    <x v="5"/>
    <x v="46"/>
  </r>
  <r>
    <x v="3"/>
    <x v="0"/>
    <n v="2001"/>
    <s v="NTG Nysa"/>
    <x v="0"/>
    <x v="0"/>
    <x v="0"/>
    <x v="47"/>
  </r>
  <r>
    <x v="3"/>
    <x v="0"/>
    <n v="2001"/>
    <s v="NTG Nysa"/>
    <x v="0"/>
    <x v="0"/>
    <x v="1"/>
    <x v="48"/>
  </r>
  <r>
    <x v="3"/>
    <x v="0"/>
    <n v="2001"/>
    <s v="NTG Nysa"/>
    <x v="0"/>
    <x v="0"/>
    <x v="2"/>
    <x v="35"/>
  </r>
  <r>
    <x v="3"/>
    <x v="0"/>
    <n v="2001"/>
    <s v="NTG Nysa"/>
    <x v="0"/>
    <x v="1"/>
    <x v="0"/>
    <x v="49"/>
  </r>
  <r>
    <x v="3"/>
    <x v="0"/>
    <n v="2001"/>
    <s v="NTG Nysa"/>
    <x v="0"/>
    <x v="1"/>
    <x v="1"/>
    <x v="50"/>
  </r>
  <r>
    <x v="3"/>
    <x v="0"/>
    <n v="2001"/>
    <s v="NTG Nysa"/>
    <x v="0"/>
    <x v="1"/>
    <x v="2"/>
    <x v="51"/>
  </r>
  <r>
    <x v="3"/>
    <x v="0"/>
    <n v="2001"/>
    <s v="NTG Nysa"/>
    <x v="0"/>
    <x v="2"/>
    <x v="0"/>
    <x v="47"/>
  </r>
  <r>
    <x v="3"/>
    <x v="0"/>
    <n v="2001"/>
    <s v="NTG Nysa"/>
    <x v="0"/>
    <x v="2"/>
    <x v="1"/>
    <x v="52"/>
  </r>
  <r>
    <x v="3"/>
    <x v="0"/>
    <n v="2001"/>
    <s v="NTG Nysa"/>
    <x v="0"/>
    <x v="2"/>
    <x v="2"/>
    <x v="53"/>
  </r>
  <r>
    <x v="3"/>
    <x v="0"/>
    <n v="2001"/>
    <s v="NTG Nysa"/>
    <x v="0"/>
    <x v="3"/>
    <x v="0"/>
    <x v="54"/>
  </r>
  <r>
    <x v="3"/>
    <x v="0"/>
    <n v="2001"/>
    <s v="NTG Nysa"/>
    <x v="0"/>
    <x v="3"/>
    <x v="1"/>
    <x v="55"/>
  </r>
  <r>
    <x v="3"/>
    <x v="0"/>
    <n v="2001"/>
    <s v="NTG Nysa"/>
    <x v="0"/>
    <x v="3"/>
    <x v="2"/>
    <x v="25"/>
  </r>
  <r>
    <x v="3"/>
    <x v="0"/>
    <n v="2001"/>
    <s v="NTG Nysa"/>
    <x v="0"/>
    <x v="4"/>
    <x v="0"/>
    <x v="56"/>
  </r>
  <r>
    <x v="3"/>
    <x v="0"/>
    <n v="2001"/>
    <s v="NTG Nysa"/>
    <x v="0"/>
    <x v="4"/>
    <x v="1"/>
    <x v="57"/>
  </r>
  <r>
    <x v="3"/>
    <x v="0"/>
    <n v="2001"/>
    <s v="NTG Nysa"/>
    <x v="0"/>
    <x v="4"/>
    <x v="2"/>
    <x v="58"/>
  </r>
  <r>
    <x v="3"/>
    <x v="0"/>
    <n v="2001"/>
    <s v="NTG Nysa"/>
    <x v="0"/>
    <x v="5"/>
    <x v="0"/>
    <x v="59"/>
  </r>
  <r>
    <x v="3"/>
    <x v="0"/>
    <n v="2001"/>
    <s v="NTG Nysa"/>
    <x v="0"/>
    <x v="5"/>
    <x v="1"/>
    <x v="10"/>
  </r>
  <r>
    <x v="3"/>
    <x v="0"/>
    <n v="2001"/>
    <s v="NTG Nysa"/>
    <x v="0"/>
    <x v="5"/>
    <x v="2"/>
    <x v="39"/>
  </r>
  <r>
    <x v="3"/>
    <x v="0"/>
    <n v="2001"/>
    <s v="NTG Nysa"/>
    <x v="0"/>
    <x v="6"/>
    <x v="3"/>
    <x v="60"/>
  </r>
  <r>
    <x v="3"/>
    <x v="0"/>
    <n v="2001"/>
    <s v="NTG Nysa"/>
    <x v="0"/>
    <x v="6"/>
    <x v="4"/>
    <x v="61"/>
  </r>
  <r>
    <x v="3"/>
    <x v="0"/>
    <n v="2001"/>
    <s v="NTG Nysa"/>
    <x v="0"/>
    <x v="6"/>
    <x v="5"/>
    <x v="62"/>
  </r>
  <r>
    <x v="4"/>
    <x v="0"/>
    <n v="2003"/>
    <s v="MKS Gdańsk"/>
    <x v="0"/>
    <x v="0"/>
    <x v="0"/>
    <x v="47"/>
  </r>
  <r>
    <x v="4"/>
    <x v="0"/>
    <n v="2003"/>
    <s v="MKS Gdańsk"/>
    <x v="0"/>
    <x v="0"/>
    <x v="1"/>
    <x v="37"/>
  </r>
  <r>
    <x v="4"/>
    <x v="0"/>
    <n v="2003"/>
    <s v="MKS Gdańsk"/>
    <x v="0"/>
    <x v="0"/>
    <x v="2"/>
    <x v="30"/>
  </r>
  <r>
    <x v="4"/>
    <x v="0"/>
    <n v="2003"/>
    <s v="MKS Gdańsk"/>
    <x v="0"/>
    <x v="1"/>
    <x v="0"/>
    <x v="56"/>
  </r>
  <r>
    <x v="4"/>
    <x v="0"/>
    <n v="2003"/>
    <s v="MKS Gdańsk"/>
    <x v="0"/>
    <x v="1"/>
    <x v="1"/>
    <x v="63"/>
  </r>
  <r>
    <x v="4"/>
    <x v="0"/>
    <n v="2003"/>
    <s v="MKS Gdańsk"/>
    <x v="0"/>
    <x v="1"/>
    <x v="2"/>
    <x v="64"/>
  </r>
  <r>
    <x v="4"/>
    <x v="0"/>
    <n v="2003"/>
    <s v="MKS Gdańsk"/>
    <x v="0"/>
    <x v="2"/>
    <x v="0"/>
    <x v="65"/>
  </r>
  <r>
    <x v="4"/>
    <x v="0"/>
    <n v="2003"/>
    <s v="MKS Gdańsk"/>
    <x v="0"/>
    <x v="2"/>
    <x v="1"/>
    <x v="37"/>
  </r>
  <r>
    <x v="4"/>
    <x v="0"/>
    <n v="2003"/>
    <s v="MKS Gdańsk"/>
    <x v="0"/>
    <x v="2"/>
    <x v="2"/>
    <x v="66"/>
  </r>
  <r>
    <x v="4"/>
    <x v="0"/>
    <n v="2003"/>
    <s v="MKS Gdańsk"/>
    <x v="0"/>
    <x v="3"/>
    <x v="0"/>
    <x v="54"/>
  </r>
  <r>
    <x v="4"/>
    <x v="0"/>
    <n v="2003"/>
    <s v="MKS Gdańsk"/>
    <x v="0"/>
    <x v="3"/>
    <x v="1"/>
    <x v="57"/>
  </r>
  <r>
    <x v="4"/>
    <x v="0"/>
    <n v="2003"/>
    <s v="MKS Gdańsk"/>
    <x v="0"/>
    <x v="3"/>
    <x v="2"/>
    <x v="67"/>
  </r>
  <r>
    <x v="4"/>
    <x v="0"/>
    <n v="2003"/>
    <s v="MKS Gdańsk"/>
    <x v="0"/>
    <x v="4"/>
    <x v="0"/>
    <x v="68"/>
  </r>
  <r>
    <x v="4"/>
    <x v="0"/>
    <n v="2003"/>
    <s v="MKS Gdańsk"/>
    <x v="0"/>
    <x v="4"/>
    <x v="1"/>
    <x v="69"/>
  </r>
  <r>
    <x v="4"/>
    <x v="0"/>
    <n v="2003"/>
    <s v="MKS Gdańsk"/>
    <x v="0"/>
    <x v="4"/>
    <x v="2"/>
    <x v="30"/>
  </r>
  <r>
    <x v="4"/>
    <x v="0"/>
    <n v="2003"/>
    <s v="MKS Gdańsk"/>
    <x v="0"/>
    <x v="5"/>
    <x v="0"/>
    <x v="70"/>
  </r>
  <r>
    <x v="4"/>
    <x v="0"/>
    <n v="2003"/>
    <s v="MKS Gdańsk"/>
    <x v="0"/>
    <x v="5"/>
    <x v="1"/>
    <x v="7"/>
  </r>
  <r>
    <x v="4"/>
    <x v="0"/>
    <n v="2003"/>
    <s v="MKS Gdańsk"/>
    <x v="0"/>
    <x v="5"/>
    <x v="2"/>
    <x v="71"/>
  </r>
  <r>
    <x v="4"/>
    <x v="0"/>
    <n v="2003"/>
    <s v="MKS Gdańsk"/>
    <x v="0"/>
    <x v="6"/>
    <x v="3"/>
    <x v="72"/>
  </r>
  <r>
    <x v="4"/>
    <x v="0"/>
    <n v="2003"/>
    <s v="MKS Gdańsk"/>
    <x v="0"/>
    <x v="6"/>
    <x v="4"/>
    <x v="73"/>
  </r>
  <r>
    <x v="4"/>
    <x v="0"/>
    <n v="2003"/>
    <s v="MKS Gdańsk"/>
    <x v="0"/>
    <x v="6"/>
    <x v="5"/>
    <x v="74"/>
  </r>
  <r>
    <x v="5"/>
    <x v="0"/>
    <n v="2001"/>
    <s v="KS AZS AWFiS Gdańsk"/>
    <x v="0"/>
    <x v="0"/>
    <x v="0"/>
    <x v="75"/>
  </r>
  <r>
    <x v="5"/>
    <x v="0"/>
    <n v="2001"/>
    <s v="KS AZS AWFiS Gdańsk"/>
    <x v="0"/>
    <x v="0"/>
    <x v="1"/>
    <x v="76"/>
  </r>
  <r>
    <x v="5"/>
    <x v="0"/>
    <n v="2001"/>
    <s v="KS AZS AWFiS Gdańsk"/>
    <x v="0"/>
    <x v="0"/>
    <x v="2"/>
    <x v="39"/>
  </r>
  <r>
    <x v="5"/>
    <x v="0"/>
    <n v="2001"/>
    <s v="KS AZS AWFiS Gdańsk"/>
    <x v="0"/>
    <x v="1"/>
    <x v="0"/>
    <x v="77"/>
  </r>
  <r>
    <x v="5"/>
    <x v="0"/>
    <n v="2001"/>
    <s v="KS AZS AWFiS Gdańsk"/>
    <x v="0"/>
    <x v="1"/>
    <x v="1"/>
    <x v="21"/>
  </r>
  <r>
    <x v="5"/>
    <x v="0"/>
    <n v="2001"/>
    <s v="KS AZS AWFiS Gdańsk"/>
    <x v="0"/>
    <x v="1"/>
    <x v="2"/>
    <x v="55"/>
  </r>
  <r>
    <x v="5"/>
    <x v="0"/>
    <n v="2001"/>
    <s v="KS AZS AWFiS Gdańsk"/>
    <x v="0"/>
    <x v="2"/>
    <x v="0"/>
    <x v="56"/>
  </r>
  <r>
    <x v="5"/>
    <x v="0"/>
    <n v="2001"/>
    <s v="KS AZS AWFiS Gdańsk"/>
    <x v="0"/>
    <x v="2"/>
    <x v="1"/>
    <x v="78"/>
  </r>
  <r>
    <x v="5"/>
    <x v="0"/>
    <n v="2001"/>
    <s v="KS AZS AWFiS Gdańsk"/>
    <x v="0"/>
    <x v="2"/>
    <x v="2"/>
    <x v="43"/>
  </r>
  <r>
    <x v="5"/>
    <x v="0"/>
    <n v="2001"/>
    <s v="KS AZS AWFiS Gdańsk"/>
    <x v="0"/>
    <x v="3"/>
    <x v="0"/>
    <x v="40"/>
  </r>
  <r>
    <x v="5"/>
    <x v="0"/>
    <n v="2001"/>
    <s v="KS AZS AWFiS Gdańsk"/>
    <x v="0"/>
    <x v="3"/>
    <x v="1"/>
    <x v="52"/>
  </r>
  <r>
    <x v="5"/>
    <x v="0"/>
    <n v="2001"/>
    <s v="KS AZS AWFiS Gdańsk"/>
    <x v="0"/>
    <x v="3"/>
    <x v="2"/>
    <x v="13"/>
  </r>
  <r>
    <x v="5"/>
    <x v="0"/>
    <n v="2001"/>
    <s v="KS AZS AWFiS Gdańsk"/>
    <x v="0"/>
    <x v="4"/>
    <x v="0"/>
    <x v="79"/>
  </r>
  <r>
    <x v="5"/>
    <x v="0"/>
    <n v="2001"/>
    <s v="KS AZS AWFiS Gdańsk"/>
    <x v="0"/>
    <x v="4"/>
    <x v="1"/>
    <x v="7"/>
  </r>
  <r>
    <x v="5"/>
    <x v="0"/>
    <n v="2001"/>
    <s v="KS AZS AWFiS Gdańsk"/>
    <x v="0"/>
    <x v="4"/>
    <x v="2"/>
    <x v="28"/>
  </r>
  <r>
    <x v="5"/>
    <x v="0"/>
    <n v="2001"/>
    <s v="KS AZS AWFiS Gdańsk"/>
    <x v="0"/>
    <x v="5"/>
    <x v="0"/>
    <x v="80"/>
  </r>
  <r>
    <x v="5"/>
    <x v="0"/>
    <n v="2001"/>
    <s v="KS AZS AWFiS Gdańsk"/>
    <x v="0"/>
    <x v="5"/>
    <x v="1"/>
    <x v="48"/>
  </r>
  <r>
    <x v="5"/>
    <x v="0"/>
    <n v="2001"/>
    <s v="KS AZS AWFiS Gdańsk"/>
    <x v="0"/>
    <x v="5"/>
    <x v="2"/>
    <x v="51"/>
  </r>
  <r>
    <x v="5"/>
    <x v="0"/>
    <n v="2001"/>
    <s v="KS AZS AWFiS Gdańsk"/>
    <x v="0"/>
    <x v="6"/>
    <x v="3"/>
    <x v="81"/>
  </r>
  <r>
    <x v="5"/>
    <x v="0"/>
    <n v="2001"/>
    <s v="KS AZS AWFiS Gdańsk"/>
    <x v="0"/>
    <x v="6"/>
    <x v="4"/>
    <x v="82"/>
  </r>
  <r>
    <x v="5"/>
    <x v="0"/>
    <n v="2001"/>
    <s v="KS AZS AWFiS Gdańsk"/>
    <x v="0"/>
    <x v="6"/>
    <x v="5"/>
    <x v="83"/>
  </r>
  <r>
    <x v="6"/>
    <x v="0"/>
    <n v="2000"/>
    <s v="MKS Kusy Szczecin"/>
    <x v="0"/>
    <x v="0"/>
    <x v="0"/>
    <x v="6"/>
  </r>
  <r>
    <x v="6"/>
    <x v="0"/>
    <n v="2000"/>
    <s v="MKS Kusy Szczecin"/>
    <x v="0"/>
    <x v="0"/>
    <x v="1"/>
    <x v="84"/>
  </r>
  <r>
    <x v="6"/>
    <x v="0"/>
    <n v="2000"/>
    <s v="MKS Kusy Szczecin"/>
    <x v="0"/>
    <x v="0"/>
    <x v="2"/>
    <x v="85"/>
  </r>
  <r>
    <x v="6"/>
    <x v="0"/>
    <n v="2000"/>
    <s v="MKS Kusy Szczecin"/>
    <x v="0"/>
    <x v="1"/>
    <x v="0"/>
    <x v="70"/>
  </r>
  <r>
    <x v="6"/>
    <x v="0"/>
    <n v="2000"/>
    <s v="MKS Kusy Szczecin"/>
    <x v="0"/>
    <x v="1"/>
    <x v="1"/>
    <x v="18"/>
  </r>
  <r>
    <x v="6"/>
    <x v="0"/>
    <n v="2000"/>
    <s v="MKS Kusy Szczecin"/>
    <x v="0"/>
    <x v="1"/>
    <x v="2"/>
    <x v="86"/>
  </r>
  <r>
    <x v="6"/>
    <x v="0"/>
    <n v="2000"/>
    <s v="MKS Kusy Szczecin"/>
    <x v="0"/>
    <x v="2"/>
    <x v="0"/>
    <x v="36"/>
  </r>
  <r>
    <x v="6"/>
    <x v="0"/>
    <n v="2000"/>
    <s v="MKS Kusy Szczecin"/>
    <x v="0"/>
    <x v="2"/>
    <x v="1"/>
    <x v="87"/>
  </r>
  <r>
    <x v="6"/>
    <x v="0"/>
    <n v="2000"/>
    <s v="MKS Kusy Szczecin"/>
    <x v="0"/>
    <x v="2"/>
    <x v="2"/>
    <x v="88"/>
  </r>
  <r>
    <x v="6"/>
    <x v="0"/>
    <n v="2000"/>
    <s v="MKS Kusy Szczecin"/>
    <x v="0"/>
    <x v="3"/>
    <x v="0"/>
    <x v="54"/>
  </r>
  <r>
    <x v="6"/>
    <x v="0"/>
    <n v="2000"/>
    <s v="MKS Kusy Szczecin"/>
    <x v="0"/>
    <x v="3"/>
    <x v="1"/>
    <x v="89"/>
  </r>
  <r>
    <x v="6"/>
    <x v="0"/>
    <n v="2000"/>
    <s v="MKS Kusy Szczecin"/>
    <x v="0"/>
    <x v="3"/>
    <x v="2"/>
    <x v="90"/>
  </r>
  <r>
    <x v="6"/>
    <x v="0"/>
    <n v="2000"/>
    <s v="MKS Kusy Szczecin"/>
    <x v="0"/>
    <x v="4"/>
    <x v="0"/>
    <x v="59"/>
  </r>
  <r>
    <x v="6"/>
    <x v="0"/>
    <n v="2000"/>
    <s v="MKS Kusy Szczecin"/>
    <x v="0"/>
    <x v="4"/>
    <x v="1"/>
    <x v="27"/>
  </r>
  <r>
    <x v="6"/>
    <x v="0"/>
    <n v="2000"/>
    <s v="MKS Kusy Szczecin"/>
    <x v="0"/>
    <x v="4"/>
    <x v="2"/>
    <x v="91"/>
  </r>
  <r>
    <x v="6"/>
    <x v="0"/>
    <n v="2000"/>
    <s v="MKS Kusy Szczecin"/>
    <x v="0"/>
    <x v="5"/>
    <x v="0"/>
    <x v="70"/>
  </r>
  <r>
    <x v="6"/>
    <x v="0"/>
    <n v="2000"/>
    <s v="MKS Kusy Szczecin"/>
    <x v="0"/>
    <x v="5"/>
    <x v="1"/>
    <x v="18"/>
  </r>
  <r>
    <x v="6"/>
    <x v="0"/>
    <n v="2000"/>
    <s v="MKS Kusy Szczecin"/>
    <x v="0"/>
    <x v="5"/>
    <x v="2"/>
    <x v="86"/>
  </r>
  <r>
    <x v="6"/>
    <x v="0"/>
    <n v="2000"/>
    <s v="MKS Kusy Szczecin"/>
    <x v="0"/>
    <x v="6"/>
    <x v="3"/>
    <x v="92"/>
  </r>
  <r>
    <x v="6"/>
    <x v="0"/>
    <n v="2000"/>
    <s v="MKS Kusy Szczecin"/>
    <x v="0"/>
    <x v="6"/>
    <x v="4"/>
    <x v="93"/>
  </r>
  <r>
    <x v="6"/>
    <x v="0"/>
    <n v="2000"/>
    <s v="MKS Kusy Szczecin"/>
    <x v="0"/>
    <x v="6"/>
    <x v="5"/>
    <x v="94"/>
  </r>
  <r>
    <x v="7"/>
    <x v="0"/>
    <n v="2004"/>
    <s v="KS AZS AWF Kraków"/>
    <x v="0"/>
    <x v="0"/>
    <x v="0"/>
    <x v="36"/>
  </r>
  <r>
    <x v="7"/>
    <x v="0"/>
    <n v="2004"/>
    <s v="KS AZS AWF Kraków"/>
    <x v="0"/>
    <x v="0"/>
    <x v="1"/>
    <x v="48"/>
  </r>
  <r>
    <x v="7"/>
    <x v="0"/>
    <n v="2004"/>
    <s v="KS AZS AWF Kraków"/>
    <x v="0"/>
    <x v="0"/>
    <x v="2"/>
    <x v="95"/>
  </r>
  <r>
    <x v="7"/>
    <x v="0"/>
    <n v="2004"/>
    <s v="KS AZS AWF Kraków"/>
    <x v="0"/>
    <x v="1"/>
    <x v="0"/>
    <x v="96"/>
  </r>
  <r>
    <x v="7"/>
    <x v="0"/>
    <n v="2004"/>
    <s v="KS AZS AWF Kraków"/>
    <x v="0"/>
    <x v="1"/>
    <x v="1"/>
    <x v="97"/>
  </r>
  <r>
    <x v="7"/>
    <x v="0"/>
    <n v="2004"/>
    <s v="KS AZS AWF Kraków"/>
    <x v="0"/>
    <x v="1"/>
    <x v="2"/>
    <x v="57"/>
  </r>
  <r>
    <x v="7"/>
    <x v="0"/>
    <n v="2004"/>
    <s v="KS AZS AWF Kraków"/>
    <x v="0"/>
    <x v="2"/>
    <x v="0"/>
    <x v="98"/>
  </r>
  <r>
    <x v="7"/>
    <x v="0"/>
    <n v="2004"/>
    <s v="KS AZS AWF Kraków"/>
    <x v="0"/>
    <x v="2"/>
    <x v="1"/>
    <x v="48"/>
  </r>
  <r>
    <x v="7"/>
    <x v="0"/>
    <n v="2004"/>
    <s v="KS AZS AWF Kraków"/>
    <x v="0"/>
    <x v="2"/>
    <x v="2"/>
    <x v="85"/>
  </r>
  <r>
    <x v="7"/>
    <x v="0"/>
    <n v="2004"/>
    <s v="KS AZS AWF Kraków"/>
    <x v="0"/>
    <x v="3"/>
    <x v="0"/>
    <x v="49"/>
  </r>
  <r>
    <x v="7"/>
    <x v="0"/>
    <n v="2004"/>
    <s v="KS AZS AWF Kraków"/>
    <x v="0"/>
    <x v="3"/>
    <x v="1"/>
    <x v="10"/>
  </r>
  <r>
    <x v="7"/>
    <x v="0"/>
    <n v="2004"/>
    <s v="KS AZS AWF Kraków"/>
    <x v="0"/>
    <x v="3"/>
    <x v="2"/>
    <x v="99"/>
  </r>
  <r>
    <x v="7"/>
    <x v="0"/>
    <n v="2004"/>
    <s v="KS AZS AWF Kraków"/>
    <x v="0"/>
    <x v="4"/>
    <x v="0"/>
    <x v="6"/>
  </r>
  <r>
    <x v="7"/>
    <x v="0"/>
    <n v="2004"/>
    <s v="KS AZS AWF Kraków"/>
    <x v="0"/>
    <x v="4"/>
    <x v="1"/>
    <x v="78"/>
  </r>
  <r>
    <x v="7"/>
    <x v="0"/>
    <n v="2004"/>
    <s v="KS AZS AWF Kraków"/>
    <x v="0"/>
    <x v="4"/>
    <x v="2"/>
    <x v="39"/>
  </r>
  <r>
    <x v="7"/>
    <x v="0"/>
    <n v="2004"/>
    <s v="KS AZS AWF Kraków"/>
    <x v="0"/>
    <x v="5"/>
    <x v="0"/>
    <x v="100"/>
  </r>
  <r>
    <x v="7"/>
    <x v="0"/>
    <n v="2004"/>
    <s v="KS AZS AWF Kraków"/>
    <x v="0"/>
    <x v="5"/>
    <x v="1"/>
    <x v="55"/>
  </r>
  <r>
    <x v="7"/>
    <x v="0"/>
    <n v="2004"/>
    <s v="KS AZS AWF Kraków"/>
    <x v="0"/>
    <x v="5"/>
    <x v="2"/>
    <x v="35"/>
  </r>
  <r>
    <x v="7"/>
    <x v="0"/>
    <n v="2004"/>
    <s v="KS AZS AWF Kraków"/>
    <x v="0"/>
    <x v="6"/>
    <x v="3"/>
    <x v="101"/>
  </r>
  <r>
    <x v="7"/>
    <x v="0"/>
    <n v="2004"/>
    <s v="KS AZS AWF Kraków"/>
    <x v="0"/>
    <x v="6"/>
    <x v="4"/>
    <x v="102"/>
  </r>
  <r>
    <x v="7"/>
    <x v="0"/>
    <n v="2004"/>
    <s v="KS AZS AWF Kraków"/>
    <x v="0"/>
    <x v="6"/>
    <x v="5"/>
    <x v="103"/>
  </r>
  <r>
    <x v="8"/>
    <x v="0"/>
    <n v="2004"/>
    <s v="MKS Kusy Szczecin"/>
    <x v="0"/>
    <x v="0"/>
    <x v="0"/>
    <x v="54"/>
  </r>
  <r>
    <x v="8"/>
    <x v="0"/>
    <n v="2004"/>
    <s v="MKS Kusy Szczecin"/>
    <x v="0"/>
    <x v="0"/>
    <x v="1"/>
    <x v="42"/>
  </r>
  <r>
    <x v="8"/>
    <x v="0"/>
    <n v="2004"/>
    <s v="MKS Kusy Szczecin"/>
    <x v="0"/>
    <x v="0"/>
    <x v="2"/>
    <x v="104"/>
  </r>
  <r>
    <x v="8"/>
    <x v="0"/>
    <n v="2004"/>
    <s v="MKS Kusy Szczecin"/>
    <x v="0"/>
    <x v="1"/>
    <x v="0"/>
    <x v="49"/>
  </r>
  <r>
    <x v="8"/>
    <x v="0"/>
    <n v="2004"/>
    <s v="MKS Kusy Szczecin"/>
    <x v="0"/>
    <x v="1"/>
    <x v="1"/>
    <x v="18"/>
  </r>
  <r>
    <x v="8"/>
    <x v="0"/>
    <n v="2004"/>
    <s v="MKS Kusy Szczecin"/>
    <x v="0"/>
    <x v="1"/>
    <x v="2"/>
    <x v="91"/>
  </r>
  <r>
    <x v="8"/>
    <x v="0"/>
    <n v="2004"/>
    <s v="MKS Kusy Szczecin"/>
    <x v="0"/>
    <x v="2"/>
    <x v="0"/>
    <x v="80"/>
  </r>
  <r>
    <x v="8"/>
    <x v="0"/>
    <n v="2004"/>
    <s v="MKS Kusy Szczecin"/>
    <x v="0"/>
    <x v="2"/>
    <x v="1"/>
    <x v="48"/>
  </r>
  <r>
    <x v="8"/>
    <x v="0"/>
    <n v="2004"/>
    <s v="MKS Kusy Szczecin"/>
    <x v="0"/>
    <x v="2"/>
    <x v="2"/>
    <x v="51"/>
  </r>
  <r>
    <x v="8"/>
    <x v="0"/>
    <n v="2004"/>
    <s v="MKS Kusy Szczecin"/>
    <x v="0"/>
    <x v="3"/>
    <x v="0"/>
    <x v="54"/>
  </r>
  <r>
    <x v="8"/>
    <x v="0"/>
    <n v="2004"/>
    <s v="MKS Kusy Szczecin"/>
    <x v="0"/>
    <x v="3"/>
    <x v="1"/>
    <x v="69"/>
  </r>
  <r>
    <x v="8"/>
    <x v="0"/>
    <n v="2004"/>
    <s v="MKS Kusy Szczecin"/>
    <x v="0"/>
    <x v="3"/>
    <x v="2"/>
    <x v="19"/>
  </r>
  <r>
    <x v="8"/>
    <x v="0"/>
    <n v="2004"/>
    <s v="MKS Kusy Szczecin"/>
    <x v="0"/>
    <x v="4"/>
    <x v="0"/>
    <x v="49"/>
  </r>
  <r>
    <x v="8"/>
    <x v="0"/>
    <n v="2004"/>
    <s v="MKS Kusy Szczecin"/>
    <x v="0"/>
    <x v="4"/>
    <x v="1"/>
    <x v="34"/>
  </r>
  <r>
    <x v="8"/>
    <x v="0"/>
    <n v="2004"/>
    <s v="MKS Kusy Szczecin"/>
    <x v="0"/>
    <x v="4"/>
    <x v="2"/>
    <x v="57"/>
  </r>
  <r>
    <x v="8"/>
    <x v="0"/>
    <n v="2004"/>
    <s v="MKS Kusy Szczecin"/>
    <x v="0"/>
    <x v="5"/>
    <x v="0"/>
    <x v="105"/>
  </r>
  <r>
    <x v="8"/>
    <x v="0"/>
    <n v="2004"/>
    <s v="MKS Kusy Szczecin"/>
    <x v="0"/>
    <x v="5"/>
    <x v="1"/>
    <x v="106"/>
  </r>
  <r>
    <x v="8"/>
    <x v="0"/>
    <n v="2004"/>
    <s v="MKS Kusy Szczecin"/>
    <x v="0"/>
    <x v="5"/>
    <x v="2"/>
    <x v="107"/>
  </r>
  <r>
    <x v="8"/>
    <x v="0"/>
    <n v="2004"/>
    <s v="MKS Kusy Szczecin"/>
    <x v="0"/>
    <x v="6"/>
    <x v="3"/>
    <x v="108"/>
  </r>
  <r>
    <x v="8"/>
    <x v="0"/>
    <n v="2004"/>
    <s v="MKS Kusy Szczecin"/>
    <x v="0"/>
    <x v="6"/>
    <x v="4"/>
    <x v="109"/>
  </r>
  <r>
    <x v="8"/>
    <x v="0"/>
    <n v="2004"/>
    <s v="MKS Kusy Szczecin"/>
    <x v="0"/>
    <x v="6"/>
    <x v="5"/>
    <x v="110"/>
  </r>
  <r>
    <x v="9"/>
    <x v="0"/>
    <n v="2001"/>
    <s v="KS AZS AWF Katowice"/>
    <x v="0"/>
    <x v="0"/>
    <x v="0"/>
    <x v="111"/>
  </r>
  <r>
    <x v="9"/>
    <x v="0"/>
    <n v="2001"/>
    <s v="KS AZS AWF Katowice"/>
    <x v="0"/>
    <x v="0"/>
    <x v="1"/>
    <x v="112"/>
  </r>
  <r>
    <x v="9"/>
    <x v="0"/>
    <n v="2001"/>
    <s v="KS AZS AWF Katowice"/>
    <x v="0"/>
    <x v="0"/>
    <x v="2"/>
    <x v="95"/>
  </r>
  <r>
    <x v="9"/>
    <x v="0"/>
    <n v="2001"/>
    <s v="KS AZS AWF Katowice"/>
    <x v="0"/>
    <x v="1"/>
    <x v="0"/>
    <x v="113"/>
  </r>
  <r>
    <x v="9"/>
    <x v="0"/>
    <n v="2001"/>
    <s v="KS AZS AWF Katowice"/>
    <x v="0"/>
    <x v="1"/>
    <x v="1"/>
    <x v="114"/>
  </r>
  <r>
    <x v="9"/>
    <x v="0"/>
    <n v="2001"/>
    <s v="KS AZS AWF Katowice"/>
    <x v="0"/>
    <x v="1"/>
    <x v="2"/>
    <x v="115"/>
  </r>
  <r>
    <x v="9"/>
    <x v="0"/>
    <n v="2001"/>
    <s v="KS AZS AWF Katowice"/>
    <x v="0"/>
    <x v="2"/>
    <x v="0"/>
    <x v="77"/>
  </r>
  <r>
    <x v="9"/>
    <x v="0"/>
    <n v="2001"/>
    <s v="KS AZS AWF Katowice"/>
    <x v="0"/>
    <x v="2"/>
    <x v="1"/>
    <x v="18"/>
  </r>
  <r>
    <x v="9"/>
    <x v="0"/>
    <n v="2001"/>
    <s v="KS AZS AWF Katowice"/>
    <x v="0"/>
    <x v="2"/>
    <x v="2"/>
    <x v="116"/>
  </r>
  <r>
    <x v="9"/>
    <x v="0"/>
    <n v="2001"/>
    <s v="KS AZS AWF Katowice"/>
    <x v="0"/>
    <x v="3"/>
    <x v="0"/>
    <x v="54"/>
  </r>
  <r>
    <x v="9"/>
    <x v="0"/>
    <n v="2001"/>
    <s v="KS AZS AWF Katowice"/>
    <x v="0"/>
    <x v="3"/>
    <x v="1"/>
    <x v="55"/>
  </r>
  <r>
    <x v="9"/>
    <x v="0"/>
    <n v="2001"/>
    <s v="KS AZS AWF Katowice"/>
    <x v="0"/>
    <x v="3"/>
    <x v="2"/>
    <x v="25"/>
  </r>
  <r>
    <x v="9"/>
    <x v="0"/>
    <n v="2001"/>
    <s v="KS AZS AWF Katowice"/>
    <x v="0"/>
    <x v="4"/>
    <x v="0"/>
    <x v="59"/>
  </r>
  <r>
    <x v="9"/>
    <x v="0"/>
    <n v="2001"/>
    <s v="KS AZS AWF Katowice"/>
    <x v="0"/>
    <x v="4"/>
    <x v="1"/>
    <x v="18"/>
  </r>
  <r>
    <x v="9"/>
    <x v="0"/>
    <n v="2001"/>
    <s v="KS AZS AWF Katowice"/>
    <x v="0"/>
    <x v="4"/>
    <x v="2"/>
    <x v="51"/>
  </r>
  <r>
    <x v="9"/>
    <x v="0"/>
    <n v="2001"/>
    <s v="KS AZS AWF Katowice"/>
    <x v="0"/>
    <x v="5"/>
    <x v="0"/>
    <x v="105"/>
  </r>
  <r>
    <x v="9"/>
    <x v="0"/>
    <n v="2001"/>
    <s v="KS AZS AWF Katowice"/>
    <x v="0"/>
    <x v="5"/>
    <x v="1"/>
    <x v="34"/>
  </r>
  <r>
    <x v="9"/>
    <x v="0"/>
    <n v="2001"/>
    <s v="KS AZS AWF Katowice"/>
    <x v="0"/>
    <x v="5"/>
    <x v="2"/>
    <x v="117"/>
  </r>
  <r>
    <x v="9"/>
    <x v="0"/>
    <n v="2001"/>
    <s v="KS AZS AWF Katowice"/>
    <x v="0"/>
    <x v="6"/>
    <x v="3"/>
    <x v="118"/>
  </r>
  <r>
    <x v="9"/>
    <x v="0"/>
    <n v="2001"/>
    <s v="KS AZS AWF Katowice"/>
    <x v="0"/>
    <x v="6"/>
    <x v="4"/>
    <x v="119"/>
  </r>
  <r>
    <x v="9"/>
    <x v="0"/>
    <n v="2001"/>
    <s v="KS AZS AWF Katowice"/>
    <x v="0"/>
    <x v="6"/>
    <x v="5"/>
    <x v="120"/>
  </r>
  <r>
    <x v="10"/>
    <x v="0"/>
    <n v="2002"/>
    <s v="UKS SP7 Łódź"/>
    <x v="0"/>
    <x v="0"/>
    <x v="0"/>
    <x v="65"/>
  </r>
  <r>
    <x v="10"/>
    <x v="0"/>
    <n v="2002"/>
    <s v="UKS SP7 Łódź"/>
    <x v="0"/>
    <x v="0"/>
    <x v="1"/>
    <x v="18"/>
  </r>
  <r>
    <x v="10"/>
    <x v="0"/>
    <n v="2002"/>
    <s v="UKS SP7 Łódź"/>
    <x v="0"/>
    <x v="0"/>
    <x v="2"/>
    <x v="35"/>
  </r>
  <r>
    <x v="10"/>
    <x v="0"/>
    <n v="2002"/>
    <s v="UKS SP7 Łódź"/>
    <x v="0"/>
    <x v="1"/>
    <x v="0"/>
    <x v="98"/>
  </r>
  <r>
    <x v="10"/>
    <x v="0"/>
    <n v="2002"/>
    <s v="UKS SP7 Łódź"/>
    <x v="0"/>
    <x v="1"/>
    <x v="1"/>
    <x v="106"/>
  </r>
  <r>
    <x v="10"/>
    <x v="0"/>
    <n v="2002"/>
    <s v="UKS SP7 Łódź"/>
    <x v="0"/>
    <x v="1"/>
    <x v="2"/>
    <x v="86"/>
  </r>
  <r>
    <x v="10"/>
    <x v="0"/>
    <n v="2002"/>
    <s v="UKS SP7 Łódź"/>
    <x v="0"/>
    <x v="2"/>
    <x v="0"/>
    <x v="56"/>
  </r>
  <r>
    <x v="10"/>
    <x v="0"/>
    <n v="2002"/>
    <s v="UKS SP7 Łódź"/>
    <x v="0"/>
    <x v="2"/>
    <x v="1"/>
    <x v="21"/>
  </r>
  <r>
    <x v="10"/>
    <x v="0"/>
    <n v="2002"/>
    <s v="UKS SP7 Łódź"/>
    <x v="0"/>
    <x v="2"/>
    <x v="2"/>
    <x v="5"/>
  </r>
  <r>
    <x v="10"/>
    <x v="0"/>
    <n v="2002"/>
    <s v="UKS SP7 Łódź"/>
    <x v="0"/>
    <x v="3"/>
    <x v="0"/>
    <x v="49"/>
  </r>
  <r>
    <x v="10"/>
    <x v="0"/>
    <n v="2002"/>
    <s v="UKS SP7 Łódź"/>
    <x v="0"/>
    <x v="3"/>
    <x v="1"/>
    <x v="10"/>
  </r>
  <r>
    <x v="10"/>
    <x v="0"/>
    <n v="2002"/>
    <s v="UKS SP7 Łódź"/>
    <x v="0"/>
    <x v="3"/>
    <x v="2"/>
    <x v="99"/>
  </r>
  <r>
    <x v="10"/>
    <x v="0"/>
    <n v="2002"/>
    <s v="UKS SP7 Łódź"/>
    <x v="0"/>
    <x v="4"/>
    <x v="0"/>
    <x v="98"/>
  </r>
  <r>
    <x v="10"/>
    <x v="0"/>
    <n v="2002"/>
    <s v="UKS SP7 Łódź"/>
    <x v="0"/>
    <x v="4"/>
    <x v="1"/>
    <x v="29"/>
  </r>
  <r>
    <x v="10"/>
    <x v="0"/>
    <n v="2002"/>
    <s v="UKS SP7 Łódź"/>
    <x v="0"/>
    <x v="4"/>
    <x v="2"/>
    <x v="115"/>
  </r>
  <r>
    <x v="10"/>
    <x v="0"/>
    <n v="2002"/>
    <s v="UKS SP7 Łódź"/>
    <x v="0"/>
    <x v="5"/>
    <x v="0"/>
    <x v="105"/>
  </r>
  <r>
    <x v="10"/>
    <x v="0"/>
    <n v="2002"/>
    <s v="UKS SP7 Łódź"/>
    <x v="0"/>
    <x v="5"/>
    <x v="1"/>
    <x v="48"/>
  </r>
  <r>
    <x v="10"/>
    <x v="0"/>
    <n v="2002"/>
    <s v="UKS SP7 Łódź"/>
    <x v="0"/>
    <x v="5"/>
    <x v="2"/>
    <x v="121"/>
  </r>
  <r>
    <x v="10"/>
    <x v="0"/>
    <n v="2002"/>
    <s v="UKS SP7 Łódź"/>
    <x v="0"/>
    <x v="6"/>
    <x v="3"/>
    <x v="122"/>
  </r>
  <r>
    <x v="10"/>
    <x v="0"/>
    <n v="2002"/>
    <s v="UKS SP7 Łódź"/>
    <x v="0"/>
    <x v="6"/>
    <x v="4"/>
    <x v="123"/>
  </r>
  <r>
    <x v="10"/>
    <x v="0"/>
    <n v="2002"/>
    <s v="UKS SP7 Łódź"/>
    <x v="0"/>
    <x v="6"/>
    <x v="5"/>
    <x v="124"/>
  </r>
  <r>
    <x v="11"/>
    <x v="0"/>
    <n v="2004"/>
    <s v="KS AZS AWF Katowice"/>
    <x v="0"/>
    <x v="0"/>
    <x v="0"/>
    <x v="59"/>
  </r>
  <r>
    <x v="11"/>
    <x v="0"/>
    <n v="2004"/>
    <s v="KS AZS AWF Katowice"/>
    <x v="0"/>
    <x v="0"/>
    <x v="1"/>
    <x v="125"/>
  </r>
  <r>
    <x v="11"/>
    <x v="0"/>
    <n v="2004"/>
    <s v="KS AZS AWF Katowice"/>
    <x v="0"/>
    <x v="0"/>
    <x v="2"/>
    <x v="126"/>
  </r>
  <r>
    <x v="11"/>
    <x v="0"/>
    <n v="2004"/>
    <s v="KS AZS AWF Katowice"/>
    <x v="0"/>
    <x v="1"/>
    <x v="0"/>
    <x v="36"/>
  </r>
  <r>
    <x v="11"/>
    <x v="0"/>
    <n v="2004"/>
    <s v="KS AZS AWF Katowice"/>
    <x v="0"/>
    <x v="1"/>
    <x v="1"/>
    <x v="112"/>
  </r>
  <r>
    <x v="11"/>
    <x v="0"/>
    <n v="2004"/>
    <s v="KS AZS AWF Katowice"/>
    <x v="0"/>
    <x v="1"/>
    <x v="2"/>
    <x v="127"/>
  </r>
  <r>
    <x v="11"/>
    <x v="0"/>
    <n v="2004"/>
    <s v="KS AZS AWF Katowice"/>
    <x v="0"/>
    <x v="2"/>
    <x v="0"/>
    <x v="96"/>
  </r>
  <r>
    <x v="11"/>
    <x v="0"/>
    <n v="2004"/>
    <s v="KS AZS AWF Katowice"/>
    <x v="0"/>
    <x v="2"/>
    <x v="1"/>
    <x v="10"/>
  </r>
  <r>
    <x v="11"/>
    <x v="0"/>
    <n v="2004"/>
    <s v="KS AZS AWF Katowice"/>
    <x v="0"/>
    <x v="2"/>
    <x v="2"/>
    <x v="30"/>
  </r>
  <r>
    <x v="11"/>
    <x v="0"/>
    <n v="2004"/>
    <s v="KS AZS AWF Katowice"/>
    <x v="0"/>
    <x v="3"/>
    <x v="0"/>
    <x v="128"/>
  </r>
  <r>
    <x v="11"/>
    <x v="0"/>
    <n v="2004"/>
    <s v="KS AZS AWF Katowice"/>
    <x v="0"/>
    <x v="3"/>
    <x v="1"/>
    <x v="10"/>
  </r>
  <r>
    <x v="11"/>
    <x v="0"/>
    <n v="2004"/>
    <s v="KS AZS AWF Katowice"/>
    <x v="0"/>
    <x v="3"/>
    <x v="2"/>
    <x v="86"/>
  </r>
  <r>
    <x v="11"/>
    <x v="0"/>
    <n v="2004"/>
    <s v="KS AZS AWF Katowice"/>
    <x v="0"/>
    <x v="4"/>
    <x v="0"/>
    <x v="77"/>
  </r>
  <r>
    <x v="11"/>
    <x v="0"/>
    <n v="2004"/>
    <s v="KS AZS AWF Katowice"/>
    <x v="0"/>
    <x v="4"/>
    <x v="1"/>
    <x v="21"/>
  </r>
  <r>
    <x v="11"/>
    <x v="0"/>
    <n v="2004"/>
    <s v="KS AZS AWF Katowice"/>
    <x v="0"/>
    <x v="4"/>
    <x v="2"/>
    <x v="55"/>
  </r>
  <r>
    <x v="11"/>
    <x v="0"/>
    <n v="2004"/>
    <s v="KS AZS AWF Katowice"/>
    <x v="0"/>
    <x v="5"/>
    <x v="0"/>
    <x v="129"/>
  </r>
  <r>
    <x v="11"/>
    <x v="0"/>
    <n v="2004"/>
    <s v="KS AZS AWF Katowice"/>
    <x v="0"/>
    <x v="5"/>
    <x v="1"/>
    <x v="130"/>
  </r>
  <r>
    <x v="11"/>
    <x v="0"/>
    <n v="2004"/>
    <s v="KS AZS AWF Katowice"/>
    <x v="0"/>
    <x v="5"/>
    <x v="2"/>
    <x v="49"/>
  </r>
  <r>
    <x v="11"/>
    <x v="0"/>
    <n v="2004"/>
    <s v="KS AZS AWF Katowice"/>
    <x v="0"/>
    <x v="6"/>
    <x v="3"/>
    <x v="131"/>
  </r>
  <r>
    <x v="11"/>
    <x v="0"/>
    <n v="2004"/>
    <s v="KS AZS AWF Katowice"/>
    <x v="0"/>
    <x v="6"/>
    <x v="4"/>
    <x v="132"/>
  </r>
  <r>
    <x v="11"/>
    <x v="0"/>
    <n v="2004"/>
    <s v="KS AZS AWF Katowice"/>
    <x v="0"/>
    <x v="6"/>
    <x v="5"/>
    <x v="133"/>
  </r>
  <r>
    <x v="12"/>
    <x v="0"/>
    <n v="2003"/>
    <s v="MKS Gdańsk"/>
    <x v="0"/>
    <x v="0"/>
    <x v="0"/>
    <x v="49"/>
  </r>
  <r>
    <x v="12"/>
    <x v="0"/>
    <n v="2003"/>
    <s v="MKS Gdańsk"/>
    <x v="0"/>
    <x v="0"/>
    <x v="1"/>
    <x v="27"/>
  </r>
  <r>
    <x v="12"/>
    <x v="0"/>
    <n v="2003"/>
    <s v="MKS Gdańsk"/>
    <x v="0"/>
    <x v="0"/>
    <x v="2"/>
    <x v="107"/>
  </r>
  <r>
    <x v="12"/>
    <x v="0"/>
    <n v="2003"/>
    <s v="MKS Gdańsk"/>
    <x v="0"/>
    <x v="1"/>
    <x v="0"/>
    <x v="128"/>
  </r>
  <r>
    <x v="12"/>
    <x v="0"/>
    <n v="2003"/>
    <s v="MKS Gdańsk"/>
    <x v="0"/>
    <x v="1"/>
    <x v="1"/>
    <x v="34"/>
  </r>
  <r>
    <x v="12"/>
    <x v="0"/>
    <n v="2003"/>
    <s v="MKS Gdańsk"/>
    <x v="0"/>
    <x v="1"/>
    <x v="2"/>
    <x v="52"/>
  </r>
  <r>
    <x v="12"/>
    <x v="0"/>
    <n v="2003"/>
    <s v="MKS Gdańsk"/>
    <x v="0"/>
    <x v="2"/>
    <x v="0"/>
    <x v="129"/>
  </r>
  <r>
    <x v="12"/>
    <x v="0"/>
    <n v="2003"/>
    <s v="MKS Gdańsk"/>
    <x v="0"/>
    <x v="2"/>
    <x v="1"/>
    <x v="78"/>
  </r>
  <r>
    <x v="12"/>
    <x v="0"/>
    <n v="2003"/>
    <s v="MKS Gdańsk"/>
    <x v="0"/>
    <x v="2"/>
    <x v="2"/>
    <x v="121"/>
  </r>
  <r>
    <x v="12"/>
    <x v="0"/>
    <n v="2003"/>
    <s v="MKS Gdańsk"/>
    <x v="0"/>
    <x v="3"/>
    <x v="0"/>
    <x v="128"/>
  </r>
  <r>
    <x v="12"/>
    <x v="0"/>
    <n v="2003"/>
    <s v="MKS Gdańsk"/>
    <x v="0"/>
    <x v="3"/>
    <x v="1"/>
    <x v="7"/>
  </r>
  <r>
    <x v="12"/>
    <x v="0"/>
    <n v="2003"/>
    <s v="MKS Gdańsk"/>
    <x v="0"/>
    <x v="3"/>
    <x v="2"/>
    <x v="85"/>
  </r>
  <r>
    <x v="12"/>
    <x v="0"/>
    <n v="2003"/>
    <s v="MKS Gdańsk"/>
    <x v="0"/>
    <x v="4"/>
    <x v="0"/>
    <x v="77"/>
  </r>
  <r>
    <x v="12"/>
    <x v="0"/>
    <n v="2003"/>
    <s v="MKS Gdańsk"/>
    <x v="0"/>
    <x v="4"/>
    <x v="1"/>
    <x v="37"/>
  </r>
  <r>
    <x v="12"/>
    <x v="0"/>
    <n v="2003"/>
    <s v="MKS Gdańsk"/>
    <x v="0"/>
    <x v="4"/>
    <x v="2"/>
    <x v="91"/>
  </r>
  <r>
    <x v="12"/>
    <x v="0"/>
    <n v="2003"/>
    <s v="MKS Gdańsk"/>
    <x v="0"/>
    <x v="5"/>
    <x v="0"/>
    <x v="134"/>
  </r>
  <r>
    <x v="12"/>
    <x v="0"/>
    <n v="2003"/>
    <s v="MKS Gdańsk"/>
    <x v="0"/>
    <x v="5"/>
    <x v="1"/>
    <x v="6"/>
  </r>
  <r>
    <x v="12"/>
    <x v="0"/>
    <n v="2003"/>
    <s v="MKS Gdańsk"/>
    <x v="0"/>
    <x v="5"/>
    <x v="2"/>
    <x v="135"/>
  </r>
  <r>
    <x v="12"/>
    <x v="0"/>
    <n v="2003"/>
    <s v="MKS Gdańsk"/>
    <x v="0"/>
    <x v="6"/>
    <x v="3"/>
    <x v="136"/>
  </r>
  <r>
    <x v="12"/>
    <x v="0"/>
    <n v="2003"/>
    <s v="MKS Gdańsk"/>
    <x v="0"/>
    <x v="6"/>
    <x v="4"/>
    <x v="137"/>
  </r>
  <r>
    <x v="12"/>
    <x v="0"/>
    <n v="2003"/>
    <s v="MKS Gdańsk"/>
    <x v="0"/>
    <x v="6"/>
    <x v="5"/>
    <x v="138"/>
  </r>
  <r>
    <x v="13"/>
    <x v="0"/>
    <n v="2003"/>
    <s v="KS AZS AWFiS Gdańsk"/>
    <x v="1"/>
    <x v="0"/>
    <x v="0"/>
    <x v="47"/>
  </r>
  <r>
    <x v="13"/>
    <x v="0"/>
    <n v="2003"/>
    <s v="KS AZS AWFiS Gdańsk"/>
    <x v="1"/>
    <x v="0"/>
    <x v="1"/>
    <x v="139"/>
  </r>
  <r>
    <x v="13"/>
    <x v="0"/>
    <n v="2003"/>
    <s v="KS AZS AWFiS Gdańsk"/>
    <x v="1"/>
    <x v="0"/>
    <x v="2"/>
    <x v="43"/>
  </r>
  <r>
    <x v="13"/>
    <x v="0"/>
    <n v="2003"/>
    <s v="KS AZS AWFiS Gdańsk"/>
    <x v="1"/>
    <x v="1"/>
    <x v="0"/>
    <x v="65"/>
  </r>
  <r>
    <x v="13"/>
    <x v="0"/>
    <n v="2003"/>
    <s v="KS AZS AWFiS Gdańsk"/>
    <x v="1"/>
    <x v="1"/>
    <x v="1"/>
    <x v="106"/>
  </r>
  <r>
    <x v="13"/>
    <x v="0"/>
    <n v="2003"/>
    <s v="KS AZS AWFiS Gdańsk"/>
    <x v="1"/>
    <x v="1"/>
    <x v="2"/>
    <x v="95"/>
  </r>
  <r>
    <x v="13"/>
    <x v="0"/>
    <n v="2003"/>
    <s v="KS AZS AWFiS Gdańsk"/>
    <x v="1"/>
    <x v="2"/>
    <x v="0"/>
    <x v="77"/>
  </r>
  <r>
    <x v="13"/>
    <x v="0"/>
    <n v="2003"/>
    <s v="KS AZS AWFiS Gdańsk"/>
    <x v="1"/>
    <x v="2"/>
    <x v="1"/>
    <x v="21"/>
  </r>
  <r>
    <x v="13"/>
    <x v="0"/>
    <n v="2003"/>
    <s v="KS AZS AWFiS Gdańsk"/>
    <x v="1"/>
    <x v="2"/>
    <x v="2"/>
    <x v="55"/>
  </r>
  <r>
    <x v="13"/>
    <x v="0"/>
    <n v="2003"/>
    <s v="KS AZS AWFiS Gdańsk"/>
    <x v="1"/>
    <x v="3"/>
    <x v="0"/>
    <x v="23"/>
  </r>
  <r>
    <x v="13"/>
    <x v="0"/>
    <n v="2003"/>
    <s v="KS AZS AWFiS Gdańsk"/>
    <x v="1"/>
    <x v="3"/>
    <x v="1"/>
    <x v="10"/>
  </r>
  <r>
    <x v="13"/>
    <x v="0"/>
    <n v="2003"/>
    <s v="KS AZS AWFiS Gdańsk"/>
    <x v="1"/>
    <x v="3"/>
    <x v="2"/>
    <x v="43"/>
  </r>
  <r>
    <x v="13"/>
    <x v="0"/>
    <n v="2003"/>
    <s v="KS AZS AWFiS Gdańsk"/>
    <x v="1"/>
    <x v="4"/>
    <x v="0"/>
    <x v="128"/>
  </r>
  <r>
    <x v="13"/>
    <x v="0"/>
    <n v="2003"/>
    <s v="KS AZS AWFiS Gdańsk"/>
    <x v="1"/>
    <x v="4"/>
    <x v="1"/>
    <x v="54"/>
  </r>
  <r>
    <x v="13"/>
    <x v="0"/>
    <n v="2003"/>
    <s v="KS AZS AWFiS Gdańsk"/>
    <x v="1"/>
    <x v="4"/>
    <x v="2"/>
    <x v="63"/>
  </r>
  <r>
    <x v="13"/>
    <x v="0"/>
    <n v="2003"/>
    <s v="KS AZS AWFiS Gdańsk"/>
    <x v="1"/>
    <x v="5"/>
    <x v="0"/>
    <x v="140"/>
  </r>
  <r>
    <x v="13"/>
    <x v="0"/>
    <n v="2003"/>
    <s v="KS AZS AWFiS Gdańsk"/>
    <x v="1"/>
    <x v="5"/>
    <x v="1"/>
    <x v="140"/>
  </r>
  <r>
    <x v="13"/>
    <x v="0"/>
    <n v="2003"/>
    <s v="KS AZS AWFiS Gdańsk"/>
    <x v="1"/>
    <x v="5"/>
    <x v="2"/>
    <x v="140"/>
  </r>
  <r>
    <x v="13"/>
    <x v="0"/>
    <n v="2003"/>
    <s v="KS AZS AWFiS Gdańsk"/>
    <x v="1"/>
    <x v="6"/>
    <x v="3"/>
    <x v="140"/>
  </r>
  <r>
    <x v="13"/>
    <x v="0"/>
    <n v="2003"/>
    <s v="KS AZS AWFiS Gdańsk"/>
    <x v="1"/>
    <x v="6"/>
    <x v="4"/>
    <x v="140"/>
  </r>
  <r>
    <x v="13"/>
    <x v="0"/>
    <n v="2003"/>
    <s v="KS AZS AWFiS Gdańsk"/>
    <x v="1"/>
    <x v="6"/>
    <x v="5"/>
    <x v="141"/>
  </r>
  <r>
    <x v="14"/>
    <x v="0"/>
    <n v="2004"/>
    <s v="MKS Gdańsk"/>
    <x v="1"/>
    <x v="0"/>
    <x v="0"/>
    <x v="59"/>
  </r>
  <r>
    <x v="14"/>
    <x v="0"/>
    <n v="2004"/>
    <s v="MKS Gdańsk"/>
    <x v="1"/>
    <x v="0"/>
    <x v="1"/>
    <x v="142"/>
  </r>
  <r>
    <x v="14"/>
    <x v="0"/>
    <n v="2004"/>
    <s v="MKS Gdańsk"/>
    <x v="1"/>
    <x v="0"/>
    <x v="2"/>
    <x v="143"/>
  </r>
  <r>
    <x v="14"/>
    <x v="0"/>
    <n v="2004"/>
    <s v="MKS Gdańsk"/>
    <x v="1"/>
    <x v="1"/>
    <x v="0"/>
    <x v="56"/>
  </r>
  <r>
    <x v="14"/>
    <x v="0"/>
    <n v="2004"/>
    <s v="MKS Gdańsk"/>
    <x v="1"/>
    <x v="1"/>
    <x v="1"/>
    <x v="117"/>
  </r>
  <r>
    <x v="14"/>
    <x v="0"/>
    <n v="2004"/>
    <s v="MKS Gdańsk"/>
    <x v="1"/>
    <x v="1"/>
    <x v="2"/>
    <x v="30"/>
  </r>
  <r>
    <x v="14"/>
    <x v="0"/>
    <n v="2004"/>
    <s v="MKS Gdańsk"/>
    <x v="1"/>
    <x v="2"/>
    <x v="0"/>
    <x v="140"/>
  </r>
  <r>
    <x v="14"/>
    <x v="0"/>
    <n v="2004"/>
    <s v="MKS Gdańsk"/>
    <x v="1"/>
    <x v="2"/>
    <x v="1"/>
    <x v="140"/>
  </r>
  <r>
    <x v="14"/>
    <x v="0"/>
    <n v="2004"/>
    <s v="MKS Gdańsk"/>
    <x v="1"/>
    <x v="2"/>
    <x v="2"/>
    <x v="140"/>
  </r>
  <r>
    <x v="14"/>
    <x v="0"/>
    <n v="2004"/>
    <s v="MKS Gdańsk"/>
    <x v="1"/>
    <x v="3"/>
    <x v="0"/>
    <x v="54"/>
  </r>
  <r>
    <x v="14"/>
    <x v="0"/>
    <n v="2004"/>
    <s v="MKS Gdańsk"/>
    <x v="1"/>
    <x v="3"/>
    <x v="1"/>
    <x v="89"/>
  </r>
  <r>
    <x v="14"/>
    <x v="0"/>
    <n v="2004"/>
    <s v="MKS Gdańsk"/>
    <x v="1"/>
    <x v="3"/>
    <x v="2"/>
    <x v="90"/>
  </r>
  <r>
    <x v="14"/>
    <x v="0"/>
    <n v="2004"/>
    <s v="MKS Gdańsk"/>
    <x v="1"/>
    <x v="4"/>
    <x v="0"/>
    <x v="140"/>
  </r>
  <r>
    <x v="14"/>
    <x v="0"/>
    <n v="2004"/>
    <s v="MKS Gdańsk"/>
    <x v="1"/>
    <x v="4"/>
    <x v="1"/>
    <x v="140"/>
  </r>
  <r>
    <x v="14"/>
    <x v="0"/>
    <n v="2004"/>
    <s v="MKS Gdańsk"/>
    <x v="1"/>
    <x v="4"/>
    <x v="2"/>
    <x v="140"/>
  </r>
  <r>
    <x v="14"/>
    <x v="0"/>
    <n v="2004"/>
    <s v="MKS Gdańsk"/>
    <x v="1"/>
    <x v="5"/>
    <x v="0"/>
    <x v="140"/>
  </r>
  <r>
    <x v="14"/>
    <x v="0"/>
    <n v="2004"/>
    <s v="MKS Gdańsk"/>
    <x v="1"/>
    <x v="5"/>
    <x v="1"/>
    <x v="140"/>
  </r>
  <r>
    <x v="14"/>
    <x v="0"/>
    <n v="2004"/>
    <s v="MKS Gdańsk"/>
    <x v="1"/>
    <x v="5"/>
    <x v="2"/>
    <x v="140"/>
  </r>
  <r>
    <x v="14"/>
    <x v="0"/>
    <n v="2004"/>
    <s v="MKS Gdańsk"/>
    <x v="1"/>
    <x v="6"/>
    <x v="3"/>
    <x v="140"/>
  </r>
  <r>
    <x v="14"/>
    <x v="0"/>
    <n v="2004"/>
    <s v="MKS Gdańsk"/>
    <x v="1"/>
    <x v="6"/>
    <x v="4"/>
    <x v="140"/>
  </r>
  <r>
    <x v="14"/>
    <x v="0"/>
    <n v="2004"/>
    <s v="MKS Gdańsk"/>
    <x v="1"/>
    <x v="6"/>
    <x v="5"/>
    <x v="144"/>
  </r>
  <r>
    <x v="15"/>
    <x v="0"/>
    <n v="2003"/>
    <s v="KS AZS AWFiS Gdańsk"/>
    <x v="1"/>
    <x v="0"/>
    <x v="0"/>
    <x v="96"/>
  </r>
  <r>
    <x v="15"/>
    <x v="0"/>
    <n v="2003"/>
    <s v="KS AZS AWFiS Gdańsk"/>
    <x v="1"/>
    <x v="0"/>
    <x v="1"/>
    <x v="114"/>
  </r>
  <r>
    <x v="15"/>
    <x v="0"/>
    <n v="2003"/>
    <s v="KS AZS AWFiS Gdańsk"/>
    <x v="1"/>
    <x v="0"/>
    <x v="2"/>
    <x v="91"/>
  </r>
  <r>
    <x v="15"/>
    <x v="0"/>
    <n v="2003"/>
    <s v="KS AZS AWFiS Gdańsk"/>
    <x v="1"/>
    <x v="1"/>
    <x v="0"/>
    <x v="105"/>
  </r>
  <r>
    <x v="15"/>
    <x v="0"/>
    <n v="2003"/>
    <s v="KS AZS AWFiS Gdańsk"/>
    <x v="1"/>
    <x v="1"/>
    <x v="1"/>
    <x v="3"/>
  </r>
  <r>
    <x v="15"/>
    <x v="0"/>
    <n v="2003"/>
    <s v="KS AZS AWFiS Gdańsk"/>
    <x v="1"/>
    <x v="1"/>
    <x v="2"/>
    <x v="27"/>
  </r>
  <r>
    <x v="15"/>
    <x v="0"/>
    <n v="2003"/>
    <s v="KS AZS AWFiS Gdańsk"/>
    <x v="1"/>
    <x v="2"/>
    <x v="0"/>
    <x v="140"/>
  </r>
  <r>
    <x v="15"/>
    <x v="0"/>
    <n v="2003"/>
    <s v="KS AZS AWFiS Gdańsk"/>
    <x v="1"/>
    <x v="2"/>
    <x v="1"/>
    <x v="140"/>
  </r>
  <r>
    <x v="15"/>
    <x v="0"/>
    <n v="2003"/>
    <s v="KS AZS AWFiS Gdańsk"/>
    <x v="1"/>
    <x v="2"/>
    <x v="2"/>
    <x v="140"/>
  </r>
  <r>
    <x v="15"/>
    <x v="0"/>
    <n v="2003"/>
    <s v="KS AZS AWFiS Gdańsk"/>
    <x v="1"/>
    <x v="3"/>
    <x v="0"/>
    <x v="140"/>
  </r>
  <r>
    <x v="15"/>
    <x v="0"/>
    <n v="2003"/>
    <s v="KS AZS AWFiS Gdańsk"/>
    <x v="1"/>
    <x v="3"/>
    <x v="1"/>
    <x v="140"/>
  </r>
  <r>
    <x v="15"/>
    <x v="0"/>
    <n v="2003"/>
    <s v="KS AZS AWFiS Gdańsk"/>
    <x v="1"/>
    <x v="3"/>
    <x v="2"/>
    <x v="140"/>
  </r>
  <r>
    <x v="15"/>
    <x v="0"/>
    <n v="2003"/>
    <s v="KS AZS AWFiS Gdańsk"/>
    <x v="1"/>
    <x v="4"/>
    <x v="0"/>
    <x v="100"/>
  </r>
  <r>
    <x v="15"/>
    <x v="0"/>
    <n v="2003"/>
    <s v="KS AZS AWFiS Gdańsk"/>
    <x v="1"/>
    <x v="4"/>
    <x v="1"/>
    <x v="117"/>
  </r>
  <r>
    <x v="15"/>
    <x v="0"/>
    <n v="2003"/>
    <s v="KS AZS AWFiS Gdańsk"/>
    <x v="1"/>
    <x v="4"/>
    <x v="2"/>
    <x v="22"/>
  </r>
  <r>
    <x v="15"/>
    <x v="0"/>
    <n v="2003"/>
    <s v="KS AZS AWFiS Gdańsk"/>
    <x v="1"/>
    <x v="5"/>
    <x v="0"/>
    <x v="140"/>
  </r>
  <r>
    <x v="15"/>
    <x v="0"/>
    <n v="2003"/>
    <s v="KS AZS AWFiS Gdańsk"/>
    <x v="1"/>
    <x v="5"/>
    <x v="1"/>
    <x v="140"/>
  </r>
  <r>
    <x v="15"/>
    <x v="0"/>
    <n v="2003"/>
    <s v="KS AZS AWFiS Gdańsk"/>
    <x v="1"/>
    <x v="5"/>
    <x v="2"/>
    <x v="140"/>
  </r>
  <r>
    <x v="15"/>
    <x v="0"/>
    <n v="2003"/>
    <s v="KS AZS AWFiS Gdańsk"/>
    <x v="1"/>
    <x v="6"/>
    <x v="3"/>
    <x v="140"/>
  </r>
  <r>
    <x v="15"/>
    <x v="0"/>
    <n v="2003"/>
    <s v="KS AZS AWFiS Gdańsk"/>
    <x v="1"/>
    <x v="6"/>
    <x v="4"/>
    <x v="140"/>
  </r>
  <r>
    <x v="15"/>
    <x v="0"/>
    <n v="2003"/>
    <s v="KS AZS AWFiS Gdańsk"/>
    <x v="1"/>
    <x v="6"/>
    <x v="5"/>
    <x v="145"/>
  </r>
  <r>
    <x v="16"/>
    <x v="0"/>
    <n v="2003"/>
    <s v="CWZS Zawisza KG Bydgoszcz"/>
    <x v="1"/>
    <x v="0"/>
    <x v="0"/>
    <x v="140"/>
  </r>
  <r>
    <x v="16"/>
    <x v="0"/>
    <n v="2003"/>
    <s v="CWZS Zawisza KG Bydgoszcz"/>
    <x v="1"/>
    <x v="0"/>
    <x v="1"/>
    <x v="140"/>
  </r>
  <r>
    <x v="16"/>
    <x v="0"/>
    <n v="2003"/>
    <s v="CWZS Zawisza KG Bydgoszcz"/>
    <x v="1"/>
    <x v="0"/>
    <x v="2"/>
    <x v="140"/>
  </r>
  <r>
    <x v="16"/>
    <x v="0"/>
    <n v="2003"/>
    <s v="CWZS Zawisza KG Bydgoszcz"/>
    <x v="1"/>
    <x v="1"/>
    <x v="0"/>
    <x v="6"/>
  </r>
  <r>
    <x v="16"/>
    <x v="0"/>
    <n v="2003"/>
    <s v="CWZS Zawisza KG Bydgoszcz"/>
    <x v="1"/>
    <x v="1"/>
    <x v="1"/>
    <x v="10"/>
  </r>
  <r>
    <x v="16"/>
    <x v="0"/>
    <n v="2003"/>
    <s v="CWZS Zawisza KG Bydgoszcz"/>
    <x v="1"/>
    <x v="1"/>
    <x v="2"/>
    <x v="146"/>
  </r>
  <r>
    <x v="16"/>
    <x v="0"/>
    <n v="2003"/>
    <s v="CWZS Zawisza KG Bydgoszcz"/>
    <x v="1"/>
    <x v="2"/>
    <x v="0"/>
    <x v="140"/>
  </r>
  <r>
    <x v="16"/>
    <x v="0"/>
    <n v="2003"/>
    <s v="CWZS Zawisza KG Bydgoszcz"/>
    <x v="1"/>
    <x v="2"/>
    <x v="1"/>
    <x v="140"/>
  </r>
  <r>
    <x v="16"/>
    <x v="0"/>
    <n v="2003"/>
    <s v="CWZS Zawisza KG Bydgoszcz"/>
    <x v="1"/>
    <x v="2"/>
    <x v="2"/>
    <x v="140"/>
  </r>
  <r>
    <x v="16"/>
    <x v="0"/>
    <n v="2003"/>
    <s v="CWZS Zawisza KG Bydgoszcz"/>
    <x v="1"/>
    <x v="3"/>
    <x v="0"/>
    <x v="140"/>
  </r>
  <r>
    <x v="16"/>
    <x v="0"/>
    <n v="2003"/>
    <s v="CWZS Zawisza KG Bydgoszcz"/>
    <x v="1"/>
    <x v="3"/>
    <x v="1"/>
    <x v="140"/>
  </r>
  <r>
    <x v="16"/>
    <x v="0"/>
    <n v="2003"/>
    <s v="CWZS Zawisza KG Bydgoszcz"/>
    <x v="1"/>
    <x v="3"/>
    <x v="2"/>
    <x v="140"/>
  </r>
  <r>
    <x v="16"/>
    <x v="0"/>
    <n v="2003"/>
    <s v="CWZS Zawisza KG Bydgoszcz"/>
    <x v="1"/>
    <x v="4"/>
    <x v="0"/>
    <x v="98"/>
  </r>
  <r>
    <x v="16"/>
    <x v="0"/>
    <n v="2003"/>
    <s v="CWZS Zawisza KG Bydgoszcz"/>
    <x v="1"/>
    <x v="4"/>
    <x v="1"/>
    <x v="57"/>
  </r>
  <r>
    <x v="16"/>
    <x v="0"/>
    <n v="2003"/>
    <s v="CWZS Zawisza KG Bydgoszcz"/>
    <x v="1"/>
    <x v="4"/>
    <x v="2"/>
    <x v="53"/>
  </r>
  <r>
    <x v="16"/>
    <x v="0"/>
    <n v="2003"/>
    <s v="CWZS Zawisza KG Bydgoszcz"/>
    <x v="1"/>
    <x v="5"/>
    <x v="0"/>
    <x v="140"/>
  </r>
  <r>
    <x v="16"/>
    <x v="0"/>
    <n v="2003"/>
    <s v="CWZS Zawisza KG Bydgoszcz"/>
    <x v="1"/>
    <x v="5"/>
    <x v="1"/>
    <x v="140"/>
  </r>
  <r>
    <x v="16"/>
    <x v="0"/>
    <n v="2003"/>
    <s v="CWZS Zawisza KG Bydgoszcz"/>
    <x v="1"/>
    <x v="5"/>
    <x v="2"/>
    <x v="140"/>
  </r>
  <r>
    <x v="16"/>
    <x v="0"/>
    <n v="2003"/>
    <s v="CWZS Zawisza KG Bydgoszcz"/>
    <x v="1"/>
    <x v="6"/>
    <x v="3"/>
    <x v="140"/>
  </r>
  <r>
    <x v="16"/>
    <x v="0"/>
    <n v="2003"/>
    <s v="CWZS Zawisza KG Bydgoszcz"/>
    <x v="1"/>
    <x v="6"/>
    <x v="4"/>
    <x v="140"/>
  </r>
  <r>
    <x v="16"/>
    <x v="0"/>
    <n v="2003"/>
    <s v="CWZS Zawisza KG Bydgoszcz"/>
    <x v="1"/>
    <x v="6"/>
    <x v="5"/>
    <x v="147"/>
  </r>
  <r>
    <x v="17"/>
    <x v="0"/>
    <n v="2002"/>
    <s v="KS AZS AWF Katowice"/>
    <x v="1"/>
    <x v="0"/>
    <x v="0"/>
    <x v="140"/>
  </r>
  <r>
    <x v="17"/>
    <x v="0"/>
    <n v="2002"/>
    <s v="KS AZS AWF Katowice"/>
    <x v="1"/>
    <x v="0"/>
    <x v="1"/>
    <x v="140"/>
  </r>
  <r>
    <x v="17"/>
    <x v="0"/>
    <n v="2002"/>
    <s v="KS AZS AWF Katowice"/>
    <x v="1"/>
    <x v="0"/>
    <x v="2"/>
    <x v="140"/>
  </r>
  <r>
    <x v="17"/>
    <x v="0"/>
    <n v="2002"/>
    <s v="KS AZS AWF Katowice"/>
    <x v="1"/>
    <x v="1"/>
    <x v="0"/>
    <x v="148"/>
  </r>
  <r>
    <x v="17"/>
    <x v="0"/>
    <n v="2002"/>
    <s v="KS AZS AWF Katowice"/>
    <x v="1"/>
    <x v="1"/>
    <x v="1"/>
    <x v="42"/>
  </r>
  <r>
    <x v="17"/>
    <x v="0"/>
    <n v="2002"/>
    <s v="KS AZS AWF Katowice"/>
    <x v="1"/>
    <x v="1"/>
    <x v="2"/>
    <x v="127"/>
  </r>
  <r>
    <x v="17"/>
    <x v="0"/>
    <n v="2002"/>
    <s v="KS AZS AWF Katowice"/>
    <x v="1"/>
    <x v="2"/>
    <x v="0"/>
    <x v="140"/>
  </r>
  <r>
    <x v="17"/>
    <x v="0"/>
    <n v="2002"/>
    <s v="KS AZS AWF Katowice"/>
    <x v="1"/>
    <x v="2"/>
    <x v="1"/>
    <x v="140"/>
  </r>
  <r>
    <x v="17"/>
    <x v="0"/>
    <n v="2002"/>
    <s v="KS AZS AWF Katowice"/>
    <x v="1"/>
    <x v="2"/>
    <x v="2"/>
    <x v="140"/>
  </r>
  <r>
    <x v="17"/>
    <x v="0"/>
    <n v="2002"/>
    <s v="KS AZS AWF Katowice"/>
    <x v="1"/>
    <x v="3"/>
    <x v="0"/>
    <x v="140"/>
  </r>
  <r>
    <x v="17"/>
    <x v="0"/>
    <n v="2002"/>
    <s v="KS AZS AWF Katowice"/>
    <x v="1"/>
    <x v="3"/>
    <x v="1"/>
    <x v="140"/>
  </r>
  <r>
    <x v="17"/>
    <x v="0"/>
    <n v="2002"/>
    <s v="KS AZS AWF Katowice"/>
    <x v="1"/>
    <x v="3"/>
    <x v="2"/>
    <x v="140"/>
  </r>
  <r>
    <x v="17"/>
    <x v="0"/>
    <n v="2002"/>
    <s v="KS AZS AWF Katowice"/>
    <x v="1"/>
    <x v="4"/>
    <x v="0"/>
    <x v="96"/>
  </r>
  <r>
    <x v="17"/>
    <x v="0"/>
    <n v="2002"/>
    <s v="KS AZS AWF Katowice"/>
    <x v="1"/>
    <x v="4"/>
    <x v="1"/>
    <x v="68"/>
  </r>
  <r>
    <x v="17"/>
    <x v="0"/>
    <n v="2002"/>
    <s v="KS AZS AWF Katowice"/>
    <x v="1"/>
    <x v="4"/>
    <x v="2"/>
    <x v="149"/>
  </r>
  <r>
    <x v="17"/>
    <x v="0"/>
    <n v="2002"/>
    <s v="KS AZS AWF Katowice"/>
    <x v="1"/>
    <x v="5"/>
    <x v="0"/>
    <x v="140"/>
  </r>
  <r>
    <x v="17"/>
    <x v="0"/>
    <n v="2002"/>
    <s v="KS AZS AWF Katowice"/>
    <x v="1"/>
    <x v="5"/>
    <x v="1"/>
    <x v="140"/>
  </r>
  <r>
    <x v="17"/>
    <x v="0"/>
    <n v="2002"/>
    <s v="KS AZS AWF Katowice"/>
    <x v="1"/>
    <x v="5"/>
    <x v="2"/>
    <x v="140"/>
  </r>
  <r>
    <x v="17"/>
    <x v="0"/>
    <n v="2002"/>
    <s v="KS AZS AWF Katowice"/>
    <x v="1"/>
    <x v="6"/>
    <x v="3"/>
    <x v="140"/>
  </r>
  <r>
    <x v="17"/>
    <x v="0"/>
    <n v="2002"/>
    <s v="KS AZS AWF Katowice"/>
    <x v="1"/>
    <x v="6"/>
    <x v="4"/>
    <x v="140"/>
  </r>
  <r>
    <x v="17"/>
    <x v="0"/>
    <n v="2002"/>
    <s v="KS AZS AWF Katowice"/>
    <x v="1"/>
    <x v="6"/>
    <x v="5"/>
    <x v="150"/>
  </r>
  <r>
    <x v="18"/>
    <x v="0"/>
    <n v="2002"/>
    <s v="KS AZS AWFiS Gdańsk"/>
    <x v="1"/>
    <x v="0"/>
    <x v="0"/>
    <x v="140"/>
  </r>
  <r>
    <x v="18"/>
    <x v="0"/>
    <n v="2002"/>
    <s v="KS AZS AWFiS Gdańsk"/>
    <x v="1"/>
    <x v="0"/>
    <x v="1"/>
    <x v="140"/>
  </r>
  <r>
    <x v="18"/>
    <x v="0"/>
    <n v="2002"/>
    <s v="KS AZS AWFiS Gdańsk"/>
    <x v="1"/>
    <x v="0"/>
    <x v="2"/>
    <x v="140"/>
  </r>
  <r>
    <x v="18"/>
    <x v="0"/>
    <n v="2002"/>
    <s v="KS AZS AWFiS Gdańsk"/>
    <x v="1"/>
    <x v="1"/>
    <x v="0"/>
    <x v="140"/>
  </r>
  <r>
    <x v="18"/>
    <x v="0"/>
    <n v="2002"/>
    <s v="KS AZS AWFiS Gdańsk"/>
    <x v="1"/>
    <x v="1"/>
    <x v="1"/>
    <x v="140"/>
  </r>
  <r>
    <x v="18"/>
    <x v="0"/>
    <n v="2002"/>
    <s v="KS AZS AWFiS Gdańsk"/>
    <x v="1"/>
    <x v="1"/>
    <x v="2"/>
    <x v="140"/>
  </r>
  <r>
    <x v="18"/>
    <x v="0"/>
    <n v="2002"/>
    <s v="KS AZS AWFiS Gdańsk"/>
    <x v="1"/>
    <x v="2"/>
    <x v="0"/>
    <x v="79"/>
  </r>
  <r>
    <x v="18"/>
    <x v="0"/>
    <n v="2002"/>
    <s v="KS AZS AWFiS Gdańsk"/>
    <x v="1"/>
    <x v="2"/>
    <x v="1"/>
    <x v="139"/>
  </r>
  <r>
    <x v="18"/>
    <x v="0"/>
    <n v="2002"/>
    <s v="KS AZS AWFiS Gdańsk"/>
    <x v="1"/>
    <x v="2"/>
    <x v="2"/>
    <x v="99"/>
  </r>
  <r>
    <x v="18"/>
    <x v="0"/>
    <n v="2002"/>
    <s v="KS AZS AWFiS Gdańsk"/>
    <x v="1"/>
    <x v="3"/>
    <x v="0"/>
    <x v="140"/>
  </r>
  <r>
    <x v="18"/>
    <x v="0"/>
    <n v="2002"/>
    <s v="KS AZS AWFiS Gdańsk"/>
    <x v="1"/>
    <x v="3"/>
    <x v="1"/>
    <x v="140"/>
  </r>
  <r>
    <x v="18"/>
    <x v="0"/>
    <n v="2002"/>
    <s v="KS AZS AWFiS Gdańsk"/>
    <x v="1"/>
    <x v="3"/>
    <x v="2"/>
    <x v="140"/>
  </r>
  <r>
    <x v="18"/>
    <x v="0"/>
    <n v="2002"/>
    <s v="KS AZS AWFiS Gdańsk"/>
    <x v="1"/>
    <x v="4"/>
    <x v="0"/>
    <x v="140"/>
  </r>
  <r>
    <x v="18"/>
    <x v="0"/>
    <n v="2002"/>
    <s v="KS AZS AWFiS Gdańsk"/>
    <x v="1"/>
    <x v="4"/>
    <x v="1"/>
    <x v="140"/>
  </r>
  <r>
    <x v="18"/>
    <x v="0"/>
    <n v="2002"/>
    <s v="KS AZS AWFiS Gdańsk"/>
    <x v="1"/>
    <x v="4"/>
    <x v="2"/>
    <x v="140"/>
  </r>
  <r>
    <x v="18"/>
    <x v="0"/>
    <n v="2002"/>
    <s v="KS AZS AWFiS Gdańsk"/>
    <x v="1"/>
    <x v="5"/>
    <x v="0"/>
    <x v="140"/>
  </r>
  <r>
    <x v="18"/>
    <x v="0"/>
    <n v="2002"/>
    <s v="KS AZS AWFiS Gdańsk"/>
    <x v="1"/>
    <x v="5"/>
    <x v="1"/>
    <x v="140"/>
  </r>
  <r>
    <x v="18"/>
    <x v="0"/>
    <n v="2002"/>
    <s v="KS AZS AWFiS Gdańsk"/>
    <x v="1"/>
    <x v="5"/>
    <x v="2"/>
    <x v="140"/>
  </r>
  <r>
    <x v="18"/>
    <x v="0"/>
    <n v="2002"/>
    <s v="KS AZS AWFiS Gdańsk"/>
    <x v="1"/>
    <x v="6"/>
    <x v="3"/>
    <x v="140"/>
  </r>
  <r>
    <x v="18"/>
    <x v="0"/>
    <n v="2002"/>
    <s v="KS AZS AWFiS Gdańsk"/>
    <x v="1"/>
    <x v="6"/>
    <x v="4"/>
    <x v="140"/>
  </r>
  <r>
    <x v="18"/>
    <x v="0"/>
    <n v="2002"/>
    <s v="KS AZS AWFiS Gdańsk"/>
    <x v="1"/>
    <x v="6"/>
    <x v="5"/>
    <x v="99"/>
  </r>
  <r>
    <x v="19"/>
    <x v="0"/>
    <n v="2004"/>
    <s v="CWZS Zawisza KG Bydgoszcz"/>
    <x v="1"/>
    <x v="0"/>
    <x v="0"/>
    <x v="3"/>
  </r>
  <r>
    <x v="19"/>
    <x v="0"/>
    <n v="2004"/>
    <s v="CWZS Zawisza KG Bydgoszcz"/>
    <x v="1"/>
    <x v="0"/>
    <x v="1"/>
    <x v="148"/>
  </r>
  <r>
    <x v="19"/>
    <x v="0"/>
    <n v="2004"/>
    <s v="CWZS Zawisza KG Bydgoszcz"/>
    <x v="1"/>
    <x v="0"/>
    <x v="2"/>
    <x v="89"/>
  </r>
  <r>
    <x v="19"/>
    <x v="0"/>
    <n v="2004"/>
    <s v="CWZS Zawisza KG Bydgoszcz"/>
    <x v="1"/>
    <x v="1"/>
    <x v="0"/>
    <x v="140"/>
  </r>
  <r>
    <x v="19"/>
    <x v="0"/>
    <n v="2004"/>
    <s v="CWZS Zawisza KG Bydgoszcz"/>
    <x v="1"/>
    <x v="1"/>
    <x v="1"/>
    <x v="140"/>
  </r>
  <r>
    <x v="19"/>
    <x v="0"/>
    <n v="2004"/>
    <s v="CWZS Zawisza KG Bydgoszcz"/>
    <x v="1"/>
    <x v="1"/>
    <x v="2"/>
    <x v="140"/>
  </r>
  <r>
    <x v="19"/>
    <x v="0"/>
    <n v="2004"/>
    <s v="CWZS Zawisza KG Bydgoszcz"/>
    <x v="1"/>
    <x v="2"/>
    <x v="0"/>
    <x v="140"/>
  </r>
  <r>
    <x v="19"/>
    <x v="0"/>
    <n v="2004"/>
    <s v="CWZS Zawisza KG Bydgoszcz"/>
    <x v="1"/>
    <x v="2"/>
    <x v="1"/>
    <x v="140"/>
  </r>
  <r>
    <x v="19"/>
    <x v="0"/>
    <n v="2004"/>
    <s v="CWZS Zawisza KG Bydgoszcz"/>
    <x v="1"/>
    <x v="2"/>
    <x v="2"/>
    <x v="140"/>
  </r>
  <r>
    <x v="19"/>
    <x v="0"/>
    <n v="2004"/>
    <s v="CWZS Zawisza KG Bydgoszcz"/>
    <x v="1"/>
    <x v="3"/>
    <x v="0"/>
    <x v="140"/>
  </r>
  <r>
    <x v="19"/>
    <x v="0"/>
    <n v="2004"/>
    <s v="CWZS Zawisza KG Bydgoszcz"/>
    <x v="1"/>
    <x v="3"/>
    <x v="1"/>
    <x v="140"/>
  </r>
  <r>
    <x v="19"/>
    <x v="0"/>
    <n v="2004"/>
    <s v="CWZS Zawisza KG Bydgoszcz"/>
    <x v="1"/>
    <x v="3"/>
    <x v="2"/>
    <x v="140"/>
  </r>
  <r>
    <x v="19"/>
    <x v="0"/>
    <n v="2004"/>
    <s v="CWZS Zawisza KG Bydgoszcz"/>
    <x v="1"/>
    <x v="4"/>
    <x v="0"/>
    <x v="140"/>
  </r>
  <r>
    <x v="19"/>
    <x v="0"/>
    <n v="2004"/>
    <s v="CWZS Zawisza KG Bydgoszcz"/>
    <x v="1"/>
    <x v="4"/>
    <x v="1"/>
    <x v="140"/>
  </r>
  <r>
    <x v="19"/>
    <x v="0"/>
    <n v="2004"/>
    <s v="CWZS Zawisza KG Bydgoszcz"/>
    <x v="1"/>
    <x v="4"/>
    <x v="2"/>
    <x v="140"/>
  </r>
  <r>
    <x v="19"/>
    <x v="0"/>
    <n v="2004"/>
    <s v="CWZS Zawisza KG Bydgoszcz"/>
    <x v="1"/>
    <x v="5"/>
    <x v="0"/>
    <x v="140"/>
  </r>
  <r>
    <x v="19"/>
    <x v="0"/>
    <n v="2004"/>
    <s v="CWZS Zawisza KG Bydgoszcz"/>
    <x v="1"/>
    <x v="5"/>
    <x v="1"/>
    <x v="140"/>
  </r>
  <r>
    <x v="19"/>
    <x v="0"/>
    <n v="2004"/>
    <s v="CWZS Zawisza KG Bydgoszcz"/>
    <x v="1"/>
    <x v="5"/>
    <x v="2"/>
    <x v="140"/>
  </r>
  <r>
    <x v="19"/>
    <x v="0"/>
    <n v="2004"/>
    <s v="CWZS Zawisza KG Bydgoszcz"/>
    <x v="1"/>
    <x v="6"/>
    <x v="3"/>
    <x v="140"/>
  </r>
  <r>
    <x v="19"/>
    <x v="0"/>
    <n v="2004"/>
    <s v="CWZS Zawisza KG Bydgoszcz"/>
    <x v="1"/>
    <x v="6"/>
    <x v="4"/>
    <x v="140"/>
  </r>
  <r>
    <x v="19"/>
    <x v="0"/>
    <n v="2004"/>
    <s v="CWZS Zawisza KG Bydgoszcz"/>
    <x v="1"/>
    <x v="6"/>
    <x v="5"/>
    <x v="89"/>
  </r>
  <r>
    <x v="20"/>
    <x v="1"/>
    <n v="2008"/>
    <s v="CWZS Zawisza KG Bydgoszcz"/>
    <x v="0"/>
    <x v="0"/>
    <x v="0"/>
    <x v="54"/>
  </r>
  <r>
    <x v="20"/>
    <x v="1"/>
    <n v="2008"/>
    <s v="CWZS Zawisza KG Bydgoszcz"/>
    <x v="0"/>
    <x v="0"/>
    <x v="1"/>
    <x v="37"/>
  </r>
  <r>
    <x v="20"/>
    <x v="1"/>
    <n v="2008"/>
    <s v="CWZS Zawisza KG Bydgoszcz"/>
    <x v="0"/>
    <x v="0"/>
    <x v="2"/>
    <x v="39"/>
  </r>
  <r>
    <x v="20"/>
    <x v="1"/>
    <n v="2008"/>
    <s v="CWZS Zawisza KG Bydgoszcz"/>
    <x v="0"/>
    <x v="1"/>
    <x v="0"/>
    <x v="80"/>
  </r>
  <r>
    <x v="20"/>
    <x v="1"/>
    <n v="2008"/>
    <s v="CWZS Zawisza KG Bydgoszcz"/>
    <x v="0"/>
    <x v="1"/>
    <x v="1"/>
    <x v="69"/>
  </r>
  <r>
    <x v="20"/>
    <x v="1"/>
    <n v="2008"/>
    <s v="CWZS Zawisza KG Bydgoszcz"/>
    <x v="0"/>
    <x v="1"/>
    <x v="2"/>
    <x v="146"/>
  </r>
  <r>
    <x v="20"/>
    <x v="1"/>
    <n v="2008"/>
    <s v="CWZS Zawisza KG Bydgoszcz"/>
    <x v="0"/>
    <x v="2"/>
    <x v="0"/>
    <x v="23"/>
  </r>
  <r>
    <x v="20"/>
    <x v="1"/>
    <n v="2008"/>
    <s v="CWZS Zawisza KG Bydgoszcz"/>
    <x v="0"/>
    <x v="2"/>
    <x v="1"/>
    <x v="117"/>
  </r>
  <r>
    <x v="20"/>
    <x v="1"/>
    <n v="2008"/>
    <s v="CWZS Zawisza KG Bydgoszcz"/>
    <x v="0"/>
    <x v="2"/>
    <x v="2"/>
    <x v="35"/>
  </r>
  <r>
    <x v="20"/>
    <x v="1"/>
    <n v="2008"/>
    <s v="CWZS Zawisza KG Bydgoszcz"/>
    <x v="0"/>
    <x v="3"/>
    <x v="0"/>
    <x v="129"/>
  </r>
  <r>
    <x v="20"/>
    <x v="1"/>
    <n v="2008"/>
    <s v="CWZS Zawisza KG Bydgoszcz"/>
    <x v="0"/>
    <x v="3"/>
    <x v="1"/>
    <x v="10"/>
  </r>
  <r>
    <x v="20"/>
    <x v="1"/>
    <n v="2008"/>
    <s v="CWZS Zawisza KG Bydgoszcz"/>
    <x v="0"/>
    <x v="3"/>
    <x v="2"/>
    <x v="151"/>
  </r>
  <r>
    <x v="20"/>
    <x v="1"/>
    <n v="2008"/>
    <s v="CWZS Zawisza KG Bydgoszcz"/>
    <x v="0"/>
    <x v="4"/>
    <x v="0"/>
    <x v="6"/>
  </r>
  <r>
    <x v="20"/>
    <x v="1"/>
    <n v="2008"/>
    <s v="CWZS Zawisza KG Bydgoszcz"/>
    <x v="0"/>
    <x v="4"/>
    <x v="1"/>
    <x v="78"/>
  </r>
  <r>
    <x v="20"/>
    <x v="1"/>
    <n v="2008"/>
    <s v="CWZS Zawisza KG Bydgoszcz"/>
    <x v="0"/>
    <x v="4"/>
    <x v="2"/>
    <x v="39"/>
  </r>
  <r>
    <x v="20"/>
    <x v="1"/>
    <n v="2008"/>
    <s v="CWZS Zawisza KG Bydgoszcz"/>
    <x v="0"/>
    <x v="5"/>
    <x v="0"/>
    <x v="77"/>
  </r>
  <r>
    <x v="20"/>
    <x v="1"/>
    <n v="2008"/>
    <s v="CWZS Zawisza KG Bydgoszcz"/>
    <x v="0"/>
    <x v="5"/>
    <x v="1"/>
    <x v="143"/>
  </r>
  <r>
    <x v="20"/>
    <x v="1"/>
    <n v="2008"/>
    <s v="CWZS Zawisza KG Bydgoszcz"/>
    <x v="0"/>
    <x v="5"/>
    <x v="2"/>
    <x v="24"/>
  </r>
  <r>
    <x v="20"/>
    <x v="1"/>
    <n v="2008"/>
    <s v="CWZS Zawisza KG Bydgoszcz"/>
    <x v="0"/>
    <x v="6"/>
    <x v="3"/>
    <x v="152"/>
  </r>
  <r>
    <x v="20"/>
    <x v="1"/>
    <n v="2008"/>
    <s v="CWZS Zawisza KG Bydgoszcz"/>
    <x v="0"/>
    <x v="6"/>
    <x v="4"/>
    <x v="153"/>
  </r>
  <r>
    <x v="20"/>
    <x v="1"/>
    <n v="2008"/>
    <s v="CWZS Zawisza KG Bydgoszcz"/>
    <x v="0"/>
    <x v="6"/>
    <x v="5"/>
    <x v="154"/>
  </r>
  <r>
    <x v="21"/>
    <x v="1"/>
    <n v="2005"/>
    <s v="MKS Kusy Szczecin"/>
    <x v="0"/>
    <x v="0"/>
    <x v="0"/>
    <x v="36"/>
  </r>
  <r>
    <x v="21"/>
    <x v="1"/>
    <n v="2005"/>
    <s v="MKS Kusy Szczecin"/>
    <x v="0"/>
    <x v="0"/>
    <x v="1"/>
    <x v="50"/>
  </r>
  <r>
    <x v="21"/>
    <x v="1"/>
    <n v="2005"/>
    <s v="MKS Kusy Szczecin"/>
    <x v="0"/>
    <x v="0"/>
    <x v="2"/>
    <x v="39"/>
  </r>
  <r>
    <x v="21"/>
    <x v="1"/>
    <n v="2005"/>
    <s v="MKS Kusy Szczecin"/>
    <x v="0"/>
    <x v="1"/>
    <x v="0"/>
    <x v="59"/>
  </r>
  <r>
    <x v="21"/>
    <x v="1"/>
    <n v="2005"/>
    <s v="MKS Kusy Szczecin"/>
    <x v="0"/>
    <x v="1"/>
    <x v="1"/>
    <x v="10"/>
  </r>
  <r>
    <x v="21"/>
    <x v="1"/>
    <n v="2005"/>
    <s v="MKS Kusy Szczecin"/>
    <x v="0"/>
    <x v="1"/>
    <x v="2"/>
    <x v="39"/>
  </r>
  <r>
    <x v="21"/>
    <x v="1"/>
    <n v="2005"/>
    <s v="MKS Kusy Szczecin"/>
    <x v="0"/>
    <x v="2"/>
    <x v="0"/>
    <x v="70"/>
  </r>
  <r>
    <x v="21"/>
    <x v="1"/>
    <n v="2005"/>
    <s v="MKS Kusy Szczecin"/>
    <x v="0"/>
    <x v="2"/>
    <x v="1"/>
    <x v="37"/>
  </r>
  <r>
    <x v="21"/>
    <x v="1"/>
    <n v="2005"/>
    <s v="MKS Kusy Szczecin"/>
    <x v="0"/>
    <x v="2"/>
    <x v="2"/>
    <x v="35"/>
  </r>
  <r>
    <x v="21"/>
    <x v="1"/>
    <n v="2005"/>
    <s v="MKS Kusy Szczecin"/>
    <x v="0"/>
    <x v="3"/>
    <x v="0"/>
    <x v="23"/>
  </r>
  <r>
    <x v="21"/>
    <x v="1"/>
    <n v="2005"/>
    <s v="MKS Kusy Szczecin"/>
    <x v="0"/>
    <x v="3"/>
    <x v="1"/>
    <x v="69"/>
  </r>
  <r>
    <x v="21"/>
    <x v="1"/>
    <n v="2005"/>
    <s v="MKS Kusy Szczecin"/>
    <x v="0"/>
    <x v="3"/>
    <x v="2"/>
    <x v="88"/>
  </r>
  <r>
    <x v="21"/>
    <x v="1"/>
    <n v="2005"/>
    <s v="MKS Kusy Szczecin"/>
    <x v="0"/>
    <x v="4"/>
    <x v="0"/>
    <x v="56"/>
  </r>
  <r>
    <x v="21"/>
    <x v="1"/>
    <n v="2005"/>
    <s v="MKS Kusy Szczecin"/>
    <x v="0"/>
    <x v="4"/>
    <x v="1"/>
    <x v="48"/>
  </r>
  <r>
    <x v="21"/>
    <x v="1"/>
    <n v="2005"/>
    <s v="MKS Kusy Szczecin"/>
    <x v="0"/>
    <x v="4"/>
    <x v="2"/>
    <x v="86"/>
  </r>
  <r>
    <x v="21"/>
    <x v="1"/>
    <n v="2005"/>
    <s v="MKS Kusy Szczecin"/>
    <x v="0"/>
    <x v="5"/>
    <x v="0"/>
    <x v="113"/>
  </r>
  <r>
    <x v="21"/>
    <x v="1"/>
    <n v="2005"/>
    <s v="MKS Kusy Szczecin"/>
    <x v="0"/>
    <x v="5"/>
    <x v="1"/>
    <x v="84"/>
  </r>
  <r>
    <x v="21"/>
    <x v="1"/>
    <n v="2005"/>
    <s v="MKS Kusy Szczecin"/>
    <x v="0"/>
    <x v="5"/>
    <x v="2"/>
    <x v="155"/>
  </r>
  <r>
    <x v="21"/>
    <x v="1"/>
    <n v="2005"/>
    <s v="MKS Kusy Szczecin"/>
    <x v="0"/>
    <x v="6"/>
    <x v="3"/>
    <x v="156"/>
  </r>
  <r>
    <x v="21"/>
    <x v="1"/>
    <n v="2005"/>
    <s v="MKS Kusy Szczecin"/>
    <x v="0"/>
    <x v="6"/>
    <x v="4"/>
    <x v="157"/>
  </r>
  <r>
    <x v="21"/>
    <x v="1"/>
    <n v="2005"/>
    <s v="MKS Kusy Szczecin"/>
    <x v="0"/>
    <x v="6"/>
    <x v="5"/>
    <x v="158"/>
  </r>
  <r>
    <x v="22"/>
    <x v="1"/>
    <n v="2005"/>
    <s v="MKS Kusy Szczecin"/>
    <x v="0"/>
    <x v="0"/>
    <x v="0"/>
    <x v="3"/>
  </r>
  <r>
    <x v="22"/>
    <x v="1"/>
    <n v="2005"/>
    <s v="MKS Kusy Szczecin"/>
    <x v="0"/>
    <x v="0"/>
    <x v="1"/>
    <x v="87"/>
  </r>
  <r>
    <x v="22"/>
    <x v="1"/>
    <n v="2005"/>
    <s v="MKS Kusy Szczecin"/>
    <x v="0"/>
    <x v="0"/>
    <x v="2"/>
    <x v="39"/>
  </r>
  <r>
    <x v="22"/>
    <x v="1"/>
    <n v="2005"/>
    <s v="MKS Kusy Szczecin"/>
    <x v="0"/>
    <x v="1"/>
    <x v="0"/>
    <x v="59"/>
  </r>
  <r>
    <x v="22"/>
    <x v="1"/>
    <n v="2005"/>
    <s v="MKS Kusy Szczecin"/>
    <x v="0"/>
    <x v="1"/>
    <x v="1"/>
    <x v="42"/>
  </r>
  <r>
    <x v="22"/>
    <x v="1"/>
    <n v="2005"/>
    <s v="MKS Kusy Szczecin"/>
    <x v="0"/>
    <x v="1"/>
    <x v="2"/>
    <x v="121"/>
  </r>
  <r>
    <x v="22"/>
    <x v="1"/>
    <n v="2005"/>
    <s v="MKS Kusy Szczecin"/>
    <x v="0"/>
    <x v="2"/>
    <x v="0"/>
    <x v="159"/>
  </r>
  <r>
    <x v="22"/>
    <x v="1"/>
    <n v="2005"/>
    <s v="MKS Kusy Szczecin"/>
    <x v="0"/>
    <x v="2"/>
    <x v="1"/>
    <x v="160"/>
  </r>
  <r>
    <x v="22"/>
    <x v="1"/>
    <n v="2005"/>
    <s v="MKS Kusy Szczecin"/>
    <x v="0"/>
    <x v="2"/>
    <x v="2"/>
    <x v="22"/>
  </r>
  <r>
    <x v="22"/>
    <x v="1"/>
    <n v="2005"/>
    <s v="MKS Kusy Szczecin"/>
    <x v="0"/>
    <x v="3"/>
    <x v="0"/>
    <x v="54"/>
  </r>
  <r>
    <x v="22"/>
    <x v="1"/>
    <n v="2005"/>
    <s v="MKS Kusy Szczecin"/>
    <x v="0"/>
    <x v="3"/>
    <x v="1"/>
    <x v="160"/>
  </r>
  <r>
    <x v="22"/>
    <x v="1"/>
    <n v="2005"/>
    <s v="MKS Kusy Szczecin"/>
    <x v="0"/>
    <x v="3"/>
    <x v="2"/>
    <x v="161"/>
  </r>
  <r>
    <x v="22"/>
    <x v="1"/>
    <n v="2005"/>
    <s v="MKS Kusy Szczecin"/>
    <x v="0"/>
    <x v="4"/>
    <x v="0"/>
    <x v="56"/>
  </r>
  <r>
    <x v="22"/>
    <x v="1"/>
    <n v="2005"/>
    <s v="MKS Kusy Szczecin"/>
    <x v="0"/>
    <x v="4"/>
    <x v="1"/>
    <x v="52"/>
  </r>
  <r>
    <x v="22"/>
    <x v="1"/>
    <n v="2005"/>
    <s v="MKS Kusy Szczecin"/>
    <x v="0"/>
    <x v="4"/>
    <x v="2"/>
    <x v="88"/>
  </r>
  <r>
    <x v="22"/>
    <x v="1"/>
    <n v="2005"/>
    <s v="MKS Kusy Szczecin"/>
    <x v="0"/>
    <x v="5"/>
    <x v="0"/>
    <x v="77"/>
  </r>
  <r>
    <x v="22"/>
    <x v="1"/>
    <n v="2005"/>
    <s v="MKS Kusy Szczecin"/>
    <x v="0"/>
    <x v="5"/>
    <x v="1"/>
    <x v="112"/>
  </r>
  <r>
    <x v="22"/>
    <x v="1"/>
    <n v="2005"/>
    <s v="MKS Kusy Szczecin"/>
    <x v="0"/>
    <x v="5"/>
    <x v="2"/>
    <x v="5"/>
  </r>
  <r>
    <x v="22"/>
    <x v="1"/>
    <n v="2005"/>
    <s v="MKS Kusy Szczecin"/>
    <x v="0"/>
    <x v="6"/>
    <x v="3"/>
    <x v="162"/>
  </r>
  <r>
    <x v="22"/>
    <x v="1"/>
    <n v="2005"/>
    <s v="MKS Kusy Szczecin"/>
    <x v="0"/>
    <x v="6"/>
    <x v="4"/>
    <x v="163"/>
  </r>
  <r>
    <x v="22"/>
    <x v="1"/>
    <n v="2005"/>
    <s v="MKS Kusy Szczecin"/>
    <x v="0"/>
    <x v="6"/>
    <x v="5"/>
    <x v="164"/>
  </r>
  <r>
    <x v="23"/>
    <x v="1"/>
    <n v="2006"/>
    <s v="MKS Gdańsk"/>
    <x v="0"/>
    <x v="0"/>
    <x v="0"/>
    <x v="59"/>
  </r>
  <r>
    <x v="23"/>
    <x v="1"/>
    <n v="2006"/>
    <s v="MKS Gdańsk"/>
    <x v="0"/>
    <x v="0"/>
    <x v="1"/>
    <x v="18"/>
  </r>
  <r>
    <x v="23"/>
    <x v="1"/>
    <n v="2006"/>
    <s v="MKS Gdańsk"/>
    <x v="0"/>
    <x v="0"/>
    <x v="2"/>
    <x v="51"/>
  </r>
  <r>
    <x v="23"/>
    <x v="1"/>
    <n v="2006"/>
    <s v="MKS Gdańsk"/>
    <x v="0"/>
    <x v="1"/>
    <x v="0"/>
    <x v="59"/>
  </r>
  <r>
    <x v="23"/>
    <x v="1"/>
    <n v="2006"/>
    <s v="MKS Gdańsk"/>
    <x v="0"/>
    <x v="1"/>
    <x v="1"/>
    <x v="10"/>
  </r>
  <r>
    <x v="23"/>
    <x v="1"/>
    <n v="2006"/>
    <s v="MKS Gdańsk"/>
    <x v="0"/>
    <x v="1"/>
    <x v="2"/>
    <x v="39"/>
  </r>
  <r>
    <x v="23"/>
    <x v="1"/>
    <n v="2006"/>
    <s v="MKS Gdańsk"/>
    <x v="0"/>
    <x v="2"/>
    <x v="0"/>
    <x v="56"/>
  </r>
  <r>
    <x v="23"/>
    <x v="1"/>
    <n v="2006"/>
    <s v="MKS Gdańsk"/>
    <x v="0"/>
    <x v="2"/>
    <x v="1"/>
    <x v="78"/>
  </r>
  <r>
    <x v="23"/>
    <x v="1"/>
    <n v="2006"/>
    <s v="MKS Gdańsk"/>
    <x v="0"/>
    <x v="2"/>
    <x v="2"/>
    <x v="43"/>
  </r>
  <r>
    <x v="23"/>
    <x v="1"/>
    <n v="2006"/>
    <s v="MKS Gdańsk"/>
    <x v="0"/>
    <x v="3"/>
    <x v="0"/>
    <x v="128"/>
  </r>
  <r>
    <x v="23"/>
    <x v="1"/>
    <n v="2006"/>
    <s v="MKS Gdańsk"/>
    <x v="0"/>
    <x v="3"/>
    <x v="1"/>
    <x v="139"/>
  </r>
  <r>
    <x v="23"/>
    <x v="1"/>
    <n v="2006"/>
    <s v="MKS Gdańsk"/>
    <x v="0"/>
    <x v="3"/>
    <x v="2"/>
    <x v="165"/>
  </r>
  <r>
    <x v="23"/>
    <x v="1"/>
    <n v="2006"/>
    <s v="MKS Gdańsk"/>
    <x v="0"/>
    <x v="4"/>
    <x v="0"/>
    <x v="56"/>
  </r>
  <r>
    <x v="23"/>
    <x v="1"/>
    <n v="2006"/>
    <s v="MKS Gdańsk"/>
    <x v="0"/>
    <x v="4"/>
    <x v="1"/>
    <x v="48"/>
  </r>
  <r>
    <x v="23"/>
    <x v="1"/>
    <n v="2006"/>
    <s v="MKS Gdańsk"/>
    <x v="0"/>
    <x v="4"/>
    <x v="2"/>
    <x v="86"/>
  </r>
  <r>
    <x v="23"/>
    <x v="1"/>
    <n v="2006"/>
    <s v="MKS Gdańsk"/>
    <x v="0"/>
    <x v="5"/>
    <x v="0"/>
    <x v="77"/>
  </r>
  <r>
    <x v="23"/>
    <x v="1"/>
    <n v="2006"/>
    <s v="MKS Gdańsk"/>
    <x v="0"/>
    <x v="5"/>
    <x v="1"/>
    <x v="87"/>
  </r>
  <r>
    <x v="23"/>
    <x v="1"/>
    <n v="2006"/>
    <s v="MKS Gdańsk"/>
    <x v="0"/>
    <x v="5"/>
    <x v="2"/>
    <x v="107"/>
  </r>
  <r>
    <x v="23"/>
    <x v="1"/>
    <n v="2006"/>
    <s v="MKS Gdańsk"/>
    <x v="0"/>
    <x v="6"/>
    <x v="3"/>
    <x v="166"/>
  </r>
  <r>
    <x v="23"/>
    <x v="1"/>
    <n v="2006"/>
    <s v="MKS Gdańsk"/>
    <x v="0"/>
    <x v="6"/>
    <x v="4"/>
    <x v="167"/>
  </r>
  <r>
    <x v="23"/>
    <x v="1"/>
    <n v="2006"/>
    <s v="MKS Gdańsk"/>
    <x v="0"/>
    <x v="6"/>
    <x v="5"/>
    <x v="168"/>
  </r>
  <r>
    <x v="24"/>
    <x v="1"/>
    <n v="2007"/>
    <s v="KS AZS AWF Kraków"/>
    <x v="0"/>
    <x v="0"/>
    <x v="0"/>
    <x v="70"/>
  </r>
  <r>
    <x v="24"/>
    <x v="1"/>
    <n v="2007"/>
    <s v="KS AZS AWF Kraków"/>
    <x v="0"/>
    <x v="0"/>
    <x v="1"/>
    <x v="139"/>
  </r>
  <r>
    <x v="24"/>
    <x v="1"/>
    <n v="2007"/>
    <s v="KS AZS AWF Kraków"/>
    <x v="0"/>
    <x v="0"/>
    <x v="2"/>
    <x v="151"/>
  </r>
  <r>
    <x v="24"/>
    <x v="1"/>
    <n v="2007"/>
    <s v="KS AZS AWF Kraków"/>
    <x v="0"/>
    <x v="1"/>
    <x v="0"/>
    <x v="23"/>
  </r>
  <r>
    <x v="24"/>
    <x v="1"/>
    <n v="2007"/>
    <s v="KS AZS AWF Kraków"/>
    <x v="0"/>
    <x v="1"/>
    <x v="1"/>
    <x v="169"/>
  </r>
  <r>
    <x v="24"/>
    <x v="1"/>
    <n v="2007"/>
    <s v="KS AZS AWF Kraków"/>
    <x v="0"/>
    <x v="1"/>
    <x v="2"/>
    <x v="71"/>
  </r>
  <r>
    <x v="24"/>
    <x v="1"/>
    <n v="2007"/>
    <s v="KS AZS AWF Kraków"/>
    <x v="0"/>
    <x v="2"/>
    <x v="0"/>
    <x v="159"/>
  </r>
  <r>
    <x v="24"/>
    <x v="1"/>
    <n v="2007"/>
    <s v="KS AZS AWF Kraków"/>
    <x v="0"/>
    <x v="2"/>
    <x v="1"/>
    <x v="7"/>
  </r>
  <r>
    <x v="24"/>
    <x v="1"/>
    <n v="2007"/>
    <s v="KS AZS AWF Kraków"/>
    <x v="0"/>
    <x v="2"/>
    <x v="2"/>
    <x v="104"/>
  </r>
  <r>
    <x v="24"/>
    <x v="1"/>
    <n v="2007"/>
    <s v="KS AZS AWF Kraków"/>
    <x v="0"/>
    <x v="3"/>
    <x v="0"/>
    <x v="128"/>
  </r>
  <r>
    <x v="24"/>
    <x v="1"/>
    <n v="2007"/>
    <s v="KS AZS AWF Kraków"/>
    <x v="0"/>
    <x v="3"/>
    <x v="1"/>
    <x v="117"/>
  </r>
  <r>
    <x v="24"/>
    <x v="1"/>
    <n v="2007"/>
    <s v="KS AZS AWF Kraków"/>
    <x v="0"/>
    <x v="3"/>
    <x v="2"/>
    <x v="127"/>
  </r>
  <r>
    <x v="24"/>
    <x v="1"/>
    <n v="2007"/>
    <s v="KS AZS AWF Kraków"/>
    <x v="0"/>
    <x v="4"/>
    <x v="0"/>
    <x v="105"/>
  </r>
  <r>
    <x v="24"/>
    <x v="1"/>
    <n v="2007"/>
    <s v="KS AZS AWF Kraków"/>
    <x v="0"/>
    <x v="4"/>
    <x v="1"/>
    <x v="89"/>
  </r>
  <r>
    <x v="24"/>
    <x v="1"/>
    <n v="2007"/>
    <s v="KS AZS AWF Kraków"/>
    <x v="0"/>
    <x v="4"/>
    <x v="2"/>
    <x v="99"/>
  </r>
  <r>
    <x v="24"/>
    <x v="1"/>
    <n v="2007"/>
    <s v="KS AZS AWF Kraków"/>
    <x v="0"/>
    <x v="5"/>
    <x v="0"/>
    <x v="159"/>
  </r>
  <r>
    <x v="24"/>
    <x v="1"/>
    <n v="2007"/>
    <s v="KS AZS AWF Kraków"/>
    <x v="0"/>
    <x v="5"/>
    <x v="1"/>
    <x v="87"/>
  </r>
  <r>
    <x v="24"/>
    <x v="1"/>
    <n v="2007"/>
    <s v="KS AZS AWF Kraków"/>
    <x v="0"/>
    <x v="5"/>
    <x v="2"/>
    <x v="64"/>
  </r>
  <r>
    <x v="24"/>
    <x v="1"/>
    <n v="2007"/>
    <s v="KS AZS AWF Kraków"/>
    <x v="0"/>
    <x v="6"/>
    <x v="3"/>
    <x v="170"/>
  </r>
  <r>
    <x v="24"/>
    <x v="1"/>
    <n v="2007"/>
    <s v="KS AZS AWF Kraków"/>
    <x v="0"/>
    <x v="6"/>
    <x v="4"/>
    <x v="171"/>
  </r>
  <r>
    <x v="24"/>
    <x v="1"/>
    <n v="2007"/>
    <s v="KS AZS AWF Kraków"/>
    <x v="0"/>
    <x v="6"/>
    <x v="5"/>
    <x v="172"/>
  </r>
  <r>
    <x v="25"/>
    <x v="1"/>
    <n v="2007"/>
    <s v="KS AZS AWF Kraków"/>
    <x v="0"/>
    <x v="0"/>
    <x v="0"/>
    <x v="98"/>
  </r>
  <r>
    <x v="25"/>
    <x v="1"/>
    <n v="2007"/>
    <s v="KS AZS AWF Kraków"/>
    <x v="0"/>
    <x v="0"/>
    <x v="1"/>
    <x v="48"/>
  </r>
  <r>
    <x v="25"/>
    <x v="1"/>
    <n v="2007"/>
    <s v="KS AZS AWF Kraków"/>
    <x v="0"/>
    <x v="0"/>
    <x v="2"/>
    <x v="85"/>
  </r>
  <r>
    <x v="25"/>
    <x v="1"/>
    <n v="2007"/>
    <s v="KS AZS AWF Kraków"/>
    <x v="0"/>
    <x v="1"/>
    <x v="0"/>
    <x v="113"/>
  </r>
  <r>
    <x v="25"/>
    <x v="1"/>
    <n v="2007"/>
    <s v="KS AZS AWF Kraków"/>
    <x v="0"/>
    <x v="1"/>
    <x v="1"/>
    <x v="173"/>
  </r>
  <r>
    <x v="25"/>
    <x v="1"/>
    <n v="2007"/>
    <s v="KS AZS AWF Kraków"/>
    <x v="0"/>
    <x v="1"/>
    <x v="2"/>
    <x v="51"/>
  </r>
  <r>
    <x v="25"/>
    <x v="1"/>
    <n v="2007"/>
    <s v="KS AZS AWF Kraków"/>
    <x v="0"/>
    <x v="2"/>
    <x v="0"/>
    <x v="56"/>
  </r>
  <r>
    <x v="25"/>
    <x v="1"/>
    <n v="2007"/>
    <s v="KS AZS AWF Kraków"/>
    <x v="0"/>
    <x v="2"/>
    <x v="1"/>
    <x v="21"/>
  </r>
  <r>
    <x v="25"/>
    <x v="1"/>
    <n v="2007"/>
    <s v="KS AZS AWF Kraków"/>
    <x v="0"/>
    <x v="2"/>
    <x v="2"/>
    <x v="5"/>
  </r>
  <r>
    <x v="25"/>
    <x v="1"/>
    <n v="2007"/>
    <s v="KS AZS AWF Kraków"/>
    <x v="0"/>
    <x v="3"/>
    <x v="0"/>
    <x v="23"/>
  </r>
  <r>
    <x v="25"/>
    <x v="1"/>
    <n v="2007"/>
    <s v="KS AZS AWF Kraków"/>
    <x v="0"/>
    <x v="3"/>
    <x v="1"/>
    <x v="160"/>
  </r>
  <r>
    <x v="25"/>
    <x v="1"/>
    <n v="2007"/>
    <s v="KS AZS AWF Kraków"/>
    <x v="0"/>
    <x v="3"/>
    <x v="2"/>
    <x v="95"/>
  </r>
  <r>
    <x v="25"/>
    <x v="1"/>
    <n v="2007"/>
    <s v="KS AZS AWF Kraków"/>
    <x v="0"/>
    <x v="4"/>
    <x v="0"/>
    <x v="68"/>
  </r>
  <r>
    <x v="25"/>
    <x v="1"/>
    <n v="2007"/>
    <s v="KS AZS AWF Kraków"/>
    <x v="0"/>
    <x v="4"/>
    <x v="1"/>
    <x v="57"/>
  </r>
  <r>
    <x v="25"/>
    <x v="1"/>
    <n v="2007"/>
    <s v="KS AZS AWF Kraków"/>
    <x v="0"/>
    <x v="4"/>
    <x v="2"/>
    <x v="24"/>
  </r>
  <r>
    <x v="25"/>
    <x v="1"/>
    <n v="2007"/>
    <s v="KS AZS AWF Kraków"/>
    <x v="0"/>
    <x v="5"/>
    <x v="0"/>
    <x v="128"/>
  </r>
  <r>
    <x v="25"/>
    <x v="1"/>
    <n v="2007"/>
    <s v="KS AZS AWF Kraków"/>
    <x v="0"/>
    <x v="5"/>
    <x v="1"/>
    <x v="139"/>
  </r>
  <r>
    <x v="25"/>
    <x v="1"/>
    <n v="2007"/>
    <s v="KS AZS AWF Kraków"/>
    <x v="0"/>
    <x v="5"/>
    <x v="2"/>
    <x v="165"/>
  </r>
  <r>
    <x v="25"/>
    <x v="1"/>
    <n v="2007"/>
    <s v="KS AZS AWF Kraków"/>
    <x v="0"/>
    <x v="6"/>
    <x v="3"/>
    <x v="174"/>
  </r>
  <r>
    <x v="25"/>
    <x v="1"/>
    <n v="2007"/>
    <s v="KS AZS AWF Kraków"/>
    <x v="0"/>
    <x v="6"/>
    <x v="4"/>
    <x v="175"/>
  </r>
  <r>
    <x v="25"/>
    <x v="1"/>
    <n v="2007"/>
    <s v="KS AZS AWF Kraków"/>
    <x v="0"/>
    <x v="6"/>
    <x v="5"/>
    <x v="176"/>
  </r>
  <r>
    <x v="26"/>
    <x v="1"/>
    <n v="2005"/>
    <s v="MKS Kusy Szczecin"/>
    <x v="0"/>
    <x v="0"/>
    <x v="0"/>
    <x v="6"/>
  </r>
  <r>
    <x v="26"/>
    <x v="1"/>
    <n v="2005"/>
    <s v="MKS Kusy Szczecin"/>
    <x v="0"/>
    <x v="0"/>
    <x v="1"/>
    <x v="42"/>
  </r>
  <r>
    <x v="26"/>
    <x v="1"/>
    <n v="2005"/>
    <s v="MKS Kusy Szczecin"/>
    <x v="0"/>
    <x v="0"/>
    <x v="2"/>
    <x v="151"/>
  </r>
  <r>
    <x v="26"/>
    <x v="1"/>
    <n v="2005"/>
    <s v="MKS Kusy Szczecin"/>
    <x v="0"/>
    <x v="1"/>
    <x v="0"/>
    <x v="77"/>
  </r>
  <r>
    <x v="26"/>
    <x v="1"/>
    <n v="2005"/>
    <s v="MKS Kusy Szczecin"/>
    <x v="0"/>
    <x v="1"/>
    <x v="1"/>
    <x v="21"/>
  </r>
  <r>
    <x v="26"/>
    <x v="1"/>
    <n v="2005"/>
    <s v="MKS Kusy Szczecin"/>
    <x v="0"/>
    <x v="1"/>
    <x v="2"/>
    <x v="55"/>
  </r>
  <r>
    <x v="26"/>
    <x v="1"/>
    <n v="2005"/>
    <s v="MKS Kusy Szczecin"/>
    <x v="0"/>
    <x v="2"/>
    <x v="0"/>
    <x v="129"/>
  </r>
  <r>
    <x v="26"/>
    <x v="1"/>
    <n v="2005"/>
    <s v="MKS Kusy Szczecin"/>
    <x v="0"/>
    <x v="2"/>
    <x v="1"/>
    <x v="78"/>
  </r>
  <r>
    <x v="26"/>
    <x v="1"/>
    <n v="2005"/>
    <s v="MKS Kusy Szczecin"/>
    <x v="0"/>
    <x v="2"/>
    <x v="2"/>
    <x v="121"/>
  </r>
  <r>
    <x v="26"/>
    <x v="1"/>
    <n v="2005"/>
    <s v="MKS Kusy Szczecin"/>
    <x v="0"/>
    <x v="3"/>
    <x v="0"/>
    <x v="54"/>
  </r>
  <r>
    <x v="26"/>
    <x v="1"/>
    <n v="2005"/>
    <s v="MKS Kusy Szczecin"/>
    <x v="0"/>
    <x v="3"/>
    <x v="1"/>
    <x v="89"/>
  </r>
  <r>
    <x v="26"/>
    <x v="1"/>
    <n v="2005"/>
    <s v="MKS Kusy Szczecin"/>
    <x v="0"/>
    <x v="3"/>
    <x v="2"/>
    <x v="90"/>
  </r>
  <r>
    <x v="26"/>
    <x v="1"/>
    <n v="2005"/>
    <s v="MKS Kusy Szczecin"/>
    <x v="0"/>
    <x v="4"/>
    <x v="0"/>
    <x v="49"/>
  </r>
  <r>
    <x v="26"/>
    <x v="1"/>
    <n v="2005"/>
    <s v="MKS Kusy Szczecin"/>
    <x v="0"/>
    <x v="4"/>
    <x v="1"/>
    <x v="18"/>
  </r>
  <r>
    <x v="26"/>
    <x v="1"/>
    <n v="2005"/>
    <s v="MKS Kusy Szczecin"/>
    <x v="0"/>
    <x v="4"/>
    <x v="2"/>
    <x v="91"/>
  </r>
  <r>
    <x v="26"/>
    <x v="1"/>
    <n v="2005"/>
    <s v="MKS Kusy Szczecin"/>
    <x v="0"/>
    <x v="5"/>
    <x v="0"/>
    <x v="49"/>
  </r>
  <r>
    <x v="26"/>
    <x v="1"/>
    <n v="2005"/>
    <s v="MKS Kusy Szczecin"/>
    <x v="0"/>
    <x v="5"/>
    <x v="1"/>
    <x v="87"/>
  </r>
  <r>
    <x v="26"/>
    <x v="1"/>
    <n v="2005"/>
    <s v="MKS Kusy Szczecin"/>
    <x v="0"/>
    <x v="5"/>
    <x v="2"/>
    <x v="86"/>
  </r>
  <r>
    <x v="26"/>
    <x v="1"/>
    <n v="2005"/>
    <s v="MKS Kusy Szczecin"/>
    <x v="0"/>
    <x v="6"/>
    <x v="3"/>
    <x v="177"/>
  </r>
  <r>
    <x v="26"/>
    <x v="1"/>
    <n v="2005"/>
    <s v="MKS Kusy Szczecin"/>
    <x v="0"/>
    <x v="6"/>
    <x v="4"/>
    <x v="178"/>
  </r>
  <r>
    <x v="26"/>
    <x v="1"/>
    <n v="2005"/>
    <s v="MKS Kusy Szczecin"/>
    <x v="0"/>
    <x v="6"/>
    <x v="5"/>
    <x v="179"/>
  </r>
  <r>
    <x v="27"/>
    <x v="1"/>
    <n v="2006"/>
    <s v="KS AZS AWF Kraków"/>
    <x v="0"/>
    <x v="0"/>
    <x v="0"/>
    <x v="70"/>
  </r>
  <r>
    <x v="27"/>
    <x v="1"/>
    <n v="2006"/>
    <s v="KS AZS AWF Kraków"/>
    <x v="0"/>
    <x v="0"/>
    <x v="1"/>
    <x v="180"/>
  </r>
  <r>
    <x v="27"/>
    <x v="1"/>
    <n v="2006"/>
    <s v="KS AZS AWF Kraków"/>
    <x v="0"/>
    <x v="0"/>
    <x v="2"/>
    <x v="12"/>
  </r>
  <r>
    <x v="27"/>
    <x v="1"/>
    <n v="2006"/>
    <s v="KS AZS AWF Kraków"/>
    <x v="0"/>
    <x v="1"/>
    <x v="0"/>
    <x v="47"/>
  </r>
  <r>
    <x v="27"/>
    <x v="1"/>
    <n v="2006"/>
    <s v="KS AZS AWF Kraków"/>
    <x v="0"/>
    <x v="1"/>
    <x v="1"/>
    <x v="52"/>
  </r>
  <r>
    <x v="27"/>
    <x v="1"/>
    <n v="2006"/>
    <s v="KS AZS AWF Kraków"/>
    <x v="0"/>
    <x v="1"/>
    <x v="2"/>
    <x v="53"/>
  </r>
  <r>
    <x v="27"/>
    <x v="1"/>
    <n v="2006"/>
    <s v="KS AZS AWF Kraków"/>
    <x v="0"/>
    <x v="2"/>
    <x v="0"/>
    <x v="159"/>
  </r>
  <r>
    <x v="27"/>
    <x v="1"/>
    <n v="2006"/>
    <s v="KS AZS AWF Kraków"/>
    <x v="0"/>
    <x v="2"/>
    <x v="1"/>
    <x v="50"/>
  </r>
  <r>
    <x v="27"/>
    <x v="1"/>
    <n v="2006"/>
    <s v="KS AZS AWF Kraków"/>
    <x v="0"/>
    <x v="2"/>
    <x v="2"/>
    <x v="116"/>
  </r>
  <r>
    <x v="27"/>
    <x v="1"/>
    <n v="2006"/>
    <s v="KS AZS AWF Kraków"/>
    <x v="0"/>
    <x v="3"/>
    <x v="0"/>
    <x v="128"/>
  </r>
  <r>
    <x v="27"/>
    <x v="1"/>
    <n v="2006"/>
    <s v="KS AZS AWF Kraków"/>
    <x v="0"/>
    <x v="3"/>
    <x v="1"/>
    <x v="52"/>
  </r>
  <r>
    <x v="27"/>
    <x v="1"/>
    <n v="2006"/>
    <s v="KS AZS AWF Kraków"/>
    <x v="0"/>
    <x v="3"/>
    <x v="2"/>
    <x v="91"/>
  </r>
  <r>
    <x v="27"/>
    <x v="1"/>
    <n v="2006"/>
    <s v="KS AZS AWF Kraków"/>
    <x v="0"/>
    <x v="4"/>
    <x v="0"/>
    <x v="49"/>
  </r>
  <r>
    <x v="27"/>
    <x v="1"/>
    <n v="2006"/>
    <s v="KS AZS AWF Kraków"/>
    <x v="0"/>
    <x v="4"/>
    <x v="1"/>
    <x v="160"/>
  </r>
  <r>
    <x v="27"/>
    <x v="1"/>
    <n v="2006"/>
    <s v="KS AZS AWF Kraków"/>
    <x v="0"/>
    <x v="4"/>
    <x v="2"/>
    <x v="30"/>
  </r>
  <r>
    <x v="27"/>
    <x v="1"/>
    <n v="2006"/>
    <s v="KS AZS AWF Kraków"/>
    <x v="0"/>
    <x v="5"/>
    <x v="0"/>
    <x v="23"/>
  </r>
  <r>
    <x v="27"/>
    <x v="1"/>
    <n v="2006"/>
    <s v="KS AZS AWF Kraków"/>
    <x v="0"/>
    <x v="5"/>
    <x v="1"/>
    <x v="149"/>
  </r>
  <r>
    <x v="27"/>
    <x v="1"/>
    <n v="2006"/>
    <s v="KS AZS AWF Kraków"/>
    <x v="0"/>
    <x v="5"/>
    <x v="2"/>
    <x v="143"/>
  </r>
  <r>
    <x v="27"/>
    <x v="1"/>
    <n v="2006"/>
    <s v="KS AZS AWF Kraków"/>
    <x v="0"/>
    <x v="6"/>
    <x v="3"/>
    <x v="181"/>
  </r>
  <r>
    <x v="27"/>
    <x v="1"/>
    <n v="2006"/>
    <s v="KS AZS AWF Kraków"/>
    <x v="0"/>
    <x v="6"/>
    <x v="4"/>
    <x v="182"/>
  </r>
  <r>
    <x v="27"/>
    <x v="1"/>
    <n v="2006"/>
    <s v="KS AZS AWF Kraków"/>
    <x v="0"/>
    <x v="6"/>
    <x v="5"/>
    <x v="183"/>
  </r>
  <r>
    <x v="28"/>
    <x v="1"/>
    <n v="2007"/>
    <s v="MKS Gdańsk"/>
    <x v="0"/>
    <x v="0"/>
    <x v="0"/>
    <x v="56"/>
  </r>
  <r>
    <x v="28"/>
    <x v="1"/>
    <n v="2007"/>
    <s v="MKS Gdańsk"/>
    <x v="0"/>
    <x v="0"/>
    <x v="1"/>
    <x v="87"/>
  </r>
  <r>
    <x v="28"/>
    <x v="1"/>
    <n v="2007"/>
    <s v="MKS Gdańsk"/>
    <x v="0"/>
    <x v="0"/>
    <x v="2"/>
    <x v="22"/>
  </r>
  <r>
    <x v="28"/>
    <x v="1"/>
    <n v="2007"/>
    <s v="MKS Gdańsk"/>
    <x v="0"/>
    <x v="1"/>
    <x v="0"/>
    <x v="105"/>
  </r>
  <r>
    <x v="28"/>
    <x v="1"/>
    <n v="2007"/>
    <s v="MKS Gdańsk"/>
    <x v="0"/>
    <x v="1"/>
    <x v="1"/>
    <x v="139"/>
  </r>
  <r>
    <x v="28"/>
    <x v="1"/>
    <n v="2007"/>
    <s v="MKS Gdańsk"/>
    <x v="0"/>
    <x v="1"/>
    <x v="2"/>
    <x v="64"/>
  </r>
  <r>
    <x v="28"/>
    <x v="1"/>
    <n v="2007"/>
    <s v="MKS Gdańsk"/>
    <x v="0"/>
    <x v="2"/>
    <x v="0"/>
    <x v="184"/>
  </r>
  <r>
    <x v="28"/>
    <x v="1"/>
    <n v="2007"/>
    <s v="MKS Gdańsk"/>
    <x v="0"/>
    <x v="2"/>
    <x v="1"/>
    <x v="37"/>
  </r>
  <r>
    <x v="28"/>
    <x v="1"/>
    <n v="2007"/>
    <s v="MKS Gdańsk"/>
    <x v="0"/>
    <x v="2"/>
    <x v="2"/>
    <x v="121"/>
  </r>
  <r>
    <x v="28"/>
    <x v="1"/>
    <n v="2007"/>
    <s v="MKS Gdańsk"/>
    <x v="0"/>
    <x v="3"/>
    <x v="0"/>
    <x v="23"/>
  </r>
  <r>
    <x v="28"/>
    <x v="1"/>
    <n v="2007"/>
    <s v="MKS Gdańsk"/>
    <x v="0"/>
    <x v="3"/>
    <x v="1"/>
    <x v="117"/>
  </r>
  <r>
    <x v="28"/>
    <x v="1"/>
    <n v="2007"/>
    <s v="MKS Gdańsk"/>
    <x v="0"/>
    <x v="3"/>
    <x v="2"/>
    <x v="35"/>
  </r>
  <r>
    <x v="28"/>
    <x v="1"/>
    <n v="2007"/>
    <s v="MKS Gdańsk"/>
    <x v="0"/>
    <x v="4"/>
    <x v="0"/>
    <x v="128"/>
  </r>
  <r>
    <x v="28"/>
    <x v="1"/>
    <n v="2007"/>
    <s v="MKS Gdańsk"/>
    <x v="0"/>
    <x v="4"/>
    <x v="1"/>
    <x v="69"/>
  </r>
  <r>
    <x v="28"/>
    <x v="1"/>
    <n v="2007"/>
    <s v="MKS Gdańsk"/>
    <x v="0"/>
    <x v="4"/>
    <x v="2"/>
    <x v="35"/>
  </r>
  <r>
    <x v="28"/>
    <x v="1"/>
    <n v="2007"/>
    <s v="MKS Gdańsk"/>
    <x v="0"/>
    <x v="5"/>
    <x v="0"/>
    <x v="185"/>
  </r>
  <r>
    <x v="28"/>
    <x v="1"/>
    <n v="2007"/>
    <s v="MKS Gdańsk"/>
    <x v="0"/>
    <x v="5"/>
    <x v="1"/>
    <x v="37"/>
  </r>
  <r>
    <x v="28"/>
    <x v="1"/>
    <n v="2007"/>
    <s v="MKS Gdańsk"/>
    <x v="0"/>
    <x v="5"/>
    <x v="2"/>
    <x v="186"/>
  </r>
  <r>
    <x v="28"/>
    <x v="1"/>
    <n v="2007"/>
    <s v="MKS Gdańsk"/>
    <x v="0"/>
    <x v="6"/>
    <x v="3"/>
    <x v="187"/>
  </r>
  <r>
    <x v="28"/>
    <x v="1"/>
    <n v="2007"/>
    <s v="MKS Gdańsk"/>
    <x v="0"/>
    <x v="6"/>
    <x v="4"/>
    <x v="188"/>
  </r>
  <r>
    <x v="28"/>
    <x v="1"/>
    <n v="2007"/>
    <s v="MKS Gdańsk"/>
    <x v="0"/>
    <x v="6"/>
    <x v="5"/>
    <x v="124"/>
  </r>
  <r>
    <x v="29"/>
    <x v="1"/>
    <n v="2006"/>
    <s v="MKS Gdańsk"/>
    <x v="0"/>
    <x v="0"/>
    <x v="0"/>
    <x v="49"/>
  </r>
  <r>
    <x v="29"/>
    <x v="1"/>
    <n v="2006"/>
    <s v="MKS Gdańsk"/>
    <x v="0"/>
    <x v="0"/>
    <x v="1"/>
    <x v="37"/>
  </r>
  <r>
    <x v="29"/>
    <x v="1"/>
    <n v="2006"/>
    <s v="MKS Gdańsk"/>
    <x v="0"/>
    <x v="0"/>
    <x v="2"/>
    <x v="43"/>
  </r>
  <r>
    <x v="29"/>
    <x v="1"/>
    <n v="2006"/>
    <s v="MKS Gdańsk"/>
    <x v="0"/>
    <x v="1"/>
    <x v="0"/>
    <x v="105"/>
  </r>
  <r>
    <x v="29"/>
    <x v="1"/>
    <n v="2006"/>
    <s v="MKS Gdańsk"/>
    <x v="0"/>
    <x v="1"/>
    <x v="1"/>
    <x v="27"/>
  </r>
  <r>
    <x v="29"/>
    <x v="1"/>
    <n v="2006"/>
    <s v="MKS Gdańsk"/>
    <x v="0"/>
    <x v="1"/>
    <x v="2"/>
    <x v="165"/>
  </r>
  <r>
    <x v="29"/>
    <x v="1"/>
    <n v="2006"/>
    <s v="MKS Gdańsk"/>
    <x v="0"/>
    <x v="2"/>
    <x v="0"/>
    <x v="129"/>
  </r>
  <r>
    <x v="29"/>
    <x v="1"/>
    <n v="2006"/>
    <s v="MKS Gdańsk"/>
    <x v="0"/>
    <x v="2"/>
    <x v="1"/>
    <x v="106"/>
  </r>
  <r>
    <x v="29"/>
    <x v="1"/>
    <n v="2006"/>
    <s v="MKS Gdańsk"/>
    <x v="0"/>
    <x v="2"/>
    <x v="2"/>
    <x v="64"/>
  </r>
  <r>
    <x v="29"/>
    <x v="1"/>
    <n v="2006"/>
    <s v="MKS Gdańsk"/>
    <x v="0"/>
    <x v="3"/>
    <x v="0"/>
    <x v="189"/>
  </r>
  <r>
    <x v="29"/>
    <x v="1"/>
    <n v="2006"/>
    <s v="MKS Gdańsk"/>
    <x v="0"/>
    <x v="3"/>
    <x v="1"/>
    <x v="169"/>
  </r>
  <r>
    <x v="29"/>
    <x v="1"/>
    <n v="2006"/>
    <s v="MKS Gdańsk"/>
    <x v="0"/>
    <x v="3"/>
    <x v="2"/>
    <x v="116"/>
  </r>
  <r>
    <x v="29"/>
    <x v="1"/>
    <n v="2006"/>
    <s v="MKS Gdańsk"/>
    <x v="0"/>
    <x v="4"/>
    <x v="0"/>
    <x v="128"/>
  </r>
  <r>
    <x v="29"/>
    <x v="1"/>
    <n v="2006"/>
    <s v="MKS Gdańsk"/>
    <x v="0"/>
    <x v="4"/>
    <x v="1"/>
    <x v="57"/>
  </r>
  <r>
    <x v="29"/>
    <x v="1"/>
    <n v="2006"/>
    <s v="MKS Gdańsk"/>
    <x v="0"/>
    <x v="4"/>
    <x v="2"/>
    <x v="95"/>
  </r>
  <r>
    <x v="29"/>
    <x v="1"/>
    <n v="2006"/>
    <s v="MKS Gdańsk"/>
    <x v="0"/>
    <x v="5"/>
    <x v="0"/>
    <x v="134"/>
  </r>
  <r>
    <x v="29"/>
    <x v="1"/>
    <n v="2006"/>
    <s v="MKS Gdańsk"/>
    <x v="0"/>
    <x v="5"/>
    <x v="1"/>
    <x v="52"/>
  </r>
  <r>
    <x v="29"/>
    <x v="1"/>
    <n v="2006"/>
    <s v="MKS Gdańsk"/>
    <x v="0"/>
    <x v="5"/>
    <x v="2"/>
    <x v="116"/>
  </r>
  <r>
    <x v="29"/>
    <x v="1"/>
    <n v="2006"/>
    <s v="MKS Gdańsk"/>
    <x v="0"/>
    <x v="6"/>
    <x v="3"/>
    <x v="190"/>
  </r>
  <r>
    <x v="29"/>
    <x v="1"/>
    <n v="2006"/>
    <s v="MKS Gdańsk"/>
    <x v="0"/>
    <x v="6"/>
    <x v="4"/>
    <x v="191"/>
  </r>
  <r>
    <x v="29"/>
    <x v="1"/>
    <n v="2006"/>
    <s v="MKS Gdańsk"/>
    <x v="0"/>
    <x v="6"/>
    <x v="5"/>
    <x v="192"/>
  </r>
  <r>
    <x v="30"/>
    <x v="1"/>
    <n v="2006"/>
    <s v="MKS Gdańsk"/>
    <x v="0"/>
    <x v="0"/>
    <x v="0"/>
    <x v="113"/>
  </r>
  <r>
    <x v="30"/>
    <x v="1"/>
    <n v="2006"/>
    <s v="MKS Gdańsk"/>
    <x v="0"/>
    <x v="0"/>
    <x v="1"/>
    <x v="50"/>
  </r>
  <r>
    <x v="30"/>
    <x v="1"/>
    <n v="2006"/>
    <s v="MKS Gdańsk"/>
    <x v="0"/>
    <x v="0"/>
    <x v="2"/>
    <x v="86"/>
  </r>
  <r>
    <x v="30"/>
    <x v="1"/>
    <n v="2006"/>
    <s v="MKS Gdańsk"/>
    <x v="0"/>
    <x v="1"/>
    <x v="0"/>
    <x v="100"/>
  </r>
  <r>
    <x v="30"/>
    <x v="1"/>
    <n v="2006"/>
    <s v="MKS Gdańsk"/>
    <x v="0"/>
    <x v="1"/>
    <x v="1"/>
    <x v="97"/>
  </r>
  <r>
    <x v="30"/>
    <x v="1"/>
    <n v="2006"/>
    <s v="MKS Gdańsk"/>
    <x v="0"/>
    <x v="1"/>
    <x v="2"/>
    <x v="7"/>
  </r>
  <r>
    <x v="30"/>
    <x v="1"/>
    <n v="2006"/>
    <s v="MKS Gdańsk"/>
    <x v="0"/>
    <x v="2"/>
    <x v="0"/>
    <x v="193"/>
  </r>
  <r>
    <x v="30"/>
    <x v="1"/>
    <n v="2006"/>
    <s v="MKS Gdańsk"/>
    <x v="0"/>
    <x v="2"/>
    <x v="1"/>
    <x v="78"/>
  </r>
  <r>
    <x v="30"/>
    <x v="1"/>
    <n v="2006"/>
    <s v="MKS Gdańsk"/>
    <x v="0"/>
    <x v="2"/>
    <x v="2"/>
    <x v="5"/>
  </r>
  <r>
    <x v="30"/>
    <x v="1"/>
    <n v="2006"/>
    <s v="MKS Gdańsk"/>
    <x v="0"/>
    <x v="3"/>
    <x v="0"/>
    <x v="189"/>
  </r>
  <r>
    <x v="30"/>
    <x v="1"/>
    <n v="2006"/>
    <s v="MKS Gdańsk"/>
    <x v="0"/>
    <x v="3"/>
    <x v="1"/>
    <x v="69"/>
  </r>
  <r>
    <x v="30"/>
    <x v="1"/>
    <n v="2006"/>
    <s v="MKS Gdańsk"/>
    <x v="0"/>
    <x v="3"/>
    <x v="2"/>
    <x v="85"/>
  </r>
  <r>
    <x v="30"/>
    <x v="1"/>
    <n v="2006"/>
    <s v="MKS Gdańsk"/>
    <x v="0"/>
    <x v="4"/>
    <x v="0"/>
    <x v="128"/>
  </r>
  <r>
    <x v="30"/>
    <x v="1"/>
    <n v="2006"/>
    <s v="MKS Gdańsk"/>
    <x v="0"/>
    <x v="4"/>
    <x v="1"/>
    <x v="7"/>
  </r>
  <r>
    <x v="30"/>
    <x v="1"/>
    <n v="2006"/>
    <s v="MKS Gdańsk"/>
    <x v="0"/>
    <x v="4"/>
    <x v="2"/>
    <x v="85"/>
  </r>
  <r>
    <x v="30"/>
    <x v="1"/>
    <n v="2006"/>
    <s v="MKS Gdańsk"/>
    <x v="0"/>
    <x v="5"/>
    <x v="0"/>
    <x v="194"/>
  </r>
  <r>
    <x v="30"/>
    <x v="1"/>
    <n v="2006"/>
    <s v="MKS Gdańsk"/>
    <x v="0"/>
    <x v="5"/>
    <x v="1"/>
    <x v="100"/>
  </r>
  <r>
    <x v="30"/>
    <x v="1"/>
    <n v="2006"/>
    <s v="MKS Gdańsk"/>
    <x v="0"/>
    <x v="5"/>
    <x v="2"/>
    <x v="54"/>
  </r>
  <r>
    <x v="30"/>
    <x v="1"/>
    <n v="2006"/>
    <s v="MKS Gdańsk"/>
    <x v="0"/>
    <x v="6"/>
    <x v="3"/>
    <x v="195"/>
  </r>
  <r>
    <x v="30"/>
    <x v="1"/>
    <n v="2006"/>
    <s v="MKS Gdańsk"/>
    <x v="0"/>
    <x v="6"/>
    <x v="4"/>
    <x v="196"/>
  </r>
  <r>
    <x v="30"/>
    <x v="1"/>
    <n v="2006"/>
    <s v="MKS Gdańsk"/>
    <x v="0"/>
    <x v="6"/>
    <x v="5"/>
    <x v="197"/>
  </r>
  <r>
    <x v="31"/>
    <x v="1"/>
    <n v="2006"/>
    <s v="MKS Gdańsk"/>
    <x v="1"/>
    <x v="0"/>
    <x v="0"/>
    <x v="56"/>
  </r>
  <r>
    <x v="31"/>
    <x v="1"/>
    <n v="2006"/>
    <s v="MKS Gdańsk"/>
    <x v="1"/>
    <x v="0"/>
    <x v="1"/>
    <x v="114"/>
  </r>
  <r>
    <x v="31"/>
    <x v="1"/>
    <n v="2006"/>
    <s v="MKS Gdańsk"/>
    <x v="1"/>
    <x v="0"/>
    <x v="2"/>
    <x v="151"/>
  </r>
  <r>
    <x v="31"/>
    <x v="1"/>
    <n v="2006"/>
    <s v="MKS Gdańsk"/>
    <x v="1"/>
    <x v="1"/>
    <x v="0"/>
    <x v="105"/>
  </r>
  <r>
    <x v="31"/>
    <x v="1"/>
    <n v="2006"/>
    <s v="MKS Gdańsk"/>
    <x v="1"/>
    <x v="1"/>
    <x v="1"/>
    <x v="149"/>
  </r>
  <r>
    <x v="31"/>
    <x v="1"/>
    <n v="2006"/>
    <s v="MKS Gdańsk"/>
    <x v="1"/>
    <x v="1"/>
    <x v="2"/>
    <x v="155"/>
  </r>
  <r>
    <x v="31"/>
    <x v="1"/>
    <n v="2006"/>
    <s v="MKS Gdańsk"/>
    <x v="1"/>
    <x v="2"/>
    <x v="0"/>
    <x v="140"/>
  </r>
  <r>
    <x v="31"/>
    <x v="1"/>
    <n v="2006"/>
    <s v="MKS Gdańsk"/>
    <x v="1"/>
    <x v="2"/>
    <x v="1"/>
    <x v="140"/>
  </r>
  <r>
    <x v="31"/>
    <x v="1"/>
    <n v="2006"/>
    <s v="MKS Gdańsk"/>
    <x v="1"/>
    <x v="2"/>
    <x v="2"/>
    <x v="140"/>
  </r>
  <r>
    <x v="31"/>
    <x v="1"/>
    <n v="2006"/>
    <s v="MKS Gdańsk"/>
    <x v="1"/>
    <x v="3"/>
    <x v="0"/>
    <x v="189"/>
  </r>
  <r>
    <x v="31"/>
    <x v="1"/>
    <n v="2006"/>
    <s v="MKS Gdańsk"/>
    <x v="1"/>
    <x v="3"/>
    <x v="1"/>
    <x v="69"/>
  </r>
  <r>
    <x v="31"/>
    <x v="1"/>
    <n v="2006"/>
    <s v="MKS Gdańsk"/>
    <x v="1"/>
    <x v="3"/>
    <x v="2"/>
    <x v="85"/>
  </r>
  <r>
    <x v="31"/>
    <x v="1"/>
    <n v="2006"/>
    <s v="MKS Gdańsk"/>
    <x v="1"/>
    <x v="4"/>
    <x v="0"/>
    <x v="128"/>
  </r>
  <r>
    <x v="31"/>
    <x v="1"/>
    <n v="2006"/>
    <s v="MKS Gdańsk"/>
    <x v="1"/>
    <x v="4"/>
    <x v="1"/>
    <x v="69"/>
  </r>
  <r>
    <x v="31"/>
    <x v="1"/>
    <n v="2006"/>
    <s v="MKS Gdańsk"/>
    <x v="1"/>
    <x v="4"/>
    <x v="2"/>
    <x v="35"/>
  </r>
  <r>
    <x v="31"/>
    <x v="1"/>
    <n v="2006"/>
    <s v="MKS Gdańsk"/>
    <x v="1"/>
    <x v="5"/>
    <x v="0"/>
    <x v="185"/>
  </r>
  <r>
    <x v="31"/>
    <x v="1"/>
    <n v="2006"/>
    <s v="MKS Gdańsk"/>
    <x v="1"/>
    <x v="5"/>
    <x v="1"/>
    <x v="50"/>
  </r>
  <r>
    <x v="31"/>
    <x v="1"/>
    <n v="2006"/>
    <s v="MKS Gdańsk"/>
    <x v="1"/>
    <x v="5"/>
    <x v="2"/>
    <x v="165"/>
  </r>
  <r>
    <x v="31"/>
    <x v="1"/>
    <n v="2006"/>
    <s v="MKS Gdańsk"/>
    <x v="1"/>
    <x v="6"/>
    <x v="3"/>
    <x v="140"/>
  </r>
  <r>
    <x v="31"/>
    <x v="1"/>
    <n v="2006"/>
    <s v="MKS Gdańsk"/>
    <x v="1"/>
    <x v="6"/>
    <x v="4"/>
    <x v="140"/>
  </r>
  <r>
    <x v="31"/>
    <x v="1"/>
    <n v="2006"/>
    <s v="MKS Gdańsk"/>
    <x v="1"/>
    <x v="6"/>
    <x v="5"/>
    <x v="198"/>
  </r>
  <r>
    <x v="32"/>
    <x v="1"/>
    <n v="2006"/>
    <s v="MKS Gdańsk"/>
    <x v="1"/>
    <x v="0"/>
    <x v="0"/>
    <x v="49"/>
  </r>
  <r>
    <x v="32"/>
    <x v="1"/>
    <n v="2006"/>
    <s v="MKS Gdańsk"/>
    <x v="1"/>
    <x v="0"/>
    <x v="1"/>
    <x v="29"/>
  </r>
  <r>
    <x v="32"/>
    <x v="1"/>
    <n v="2006"/>
    <s v="MKS Gdańsk"/>
    <x v="1"/>
    <x v="0"/>
    <x v="2"/>
    <x v="116"/>
  </r>
  <r>
    <x v="32"/>
    <x v="1"/>
    <n v="2006"/>
    <s v="MKS Gdańsk"/>
    <x v="1"/>
    <x v="1"/>
    <x v="0"/>
    <x v="184"/>
  </r>
  <r>
    <x v="32"/>
    <x v="1"/>
    <n v="2006"/>
    <s v="MKS Gdańsk"/>
    <x v="1"/>
    <x v="1"/>
    <x v="1"/>
    <x v="96"/>
  </r>
  <r>
    <x v="32"/>
    <x v="1"/>
    <n v="2006"/>
    <s v="MKS Gdańsk"/>
    <x v="1"/>
    <x v="1"/>
    <x v="2"/>
    <x v="97"/>
  </r>
  <r>
    <x v="32"/>
    <x v="1"/>
    <n v="2006"/>
    <s v="MKS Gdańsk"/>
    <x v="1"/>
    <x v="2"/>
    <x v="0"/>
    <x v="140"/>
  </r>
  <r>
    <x v="32"/>
    <x v="1"/>
    <n v="2006"/>
    <s v="MKS Gdańsk"/>
    <x v="1"/>
    <x v="2"/>
    <x v="1"/>
    <x v="140"/>
  </r>
  <r>
    <x v="32"/>
    <x v="1"/>
    <n v="2006"/>
    <s v="MKS Gdańsk"/>
    <x v="1"/>
    <x v="2"/>
    <x v="2"/>
    <x v="140"/>
  </r>
  <r>
    <x v="32"/>
    <x v="1"/>
    <n v="2006"/>
    <s v="MKS Gdańsk"/>
    <x v="1"/>
    <x v="3"/>
    <x v="0"/>
    <x v="128"/>
  </r>
  <r>
    <x v="32"/>
    <x v="1"/>
    <n v="2006"/>
    <s v="MKS Gdańsk"/>
    <x v="1"/>
    <x v="3"/>
    <x v="1"/>
    <x v="52"/>
  </r>
  <r>
    <x v="32"/>
    <x v="1"/>
    <n v="2006"/>
    <s v="MKS Gdańsk"/>
    <x v="1"/>
    <x v="3"/>
    <x v="2"/>
    <x v="91"/>
  </r>
  <r>
    <x v="32"/>
    <x v="1"/>
    <n v="2006"/>
    <s v="MKS Gdańsk"/>
    <x v="1"/>
    <x v="4"/>
    <x v="0"/>
    <x v="128"/>
  </r>
  <r>
    <x v="32"/>
    <x v="1"/>
    <n v="2006"/>
    <s v="MKS Gdańsk"/>
    <x v="1"/>
    <x v="4"/>
    <x v="1"/>
    <x v="169"/>
  </r>
  <r>
    <x v="32"/>
    <x v="1"/>
    <n v="2006"/>
    <s v="MKS Gdańsk"/>
    <x v="1"/>
    <x v="4"/>
    <x v="2"/>
    <x v="22"/>
  </r>
  <r>
    <x v="32"/>
    <x v="1"/>
    <n v="2006"/>
    <s v="MKS Gdańsk"/>
    <x v="1"/>
    <x v="5"/>
    <x v="0"/>
    <x v="140"/>
  </r>
  <r>
    <x v="32"/>
    <x v="1"/>
    <n v="2006"/>
    <s v="MKS Gdańsk"/>
    <x v="1"/>
    <x v="5"/>
    <x v="1"/>
    <x v="140"/>
  </r>
  <r>
    <x v="32"/>
    <x v="1"/>
    <n v="2006"/>
    <s v="MKS Gdańsk"/>
    <x v="1"/>
    <x v="5"/>
    <x v="2"/>
    <x v="140"/>
  </r>
  <r>
    <x v="32"/>
    <x v="1"/>
    <n v="2006"/>
    <s v="MKS Gdańsk"/>
    <x v="1"/>
    <x v="6"/>
    <x v="3"/>
    <x v="140"/>
  </r>
  <r>
    <x v="32"/>
    <x v="1"/>
    <n v="2006"/>
    <s v="MKS Gdańsk"/>
    <x v="1"/>
    <x v="6"/>
    <x v="4"/>
    <x v="140"/>
  </r>
  <r>
    <x v="32"/>
    <x v="1"/>
    <n v="2006"/>
    <s v="MKS Gdańsk"/>
    <x v="1"/>
    <x v="6"/>
    <x v="5"/>
    <x v="19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8">
  <r>
    <s v="SASNAL Filip"/>
    <x v="0"/>
    <s v="KS AZS AWF Kraków"/>
    <n v="4"/>
    <x v="0"/>
    <x v="0"/>
    <x v="0"/>
  </r>
  <r>
    <s v="SASNAL Filip"/>
    <x v="0"/>
    <s v="KS AZS AWF Kraków"/>
    <n v="4"/>
    <x v="0"/>
    <x v="1"/>
    <x v="1"/>
  </r>
  <r>
    <s v="SASNAL Filip"/>
    <x v="0"/>
    <s v="KS AZS AWF Kraków"/>
    <n v="4"/>
    <x v="0"/>
    <x v="2"/>
    <x v="2"/>
  </r>
  <r>
    <s v="SASNAL Filip"/>
    <x v="0"/>
    <s v="KS AZS AWF Kraków"/>
    <n v="4"/>
    <x v="1"/>
    <x v="0"/>
    <x v="3"/>
  </r>
  <r>
    <s v="SASNAL Filip"/>
    <x v="0"/>
    <s v="KS AZS AWF Kraków"/>
    <n v="4"/>
    <x v="1"/>
    <x v="1"/>
    <x v="4"/>
  </r>
  <r>
    <s v="SASNAL Filip"/>
    <x v="0"/>
    <s v="KS AZS AWF Kraków"/>
    <n v="4"/>
    <x v="1"/>
    <x v="2"/>
    <x v="5"/>
  </r>
  <r>
    <s v="SASNAL Filip"/>
    <x v="0"/>
    <s v="KS AZS AWF Kraków"/>
    <n v="4"/>
    <x v="2"/>
    <x v="0"/>
    <x v="6"/>
  </r>
  <r>
    <s v="SASNAL Filip"/>
    <x v="0"/>
    <s v="KS AZS AWF Kraków"/>
    <n v="4"/>
    <x v="2"/>
    <x v="1"/>
    <x v="7"/>
  </r>
  <r>
    <s v="SASNAL Filip"/>
    <x v="0"/>
    <s v="KS AZS AWF Kraków"/>
    <n v="4"/>
    <x v="2"/>
    <x v="2"/>
    <x v="8"/>
  </r>
  <r>
    <s v="SASNAL Filip"/>
    <x v="0"/>
    <s v="KS AZS AWF Kraków"/>
    <n v="4"/>
    <x v="3"/>
    <x v="0"/>
    <x v="6"/>
  </r>
  <r>
    <s v="SASNAL Filip"/>
    <x v="0"/>
    <s v="KS AZS AWF Kraków"/>
    <n v="4"/>
    <x v="3"/>
    <x v="1"/>
    <x v="9"/>
  </r>
  <r>
    <s v="SASNAL Filip"/>
    <x v="0"/>
    <s v="KS AZS AWF Kraków"/>
    <n v="4"/>
    <x v="3"/>
    <x v="2"/>
    <x v="10"/>
  </r>
  <r>
    <s v="SASNAL Filip"/>
    <x v="0"/>
    <s v="KS AZS AWF Kraków"/>
    <n v="4"/>
    <x v="4"/>
    <x v="0"/>
    <x v="11"/>
  </r>
  <r>
    <s v="SASNAL Filip"/>
    <x v="0"/>
    <s v="KS AZS AWF Kraków"/>
    <n v="4"/>
    <x v="4"/>
    <x v="1"/>
    <x v="12"/>
  </r>
  <r>
    <s v="SASNAL Filip"/>
    <x v="0"/>
    <s v="KS AZS AWF Kraków"/>
    <n v="4"/>
    <x v="4"/>
    <x v="2"/>
    <x v="13"/>
  </r>
  <r>
    <s v="SASNAL Filip"/>
    <x v="0"/>
    <s v="KS AZS AWF Kraków"/>
    <n v="4"/>
    <x v="5"/>
    <x v="0"/>
    <x v="0"/>
  </r>
  <r>
    <s v="SASNAL Filip"/>
    <x v="0"/>
    <s v="KS AZS AWF Kraków"/>
    <n v="4"/>
    <x v="5"/>
    <x v="1"/>
    <x v="14"/>
  </r>
  <r>
    <s v="SASNAL Filip"/>
    <x v="0"/>
    <s v="KS AZS AWF Kraków"/>
    <n v="4"/>
    <x v="5"/>
    <x v="2"/>
    <x v="15"/>
  </r>
  <r>
    <s v="LUDYNIA Marceli"/>
    <x v="0"/>
    <s v="KS AZS AWF Katowice"/>
    <n v="4"/>
    <x v="0"/>
    <x v="0"/>
    <x v="16"/>
  </r>
  <r>
    <s v="LUDYNIA Marceli"/>
    <x v="0"/>
    <s v="KS AZS AWF Katowice"/>
    <n v="4"/>
    <x v="0"/>
    <x v="1"/>
    <x v="17"/>
  </r>
  <r>
    <s v="LUDYNIA Marceli"/>
    <x v="0"/>
    <s v="KS AZS AWF Katowice"/>
    <n v="4"/>
    <x v="0"/>
    <x v="2"/>
    <x v="18"/>
  </r>
  <r>
    <s v="LUDYNIA Marceli"/>
    <x v="0"/>
    <s v="KS AZS AWF Katowice"/>
    <n v="4"/>
    <x v="1"/>
    <x v="0"/>
    <x v="16"/>
  </r>
  <r>
    <s v="LUDYNIA Marceli"/>
    <x v="0"/>
    <s v="KS AZS AWF Katowice"/>
    <n v="4"/>
    <x v="1"/>
    <x v="1"/>
    <x v="19"/>
  </r>
  <r>
    <s v="LUDYNIA Marceli"/>
    <x v="0"/>
    <s v="KS AZS AWF Katowice"/>
    <n v="4"/>
    <x v="1"/>
    <x v="2"/>
    <x v="20"/>
  </r>
  <r>
    <s v="LUDYNIA Marceli"/>
    <x v="0"/>
    <s v="KS AZS AWF Katowice"/>
    <n v="4"/>
    <x v="2"/>
    <x v="0"/>
    <x v="21"/>
  </r>
  <r>
    <s v="LUDYNIA Marceli"/>
    <x v="0"/>
    <s v="KS AZS AWF Katowice"/>
    <n v="4"/>
    <x v="2"/>
    <x v="1"/>
    <x v="22"/>
  </r>
  <r>
    <s v="LUDYNIA Marceli"/>
    <x v="0"/>
    <s v="KS AZS AWF Katowice"/>
    <n v="4"/>
    <x v="2"/>
    <x v="2"/>
    <x v="23"/>
  </r>
  <r>
    <s v="LUDYNIA Marceli"/>
    <x v="0"/>
    <s v="KS AZS AWF Katowice"/>
    <n v="4"/>
    <x v="3"/>
    <x v="0"/>
    <x v="16"/>
  </r>
  <r>
    <s v="LUDYNIA Marceli"/>
    <x v="0"/>
    <s v="KS AZS AWF Katowice"/>
    <n v="4"/>
    <x v="3"/>
    <x v="1"/>
    <x v="24"/>
  </r>
  <r>
    <s v="LUDYNIA Marceli"/>
    <x v="0"/>
    <s v="KS AZS AWF Katowice"/>
    <n v="4"/>
    <x v="3"/>
    <x v="2"/>
    <x v="25"/>
  </r>
  <r>
    <s v="LUDYNIA Marceli"/>
    <x v="0"/>
    <s v="KS AZS AWF Katowice"/>
    <n v="4"/>
    <x v="4"/>
    <x v="0"/>
    <x v="26"/>
  </r>
  <r>
    <s v="LUDYNIA Marceli"/>
    <x v="0"/>
    <s v="KS AZS AWF Katowice"/>
    <n v="4"/>
    <x v="4"/>
    <x v="1"/>
    <x v="27"/>
  </r>
  <r>
    <s v="LUDYNIA Marceli"/>
    <x v="0"/>
    <s v="KS AZS AWF Katowice"/>
    <n v="4"/>
    <x v="4"/>
    <x v="2"/>
    <x v="28"/>
  </r>
  <r>
    <s v="LUDYNIA Marceli"/>
    <x v="0"/>
    <s v="KS AZS AWF Katowice"/>
    <n v="4"/>
    <x v="5"/>
    <x v="0"/>
    <x v="16"/>
  </r>
  <r>
    <s v="LUDYNIA Marceli"/>
    <x v="0"/>
    <s v="KS AZS AWF Katowice"/>
    <n v="4"/>
    <x v="5"/>
    <x v="1"/>
    <x v="29"/>
  </r>
  <r>
    <s v="LUDYNIA Marceli"/>
    <x v="0"/>
    <s v="KS AZS AWF Katowice"/>
    <n v="4"/>
    <x v="5"/>
    <x v="2"/>
    <x v="30"/>
  </r>
  <r>
    <s v="GARNCZAREK Kacper"/>
    <x v="0"/>
    <s v="KS AZS AWF Katowice"/>
    <n v="3"/>
    <x v="0"/>
    <x v="0"/>
    <x v="31"/>
  </r>
  <r>
    <s v="GARNCZAREK Kacper"/>
    <x v="0"/>
    <s v="KS AZS AWF Katowice"/>
    <n v="3"/>
    <x v="0"/>
    <x v="1"/>
    <x v="31"/>
  </r>
  <r>
    <s v="GARNCZAREK Kacper"/>
    <x v="0"/>
    <s v="KS AZS AWF Katowice"/>
    <n v="3"/>
    <x v="0"/>
    <x v="2"/>
    <x v="31"/>
  </r>
  <r>
    <s v="GARNCZAREK Kacper"/>
    <x v="0"/>
    <s v="KS AZS AWF Katowice"/>
    <n v="3"/>
    <x v="1"/>
    <x v="0"/>
    <x v="32"/>
  </r>
  <r>
    <s v="GARNCZAREK Kacper"/>
    <x v="0"/>
    <s v="KS AZS AWF Katowice"/>
    <n v="3"/>
    <x v="1"/>
    <x v="1"/>
    <x v="22"/>
  </r>
  <r>
    <s v="GARNCZAREK Kacper"/>
    <x v="0"/>
    <s v="KS AZS AWF Katowice"/>
    <n v="3"/>
    <x v="1"/>
    <x v="2"/>
    <x v="33"/>
  </r>
  <r>
    <s v="GARNCZAREK Kacper"/>
    <x v="0"/>
    <s v="KS AZS AWF Katowice"/>
    <n v="3"/>
    <x v="2"/>
    <x v="0"/>
    <x v="32"/>
  </r>
  <r>
    <s v="GARNCZAREK Kacper"/>
    <x v="0"/>
    <s v="KS AZS AWF Katowice"/>
    <n v="3"/>
    <x v="2"/>
    <x v="1"/>
    <x v="34"/>
  </r>
  <r>
    <s v="GARNCZAREK Kacper"/>
    <x v="0"/>
    <s v="KS AZS AWF Katowice"/>
    <n v="3"/>
    <x v="2"/>
    <x v="2"/>
    <x v="35"/>
  </r>
  <r>
    <s v="GARNCZAREK Kacper"/>
    <x v="0"/>
    <s v="KS AZS AWF Katowice"/>
    <n v="3"/>
    <x v="3"/>
    <x v="0"/>
    <x v="36"/>
  </r>
  <r>
    <s v="GARNCZAREK Kacper"/>
    <x v="0"/>
    <s v="KS AZS AWF Katowice"/>
    <n v="3"/>
    <x v="3"/>
    <x v="1"/>
    <x v="37"/>
  </r>
  <r>
    <s v="GARNCZAREK Kacper"/>
    <x v="0"/>
    <s v="KS AZS AWF Katowice"/>
    <n v="3"/>
    <x v="3"/>
    <x v="2"/>
    <x v="18"/>
  </r>
  <r>
    <s v="GARNCZAREK Kacper"/>
    <x v="0"/>
    <s v="KS AZS AWF Katowice"/>
    <n v="3"/>
    <x v="4"/>
    <x v="0"/>
    <x v="38"/>
  </r>
  <r>
    <s v="GARNCZAREK Kacper"/>
    <x v="0"/>
    <s v="KS AZS AWF Katowice"/>
    <n v="3"/>
    <x v="4"/>
    <x v="1"/>
    <x v="39"/>
  </r>
  <r>
    <s v="GARNCZAREK Kacper"/>
    <x v="0"/>
    <s v="KS AZS AWF Katowice"/>
    <n v="3"/>
    <x v="4"/>
    <x v="2"/>
    <x v="40"/>
  </r>
  <r>
    <s v="GARNCZAREK Kacper"/>
    <x v="0"/>
    <s v="KS AZS AWF Katowice"/>
    <n v="3"/>
    <x v="5"/>
    <x v="0"/>
    <x v="41"/>
  </r>
  <r>
    <s v="GARNCZAREK Kacper"/>
    <x v="0"/>
    <s v="KS AZS AWF Katowice"/>
    <n v="3"/>
    <x v="5"/>
    <x v="1"/>
    <x v="42"/>
  </r>
  <r>
    <s v="GARNCZAREK Kacper"/>
    <x v="0"/>
    <s v="KS AZS AWF Katowice"/>
    <n v="3"/>
    <x v="5"/>
    <x v="2"/>
    <x v="43"/>
  </r>
  <r>
    <s v="BRACKI Borys"/>
    <x v="0"/>
    <s v="KS AZS AWF Katowice"/>
    <n v="4"/>
    <x v="0"/>
    <x v="0"/>
    <x v="44"/>
  </r>
  <r>
    <s v="BRACKI Borys"/>
    <x v="0"/>
    <s v="KS AZS AWF Katowice"/>
    <n v="4"/>
    <x v="0"/>
    <x v="1"/>
    <x v="45"/>
  </r>
  <r>
    <s v="BRACKI Borys"/>
    <x v="0"/>
    <s v="KS AZS AWF Katowice"/>
    <n v="4"/>
    <x v="0"/>
    <x v="2"/>
    <x v="5"/>
  </r>
  <r>
    <s v="BRACKI Borys"/>
    <x v="0"/>
    <s v="KS AZS AWF Katowice"/>
    <n v="4"/>
    <x v="1"/>
    <x v="0"/>
    <x v="46"/>
  </r>
  <r>
    <s v="BRACKI Borys"/>
    <x v="0"/>
    <s v="KS AZS AWF Katowice"/>
    <n v="4"/>
    <x v="1"/>
    <x v="1"/>
    <x v="19"/>
  </r>
  <r>
    <s v="BRACKI Borys"/>
    <x v="0"/>
    <s v="KS AZS AWF Katowice"/>
    <n v="4"/>
    <x v="1"/>
    <x v="2"/>
    <x v="47"/>
  </r>
  <r>
    <s v="BRACKI Borys"/>
    <x v="0"/>
    <s v="KS AZS AWF Katowice"/>
    <n v="4"/>
    <x v="2"/>
    <x v="0"/>
    <x v="44"/>
  </r>
  <r>
    <s v="BRACKI Borys"/>
    <x v="0"/>
    <s v="KS AZS AWF Katowice"/>
    <n v="4"/>
    <x v="2"/>
    <x v="1"/>
    <x v="48"/>
  </r>
  <r>
    <s v="BRACKI Borys"/>
    <x v="0"/>
    <s v="KS AZS AWF Katowice"/>
    <n v="4"/>
    <x v="2"/>
    <x v="2"/>
    <x v="49"/>
  </r>
  <r>
    <s v="BRACKI Borys"/>
    <x v="0"/>
    <s v="KS AZS AWF Katowice"/>
    <n v="4"/>
    <x v="3"/>
    <x v="0"/>
    <x v="44"/>
  </r>
  <r>
    <s v="BRACKI Borys"/>
    <x v="0"/>
    <s v="KS AZS AWF Katowice"/>
    <n v="4"/>
    <x v="3"/>
    <x v="1"/>
    <x v="50"/>
  </r>
  <r>
    <s v="BRACKI Borys"/>
    <x v="0"/>
    <s v="KS AZS AWF Katowice"/>
    <n v="4"/>
    <x v="3"/>
    <x v="2"/>
    <x v="51"/>
  </r>
  <r>
    <s v="BRACKI Borys"/>
    <x v="0"/>
    <s v="KS AZS AWF Katowice"/>
    <n v="4"/>
    <x v="4"/>
    <x v="0"/>
    <x v="52"/>
  </r>
  <r>
    <s v="BRACKI Borys"/>
    <x v="0"/>
    <s v="KS AZS AWF Katowice"/>
    <n v="4"/>
    <x v="4"/>
    <x v="1"/>
    <x v="53"/>
  </r>
  <r>
    <s v="BRACKI Borys"/>
    <x v="0"/>
    <s v="KS AZS AWF Katowice"/>
    <n v="4"/>
    <x v="4"/>
    <x v="2"/>
    <x v="54"/>
  </r>
  <r>
    <s v="BRACKI Borys"/>
    <x v="0"/>
    <s v="KS AZS AWF Katowice"/>
    <n v="4"/>
    <x v="5"/>
    <x v="0"/>
    <x v="44"/>
  </r>
  <r>
    <s v="BRACKI Borys"/>
    <x v="0"/>
    <s v="KS AZS AWF Katowice"/>
    <n v="4"/>
    <x v="5"/>
    <x v="1"/>
    <x v="55"/>
  </r>
  <r>
    <s v="BRACKI Borys"/>
    <x v="0"/>
    <s v="KS AZS AWF Katowice"/>
    <n v="4"/>
    <x v="5"/>
    <x v="2"/>
    <x v="56"/>
  </r>
  <r>
    <s v="JAKUBOWSKI Jakub"/>
    <x v="0"/>
    <s v="KS AZS AWFiS Gdańsk"/>
    <n v="4"/>
    <x v="0"/>
    <x v="0"/>
    <x v="57"/>
  </r>
  <r>
    <s v="JAKUBOWSKI Jakub"/>
    <x v="0"/>
    <s v="KS AZS AWFiS Gdańsk"/>
    <n v="4"/>
    <x v="0"/>
    <x v="1"/>
    <x v="58"/>
  </r>
  <r>
    <s v="JAKUBOWSKI Jakub"/>
    <x v="0"/>
    <s v="KS AZS AWFiS Gdańsk"/>
    <n v="4"/>
    <x v="0"/>
    <x v="2"/>
    <x v="18"/>
  </r>
  <r>
    <s v="JAKUBOWSKI Jakub"/>
    <x v="0"/>
    <s v="KS AZS AWFiS Gdańsk"/>
    <n v="4"/>
    <x v="1"/>
    <x v="0"/>
    <x v="59"/>
  </r>
  <r>
    <s v="JAKUBOWSKI Jakub"/>
    <x v="0"/>
    <s v="KS AZS AWFiS Gdańsk"/>
    <n v="4"/>
    <x v="1"/>
    <x v="1"/>
    <x v="60"/>
  </r>
  <r>
    <s v="JAKUBOWSKI Jakub"/>
    <x v="0"/>
    <s v="KS AZS AWFiS Gdańsk"/>
    <n v="4"/>
    <x v="1"/>
    <x v="2"/>
    <x v="61"/>
  </r>
  <r>
    <s v="JAKUBOWSKI Jakub"/>
    <x v="0"/>
    <s v="KS AZS AWFiS Gdańsk"/>
    <n v="4"/>
    <x v="2"/>
    <x v="0"/>
    <x v="57"/>
  </r>
  <r>
    <s v="JAKUBOWSKI Jakub"/>
    <x v="0"/>
    <s v="KS AZS AWFiS Gdańsk"/>
    <n v="4"/>
    <x v="2"/>
    <x v="1"/>
    <x v="62"/>
  </r>
  <r>
    <s v="JAKUBOWSKI Jakub"/>
    <x v="0"/>
    <s v="KS AZS AWFiS Gdańsk"/>
    <n v="4"/>
    <x v="2"/>
    <x v="2"/>
    <x v="63"/>
  </r>
  <r>
    <s v="JAKUBOWSKI Jakub"/>
    <x v="0"/>
    <s v="KS AZS AWFiS Gdańsk"/>
    <n v="4"/>
    <x v="3"/>
    <x v="0"/>
    <x v="59"/>
  </r>
  <r>
    <s v="JAKUBOWSKI Jakub"/>
    <x v="0"/>
    <s v="KS AZS AWFiS Gdańsk"/>
    <n v="4"/>
    <x v="3"/>
    <x v="1"/>
    <x v="64"/>
  </r>
  <r>
    <s v="JAKUBOWSKI Jakub"/>
    <x v="0"/>
    <s v="KS AZS AWFiS Gdańsk"/>
    <n v="4"/>
    <x v="3"/>
    <x v="2"/>
    <x v="65"/>
  </r>
  <r>
    <s v="JAKUBOWSKI Jakub"/>
    <x v="0"/>
    <s v="KS AZS AWFiS Gdańsk"/>
    <n v="4"/>
    <x v="4"/>
    <x v="0"/>
    <x v="66"/>
  </r>
  <r>
    <s v="JAKUBOWSKI Jakub"/>
    <x v="0"/>
    <s v="KS AZS AWFiS Gdańsk"/>
    <n v="4"/>
    <x v="4"/>
    <x v="1"/>
    <x v="67"/>
  </r>
  <r>
    <s v="JAKUBOWSKI Jakub"/>
    <x v="0"/>
    <s v="KS AZS AWFiS Gdańsk"/>
    <n v="4"/>
    <x v="4"/>
    <x v="2"/>
    <x v="68"/>
  </r>
  <r>
    <s v="JAKUBOWSKI Jakub"/>
    <x v="0"/>
    <s v="KS AZS AWFiS Gdańsk"/>
    <n v="4"/>
    <x v="5"/>
    <x v="0"/>
    <x v="69"/>
  </r>
  <r>
    <s v="JAKUBOWSKI Jakub"/>
    <x v="0"/>
    <s v="KS AZS AWFiS Gdańsk"/>
    <n v="4"/>
    <x v="5"/>
    <x v="1"/>
    <x v="70"/>
  </r>
  <r>
    <s v="JAKUBOWSKI Jakub"/>
    <x v="0"/>
    <s v="KS AZS AWFiS Gdańsk"/>
    <n v="4"/>
    <x v="5"/>
    <x v="2"/>
    <x v="71"/>
  </r>
  <r>
    <s v="CHRUŚCIEL Szymon"/>
    <x v="0"/>
    <s v="KS AZS AWF Kraków"/>
    <n v="4"/>
    <x v="0"/>
    <x v="0"/>
    <x v="21"/>
  </r>
  <r>
    <s v="CHRUŚCIEL Szymon"/>
    <x v="0"/>
    <s v="KS AZS AWF Kraków"/>
    <n v="4"/>
    <x v="0"/>
    <x v="1"/>
    <x v="72"/>
  </r>
  <r>
    <s v="CHRUŚCIEL Szymon"/>
    <x v="0"/>
    <s v="KS AZS AWF Kraków"/>
    <n v="4"/>
    <x v="0"/>
    <x v="2"/>
    <x v="73"/>
  </r>
  <r>
    <s v="CHRUŚCIEL Szymon"/>
    <x v="0"/>
    <s v="KS AZS AWF Kraków"/>
    <n v="4"/>
    <x v="1"/>
    <x v="0"/>
    <x v="74"/>
  </r>
  <r>
    <s v="CHRUŚCIEL Szymon"/>
    <x v="0"/>
    <s v="KS AZS AWF Kraków"/>
    <n v="4"/>
    <x v="1"/>
    <x v="1"/>
    <x v="75"/>
  </r>
  <r>
    <s v="CHRUŚCIEL Szymon"/>
    <x v="0"/>
    <s v="KS AZS AWF Kraków"/>
    <n v="4"/>
    <x v="1"/>
    <x v="2"/>
    <x v="76"/>
  </r>
  <r>
    <s v="CHRUŚCIEL Szymon"/>
    <x v="0"/>
    <s v="KS AZS AWF Kraków"/>
    <n v="4"/>
    <x v="2"/>
    <x v="0"/>
    <x v="74"/>
  </r>
  <r>
    <s v="CHRUŚCIEL Szymon"/>
    <x v="0"/>
    <s v="KS AZS AWF Kraków"/>
    <n v="4"/>
    <x v="2"/>
    <x v="1"/>
    <x v="48"/>
  </r>
  <r>
    <s v="CHRUŚCIEL Szymon"/>
    <x v="0"/>
    <s v="KS AZS AWF Kraków"/>
    <n v="4"/>
    <x v="2"/>
    <x v="2"/>
    <x v="77"/>
  </r>
  <r>
    <s v="CHRUŚCIEL Szymon"/>
    <x v="0"/>
    <s v="KS AZS AWF Kraków"/>
    <n v="4"/>
    <x v="3"/>
    <x v="0"/>
    <x v="74"/>
  </r>
  <r>
    <s v="CHRUŚCIEL Szymon"/>
    <x v="0"/>
    <s v="KS AZS AWF Kraków"/>
    <n v="4"/>
    <x v="3"/>
    <x v="1"/>
    <x v="78"/>
  </r>
  <r>
    <s v="CHRUŚCIEL Szymon"/>
    <x v="0"/>
    <s v="KS AZS AWF Kraków"/>
    <n v="4"/>
    <x v="3"/>
    <x v="2"/>
    <x v="25"/>
  </r>
  <r>
    <s v="CHRUŚCIEL Szymon"/>
    <x v="0"/>
    <s v="KS AZS AWF Kraków"/>
    <n v="4"/>
    <x v="4"/>
    <x v="0"/>
    <x v="79"/>
  </r>
  <r>
    <s v="CHRUŚCIEL Szymon"/>
    <x v="0"/>
    <s v="KS AZS AWF Kraków"/>
    <n v="4"/>
    <x v="4"/>
    <x v="1"/>
    <x v="80"/>
  </r>
  <r>
    <s v="CHRUŚCIEL Szymon"/>
    <x v="0"/>
    <s v="KS AZS AWF Kraków"/>
    <n v="4"/>
    <x v="4"/>
    <x v="2"/>
    <x v="81"/>
  </r>
  <r>
    <s v="CHRUŚCIEL Szymon"/>
    <x v="0"/>
    <s v="KS AZS AWF Kraków"/>
    <n v="4"/>
    <x v="5"/>
    <x v="0"/>
    <x v="82"/>
  </r>
  <r>
    <s v="CHRUŚCIEL Szymon"/>
    <x v="0"/>
    <s v="KS AZS AWF Kraków"/>
    <n v="4"/>
    <x v="5"/>
    <x v="1"/>
    <x v="83"/>
  </r>
  <r>
    <s v="CHRUŚCIEL Szymon"/>
    <x v="0"/>
    <s v="KS AZS AWF Kraków"/>
    <n v="4"/>
    <x v="5"/>
    <x v="2"/>
    <x v="84"/>
  </r>
  <r>
    <s v="KUROWSKI Jakub"/>
    <x v="0"/>
    <s v="MKS Kusy Szczecin"/>
    <n v="3"/>
    <x v="0"/>
    <x v="0"/>
    <x v="31"/>
  </r>
  <r>
    <s v="KUROWSKI Jakub"/>
    <x v="0"/>
    <s v="MKS Kusy Szczecin"/>
    <n v="3"/>
    <x v="0"/>
    <x v="1"/>
    <x v="31"/>
  </r>
  <r>
    <s v="KUROWSKI Jakub"/>
    <x v="0"/>
    <s v="MKS Kusy Szczecin"/>
    <n v="3"/>
    <x v="0"/>
    <x v="2"/>
    <x v="31"/>
  </r>
  <r>
    <s v="KUROWSKI Jakub"/>
    <x v="0"/>
    <s v="MKS Kusy Szczecin"/>
    <n v="3"/>
    <x v="1"/>
    <x v="0"/>
    <x v="57"/>
  </r>
  <r>
    <s v="KUROWSKI Jakub"/>
    <x v="0"/>
    <s v="MKS Kusy Szczecin"/>
    <n v="3"/>
    <x v="1"/>
    <x v="1"/>
    <x v="85"/>
  </r>
  <r>
    <s v="KUROWSKI Jakub"/>
    <x v="0"/>
    <s v="MKS Kusy Szczecin"/>
    <n v="3"/>
    <x v="1"/>
    <x v="2"/>
    <x v="35"/>
  </r>
  <r>
    <s v="KUROWSKI Jakub"/>
    <x v="0"/>
    <s v="MKS Kusy Szczecin"/>
    <n v="3"/>
    <x v="2"/>
    <x v="0"/>
    <x v="21"/>
  </r>
  <r>
    <s v="KUROWSKI Jakub"/>
    <x v="0"/>
    <s v="MKS Kusy Szczecin"/>
    <n v="3"/>
    <x v="2"/>
    <x v="1"/>
    <x v="60"/>
  </r>
  <r>
    <s v="KUROWSKI Jakub"/>
    <x v="0"/>
    <s v="MKS Kusy Szczecin"/>
    <n v="3"/>
    <x v="2"/>
    <x v="2"/>
    <x v="77"/>
  </r>
  <r>
    <s v="KUROWSKI Jakub"/>
    <x v="0"/>
    <s v="MKS Kusy Szczecin"/>
    <n v="3"/>
    <x v="3"/>
    <x v="0"/>
    <x v="86"/>
  </r>
  <r>
    <s v="KUROWSKI Jakub"/>
    <x v="0"/>
    <s v="MKS Kusy Szczecin"/>
    <n v="3"/>
    <x v="3"/>
    <x v="1"/>
    <x v="87"/>
  </r>
  <r>
    <s v="KUROWSKI Jakub"/>
    <x v="0"/>
    <s v="MKS Kusy Szczecin"/>
    <n v="3"/>
    <x v="3"/>
    <x v="2"/>
    <x v="88"/>
  </r>
  <r>
    <s v="KUROWSKI Jakub"/>
    <x v="0"/>
    <s v="MKS Kusy Szczecin"/>
    <n v="3"/>
    <x v="4"/>
    <x v="0"/>
    <x v="79"/>
  </r>
  <r>
    <s v="KUROWSKI Jakub"/>
    <x v="0"/>
    <s v="MKS Kusy Szczecin"/>
    <n v="3"/>
    <x v="4"/>
    <x v="1"/>
    <x v="89"/>
  </r>
  <r>
    <s v="KUROWSKI Jakub"/>
    <x v="0"/>
    <s v="MKS Kusy Szczecin"/>
    <n v="3"/>
    <x v="4"/>
    <x v="2"/>
    <x v="90"/>
  </r>
  <r>
    <s v="KUROWSKI Jakub"/>
    <x v="0"/>
    <s v="MKS Kusy Szczecin"/>
    <n v="3"/>
    <x v="5"/>
    <x v="0"/>
    <x v="82"/>
  </r>
  <r>
    <s v="KUROWSKI Jakub"/>
    <x v="0"/>
    <s v="MKS Kusy Szczecin"/>
    <n v="3"/>
    <x v="5"/>
    <x v="1"/>
    <x v="91"/>
  </r>
  <r>
    <s v="KUROWSKI Jakub"/>
    <x v="0"/>
    <s v="MKS Kusy Szczecin"/>
    <n v="3"/>
    <x v="5"/>
    <x v="2"/>
    <x v="92"/>
  </r>
  <r>
    <s v="SIEDZIAKO Igor"/>
    <x v="0"/>
    <s v="MKS Kusy Szczecin"/>
    <n v="3"/>
    <x v="0"/>
    <x v="0"/>
    <x v="93"/>
  </r>
  <r>
    <s v="SIEDZIAKO Igor"/>
    <x v="0"/>
    <s v="MKS Kusy Szczecin"/>
    <n v="3"/>
    <x v="0"/>
    <x v="1"/>
    <x v="37"/>
  </r>
  <r>
    <s v="SIEDZIAKO Igor"/>
    <x v="0"/>
    <s v="MKS Kusy Szczecin"/>
    <n v="3"/>
    <x v="0"/>
    <x v="2"/>
    <x v="94"/>
  </r>
  <r>
    <s v="SIEDZIAKO Igor"/>
    <x v="0"/>
    <s v="MKS Kusy Szczecin"/>
    <n v="3"/>
    <x v="1"/>
    <x v="0"/>
    <x v="57"/>
  </r>
  <r>
    <s v="SIEDZIAKO Igor"/>
    <x v="0"/>
    <s v="MKS Kusy Szczecin"/>
    <n v="3"/>
    <x v="1"/>
    <x v="1"/>
    <x v="78"/>
  </r>
  <r>
    <s v="SIEDZIAKO Igor"/>
    <x v="0"/>
    <s v="MKS Kusy Szczecin"/>
    <n v="3"/>
    <x v="1"/>
    <x v="2"/>
    <x v="95"/>
  </r>
  <r>
    <s v="SIEDZIAKO Igor"/>
    <x v="0"/>
    <s v="MKS Kusy Szczecin"/>
    <n v="3"/>
    <x v="2"/>
    <x v="0"/>
    <x v="96"/>
  </r>
  <r>
    <s v="SIEDZIAKO Igor"/>
    <x v="0"/>
    <s v="MKS Kusy Szczecin"/>
    <n v="3"/>
    <x v="2"/>
    <x v="1"/>
    <x v="62"/>
  </r>
  <r>
    <s v="SIEDZIAKO Igor"/>
    <x v="0"/>
    <s v="MKS Kusy Szczecin"/>
    <n v="3"/>
    <x v="2"/>
    <x v="2"/>
    <x v="97"/>
  </r>
  <r>
    <s v="SIEDZIAKO Igor"/>
    <x v="0"/>
    <s v="MKS Kusy Szczecin"/>
    <n v="3"/>
    <x v="3"/>
    <x v="0"/>
    <x v="31"/>
  </r>
  <r>
    <s v="SIEDZIAKO Igor"/>
    <x v="0"/>
    <s v="MKS Kusy Szczecin"/>
    <n v="3"/>
    <x v="3"/>
    <x v="1"/>
    <x v="31"/>
  </r>
  <r>
    <s v="SIEDZIAKO Igor"/>
    <x v="0"/>
    <s v="MKS Kusy Szczecin"/>
    <n v="3"/>
    <x v="3"/>
    <x v="2"/>
    <x v="31"/>
  </r>
  <r>
    <s v="SIEDZIAKO Igor"/>
    <x v="0"/>
    <s v="MKS Kusy Szczecin"/>
    <n v="3"/>
    <x v="4"/>
    <x v="0"/>
    <x v="98"/>
  </r>
  <r>
    <s v="SIEDZIAKO Igor"/>
    <x v="0"/>
    <s v="MKS Kusy Szczecin"/>
    <n v="3"/>
    <x v="4"/>
    <x v="1"/>
    <x v="99"/>
  </r>
  <r>
    <s v="SIEDZIAKO Igor"/>
    <x v="0"/>
    <s v="MKS Kusy Szczecin"/>
    <n v="3"/>
    <x v="4"/>
    <x v="2"/>
    <x v="100"/>
  </r>
  <r>
    <s v="SIEDZIAKO Igor"/>
    <x v="0"/>
    <s v="MKS Kusy Szczecin"/>
    <n v="3"/>
    <x v="5"/>
    <x v="0"/>
    <x v="93"/>
  </r>
  <r>
    <s v="SIEDZIAKO Igor"/>
    <x v="0"/>
    <s v="MKS Kusy Szczecin"/>
    <n v="3"/>
    <x v="5"/>
    <x v="1"/>
    <x v="101"/>
  </r>
  <r>
    <s v="SIEDZIAKO Igor"/>
    <x v="0"/>
    <s v="MKS Kusy Szczecin"/>
    <n v="3"/>
    <x v="5"/>
    <x v="2"/>
    <x v="102"/>
  </r>
  <r>
    <s v="WIERZBA Kacper"/>
    <x v="0"/>
    <s v="MKS Gdańsk"/>
    <n v="3"/>
    <x v="0"/>
    <x v="0"/>
    <x v="31"/>
  </r>
  <r>
    <s v="WIERZBA Kacper"/>
    <x v="0"/>
    <s v="MKS Gdańsk"/>
    <n v="3"/>
    <x v="0"/>
    <x v="1"/>
    <x v="31"/>
  </r>
  <r>
    <s v="WIERZBA Kacper"/>
    <x v="0"/>
    <s v="MKS Gdańsk"/>
    <n v="3"/>
    <x v="0"/>
    <x v="2"/>
    <x v="31"/>
  </r>
  <r>
    <s v="WIERZBA Kacper"/>
    <x v="0"/>
    <s v="MKS Gdańsk"/>
    <n v="3"/>
    <x v="1"/>
    <x v="0"/>
    <x v="96"/>
  </r>
  <r>
    <s v="WIERZBA Kacper"/>
    <x v="0"/>
    <s v="MKS Gdańsk"/>
    <n v="3"/>
    <x v="1"/>
    <x v="1"/>
    <x v="17"/>
  </r>
  <r>
    <s v="WIERZBA Kacper"/>
    <x v="0"/>
    <s v="MKS Gdańsk"/>
    <n v="3"/>
    <x v="1"/>
    <x v="2"/>
    <x v="77"/>
  </r>
  <r>
    <s v="WIERZBA Kacper"/>
    <x v="0"/>
    <s v="MKS Gdańsk"/>
    <n v="3"/>
    <x v="2"/>
    <x v="0"/>
    <x v="74"/>
  </r>
  <r>
    <s v="WIERZBA Kacper"/>
    <x v="0"/>
    <s v="MKS Gdańsk"/>
    <n v="3"/>
    <x v="2"/>
    <x v="1"/>
    <x v="24"/>
  </r>
  <r>
    <s v="WIERZBA Kacper"/>
    <x v="0"/>
    <s v="MKS Gdańsk"/>
    <n v="3"/>
    <x v="2"/>
    <x v="2"/>
    <x v="52"/>
  </r>
  <r>
    <s v="WIERZBA Kacper"/>
    <x v="0"/>
    <s v="MKS Gdańsk"/>
    <n v="3"/>
    <x v="3"/>
    <x v="0"/>
    <x v="59"/>
  </r>
  <r>
    <s v="WIERZBA Kacper"/>
    <x v="0"/>
    <s v="MKS Gdańsk"/>
    <n v="3"/>
    <x v="3"/>
    <x v="1"/>
    <x v="103"/>
  </r>
  <r>
    <s v="WIERZBA Kacper"/>
    <x v="0"/>
    <s v="MKS Gdańsk"/>
    <n v="3"/>
    <x v="3"/>
    <x v="2"/>
    <x v="104"/>
  </r>
  <r>
    <s v="WIERZBA Kacper"/>
    <x v="0"/>
    <s v="MKS Gdańsk"/>
    <n v="3"/>
    <x v="4"/>
    <x v="0"/>
    <x v="105"/>
  </r>
  <r>
    <s v="WIERZBA Kacper"/>
    <x v="0"/>
    <s v="MKS Gdańsk"/>
    <n v="3"/>
    <x v="4"/>
    <x v="1"/>
    <x v="106"/>
  </r>
  <r>
    <s v="WIERZBA Kacper"/>
    <x v="0"/>
    <s v="MKS Gdańsk"/>
    <n v="3"/>
    <x v="4"/>
    <x v="2"/>
    <x v="107"/>
  </r>
  <r>
    <s v="WIERZBA Kacper"/>
    <x v="0"/>
    <s v="MKS Gdańsk"/>
    <n v="3"/>
    <x v="5"/>
    <x v="0"/>
    <x v="108"/>
  </r>
  <r>
    <s v="WIERZBA Kacper"/>
    <x v="0"/>
    <s v="MKS Gdańsk"/>
    <n v="3"/>
    <x v="5"/>
    <x v="1"/>
    <x v="109"/>
  </r>
  <r>
    <s v="WIERZBA Kacper"/>
    <x v="0"/>
    <s v="MKS Gdańsk"/>
    <n v="3"/>
    <x v="5"/>
    <x v="2"/>
    <x v="110"/>
  </r>
  <r>
    <s v="BOBER Michał"/>
    <x v="0"/>
    <s v="UKS SP7 Łódź"/>
    <n v="4"/>
    <x v="0"/>
    <x v="0"/>
    <x v="57"/>
  </r>
  <r>
    <s v="BOBER Michał"/>
    <x v="0"/>
    <s v="UKS SP7 Łódź"/>
    <n v="4"/>
    <x v="0"/>
    <x v="1"/>
    <x v="87"/>
  </r>
  <r>
    <s v="BOBER Michał"/>
    <x v="0"/>
    <s v="UKS SP7 Łódź"/>
    <n v="4"/>
    <x v="0"/>
    <x v="2"/>
    <x v="111"/>
  </r>
  <r>
    <s v="BOBER Michał"/>
    <x v="0"/>
    <s v="UKS SP7 Łódź"/>
    <n v="4"/>
    <x v="1"/>
    <x v="0"/>
    <x v="59"/>
  </r>
  <r>
    <s v="BOBER Michał"/>
    <x v="0"/>
    <s v="UKS SP7 Łódź"/>
    <n v="4"/>
    <x v="1"/>
    <x v="1"/>
    <x v="112"/>
  </r>
  <r>
    <s v="BOBER Michał"/>
    <x v="0"/>
    <s v="UKS SP7 Łódź"/>
    <n v="4"/>
    <x v="1"/>
    <x v="2"/>
    <x v="63"/>
  </r>
  <r>
    <s v="BOBER Michał"/>
    <x v="0"/>
    <s v="UKS SP7 Łódź"/>
    <n v="4"/>
    <x v="2"/>
    <x v="0"/>
    <x v="59"/>
  </r>
  <r>
    <s v="BOBER Michał"/>
    <x v="0"/>
    <s v="UKS SP7 Łódź"/>
    <n v="4"/>
    <x v="2"/>
    <x v="1"/>
    <x v="60"/>
  </r>
  <r>
    <s v="BOBER Michał"/>
    <x v="0"/>
    <s v="UKS SP7 Łódź"/>
    <n v="4"/>
    <x v="2"/>
    <x v="2"/>
    <x v="61"/>
  </r>
  <r>
    <s v="BOBER Michał"/>
    <x v="0"/>
    <s v="UKS SP7 Łódź"/>
    <n v="4"/>
    <x v="3"/>
    <x v="0"/>
    <x v="113"/>
  </r>
  <r>
    <s v="BOBER Michał"/>
    <x v="0"/>
    <s v="UKS SP7 Łódź"/>
    <n v="4"/>
    <x v="3"/>
    <x v="1"/>
    <x v="37"/>
  </r>
  <r>
    <s v="BOBER Michał"/>
    <x v="0"/>
    <s v="UKS SP7 Łódź"/>
    <n v="4"/>
    <x v="3"/>
    <x v="2"/>
    <x v="114"/>
  </r>
  <r>
    <s v="BOBER Michał"/>
    <x v="0"/>
    <s v="UKS SP7 Łódź"/>
    <n v="4"/>
    <x v="4"/>
    <x v="0"/>
    <x v="49"/>
  </r>
  <r>
    <s v="BOBER Michał"/>
    <x v="0"/>
    <s v="UKS SP7 Łódź"/>
    <n v="4"/>
    <x v="4"/>
    <x v="1"/>
    <x v="115"/>
  </r>
  <r>
    <s v="BOBER Michał"/>
    <x v="0"/>
    <s v="UKS SP7 Łódź"/>
    <n v="4"/>
    <x v="4"/>
    <x v="2"/>
    <x v="116"/>
  </r>
  <r>
    <s v="BOBER Michał"/>
    <x v="0"/>
    <s v="UKS SP7 Łódź"/>
    <n v="4"/>
    <x v="5"/>
    <x v="0"/>
    <x v="86"/>
  </r>
  <r>
    <s v="BOBER Michał"/>
    <x v="0"/>
    <s v="UKS SP7 Łódź"/>
    <n v="4"/>
    <x v="5"/>
    <x v="1"/>
    <x v="117"/>
  </r>
  <r>
    <s v="BOBER Michał"/>
    <x v="0"/>
    <s v="UKS SP7 Łódź"/>
    <n v="4"/>
    <x v="5"/>
    <x v="2"/>
    <x v="118"/>
  </r>
  <r>
    <s v="KUŹMIŃSKI Bartosz"/>
    <x v="0"/>
    <s v="MKS Kusy Szczecin"/>
    <n v="3"/>
    <x v="0"/>
    <x v="0"/>
    <x v="59"/>
  </r>
  <r>
    <s v="KUŹMIŃSKI Bartosz"/>
    <x v="0"/>
    <s v="MKS Kusy Szczecin"/>
    <n v="3"/>
    <x v="0"/>
    <x v="1"/>
    <x v="48"/>
  </r>
  <r>
    <s v="KUŹMIŃSKI Bartosz"/>
    <x v="0"/>
    <s v="MKS Kusy Szczecin"/>
    <n v="3"/>
    <x v="0"/>
    <x v="2"/>
    <x v="66"/>
  </r>
  <r>
    <s v="KUŹMIŃSKI Bartosz"/>
    <x v="0"/>
    <s v="MKS Kusy Szczecin"/>
    <n v="3"/>
    <x v="1"/>
    <x v="0"/>
    <x v="86"/>
  </r>
  <r>
    <s v="KUŹMIŃSKI Bartosz"/>
    <x v="0"/>
    <s v="MKS Kusy Szczecin"/>
    <n v="3"/>
    <x v="1"/>
    <x v="1"/>
    <x v="3"/>
  </r>
  <r>
    <s v="KUŹMIŃSKI Bartosz"/>
    <x v="0"/>
    <s v="MKS Kusy Szczecin"/>
    <n v="3"/>
    <x v="1"/>
    <x v="2"/>
    <x v="119"/>
  </r>
  <r>
    <s v="KUŹMIŃSKI Bartosz"/>
    <x v="0"/>
    <s v="MKS Kusy Szczecin"/>
    <n v="3"/>
    <x v="2"/>
    <x v="0"/>
    <x v="113"/>
  </r>
  <r>
    <s v="KUŹMIŃSKI Bartosz"/>
    <x v="0"/>
    <s v="MKS Kusy Szczecin"/>
    <n v="3"/>
    <x v="2"/>
    <x v="1"/>
    <x v="50"/>
  </r>
  <r>
    <s v="KUŹMIŃSKI Bartosz"/>
    <x v="0"/>
    <s v="MKS Kusy Szczecin"/>
    <n v="3"/>
    <x v="2"/>
    <x v="2"/>
    <x v="120"/>
  </r>
  <r>
    <s v="KUŹMIŃSKI Bartosz"/>
    <x v="0"/>
    <s v="MKS Kusy Szczecin"/>
    <n v="3"/>
    <x v="3"/>
    <x v="0"/>
    <x v="31"/>
  </r>
  <r>
    <s v="KUŹMIŃSKI Bartosz"/>
    <x v="0"/>
    <s v="MKS Kusy Szczecin"/>
    <n v="3"/>
    <x v="3"/>
    <x v="1"/>
    <x v="31"/>
  </r>
  <r>
    <s v="KUŹMIŃSKI Bartosz"/>
    <x v="0"/>
    <s v="MKS Kusy Szczecin"/>
    <n v="3"/>
    <x v="3"/>
    <x v="2"/>
    <x v="31"/>
  </r>
  <r>
    <s v="KUŹMIŃSKI Bartosz"/>
    <x v="0"/>
    <s v="MKS Kusy Szczecin"/>
    <n v="3"/>
    <x v="4"/>
    <x v="0"/>
    <x v="94"/>
  </r>
  <r>
    <s v="KUŹMIŃSKI Bartosz"/>
    <x v="0"/>
    <s v="MKS Kusy Szczecin"/>
    <n v="3"/>
    <x v="4"/>
    <x v="1"/>
    <x v="121"/>
  </r>
  <r>
    <s v="KUŹMIŃSKI Bartosz"/>
    <x v="0"/>
    <s v="MKS Kusy Szczecin"/>
    <n v="3"/>
    <x v="4"/>
    <x v="2"/>
    <x v="122"/>
  </r>
  <r>
    <s v="KUŹMIŃSKI Bartosz"/>
    <x v="0"/>
    <s v="MKS Kusy Szczecin"/>
    <n v="3"/>
    <x v="5"/>
    <x v="0"/>
    <x v="59"/>
  </r>
  <r>
    <s v="KUŹMIŃSKI Bartosz"/>
    <x v="0"/>
    <s v="MKS Kusy Szczecin"/>
    <n v="3"/>
    <x v="5"/>
    <x v="1"/>
    <x v="123"/>
  </r>
  <r>
    <s v="KUŹMIŃSKI Bartosz"/>
    <x v="0"/>
    <s v="MKS Kusy Szczecin"/>
    <n v="3"/>
    <x v="5"/>
    <x v="2"/>
    <x v="124"/>
  </r>
  <r>
    <s v="PAWŁOWSKI Jakub"/>
    <x v="0"/>
    <s v="MKS Gdańsk"/>
    <n v="3"/>
    <x v="0"/>
    <x v="0"/>
    <x v="31"/>
  </r>
  <r>
    <s v="PAWŁOWSKI Jakub"/>
    <x v="0"/>
    <s v="MKS Gdańsk"/>
    <n v="3"/>
    <x v="0"/>
    <x v="1"/>
    <x v="31"/>
  </r>
  <r>
    <s v="PAWŁOWSKI Jakub"/>
    <x v="0"/>
    <s v="MKS Gdańsk"/>
    <n v="3"/>
    <x v="0"/>
    <x v="2"/>
    <x v="31"/>
  </r>
  <r>
    <s v="PAWŁOWSKI Jakub"/>
    <x v="0"/>
    <s v="MKS Gdańsk"/>
    <n v="3"/>
    <x v="1"/>
    <x v="0"/>
    <x v="86"/>
  </r>
  <r>
    <s v="PAWŁOWSKI Jakub"/>
    <x v="0"/>
    <s v="MKS Gdańsk"/>
    <n v="3"/>
    <x v="1"/>
    <x v="1"/>
    <x v="112"/>
  </r>
  <r>
    <s v="PAWŁOWSKI Jakub"/>
    <x v="0"/>
    <s v="MKS Gdańsk"/>
    <n v="3"/>
    <x v="1"/>
    <x v="2"/>
    <x v="73"/>
  </r>
  <r>
    <s v="PAWŁOWSKI Jakub"/>
    <x v="0"/>
    <s v="MKS Gdańsk"/>
    <n v="3"/>
    <x v="2"/>
    <x v="0"/>
    <x v="86"/>
  </r>
  <r>
    <s v="PAWŁOWSKI Jakub"/>
    <x v="0"/>
    <s v="MKS Gdańsk"/>
    <n v="3"/>
    <x v="2"/>
    <x v="1"/>
    <x v="103"/>
  </r>
  <r>
    <s v="PAWŁOWSKI Jakub"/>
    <x v="0"/>
    <s v="MKS Gdańsk"/>
    <n v="3"/>
    <x v="2"/>
    <x v="2"/>
    <x v="61"/>
  </r>
  <r>
    <s v="PAWŁOWSKI Jakub"/>
    <x v="0"/>
    <s v="MKS Gdańsk"/>
    <n v="3"/>
    <x v="3"/>
    <x v="0"/>
    <x v="44"/>
  </r>
  <r>
    <s v="PAWŁOWSKI Jakub"/>
    <x v="0"/>
    <s v="MKS Gdańsk"/>
    <n v="3"/>
    <x v="3"/>
    <x v="1"/>
    <x v="125"/>
  </r>
  <r>
    <s v="PAWŁOWSKI Jakub"/>
    <x v="0"/>
    <s v="MKS Gdańsk"/>
    <n v="3"/>
    <x v="3"/>
    <x v="2"/>
    <x v="126"/>
  </r>
  <r>
    <s v="PAWŁOWSKI Jakub"/>
    <x v="0"/>
    <s v="MKS Gdańsk"/>
    <n v="3"/>
    <x v="4"/>
    <x v="0"/>
    <x v="127"/>
  </r>
  <r>
    <s v="PAWŁOWSKI Jakub"/>
    <x v="0"/>
    <s v="MKS Gdańsk"/>
    <n v="3"/>
    <x v="4"/>
    <x v="1"/>
    <x v="128"/>
  </r>
  <r>
    <s v="PAWŁOWSKI Jakub"/>
    <x v="0"/>
    <s v="MKS Gdańsk"/>
    <n v="3"/>
    <x v="4"/>
    <x v="2"/>
    <x v="129"/>
  </r>
  <r>
    <s v="PAWŁOWSKI Jakub"/>
    <x v="0"/>
    <s v="MKS Gdańsk"/>
    <n v="3"/>
    <x v="5"/>
    <x v="0"/>
    <x v="130"/>
  </r>
  <r>
    <s v="PAWŁOWSKI Jakub"/>
    <x v="0"/>
    <s v="MKS Gdańsk"/>
    <n v="3"/>
    <x v="5"/>
    <x v="1"/>
    <x v="131"/>
  </r>
  <r>
    <s v="PAWŁOWSKI Jakub"/>
    <x v="0"/>
    <s v="MKS Gdańsk"/>
    <n v="3"/>
    <x v="5"/>
    <x v="2"/>
    <x v="132"/>
  </r>
  <r>
    <s v="GAWROŃSKI Sebastian"/>
    <x v="0"/>
    <s v="KS AZS AWF Katowice"/>
    <n v="2"/>
    <x v="0"/>
    <x v="0"/>
    <x v="31"/>
  </r>
  <r>
    <s v="GAWROŃSKI Sebastian"/>
    <x v="0"/>
    <s v="KS AZS AWF Katowice"/>
    <n v="2"/>
    <x v="0"/>
    <x v="1"/>
    <x v="31"/>
  </r>
  <r>
    <s v="GAWROŃSKI Sebastian"/>
    <x v="0"/>
    <s v="KS AZS AWF Katowice"/>
    <n v="2"/>
    <x v="0"/>
    <x v="2"/>
    <x v="31"/>
  </r>
  <r>
    <s v="GAWROŃSKI Sebastian"/>
    <x v="0"/>
    <s v="KS AZS AWF Katowice"/>
    <n v="2"/>
    <x v="1"/>
    <x v="0"/>
    <x v="31"/>
  </r>
  <r>
    <s v="GAWROŃSKI Sebastian"/>
    <x v="0"/>
    <s v="KS AZS AWF Katowice"/>
    <n v="2"/>
    <x v="1"/>
    <x v="1"/>
    <x v="31"/>
  </r>
  <r>
    <s v="GAWROŃSKI Sebastian"/>
    <x v="0"/>
    <s v="KS AZS AWF Katowice"/>
    <n v="2"/>
    <x v="1"/>
    <x v="2"/>
    <x v="31"/>
  </r>
  <r>
    <s v="GAWROŃSKI Sebastian"/>
    <x v="0"/>
    <s v="KS AZS AWF Katowice"/>
    <n v="2"/>
    <x v="2"/>
    <x v="0"/>
    <x v="36"/>
  </r>
  <r>
    <s v="GAWROŃSKI Sebastian"/>
    <x v="0"/>
    <s v="KS AZS AWF Katowice"/>
    <n v="2"/>
    <x v="2"/>
    <x v="1"/>
    <x v="133"/>
  </r>
  <r>
    <s v="GAWROŃSKI Sebastian"/>
    <x v="0"/>
    <s v="KS AZS AWF Katowice"/>
    <n v="2"/>
    <x v="2"/>
    <x v="2"/>
    <x v="134"/>
  </r>
  <r>
    <s v="GAWROŃSKI Sebastian"/>
    <x v="0"/>
    <s v="KS AZS AWF Katowice"/>
    <n v="2"/>
    <x v="3"/>
    <x v="0"/>
    <x v="0"/>
  </r>
  <r>
    <s v="GAWROŃSKI Sebastian"/>
    <x v="0"/>
    <s v="KS AZS AWF Katowice"/>
    <n v="2"/>
    <x v="3"/>
    <x v="1"/>
    <x v="36"/>
  </r>
  <r>
    <s v="GAWROŃSKI Sebastian"/>
    <x v="0"/>
    <s v="KS AZS AWF Katowice"/>
    <n v="2"/>
    <x v="3"/>
    <x v="2"/>
    <x v="114"/>
  </r>
  <r>
    <s v="GAWROŃSKI Sebastian"/>
    <x v="0"/>
    <s v="KS AZS AWF Katowice"/>
    <n v="2"/>
    <x v="4"/>
    <x v="0"/>
    <x v="114"/>
  </r>
  <r>
    <s v="GAWROŃSKI Sebastian"/>
    <x v="0"/>
    <s v="KS AZS AWF Katowice"/>
    <n v="2"/>
    <x v="4"/>
    <x v="1"/>
    <x v="134"/>
  </r>
  <r>
    <s v="GAWROŃSKI Sebastian"/>
    <x v="0"/>
    <s v="KS AZS AWF Katowice"/>
    <n v="2"/>
    <x v="4"/>
    <x v="2"/>
    <x v="135"/>
  </r>
  <r>
    <s v="GAWROŃSKI Sebastian"/>
    <x v="0"/>
    <s v="KS AZS AWF Katowice"/>
    <n v="2"/>
    <x v="5"/>
    <x v="0"/>
    <x v="31"/>
  </r>
  <r>
    <s v="GAWROŃSKI Sebastian"/>
    <x v="0"/>
    <s v="KS AZS AWF Katowice"/>
    <n v="2"/>
    <x v="5"/>
    <x v="1"/>
    <x v="31"/>
  </r>
  <r>
    <s v="GAWROŃSKI Sebastian"/>
    <x v="0"/>
    <s v="KS AZS AWF Katowice"/>
    <n v="2"/>
    <x v="5"/>
    <x v="2"/>
    <x v="31"/>
  </r>
  <r>
    <s v="KORNIICHUK Yehor"/>
    <x v="0"/>
    <s v="KS AZS AWFiS Gdańsk"/>
    <n v="2"/>
    <x v="0"/>
    <x v="0"/>
    <x v="31"/>
  </r>
  <r>
    <s v="KORNIICHUK Yehor"/>
    <x v="0"/>
    <s v="KS AZS AWFiS Gdańsk"/>
    <n v="2"/>
    <x v="0"/>
    <x v="1"/>
    <x v="31"/>
  </r>
  <r>
    <s v="KORNIICHUK Yehor"/>
    <x v="0"/>
    <s v="KS AZS AWFiS Gdańsk"/>
    <n v="2"/>
    <x v="0"/>
    <x v="2"/>
    <x v="31"/>
  </r>
  <r>
    <s v="KORNIICHUK Yehor"/>
    <x v="0"/>
    <s v="KS AZS AWFiS Gdańsk"/>
    <n v="2"/>
    <x v="1"/>
    <x v="0"/>
    <x v="136"/>
  </r>
  <r>
    <s v="KORNIICHUK Yehor"/>
    <x v="0"/>
    <s v="KS AZS AWFiS Gdańsk"/>
    <n v="2"/>
    <x v="1"/>
    <x v="1"/>
    <x v="137"/>
  </r>
  <r>
    <s v="KORNIICHUK Yehor"/>
    <x v="0"/>
    <s v="KS AZS AWFiS Gdańsk"/>
    <n v="2"/>
    <x v="1"/>
    <x v="2"/>
    <x v="104"/>
  </r>
  <r>
    <s v="KORNIICHUK Yehor"/>
    <x v="0"/>
    <s v="KS AZS AWFiS Gdańsk"/>
    <n v="2"/>
    <x v="2"/>
    <x v="0"/>
    <x v="138"/>
  </r>
  <r>
    <s v="KORNIICHUK Yehor"/>
    <x v="0"/>
    <s v="KS AZS AWFiS Gdańsk"/>
    <n v="2"/>
    <x v="2"/>
    <x v="1"/>
    <x v="139"/>
  </r>
  <r>
    <s v="KORNIICHUK Yehor"/>
    <x v="0"/>
    <s v="KS AZS AWFiS Gdańsk"/>
    <n v="2"/>
    <x v="2"/>
    <x v="2"/>
    <x v="77"/>
  </r>
  <r>
    <s v="KORNIICHUK Yehor"/>
    <x v="0"/>
    <s v="KS AZS AWFiS Gdańsk"/>
    <n v="2"/>
    <x v="3"/>
    <x v="0"/>
    <x v="31"/>
  </r>
  <r>
    <s v="KORNIICHUK Yehor"/>
    <x v="0"/>
    <s v="KS AZS AWFiS Gdańsk"/>
    <n v="2"/>
    <x v="3"/>
    <x v="1"/>
    <x v="31"/>
  </r>
  <r>
    <s v="KORNIICHUK Yehor"/>
    <x v="0"/>
    <s v="KS AZS AWFiS Gdańsk"/>
    <n v="2"/>
    <x v="3"/>
    <x v="2"/>
    <x v="31"/>
  </r>
  <r>
    <s v="KORNIICHUK Yehor"/>
    <x v="0"/>
    <s v="KS AZS AWFiS Gdańsk"/>
    <n v="2"/>
    <x v="4"/>
    <x v="0"/>
    <x v="140"/>
  </r>
  <r>
    <s v="KORNIICHUK Yehor"/>
    <x v="0"/>
    <s v="KS AZS AWFiS Gdańsk"/>
    <n v="2"/>
    <x v="4"/>
    <x v="1"/>
    <x v="141"/>
  </r>
  <r>
    <s v="KORNIICHUK Yehor"/>
    <x v="0"/>
    <s v="KS AZS AWFiS Gdańsk"/>
    <n v="2"/>
    <x v="4"/>
    <x v="2"/>
    <x v="142"/>
  </r>
  <r>
    <s v="KORNIICHUK Yehor"/>
    <x v="0"/>
    <s v="KS AZS AWFiS Gdańsk"/>
    <n v="2"/>
    <x v="5"/>
    <x v="0"/>
    <x v="31"/>
  </r>
  <r>
    <s v="KORNIICHUK Yehor"/>
    <x v="0"/>
    <s v="KS AZS AWFiS Gdańsk"/>
    <n v="2"/>
    <x v="5"/>
    <x v="1"/>
    <x v="31"/>
  </r>
  <r>
    <s v="KORNIICHUK Yehor"/>
    <x v="0"/>
    <s v="KS AZS AWFiS Gdańsk"/>
    <n v="2"/>
    <x v="5"/>
    <x v="2"/>
    <x v="31"/>
  </r>
  <r>
    <s v="KAŚKÓW Paweł"/>
    <x v="0"/>
    <s v="KS AZS AWFiS Gdańsk"/>
    <n v="2"/>
    <x v="0"/>
    <x v="0"/>
    <x v="96"/>
  </r>
  <r>
    <s v="KAŚKÓW Paweł"/>
    <x v="0"/>
    <s v="KS AZS AWFiS Gdańsk"/>
    <n v="2"/>
    <x v="0"/>
    <x v="1"/>
    <x v="19"/>
  </r>
  <r>
    <s v="KAŚKÓW Paweł"/>
    <x v="0"/>
    <s v="KS AZS AWFiS Gdańsk"/>
    <n v="2"/>
    <x v="0"/>
    <x v="2"/>
    <x v="143"/>
  </r>
  <r>
    <s v="KAŚKÓW Paweł"/>
    <x v="0"/>
    <s v="KS AZS AWFiS Gdańsk"/>
    <n v="2"/>
    <x v="1"/>
    <x v="0"/>
    <x v="31"/>
  </r>
  <r>
    <s v="KAŚKÓW Paweł"/>
    <x v="0"/>
    <s v="KS AZS AWFiS Gdańsk"/>
    <n v="2"/>
    <x v="1"/>
    <x v="1"/>
    <x v="31"/>
  </r>
  <r>
    <s v="KAŚKÓW Paweł"/>
    <x v="0"/>
    <s v="KS AZS AWFiS Gdańsk"/>
    <n v="2"/>
    <x v="1"/>
    <x v="2"/>
    <x v="31"/>
  </r>
  <r>
    <s v="KAŚKÓW Paweł"/>
    <x v="0"/>
    <s v="KS AZS AWFiS Gdańsk"/>
    <n v="2"/>
    <x v="2"/>
    <x v="0"/>
    <x v="144"/>
  </r>
  <r>
    <s v="KAŚKÓW Paweł"/>
    <x v="0"/>
    <s v="KS AZS AWFiS Gdańsk"/>
    <n v="2"/>
    <x v="2"/>
    <x v="1"/>
    <x v="145"/>
  </r>
  <r>
    <s v="KAŚKÓW Paweł"/>
    <x v="0"/>
    <s v="KS AZS AWFiS Gdańsk"/>
    <n v="2"/>
    <x v="2"/>
    <x v="2"/>
    <x v="52"/>
  </r>
  <r>
    <s v="KAŚKÓW Paweł"/>
    <x v="0"/>
    <s v="KS AZS AWFiS Gdańsk"/>
    <n v="2"/>
    <x v="3"/>
    <x v="0"/>
    <x v="31"/>
  </r>
  <r>
    <s v="KAŚKÓW Paweł"/>
    <x v="0"/>
    <s v="KS AZS AWFiS Gdańsk"/>
    <n v="2"/>
    <x v="3"/>
    <x v="1"/>
    <x v="31"/>
  </r>
  <r>
    <s v="KAŚKÓW Paweł"/>
    <x v="0"/>
    <s v="KS AZS AWFiS Gdańsk"/>
    <n v="2"/>
    <x v="3"/>
    <x v="2"/>
    <x v="31"/>
  </r>
  <r>
    <s v="KAŚKÓW Paweł"/>
    <x v="0"/>
    <s v="KS AZS AWFiS Gdańsk"/>
    <n v="2"/>
    <x v="4"/>
    <x v="0"/>
    <x v="146"/>
  </r>
  <r>
    <s v="KAŚKÓW Paweł"/>
    <x v="0"/>
    <s v="KS AZS AWFiS Gdańsk"/>
    <n v="2"/>
    <x v="4"/>
    <x v="1"/>
    <x v="147"/>
  </r>
  <r>
    <s v="KAŚKÓW Paweł"/>
    <x v="0"/>
    <s v="KS AZS AWFiS Gdańsk"/>
    <n v="2"/>
    <x v="4"/>
    <x v="2"/>
    <x v="148"/>
  </r>
  <r>
    <s v="KAŚKÓW Paweł"/>
    <x v="0"/>
    <s v="KS AZS AWFiS Gdańsk"/>
    <n v="2"/>
    <x v="5"/>
    <x v="0"/>
    <x v="31"/>
  </r>
  <r>
    <s v="KAŚKÓW Paweł"/>
    <x v="0"/>
    <s v="KS AZS AWFiS Gdańsk"/>
    <n v="2"/>
    <x v="5"/>
    <x v="1"/>
    <x v="31"/>
  </r>
  <r>
    <s v="KAŚKÓW Paweł"/>
    <x v="0"/>
    <s v="KS AZS AWFiS Gdańsk"/>
    <n v="2"/>
    <x v="5"/>
    <x v="2"/>
    <x v="31"/>
  </r>
  <r>
    <s v="SZYMCZYK Radosław"/>
    <x v="0"/>
    <s v="KS AZS AWF Kraków"/>
    <n v="2"/>
    <x v="0"/>
    <x v="0"/>
    <x v="31"/>
  </r>
  <r>
    <s v="SZYMCZYK Radosław"/>
    <x v="0"/>
    <s v="KS AZS AWF Kraków"/>
    <n v="2"/>
    <x v="0"/>
    <x v="1"/>
    <x v="31"/>
  </r>
  <r>
    <s v="SZYMCZYK Radosław"/>
    <x v="0"/>
    <s v="KS AZS AWF Kraków"/>
    <n v="2"/>
    <x v="0"/>
    <x v="2"/>
    <x v="31"/>
  </r>
  <r>
    <s v="SZYMCZYK Radosław"/>
    <x v="0"/>
    <s v="KS AZS AWF Kraków"/>
    <n v="2"/>
    <x v="1"/>
    <x v="0"/>
    <x v="144"/>
  </r>
  <r>
    <s v="SZYMCZYK Radosław"/>
    <x v="0"/>
    <s v="KS AZS AWF Kraków"/>
    <n v="2"/>
    <x v="1"/>
    <x v="1"/>
    <x v="149"/>
  </r>
  <r>
    <s v="SZYMCZYK Radosław"/>
    <x v="0"/>
    <s v="KS AZS AWF Kraków"/>
    <n v="2"/>
    <x v="1"/>
    <x v="2"/>
    <x v="150"/>
  </r>
  <r>
    <s v="SZYMCZYK Radosław"/>
    <x v="0"/>
    <s v="KS AZS AWF Kraków"/>
    <n v="2"/>
    <x v="2"/>
    <x v="0"/>
    <x v="74"/>
  </r>
  <r>
    <s v="SZYMCZYK Radosław"/>
    <x v="0"/>
    <s v="KS AZS AWF Kraków"/>
    <n v="2"/>
    <x v="2"/>
    <x v="1"/>
    <x v="149"/>
  </r>
  <r>
    <s v="SZYMCZYK Radosław"/>
    <x v="0"/>
    <s v="KS AZS AWF Kraków"/>
    <n v="2"/>
    <x v="2"/>
    <x v="2"/>
    <x v="151"/>
  </r>
  <r>
    <s v="SZYMCZYK Radosław"/>
    <x v="0"/>
    <s v="KS AZS AWF Kraków"/>
    <n v="2"/>
    <x v="3"/>
    <x v="0"/>
    <x v="31"/>
  </r>
  <r>
    <s v="SZYMCZYK Radosław"/>
    <x v="0"/>
    <s v="KS AZS AWF Kraków"/>
    <n v="2"/>
    <x v="3"/>
    <x v="1"/>
    <x v="31"/>
  </r>
  <r>
    <s v="SZYMCZYK Radosław"/>
    <x v="0"/>
    <s v="KS AZS AWF Kraków"/>
    <n v="2"/>
    <x v="3"/>
    <x v="2"/>
    <x v="31"/>
  </r>
  <r>
    <s v="SZYMCZYK Radosław"/>
    <x v="0"/>
    <s v="KS AZS AWF Kraków"/>
    <n v="2"/>
    <x v="4"/>
    <x v="0"/>
    <x v="1"/>
  </r>
  <r>
    <s v="SZYMCZYK Radosław"/>
    <x v="0"/>
    <s v="KS AZS AWF Kraków"/>
    <n v="2"/>
    <x v="4"/>
    <x v="1"/>
    <x v="152"/>
  </r>
  <r>
    <s v="SZYMCZYK Radosław"/>
    <x v="0"/>
    <s v="KS AZS AWF Kraków"/>
    <n v="2"/>
    <x v="4"/>
    <x v="2"/>
    <x v="153"/>
  </r>
  <r>
    <s v="SZYMCZYK Radosław"/>
    <x v="0"/>
    <s v="KS AZS AWF Kraków"/>
    <n v="2"/>
    <x v="5"/>
    <x v="0"/>
    <x v="31"/>
  </r>
  <r>
    <s v="SZYMCZYK Radosław"/>
    <x v="0"/>
    <s v="KS AZS AWF Kraków"/>
    <n v="2"/>
    <x v="5"/>
    <x v="1"/>
    <x v="31"/>
  </r>
  <r>
    <s v="SZYMCZYK Radosław"/>
    <x v="0"/>
    <s v="KS AZS AWF Kraków"/>
    <n v="2"/>
    <x v="5"/>
    <x v="2"/>
    <x v="31"/>
  </r>
  <r>
    <s v="WROŃSKI Filip"/>
    <x v="0"/>
    <s v="NTG Nysa"/>
    <n v="2"/>
    <x v="0"/>
    <x v="0"/>
    <x v="31"/>
  </r>
  <r>
    <s v="WROŃSKI Filip"/>
    <x v="0"/>
    <s v="NTG Nysa"/>
    <n v="2"/>
    <x v="0"/>
    <x v="1"/>
    <x v="31"/>
  </r>
  <r>
    <s v="WROŃSKI Filip"/>
    <x v="0"/>
    <s v="NTG Nysa"/>
    <n v="2"/>
    <x v="0"/>
    <x v="2"/>
    <x v="31"/>
  </r>
  <r>
    <s v="WROŃSKI Filip"/>
    <x v="0"/>
    <s v="NTG Nysa"/>
    <n v="2"/>
    <x v="1"/>
    <x v="0"/>
    <x v="113"/>
  </r>
  <r>
    <s v="WROŃSKI Filip"/>
    <x v="0"/>
    <s v="NTG Nysa"/>
    <n v="2"/>
    <x v="1"/>
    <x v="1"/>
    <x v="48"/>
  </r>
  <r>
    <s v="WROŃSKI Filip"/>
    <x v="0"/>
    <s v="NTG Nysa"/>
    <n v="2"/>
    <x v="1"/>
    <x v="2"/>
    <x v="154"/>
  </r>
  <r>
    <s v="WROŃSKI Filip"/>
    <x v="0"/>
    <s v="NTG Nysa"/>
    <n v="2"/>
    <x v="2"/>
    <x v="0"/>
    <x v="31"/>
  </r>
  <r>
    <s v="WROŃSKI Filip"/>
    <x v="0"/>
    <s v="NTG Nysa"/>
    <n v="2"/>
    <x v="2"/>
    <x v="1"/>
    <x v="31"/>
  </r>
  <r>
    <s v="WROŃSKI Filip"/>
    <x v="0"/>
    <s v="NTG Nysa"/>
    <n v="2"/>
    <x v="2"/>
    <x v="2"/>
    <x v="31"/>
  </r>
  <r>
    <s v="WROŃSKI Filip"/>
    <x v="0"/>
    <s v="NTG Nysa"/>
    <n v="2"/>
    <x v="3"/>
    <x v="0"/>
    <x v="59"/>
  </r>
  <r>
    <s v="WROŃSKI Filip"/>
    <x v="0"/>
    <s v="NTG Nysa"/>
    <n v="2"/>
    <x v="3"/>
    <x v="1"/>
    <x v="78"/>
  </r>
  <r>
    <s v="WROŃSKI Filip"/>
    <x v="0"/>
    <s v="NTG Nysa"/>
    <n v="2"/>
    <x v="3"/>
    <x v="2"/>
    <x v="114"/>
  </r>
  <r>
    <s v="WROŃSKI Filip"/>
    <x v="0"/>
    <s v="NTG Nysa"/>
    <n v="2"/>
    <x v="4"/>
    <x v="0"/>
    <x v="155"/>
  </r>
  <r>
    <s v="WROŃSKI Filip"/>
    <x v="0"/>
    <s v="NTG Nysa"/>
    <n v="2"/>
    <x v="4"/>
    <x v="1"/>
    <x v="156"/>
  </r>
  <r>
    <s v="WROŃSKI Filip"/>
    <x v="0"/>
    <s v="NTG Nysa"/>
    <n v="2"/>
    <x v="4"/>
    <x v="2"/>
    <x v="157"/>
  </r>
  <r>
    <s v="WROŃSKI Filip"/>
    <x v="0"/>
    <s v="NTG Nysa"/>
    <n v="2"/>
    <x v="5"/>
    <x v="0"/>
    <x v="31"/>
  </r>
  <r>
    <s v="WROŃSKI Filip"/>
    <x v="0"/>
    <s v="NTG Nysa"/>
    <n v="2"/>
    <x v="5"/>
    <x v="1"/>
    <x v="31"/>
  </r>
  <r>
    <s v="WROŃSKI Filip"/>
    <x v="0"/>
    <s v="NTG Nysa"/>
    <n v="2"/>
    <x v="5"/>
    <x v="2"/>
    <x v="31"/>
  </r>
  <r>
    <s v="LAKHIN Yaroslav"/>
    <x v="0"/>
    <s v="CWZS Zawisza KG Bydgoszcz"/>
    <n v="2"/>
    <x v="0"/>
    <x v="0"/>
    <x v="31"/>
  </r>
  <r>
    <s v="LAKHIN Yaroslav"/>
    <x v="0"/>
    <s v="CWZS Zawisza KG Bydgoszcz"/>
    <n v="2"/>
    <x v="0"/>
    <x v="1"/>
    <x v="31"/>
  </r>
  <r>
    <s v="LAKHIN Yaroslav"/>
    <x v="0"/>
    <s v="CWZS Zawisza KG Bydgoszcz"/>
    <n v="2"/>
    <x v="0"/>
    <x v="2"/>
    <x v="31"/>
  </r>
  <r>
    <s v="LAKHIN Yaroslav"/>
    <x v="0"/>
    <s v="CWZS Zawisza KG Bydgoszcz"/>
    <n v="2"/>
    <x v="1"/>
    <x v="0"/>
    <x v="113"/>
  </r>
  <r>
    <s v="LAKHIN Yaroslav"/>
    <x v="0"/>
    <s v="CWZS Zawisza KG Bydgoszcz"/>
    <n v="2"/>
    <x v="1"/>
    <x v="1"/>
    <x v="78"/>
  </r>
  <r>
    <s v="LAKHIN Yaroslav"/>
    <x v="0"/>
    <s v="CWZS Zawisza KG Bydgoszcz"/>
    <n v="2"/>
    <x v="1"/>
    <x v="2"/>
    <x v="65"/>
  </r>
  <r>
    <s v="LAKHIN Yaroslav"/>
    <x v="0"/>
    <s v="CWZS Zawisza KG Bydgoszcz"/>
    <n v="2"/>
    <x v="2"/>
    <x v="0"/>
    <x v="59"/>
  </r>
  <r>
    <s v="LAKHIN Yaroslav"/>
    <x v="0"/>
    <s v="CWZS Zawisza KG Bydgoszcz"/>
    <n v="2"/>
    <x v="2"/>
    <x v="1"/>
    <x v="103"/>
  </r>
  <r>
    <s v="LAKHIN Yaroslav"/>
    <x v="0"/>
    <s v="CWZS Zawisza KG Bydgoszcz"/>
    <n v="2"/>
    <x v="2"/>
    <x v="2"/>
    <x v="104"/>
  </r>
  <r>
    <s v="LAKHIN Yaroslav"/>
    <x v="0"/>
    <s v="CWZS Zawisza KG Bydgoszcz"/>
    <n v="2"/>
    <x v="3"/>
    <x v="0"/>
    <x v="31"/>
  </r>
  <r>
    <s v="LAKHIN Yaroslav"/>
    <x v="0"/>
    <s v="CWZS Zawisza KG Bydgoszcz"/>
    <n v="2"/>
    <x v="3"/>
    <x v="1"/>
    <x v="31"/>
  </r>
  <r>
    <s v="LAKHIN Yaroslav"/>
    <x v="0"/>
    <s v="CWZS Zawisza KG Bydgoszcz"/>
    <n v="2"/>
    <x v="3"/>
    <x v="2"/>
    <x v="31"/>
  </r>
  <r>
    <s v="LAKHIN Yaroslav"/>
    <x v="0"/>
    <s v="CWZS Zawisza KG Bydgoszcz"/>
    <n v="2"/>
    <x v="4"/>
    <x v="0"/>
    <x v="155"/>
  </r>
  <r>
    <s v="LAKHIN Yaroslav"/>
    <x v="0"/>
    <s v="CWZS Zawisza KG Bydgoszcz"/>
    <n v="2"/>
    <x v="4"/>
    <x v="1"/>
    <x v="158"/>
  </r>
  <r>
    <s v="LAKHIN Yaroslav"/>
    <x v="0"/>
    <s v="CWZS Zawisza KG Bydgoszcz"/>
    <n v="2"/>
    <x v="4"/>
    <x v="2"/>
    <x v="159"/>
  </r>
  <r>
    <s v="LAKHIN Yaroslav"/>
    <x v="0"/>
    <s v="CWZS Zawisza KG Bydgoszcz"/>
    <n v="2"/>
    <x v="5"/>
    <x v="0"/>
    <x v="31"/>
  </r>
  <r>
    <s v="LAKHIN Yaroslav"/>
    <x v="0"/>
    <s v="CWZS Zawisza KG Bydgoszcz"/>
    <n v="2"/>
    <x v="5"/>
    <x v="1"/>
    <x v="31"/>
  </r>
  <r>
    <s v="LAKHIN Yaroslav"/>
    <x v="0"/>
    <s v="CWZS Zawisza KG Bydgoszcz"/>
    <n v="2"/>
    <x v="5"/>
    <x v="2"/>
    <x v="31"/>
  </r>
  <r>
    <s v="SIUTA Jakub"/>
    <x v="0"/>
    <s v="KS AZS AWF Katowice"/>
    <n v="2"/>
    <x v="0"/>
    <x v="0"/>
    <x v="31"/>
  </r>
  <r>
    <s v="SIUTA Jakub"/>
    <x v="0"/>
    <s v="KS AZS AWF Katowice"/>
    <n v="2"/>
    <x v="0"/>
    <x v="1"/>
    <x v="31"/>
  </r>
  <r>
    <s v="SIUTA Jakub"/>
    <x v="0"/>
    <s v="KS AZS AWF Katowice"/>
    <n v="2"/>
    <x v="0"/>
    <x v="2"/>
    <x v="31"/>
  </r>
  <r>
    <s v="SIUTA Jakub"/>
    <x v="0"/>
    <s v="KS AZS AWF Katowice"/>
    <n v="2"/>
    <x v="1"/>
    <x v="0"/>
    <x v="160"/>
  </r>
  <r>
    <s v="SIUTA Jakub"/>
    <x v="0"/>
    <s v="KS AZS AWF Katowice"/>
    <n v="2"/>
    <x v="1"/>
    <x v="1"/>
    <x v="48"/>
  </r>
  <r>
    <s v="SIUTA Jakub"/>
    <x v="0"/>
    <s v="KS AZS AWF Katowice"/>
    <n v="2"/>
    <x v="1"/>
    <x v="2"/>
    <x v="94"/>
  </r>
  <r>
    <s v="SIUTA Jakub"/>
    <x v="0"/>
    <s v="KS AZS AWF Katowice"/>
    <n v="2"/>
    <x v="2"/>
    <x v="0"/>
    <x v="161"/>
  </r>
  <r>
    <s v="SIUTA Jakub"/>
    <x v="0"/>
    <s v="KS AZS AWF Katowice"/>
    <n v="2"/>
    <x v="2"/>
    <x v="1"/>
    <x v="50"/>
  </r>
  <r>
    <s v="SIUTA Jakub"/>
    <x v="0"/>
    <s v="KS AZS AWF Katowice"/>
    <n v="2"/>
    <x v="2"/>
    <x v="2"/>
    <x v="162"/>
  </r>
  <r>
    <s v="SIUTA Jakub"/>
    <x v="0"/>
    <s v="KS AZS AWF Katowice"/>
    <n v="2"/>
    <x v="3"/>
    <x v="0"/>
    <x v="31"/>
  </r>
  <r>
    <s v="SIUTA Jakub"/>
    <x v="0"/>
    <s v="KS AZS AWF Katowice"/>
    <n v="2"/>
    <x v="3"/>
    <x v="1"/>
    <x v="31"/>
  </r>
  <r>
    <s v="SIUTA Jakub"/>
    <x v="0"/>
    <s v="KS AZS AWF Katowice"/>
    <n v="2"/>
    <x v="3"/>
    <x v="2"/>
    <x v="31"/>
  </r>
  <r>
    <s v="SIUTA Jakub"/>
    <x v="0"/>
    <s v="KS AZS AWF Katowice"/>
    <n v="2"/>
    <x v="4"/>
    <x v="0"/>
    <x v="137"/>
  </r>
  <r>
    <s v="SIUTA Jakub"/>
    <x v="0"/>
    <s v="KS AZS AWF Katowice"/>
    <n v="2"/>
    <x v="4"/>
    <x v="1"/>
    <x v="163"/>
  </r>
  <r>
    <s v="SIUTA Jakub"/>
    <x v="0"/>
    <s v="KS AZS AWF Katowice"/>
    <n v="2"/>
    <x v="4"/>
    <x v="2"/>
    <x v="164"/>
  </r>
  <r>
    <s v="SIUTA Jakub"/>
    <x v="0"/>
    <s v="KS AZS AWF Katowice"/>
    <n v="2"/>
    <x v="5"/>
    <x v="0"/>
    <x v="31"/>
  </r>
  <r>
    <s v="SIUTA Jakub"/>
    <x v="0"/>
    <s v="KS AZS AWF Katowice"/>
    <n v="2"/>
    <x v="5"/>
    <x v="1"/>
    <x v="31"/>
  </r>
  <r>
    <s v="SIUTA Jakub"/>
    <x v="0"/>
    <s v="KS AZS AWF Katowice"/>
    <n v="2"/>
    <x v="5"/>
    <x v="2"/>
    <x v="31"/>
  </r>
  <r>
    <s v="BIAŁOWĄS Oliwier"/>
    <x v="0"/>
    <s v="CWZS Zawisza KG Bydgoszcz"/>
    <n v="2"/>
    <x v="0"/>
    <x v="0"/>
    <x v="31"/>
  </r>
  <r>
    <s v="BIAŁOWĄS Oliwier"/>
    <x v="0"/>
    <s v="CWZS Zawisza KG Bydgoszcz"/>
    <n v="2"/>
    <x v="0"/>
    <x v="1"/>
    <x v="31"/>
  </r>
  <r>
    <s v="BIAŁOWĄS Oliwier"/>
    <x v="0"/>
    <s v="CWZS Zawisza KG Bydgoszcz"/>
    <n v="2"/>
    <x v="0"/>
    <x v="2"/>
    <x v="31"/>
  </r>
  <r>
    <s v="BIAŁOWĄS Oliwier"/>
    <x v="0"/>
    <s v="CWZS Zawisza KG Bydgoszcz"/>
    <n v="2"/>
    <x v="1"/>
    <x v="0"/>
    <x v="21"/>
  </r>
  <r>
    <s v="BIAŁOWĄS Oliwier"/>
    <x v="0"/>
    <s v="CWZS Zawisza KG Bydgoszcz"/>
    <n v="2"/>
    <x v="1"/>
    <x v="1"/>
    <x v="165"/>
  </r>
  <r>
    <s v="BIAŁOWĄS Oliwier"/>
    <x v="0"/>
    <s v="CWZS Zawisza KG Bydgoszcz"/>
    <n v="2"/>
    <x v="1"/>
    <x v="2"/>
    <x v="166"/>
  </r>
  <r>
    <s v="BIAŁOWĄS Oliwier"/>
    <x v="0"/>
    <s v="CWZS Zawisza KG Bydgoszcz"/>
    <n v="2"/>
    <x v="2"/>
    <x v="0"/>
    <x v="31"/>
  </r>
  <r>
    <s v="BIAŁOWĄS Oliwier"/>
    <x v="0"/>
    <s v="CWZS Zawisza KG Bydgoszcz"/>
    <n v="2"/>
    <x v="2"/>
    <x v="1"/>
    <x v="31"/>
  </r>
  <r>
    <s v="BIAŁOWĄS Oliwier"/>
    <x v="0"/>
    <s v="CWZS Zawisza KG Bydgoszcz"/>
    <n v="2"/>
    <x v="2"/>
    <x v="2"/>
    <x v="31"/>
  </r>
  <r>
    <s v="BIAŁOWĄS Oliwier"/>
    <x v="0"/>
    <s v="CWZS Zawisza KG Bydgoszcz"/>
    <n v="2"/>
    <x v="3"/>
    <x v="0"/>
    <x v="96"/>
  </r>
  <r>
    <s v="BIAŁOWĄS Oliwier"/>
    <x v="0"/>
    <s v="CWZS Zawisza KG Bydgoszcz"/>
    <n v="2"/>
    <x v="3"/>
    <x v="1"/>
    <x v="21"/>
  </r>
  <r>
    <s v="BIAŁOWĄS Oliwier"/>
    <x v="0"/>
    <s v="CWZS Zawisza KG Bydgoszcz"/>
    <n v="2"/>
    <x v="3"/>
    <x v="2"/>
    <x v="167"/>
  </r>
  <r>
    <s v="BIAŁOWĄS Oliwier"/>
    <x v="0"/>
    <s v="CWZS Zawisza KG Bydgoszcz"/>
    <n v="2"/>
    <x v="4"/>
    <x v="0"/>
    <x v="167"/>
  </r>
  <r>
    <s v="BIAŁOWĄS Oliwier"/>
    <x v="0"/>
    <s v="CWZS Zawisza KG Bydgoszcz"/>
    <n v="2"/>
    <x v="4"/>
    <x v="1"/>
    <x v="166"/>
  </r>
  <r>
    <s v="BIAŁOWĄS Oliwier"/>
    <x v="0"/>
    <s v="CWZS Zawisza KG Bydgoszcz"/>
    <n v="2"/>
    <x v="4"/>
    <x v="2"/>
    <x v="168"/>
  </r>
  <r>
    <s v="BIAŁOWĄS Oliwier"/>
    <x v="0"/>
    <s v="CWZS Zawisza KG Bydgoszcz"/>
    <n v="2"/>
    <x v="5"/>
    <x v="0"/>
    <x v="31"/>
  </r>
  <r>
    <s v="BIAŁOWĄS Oliwier"/>
    <x v="0"/>
    <s v="CWZS Zawisza KG Bydgoszcz"/>
    <n v="2"/>
    <x v="5"/>
    <x v="1"/>
    <x v="31"/>
  </r>
  <r>
    <s v="BIAŁOWĄS Oliwier"/>
    <x v="0"/>
    <s v="CWZS Zawisza KG Bydgoszcz"/>
    <n v="2"/>
    <x v="5"/>
    <x v="2"/>
    <x v="31"/>
  </r>
  <r>
    <s v="NOWAK Maciej"/>
    <x v="0"/>
    <s v="KS AZS AWF Katowice"/>
    <n v="1"/>
    <x v="0"/>
    <x v="0"/>
    <x v="21"/>
  </r>
  <r>
    <s v="NOWAK Maciej"/>
    <x v="0"/>
    <s v="KS AZS AWF Katowice"/>
    <n v="1"/>
    <x v="0"/>
    <x v="1"/>
    <x v="19"/>
  </r>
  <r>
    <s v="NOWAK Maciej"/>
    <x v="0"/>
    <s v="KS AZS AWF Katowice"/>
    <n v="1"/>
    <x v="0"/>
    <x v="2"/>
    <x v="169"/>
  </r>
  <r>
    <s v="NOWAK Maciej"/>
    <x v="0"/>
    <s v="KS AZS AWF Katowice"/>
    <n v="1"/>
    <x v="1"/>
    <x v="0"/>
    <x v="31"/>
  </r>
  <r>
    <s v="NOWAK Maciej"/>
    <x v="0"/>
    <s v="KS AZS AWF Katowice"/>
    <n v="1"/>
    <x v="1"/>
    <x v="1"/>
    <x v="31"/>
  </r>
  <r>
    <s v="NOWAK Maciej"/>
    <x v="0"/>
    <s v="KS AZS AWF Katowice"/>
    <n v="1"/>
    <x v="1"/>
    <x v="2"/>
    <x v="31"/>
  </r>
  <r>
    <s v="NOWAK Maciej"/>
    <x v="0"/>
    <s v="KS AZS AWF Katowice"/>
    <n v="1"/>
    <x v="2"/>
    <x v="0"/>
    <x v="31"/>
  </r>
  <r>
    <s v="NOWAK Maciej"/>
    <x v="0"/>
    <s v="KS AZS AWF Katowice"/>
    <n v="1"/>
    <x v="2"/>
    <x v="1"/>
    <x v="31"/>
  </r>
  <r>
    <s v="NOWAK Maciej"/>
    <x v="0"/>
    <s v="KS AZS AWF Katowice"/>
    <n v="1"/>
    <x v="2"/>
    <x v="2"/>
    <x v="31"/>
  </r>
  <r>
    <s v="NOWAK Maciej"/>
    <x v="0"/>
    <s v="KS AZS AWF Katowice"/>
    <n v="1"/>
    <x v="3"/>
    <x v="0"/>
    <x v="31"/>
  </r>
  <r>
    <s v="NOWAK Maciej"/>
    <x v="0"/>
    <s v="KS AZS AWF Katowice"/>
    <n v="1"/>
    <x v="3"/>
    <x v="1"/>
    <x v="31"/>
  </r>
  <r>
    <s v="NOWAK Maciej"/>
    <x v="0"/>
    <s v="KS AZS AWF Katowice"/>
    <n v="1"/>
    <x v="3"/>
    <x v="2"/>
    <x v="31"/>
  </r>
  <r>
    <s v="NOWAK Maciej"/>
    <x v="0"/>
    <s v="KS AZS AWF Katowice"/>
    <n v="1"/>
    <x v="4"/>
    <x v="0"/>
    <x v="21"/>
  </r>
  <r>
    <s v="NOWAK Maciej"/>
    <x v="0"/>
    <s v="KS AZS AWF Katowice"/>
    <n v="1"/>
    <x v="4"/>
    <x v="1"/>
    <x v="19"/>
  </r>
  <r>
    <s v="NOWAK Maciej"/>
    <x v="0"/>
    <s v="KS AZS AWF Katowice"/>
    <n v="1"/>
    <x v="4"/>
    <x v="2"/>
    <x v="169"/>
  </r>
  <r>
    <s v="NOWAK Maciej"/>
    <x v="0"/>
    <s v="KS AZS AWF Katowice"/>
    <n v="1"/>
    <x v="5"/>
    <x v="0"/>
    <x v="31"/>
  </r>
  <r>
    <s v="NOWAK Maciej"/>
    <x v="0"/>
    <s v="KS AZS AWF Katowice"/>
    <n v="1"/>
    <x v="5"/>
    <x v="1"/>
    <x v="31"/>
  </r>
  <r>
    <s v="NOWAK Maciej"/>
    <x v="0"/>
    <s v="KS AZS AWF Katowice"/>
    <n v="1"/>
    <x v="5"/>
    <x v="2"/>
    <x v="31"/>
  </r>
  <r>
    <s v="LUKIANIENKO Illia"/>
    <x v="0"/>
    <s v="MKS Kusy Szczecin"/>
    <n v="1"/>
    <x v="0"/>
    <x v="0"/>
    <x v="31"/>
  </r>
  <r>
    <s v="LUKIANIENKO Illia"/>
    <x v="0"/>
    <s v="MKS Kusy Szczecin"/>
    <n v="1"/>
    <x v="0"/>
    <x v="1"/>
    <x v="31"/>
  </r>
  <r>
    <s v="LUKIANIENKO Illia"/>
    <x v="0"/>
    <s v="MKS Kusy Szczecin"/>
    <n v="1"/>
    <x v="0"/>
    <x v="2"/>
    <x v="31"/>
  </r>
  <r>
    <s v="LUKIANIENKO Illia"/>
    <x v="0"/>
    <s v="MKS Kusy Szczecin"/>
    <n v="1"/>
    <x v="1"/>
    <x v="0"/>
    <x v="31"/>
  </r>
  <r>
    <s v="LUKIANIENKO Illia"/>
    <x v="0"/>
    <s v="MKS Kusy Szczecin"/>
    <n v="1"/>
    <x v="1"/>
    <x v="1"/>
    <x v="31"/>
  </r>
  <r>
    <s v="LUKIANIENKO Illia"/>
    <x v="0"/>
    <s v="MKS Kusy Szczecin"/>
    <n v="1"/>
    <x v="1"/>
    <x v="2"/>
    <x v="31"/>
  </r>
  <r>
    <s v="LUKIANIENKO Illia"/>
    <x v="0"/>
    <s v="MKS Kusy Szczecin"/>
    <n v="1"/>
    <x v="2"/>
    <x v="0"/>
    <x v="170"/>
  </r>
  <r>
    <s v="LUKIANIENKO Illia"/>
    <x v="0"/>
    <s v="MKS Kusy Szczecin"/>
    <n v="1"/>
    <x v="2"/>
    <x v="1"/>
    <x v="171"/>
  </r>
  <r>
    <s v="LUKIANIENKO Illia"/>
    <x v="0"/>
    <s v="MKS Kusy Szczecin"/>
    <n v="1"/>
    <x v="2"/>
    <x v="2"/>
    <x v="77"/>
  </r>
  <r>
    <s v="LUKIANIENKO Illia"/>
    <x v="0"/>
    <s v="MKS Kusy Szczecin"/>
    <n v="1"/>
    <x v="3"/>
    <x v="0"/>
    <x v="31"/>
  </r>
  <r>
    <s v="LUKIANIENKO Illia"/>
    <x v="0"/>
    <s v="MKS Kusy Szczecin"/>
    <n v="1"/>
    <x v="3"/>
    <x v="1"/>
    <x v="31"/>
  </r>
  <r>
    <s v="LUKIANIENKO Illia"/>
    <x v="0"/>
    <s v="MKS Kusy Szczecin"/>
    <n v="1"/>
    <x v="3"/>
    <x v="2"/>
    <x v="31"/>
  </r>
  <r>
    <s v="LUKIANIENKO Illia"/>
    <x v="0"/>
    <s v="MKS Kusy Szczecin"/>
    <n v="1"/>
    <x v="4"/>
    <x v="0"/>
    <x v="170"/>
  </r>
  <r>
    <s v="LUKIANIENKO Illia"/>
    <x v="0"/>
    <s v="MKS Kusy Szczecin"/>
    <n v="1"/>
    <x v="4"/>
    <x v="1"/>
    <x v="171"/>
  </r>
  <r>
    <s v="LUKIANIENKO Illia"/>
    <x v="0"/>
    <s v="MKS Kusy Szczecin"/>
    <n v="1"/>
    <x v="4"/>
    <x v="2"/>
    <x v="77"/>
  </r>
  <r>
    <s v="LUKIANIENKO Illia"/>
    <x v="0"/>
    <s v="MKS Kusy Szczecin"/>
    <n v="1"/>
    <x v="5"/>
    <x v="0"/>
    <x v="31"/>
  </r>
  <r>
    <s v="LUKIANIENKO Illia"/>
    <x v="0"/>
    <s v="MKS Kusy Szczecin"/>
    <n v="1"/>
    <x v="5"/>
    <x v="1"/>
    <x v="31"/>
  </r>
  <r>
    <s v="LUKIANIENKO Illia"/>
    <x v="0"/>
    <s v="MKS Kusy Szczecin"/>
    <n v="1"/>
    <x v="5"/>
    <x v="2"/>
    <x v="31"/>
  </r>
  <r>
    <s v="LESIŃSKI Piotr"/>
    <x v="0"/>
    <s v="KS AZS AWFiS Gdańsk"/>
    <n v="1"/>
    <x v="0"/>
    <x v="0"/>
    <x v="31"/>
  </r>
  <r>
    <s v="LESIŃSKI Piotr"/>
    <x v="0"/>
    <s v="KS AZS AWFiS Gdańsk"/>
    <n v="1"/>
    <x v="0"/>
    <x v="1"/>
    <x v="31"/>
  </r>
  <r>
    <s v="LESIŃSKI Piotr"/>
    <x v="0"/>
    <s v="KS AZS AWFiS Gdańsk"/>
    <n v="1"/>
    <x v="0"/>
    <x v="2"/>
    <x v="31"/>
  </r>
  <r>
    <s v="LESIŃSKI Piotr"/>
    <x v="0"/>
    <s v="KS AZS AWFiS Gdańsk"/>
    <n v="1"/>
    <x v="1"/>
    <x v="0"/>
    <x v="31"/>
  </r>
  <r>
    <s v="LESIŃSKI Piotr"/>
    <x v="0"/>
    <s v="KS AZS AWFiS Gdańsk"/>
    <n v="1"/>
    <x v="1"/>
    <x v="1"/>
    <x v="31"/>
  </r>
  <r>
    <s v="LESIŃSKI Piotr"/>
    <x v="0"/>
    <s v="KS AZS AWFiS Gdańsk"/>
    <n v="1"/>
    <x v="1"/>
    <x v="2"/>
    <x v="31"/>
  </r>
  <r>
    <s v="LESIŃSKI Piotr"/>
    <x v="0"/>
    <s v="KS AZS AWFiS Gdańsk"/>
    <n v="1"/>
    <x v="2"/>
    <x v="0"/>
    <x v="96"/>
  </r>
  <r>
    <s v="LESIŃSKI Piotr"/>
    <x v="0"/>
    <s v="KS AZS AWFiS Gdańsk"/>
    <n v="1"/>
    <x v="2"/>
    <x v="1"/>
    <x v="172"/>
  </r>
  <r>
    <s v="LESIŃSKI Piotr"/>
    <x v="0"/>
    <s v="KS AZS AWFiS Gdańsk"/>
    <n v="1"/>
    <x v="2"/>
    <x v="2"/>
    <x v="173"/>
  </r>
  <r>
    <s v="LESIŃSKI Piotr"/>
    <x v="0"/>
    <s v="KS AZS AWFiS Gdańsk"/>
    <n v="1"/>
    <x v="3"/>
    <x v="0"/>
    <x v="31"/>
  </r>
  <r>
    <s v="LESIŃSKI Piotr"/>
    <x v="0"/>
    <s v="KS AZS AWFiS Gdańsk"/>
    <n v="1"/>
    <x v="3"/>
    <x v="1"/>
    <x v="31"/>
  </r>
  <r>
    <s v="LESIŃSKI Piotr"/>
    <x v="0"/>
    <s v="KS AZS AWFiS Gdańsk"/>
    <n v="1"/>
    <x v="3"/>
    <x v="2"/>
    <x v="31"/>
  </r>
  <r>
    <s v="LESIŃSKI Piotr"/>
    <x v="0"/>
    <s v="KS AZS AWFiS Gdańsk"/>
    <n v="1"/>
    <x v="4"/>
    <x v="0"/>
    <x v="96"/>
  </r>
  <r>
    <s v="LESIŃSKI Piotr"/>
    <x v="0"/>
    <s v="KS AZS AWFiS Gdańsk"/>
    <n v="1"/>
    <x v="4"/>
    <x v="1"/>
    <x v="172"/>
  </r>
  <r>
    <s v="LESIŃSKI Piotr"/>
    <x v="0"/>
    <s v="KS AZS AWFiS Gdańsk"/>
    <n v="1"/>
    <x v="4"/>
    <x v="2"/>
    <x v="173"/>
  </r>
  <r>
    <s v="LESIŃSKI Piotr"/>
    <x v="0"/>
    <s v="KS AZS AWFiS Gdańsk"/>
    <n v="1"/>
    <x v="5"/>
    <x v="0"/>
    <x v="31"/>
  </r>
  <r>
    <s v="LESIŃSKI Piotr"/>
    <x v="0"/>
    <s v="KS AZS AWFiS Gdańsk"/>
    <n v="1"/>
    <x v="5"/>
    <x v="1"/>
    <x v="31"/>
  </r>
  <r>
    <s v="LESIŃSKI Piotr"/>
    <x v="0"/>
    <s v="KS AZS AWFiS Gdańsk"/>
    <n v="1"/>
    <x v="5"/>
    <x v="2"/>
    <x v="31"/>
  </r>
  <r>
    <s v="KUZDRA Konrad"/>
    <x v="0"/>
    <s v="MKS Gdańsk"/>
    <n v="1"/>
    <x v="0"/>
    <x v="0"/>
    <x v="31"/>
  </r>
  <r>
    <s v="KUZDRA Konrad"/>
    <x v="0"/>
    <s v="MKS Gdańsk"/>
    <n v="1"/>
    <x v="0"/>
    <x v="1"/>
    <x v="31"/>
  </r>
  <r>
    <s v="KUZDRA Konrad"/>
    <x v="0"/>
    <s v="MKS Gdańsk"/>
    <n v="1"/>
    <x v="0"/>
    <x v="2"/>
    <x v="31"/>
  </r>
  <r>
    <s v="KUZDRA Konrad"/>
    <x v="0"/>
    <s v="MKS Gdańsk"/>
    <n v="1"/>
    <x v="1"/>
    <x v="0"/>
    <x v="31"/>
  </r>
  <r>
    <s v="KUZDRA Konrad"/>
    <x v="0"/>
    <s v="MKS Gdańsk"/>
    <n v="1"/>
    <x v="1"/>
    <x v="1"/>
    <x v="31"/>
  </r>
  <r>
    <s v="KUZDRA Konrad"/>
    <x v="0"/>
    <s v="MKS Gdańsk"/>
    <n v="1"/>
    <x v="1"/>
    <x v="2"/>
    <x v="31"/>
  </r>
  <r>
    <s v="KUZDRA Konrad"/>
    <x v="0"/>
    <s v="MKS Gdańsk"/>
    <n v="1"/>
    <x v="2"/>
    <x v="0"/>
    <x v="31"/>
  </r>
  <r>
    <s v="KUZDRA Konrad"/>
    <x v="0"/>
    <s v="MKS Gdańsk"/>
    <n v="1"/>
    <x v="2"/>
    <x v="1"/>
    <x v="31"/>
  </r>
  <r>
    <s v="KUZDRA Konrad"/>
    <x v="0"/>
    <s v="MKS Gdańsk"/>
    <n v="1"/>
    <x v="2"/>
    <x v="2"/>
    <x v="31"/>
  </r>
  <r>
    <s v="KUZDRA Konrad"/>
    <x v="0"/>
    <s v="MKS Gdańsk"/>
    <n v="1"/>
    <x v="3"/>
    <x v="0"/>
    <x v="174"/>
  </r>
  <r>
    <s v="KUZDRA Konrad"/>
    <x v="0"/>
    <s v="MKS Gdańsk"/>
    <n v="1"/>
    <x v="3"/>
    <x v="1"/>
    <x v="175"/>
  </r>
  <r>
    <s v="KUZDRA Konrad"/>
    <x v="0"/>
    <s v="MKS Gdańsk"/>
    <n v="1"/>
    <x v="3"/>
    <x v="2"/>
    <x v="176"/>
  </r>
  <r>
    <s v="KUZDRA Konrad"/>
    <x v="0"/>
    <s v="MKS Gdańsk"/>
    <n v="1"/>
    <x v="4"/>
    <x v="0"/>
    <x v="174"/>
  </r>
  <r>
    <s v="KUZDRA Konrad"/>
    <x v="0"/>
    <s v="MKS Gdańsk"/>
    <n v="1"/>
    <x v="4"/>
    <x v="1"/>
    <x v="175"/>
  </r>
  <r>
    <s v="KUZDRA Konrad"/>
    <x v="0"/>
    <s v="MKS Gdańsk"/>
    <n v="1"/>
    <x v="4"/>
    <x v="2"/>
    <x v="176"/>
  </r>
  <r>
    <s v="KUZDRA Konrad"/>
    <x v="0"/>
    <s v="MKS Gdańsk"/>
    <n v="1"/>
    <x v="5"/>
    <x v="0"/>
    <x v="31"/>
  </r>
  <r>
    <s v="KUZDRA Konrad"/>
    <x v="0"/>
    <s v="MKS Gdańsk"/>
    <n v="1"/>
    <x v="5"/>
    <x v="1"/>
    <x v="31"/>
  </r>
  <r>
    <s v="KUZDRA Konrad"/>
    <x v="0"/>
    <s v="MKS Gdańsk"/>
    <n v="1"/>
    <x v="5"/>
    <x v="2"/>
    <x v="31"/>
  </r>
  <r>
    <s v="CZARNECKI Aleksander"/>
    <x v="1"/>
    <s v="MKS Kusy Szczecin"/>
    <n v="3"/>
    <x v="0"/>
    <x v="0"/>
    <x v="86"/>
  </r>
  <r>
    <s v="CZARNECKI Aleksander"/>
    <x v="1"/>
    <s v="MKS Kusy Szczecin"/>
    <n v="3"/>
    <x v="0"/>
    <x v="1"/>
    <x v="177"/>
  </r>
  <r>
    <s v="CZARNECKI Aleksander"/>
    <x v="1"/>
    <s v="MKS Kusy Szczecin"/>
    <n v="3"/>
    <x v="0"/>
    <x v="2"/>
    <x v="178"/>
  </r>
  <r>
    <s v="CZARNECKI Aleksander"/>
    <x v="1"/>
    <s v="MKS Kusy Szczecin"/>
    <n v="3"/>
    <x v="1"/>
    <x v="0"/>
    <x v="93"/>
  </r>
  <r>
    <s v="CZARNECKI Aleksander"/>
    <x v="1"/>
    <s v="MKS Kusy Szczecin"/>
    <n v="3"/>
    <x v="1"/>
    <x v="1"/>
    <x v="22"/>
  </r>
  <r>
    <s v="CZARNECKI Aleksander"/>
    <x v="1"/>
    <s v="MKS Kusy Szczecin"/>
    <n v="3"/>
    <x v="1"/>
    <x v="2"/>
    <x v="179"/>
  </r>
  <r>
    <s v="CZARNECKI Aleksander"/>
    <x v="1"/>
    <s v="MKS Kusy Szczecin"/>
    <n v="3"/>
    <x v="2"/>
    <x v="0"/>
    <x v="31"/>
  </r>
  <r>
    <s v="CZARNECKI Aleksander"/>
    <x v="1"/>
    <s v="MKS Kusy Szczecin"/>
    <n v="3"/>
    <x v="2"/>
    <x v="1"/>
    <x v="31"/>
  </r>
  <r>
    <s v="CZARNECKI Aleksander"/>
    <x v="1"/>
    <s v="MKS Kusy Szczecin"/>
    <n v="3"/>
    <x v="2"/>
    <x v="2"/>
    <x v="31"/>
  </r>
  <r>
    <s v="CZARNECKI Aleksander"/>
    <x v="1"/>
    <s v="MKS Kusy Szczecin"/>
    <n v="3"/>
    <x v="3"/>
    <x v="0"/>
    <x v="96"/>
  </r>
  <r>
    <s v="CZARNECKI Aleksander"/>
    <x v="1"/>
    <s v="MKS Kusy Szczecin"/>
    <n v="3"/>
    <x v="3"/>
    <x v="1"/>
    <x v="180"/>
  </r>
  <r>
    <s v="CZARNECKI Aleksander"/>
    <x v="1"/>
    <s v="MKS Kusy Szczecin"/>
    <n v="3"/>
    <x v="3"/>
    <x v="2"/>
    <x v="61"/>
  </r>
  <r>
    <s v="CZARNECKI Aleksander"/>
    <x v="1"/>
    <s v="MKS Kusy Szczecin"/>
    <n v="3"/>
    <x v="4"/>
    <x v="0"/>
    <x v="79"/>
  </r>
  <r>
    <s v="CZARNECKI Aleksander"/>
    <x v="1"/>
    <s v="MKS Kusy Szczecin"/>
    <n v="3"/>
    <x v="4"/>
    <x v="1"/>
    <x v="181"/>
  </r>
  <r>
    <s v="CZARNECKI Aleksander"/>
    <x v="1"/>
    <s v="MKS Kusy Szczecin"/>
    <n v="3"/>
    <x v="4"/>
    <x v="2"/>
    <x v="182"/>
  </r>
  <r>
    <s v="CZARNECKI Aleksander"/>
    <x v="1"/>
    <s v="MKS Kusy Szczecin"/>
    <n v="3"/>
    <x v="5"/>
    <x v="0"/>
    <x v="82"/>
  </r>
  <r>
    <s v="CZARNECKI Aleksander"/>
    <x v="1"/>
    <s v="MKS Kusy Szczecin"/>
    <n v="3"/>
    <x v="5"/>
    <x v="1"/>
    <x v="183"/>
  </r>
  <r>
    <s v="CZARNECKI Aleksander"/>
    <x v="1"/>
    <s v="MKS Kusy Szczecin"/>
    <n v="3"/>
    <x v="5"/>
    <x v="2"/>
    <x v="184"/>
  </r>
  <r>
    <s v="KWIATKOWSKI Michał"/>
    <x v="1"/>
    <s v="MKS Kusy Szczecin"/>
    <n v="4"/>
    <x v="0"/>
    <x v="0"/>
    <x v="57"/>
  </r>
  <r>
    <s v="KWIATKOWSKI Michał"/>
    <x v="1"/>
    <s v="MKS Kusy Szczecin"/>
    <n v="4"/>
    <x v="0"/>
    <x v="1"/>
    <x v="58"/>
  </r>
  <r>
    <s v="KWIATKOWSKI Michał"/>
    <x v="1"/>
    <s v="MKS Kusy Szczecin"/>
    <n v="4"/>
    <x v="0"/>
    <x v="2"/>
    <x v="18"/>
  </r>
  <r>
    <s v="KWIATKOWSKI Michał"/>
    <x v="1"/>
    <s v="MKS Kusy Szczecin"/>
    <n v="4"/>
    <x v="1"/>
    <x v="0"/>
    <x v="57"/>
  </r>
  <r>
    <s v="KWIATKOWSKI Michał"/>
    <x v="1"/>
    <s v="MKS Kusy Szczecin"/>
    <n v="4"/>
    <x v="1"/>
    <x v="1"/>
    <x v="185"/>
  </r>
  <r>
    <s v="KWIATKOWSKI Michał"/>
    <x v="1"/>
    <s v="MKS Kusy Szczecin"/>
    <n v="4"/>
    <x v="1"/>
    <x v="2"/>
    <x v="186"/>
  </r>
  <r>
    <s v="KWIATKOWSKI Michał"/>
    <x v="1"/>
    <s v="MKS Kusy Szczecin"/>
    <n v="4"/>
    <x v="2"/>
    <x v="0"/>
    <x v="57"/>
  </r>
  <r>
    <s v="KWIATKOWSKI Michał"/>
    <x v="1"/>
    <s v="MKS Kusy Szczecin"/>
    <n v="4"/>
    <x v="2"/>
    <x v="1"/>
    <x v="187"/>
  </r>
  <r>
    <s v="KWIATKOWSKI Michał"/>
    <x v="1"/>
    <s v="MKS Kusy Szczecin"/>
    <n v="4"/>
    <x v="2"/>
    <x v="2"/>
    <x v="77"/>
  </r>
  <r>
    <s v="KWIATKOWSKI Michał"/>
    <x v="1"/>
    <s v="MKS Kusy Szczecin"/>
    <n v="4"/>
    <x v="3"/>
    <x v="0"/>
    <x v="74"/>
  </r>
  <r>
    <s v="KWIATKOWSKI Michał"/>
    <x v="1"/>
    <s v="MKS Kusy Szczecin"/>
    <n v="4"/>
    <x v="3"/>
    <x v="1"/>
    <x v="1"/>
  </r>
  <r>
    <s v="KWIATKOWSKI Michał"/>
    <x v="1"/>
    <s v="MKS Kusy Szczecin"/>
    <n v="4"/>
    <x v="3"/>
    <x v="2"/>
    <x v="61"/>
  </r>
  <r>
    <s v="KWIATKOWSKI Michał"/>
    <x v="1"/>
    <s v="MKS Kusy Szczecin"/>
    <n v="4"/>
    <x v="4"/>
    <x v="0"/>
    <x v="188"/>
  </r>
  <r>
    <s v="KWIATKOWSKI Michał"/>
    <x v="1"/>
    <s v="MKS Kusy Szczecin"/>
    <n v="4"/>
    <x v="4"/>
    <x v="1"/>
    <x v="189"/>
  </r>
  <r>
    <s v="KWIATKOWSKI Michał"/>
    <x v="1"/>
    <s v="MKS Kusy Szczecin"/>
    <n v="4"/>
    <x v="4"/>
    <x v="2"/>
    <x v="190"/>
  </r>
  <r>
    <s v="KWIATKOWSKI Michał"/>
    <x v="1"/>
    <s v="MKS Kusy Szczecin"/>
    <n v="4"/>
    <x v="5"/>
    <x v="0"/>
    <x v="57"/>
  </r>
  <r>
    <s v="KWIATKOWSKI Michał"/>
    <x v="1"/>
    <s v="MKS Kusy Szczecin"/>
    <n v="4"/>
    <x v="5"/>
    <x v="1"/>
    <x v="191"/>
  </r>
  <r>
    <s v="KWIATKOWSKI Michał"/>
    <x v="1"/>
    <s v="MKS Kusy Szczecin"/>
    <n v="4"/>
    <x v="5"/>
    <x v="2"/>
    <x v="192"/>
  </r>
  <r>
    <s v="LEKHAC Tomasz"/>
    <x v="1"/>
    <s v="CWZS Zawisza KG Bydgoszcz"/>
    <n v="4"/>
    <x v="0"/>
    <x v="0"/>
    <x v="86"/>
  </r>
  <r>
    <s v="LEKHAC Tomasz"/>
    <x v="1"/>
    <s v="CWZS Zawisza KG Bydgoszcz"/>
    <n v="4"/>
    <x v="0"/>
    <x v="1"/>
    <x v="177"/>
  </r>
  <r>
    <s v="LEKHAC Tomasz"/>
    <x v="1"/>
    <s v="CWZS Zawisza KG Bydgoszcz"/>
    <n v="4"/>
    <x v="0"/>
    <x v="2"/>
    <x v="178"/>
  </r>
  <r>
    <s v="LEKHAC Tomasz"/>
    <x v="1"/>
    <s v="CWZS Zawisza KG Bydgoszcz"/>
    <n v="4"/>
    <x v="1"/>
    <x v="0"/>
    <x v="86"/>
  </r>
  <r>
    <s v="LEKHAC Tomasz"/>
    <x v="1"/>
    <s v="CWZS Zawisza KG Bydgoszcz"/>
    <n v="4"/>
    <x v="1"/>
    <x v="1"/>
    <x v="19"/>
  </r>
  <r>
    <s v="LEKHAC Tomasz"/>
    <x v="1"/>
    <s v="CWZS Zawisza KG Bydgoszcz"/>
    <n v="4"/>
    <x v="1"/>
    <x v="2"/>
    <x v="79"/>
  </r>
  <r>
    <s v="LEKHAC Tomasz"/>
    <x v="1"/>
    <s v="CWZS Zawisza KG Bydgoszcz"/>
    <n v="4"/>
    <x v="2"/>
    <x v="0"/>
    <x v="86"/>
  </r>
  <r>
    <s v="LEKHAC Tomasz"/>
    <x v="1"/>
    <s v="CWZS Zawisza KG Bydgoszcz"/>
    <n v="4"/>
    <x v="2"/>
    <x v="1"/>
    <x v="193"/>
  </r>
  <r>
    <s v="LEKHAC Tomasz"/>
    <x v="1"/>
    <s v="CWZS Zawisza KG Bydgoszcz"/>
    <n v="4"/>
    <x v="2"/>
    <x v="2"/>
    <x v="179"/>
  </r>
  <r>
    <s v="LEKHAC Tomasz"/>
    <x v="1"/>
    <s v="CWZS Zawisza KG Bydgoszcz"/>
    <n v="4"/>
    <x v="3"/>
    <x v="0"/>
    <x v="86"/>
  </r>
  <r>
    <s v="LEKHAC Tomasz"/>
    <x v="1"/>
    <s v="CWZS Zawisza KG Bydgoszcz"/>
    <n v="4"/>
    <x v="3"/>
    <x v="1"/>
    <x v="103"/>
  </r>
  <r>
    <s v="LEKHAC Tomasz"/>
    <x v="1"/>
    <s v="CWZS Zawisza KG Bydgoszcz"/>
    <n v="4"/>
    <x v="3"/>
    <x v="2"/>
    <x v="61"/>
  </r>
  <r>
    <s v="LEKHAC Tomasz"/>
    <x v="1"/>
    <s v="CWZS Zawisza KG Bydgoszcz"/>
    <n v="4"/>
    <x v="4"/>
    <x v="0"/>
    <x v="49"/>
  </r>
  <r>
    <s v="LEKHAC Tomasz"/>
    <x v="1"/>
    <s v="CWZS Zawisza KG Bydgoszcz"/>
    <n v="4"/>
    <x v="4"/>
    <x v="1"/>
    <x v="194"/>
  </r>
  <r>
    <s v="LEKHAC Tomasz"/>
    <x v="1"/>
    <s v="CWZS Zawisza KG Bydgoszcz"/>
    <n v="4"/>
    <x v="4"/>
    <x v="2"/>
    <x v="195"/>
  </r>
  <r>
    <s v="LEKHAC Tomasz"/>
    <x v="1"/>
    <s v="CWZS Zawisza KG Bydgoszcz"/>
    <n v="4"/>
    <x v="5"/>
    <x v="0"/>
    <x v="86"/>
  </r>
  <r>
    <s v="LEKHAC Tomasz"/>
    <x v="1"/>
    <s v="CWZS Zawisza KG Bydgoszcz"/>
    <n v="4"/>
    <x v="5"/>
    <x v="1"/>
    <x v="19"/>
  </r>
  <r>
    <s v="LEKHAC Tomasz"/>
    <x v="1"/>
    <s v="CWZS Zawisza KG Bydgoszcz"/>
    <n v="4"/>
    <x v="5"/>
    <x v="2"/>
    <x v="196"/>
  </r>
  <r>
    <s v="JANKOWSKI Dominik"/>
    <x v="1"/>
    <s v="MKS Gdańsk"/>
    <n v="4"/>
    <x v="0"/>
    <x v="0"/>
    <x v="86"/>
  </r>
  <r>
    <s v="JANKOWSKI Dominik"/>
    <x v="1"/>
    <s v="MKS Gdańsk"/>
    <n v="4"/>
    <x v="0"/>
    <x v="1"/>
    <x v="197"/>
  </r>
  <r>
    <s v="JANKOWSKI Dominik"/>
    <x v="1"/>
    <s v="MKS Gdańsk"/>
    <n v="4"/>
    <x v="0"/>
    <x v="2"/>
    <x v="154"/>
  </r>
  <r>
    <s v="JANKOWSKI Dominik"/>
    <x v="1"/>
    <s v="MKS Gdańsk"/>
    <n v="4"/>
    <x v="1"/>
    <x v="0"/>
    <x v="46"/>
  </r>
  <r>
    <s v="JANKOWSKI Dominik"/>
    <x v="1"/>
    <s v="MKS Gdańsk"/>
    <n v="4"/>
    <x v="1"/>
    <x v="1"/>
    <x v="48"/>
  </r>
  <r>
    <s v="JANKOWSKI Dominik"/>
    <x v="1"/>
    <s v="MKS Gdańsk"/>
    <n v="4"/>
    <x v="1"/>
    <x v="2"/>
    <x v="104"/>
  </r>
  <r>
    <s v="JANKOWSKI Dominik"/>
    <x v="1"/>
    <s v="MKS Gdańsk"/>
    <n v="4"/>
    <x v="2"/>
    <x v="0"/>
    <x v="113"/>
  </r>
  <r>
    <s v="JANKOWSKI Dominik"/>
    <x v="1"/>
    <s v="MKS Gdańsk"/>
    <n v="4"/>
    <x v="2"/>
    <x v="1"/>
    <x v="145"/>
  </r>
  <r>
    <s v="JANKOWSKI Dominik"/>
    <x v="1"/>
    <s v="MKS Gdańsk"/>
    <n v="4"/>
    <x v="2"/>
    <x v="2"/>
    <x v="198"/>
  </r>
  <r>
    <s v="JANKOWSKI Dominik"/>
    <x v="1"/>
    <s v="MKS Gdańsk"/>
    <n v="4"/>
    <x v="3"/>
    <x v="0"/>
    <x v="46"/>
  </r>
  <r>
    <s v="JANKOWSKI Dominik"/>
    <x v="1"/>
    <s v="MKS Gdańsk"/>
    <n v="4"/>
    <x v="3"/>
    <x v="1"/>
    <x v="180"/>
  </r>
  <r>
    <s v="JANKOWSKI Dominik"/>
    <x v="1"/>
    <s v="MKS Gdańsk"/>
    <n v="4"/>
    <x v="3"/>
    <x v="2"/>
    <x v="198"/>
  </r>
  <r>
    <s v="JANKOWSKI Dominik"/>
    <x v="1"/>
    <s v="MKS Gdańsk"/>
    <n v="4"/>
    <x v="4"/>
    <x v="0"/>
    <x v="114"/>
  </r>
  <r>
    <s v="JANKOWSKI Dominik"/>
    <x v="1"/>
    <s v="MKS Gdańsk"/>
    <n v="4"/>
    <x v="4"/>
    <x v="1"/>
    <x v="199"/>
  </r>
  <r>
    <s v="JANKOWSKI Dominik"/>
    <x v="1"/>
    <s v="MKS Gdańsk"/>
    <n v="4"/>
    <x v="4"/>
    <x v="2"/>
    <x v="200"/>
  </r>
  <r>
    <s v="JANKOWSKI Dominik"/>
    <x v="1"/>
    <s v="MKS Gdańsk"/>
    <n v="4"/>
    <x v="5"/>
    <x v="0"/>
    <x v="201"/>
  </r>
  <r>
    <s v="JANKOWSKI Dominik"/>
    <x v="1"/>
    <s v="MKS Gdańsk"/>
    <n v="4"/>
    <x v="5"/>
    <x v="1"/>
    <x v="202"/>
  </r>
  <r>
    <s v="JANKOWSKI Dominik"/>
    <x v="1"/>
    <s v="MKS Gdańsk"/>
    <n v="4"/>
    <x v="5"/>
    <x v="2"/>
    <x v="203"/>
  </r>
  <r>
    <s v="KUZDRA Christian"/>
    <x v="1"/>
    <s v="MKS Gdańsk"/>
    <n v="4"/>
    <x v="0"/>
    <x v="0"/>
    <x v="113"/>
  </r>
  <r>
    <s v="KUZDRA Christian"/>
    <x v="1"/>
    <s v="MKS Gdańsk"/>
    <n v="4"/>
    <x v="0"/>
    <x v="1"/>
    <x v="19"/>
  </r>
  <r>
    <s v="KUZDRA Christian"/>
    <x v="1"/>
    <s v="MKS Gdańsk"/>
    <n v="4"/>
    <x v="0"/>
    <x v="2"/>
    <x v="77"/>
  </r>
  <r>
    <s v="KUZDRA Christian"/>
    <x v="1"/>
    <s v="MKS Gdańsk"/>
    <n v="4"/>
    <x v="1"/>
    <x v="0"/>
    <x v="144"/>
  </r>
  <r>
    <s v="KUZDRA Christian"/>
    <x v="1"/>
    <s v="MKS Gdańsk"/>
    <n v="4"/>
    <x v="1"/>
    <x v="1"/>
    <x v="17"/>
  </r>
  <r>
    <s v="KUZDRA Christian"/>
    <x v="1"/>
    <s v="MKS Gdańsk"/>
    <n v="4"/>
    <x v="1"/>
    <x v="2"/>
    <x v="104"/>
  </r>
  <r>
    <s v="KUZDRA Christian"/>
    <x v="1"/>
    <s v="MKS Gdańsk"/>
    <n v="4"/>
    <x v="2"/>
    <x v="0"/>
    <x v="44"/>
  </r>
  <r>
    <s v="KUZDRA Christian"/>
    <x v="1"/>
    <s v="MKS Gdańsk"/>
    <n v="4"/>
    <x v="2"/>
    <x v="1"/>
    <x v="133"/>
  </r>
  <r>
    <s v="KUZDRA Christian"/>
    <x v="1"/>
    <s v="MKS Gdańsk"/>
    <n v="4"/>
    <x v="2"/>
    <x v="2"/>
    <x v="73"/>
  </r>
  <r>
    <s v="KUZDRA Christian"/>
    <x v="1"/>
    <s v="MKS Gdańsk"/>
    <n v="4"/>
    <x v="3"/>
    <x v="0"/>
    <x v="44"/>
  </r>
  <r>
    <s v="KUZDRA Christian"/>
    <x v="1"/>
    <s v="MKS Gdańsk"/>
    <n v="4"/>
    <x v="3"/>
    <x v="1"/>
    <x v="37"/>
  </r>
  <r>
    <s v="KUZDRA Christian"/>
    <x v="1"/>
    <s v="MKS Gdańsk"/>
    <n v="4"/>
    <x v="3"/>
    <x v="2"/>
    <x v="204"/>
  </r>
  <r>
    <s v="KUZDRA Christian"/>
    <x v="1"/>
    <s v="MKS Gdańsk"/>
    <n v="4"/>
    <x v="4"/>
    <x v="0"/>
    <x v="65"/>
  </r>
  <r>
    <s v="KUZDRA Christian"/>
    <x v="1"/>
    <s v="MKS Gdańsk"/>
    <n v="4"/>
    <x v="4"/>
    <x v="1"/>
    <x v="205"/>
  </r>
  <r>
    <s v="KUZDRA Christian"/>
    <x v="1"/>
    <s v="MKS Gdańsk"/>
    <n v="4"/>
    <x v="4"/>
    <x v="2"/>
    <x v="206"/>
  </r>
  <r>
    <s v="KUZDRA Christian"/>
    <x v="1"/>
    <s v="MKS Gdańsk"/>
    <n v="4"/>
    <x v="5"/>
    <x v="0"/>
    <x v="207"/>
  </r>
  <r>
    <s v="KUZDRA Christian"/>
    <x v="1"/>
    <s v="MKS Gdańsk"/>
    <n v="4"/>
    <x v="5"/>
    <x v="1"/>
    <x v="85"/>
  </r>
  <r>
    <s v="KUZDRA Christian"/>
    <x v="1"/>
    <s v="MKS Gdańsk"/>
    <n v="4"/>
    <x v="5"/>
    <x v="2"/>
    <x v="208"/>
  </r>
  <r>
    <s v="MOSKAL Błażej"/>
    <x v="1"/>
    <s v="MKS Gdańsk"/>
    <n v="4"/>
    <x v="0"/>
    <x v="0"/>
    <x v="144"/>
  </r>
  <r>
    <s v="MOSKAL Błażej"/>
    <x v="1"/>
    <s v="MKS Gdańsk"/>
    <n v="4"/>
    <x v="0"/>
    <x v="1"/>
    <x v="37"/>
  </r>
  <r>
    <s v="MOSKAL Błażej"/>
    <x v="1"/>
    <s v="MKS Gdańsk"/>
    <n v="4"/>
    <x v="0"/>
    <x v="2"/>
    <x v="65"/>
  </r>
  <r>
    <s v="MOSKAL Błażej"/>
    <x v="1"/>
    <s v="MKS Gdańsk"/>
    <n v="4"/>
    <x v="1"/>
    <x v="0"/>
    <x v="174"/>
  </r>
  <r>
    <s v="MOSKAL Błażej"/>
    <x v="1"/>
    <s v="MKS Gdańsk"/>
    <n v="4"/>
    <x v="1"/>
    <x v="1"/>
    <x v="22"/>
  </r>
  <r>
    <s v="MOSKAL Błażej"/>
    <x v="1"/>
    <s v="MKS Gdańsk"/>
    <n v="4"/>
    <x v="1"/>
    <x v="2"/>
    <x v="209"/>
  </r>
  <r>
    <s v="MOSKAL Błażej"/>
    <x v="1"/>
    <s v="MKS Gdańsk"/>
    <n v="4"/>
    <x v="2"/>
    <x v="0"/>
    <x v="161"/>
  </r>
  <r>
    <s v="MOSKAL Błażej"/>
    <x v="1"/>
    <s v="MKS Gdańsk"/>
    <n v="4"/>
    <x v="2"/>
    <x v="1"/>
    <x v="7"/>
  </r>
  <r>
    <s v="MOSKAL Błażej"/>
    <x v="1"/>
    <s v="MKS Gdańsk"/>
    <n v="4"/>
    <x v="2"/>
    <x v="2"/>
    <x v="210"/>
  </r>
  <r>
    <s v="MOSKAL Błażej"/>
    <x v="1"/>
    <s v="MKS Gdańsk"/>
    <n v="4"/>
    <x v="3"/>
    <x v="0"/>
    <x v="174"/>
  </r>
  <r>
    <s v="MOSKAL Błażej"/>
    <x v="1"/>
    <s v="MKS Gdańsk"/>
    <n v="4"/>
    <x v="3"/>
    <x v="1"/>
    <x v="103"/>
  </r>
  <r>
    <s v="MOSKAL Błażej"/>
    <x v="1"/>
    <s v="MKS Gdańsk"/>
    <n v="4"/>
    <x v="3"/>
    <x v="2"/>
    <x v="65"/>
  </r>
  <r>
    <s v="MOSKAL Błażej"/>
    <x v="1"/>
    <s v="MKS Gdańsk"/>
    <n v="4"/>
    <x v="4"/>
    <x v="0"/>
    <x v="211"/>
  </r>
  <r>
    <s v="MOSKAL Błażej"/>
    <x v="1"/>
    <s v="MKS Gdańsk"/>
    <n v="4"/>
    <x v="4"/>
    <x v="1"/>
    <x v="153"/>
  </r>
  <r>
    <s v="MOSKAL Błażej"/>
    <x v="1"/>
    <s v="MKS Gdańsk"/>
    <n v="4"/>
    <x v="4"/>
    <x v="2"/>
    <x v="212"/>
  </r>
  <r>
    <s v="MOSKAL Błażej"/>
    <x v="1"/>
    <s v="MKS Gdańsk"/>
    <n v="4"/>
    <x v="5"/>
    <x v="0"/>
    <x v="213"/>
  </r>
  <r>
    <s v="MOSKAL Błażej"/>
    <x v="1"/>
    <s v="MKS Gdańsk"/>
    <n v="4"/>
    <x v="5"/>
    <x v="1"/>
    <x v="214"/>
  </r>
  <r>
    <s v="MOSKAL Błażej"/>
    <x v="1"/>
    <s v="MKS Gdańsk"/>
    <n v="4"/>
    <x v="5"/>
    <x v="2"/>
    <x v="215"/>
  </r>
  <r>
    <s v="KOŁODZIEJCZYK Karol"/>
    <x v="1"/>
    <s v="KS AZS AWF Kraków"/>
    <n v="4"/>
    <x v="0"/>
    <x v="0"/>
    <x v="46"/>
  </r>
  <r>
    <s v="KOŁODZIEJCZYK Karol"/>
    <x v="1"/>
    <s v="KS AZS AWF Kraków"/>
    <n v="4"/>
    <x v="0"/>
    <x v="1"/>
    <x v="48"/>
  </r>
  <r>
    <s v="KOŁODZIEJCZYK Karol"/>
    <x v="1"/>
    <s v="KS AZS AWF Kraków"/>
    <n v="4"/>
    <x v="0"/>
    <x v="2"/>
    <x v="104"/>
  </r>
  <r>
    <s v="KOŁODZIEJCZYK Karol"/>
    <x v="1"/>
    <s v="KS AZS AWF Kraków"/>
    <n v="4"/>
    <x v="1"/>
    <x v="0"/>
    <x v="216"/>
  </r>
  <r>
    <s v="KOŁODZIEJCZYK Karol"/>
    <x v="1"/>
    <s v="KS AZS AWF Kraków"/>
    <n v="4"/>
    <x v="1"/>
    <x v="1"/>
    <x v="85"/>
  </r>
  <r>
    <s v="KOŁODZIEJCZYK Karol"/>
    <x v="1"/>
    <s v="KS AZS AWF Kraków"/>
    <n v="4"/>
    <x v="1"/>
    <x v="2"/>
    <x v="173"/>
  </r>
  <r>
    <s v="KOŁODZIEJCZYK Karol"/>
    <x v="1"/>
    <s v="KS AZS AWF Kraków"/>
    <n v="4"/>
    <x v="2"/>
    <x v="0"/>
    <x v="46"/>
  </r>
  <r>
    <s v="KOŁODZIEJCZYK Karol"/>
    <x v="1"/>
    <s v="KS AZS AWF Kraków"/>
    <n v="4"/>
    <x v="2"/>
    <x v="1"/>
    <x v="70"/>
  </r>
  <r>
    <s v="KOŁODZIEJCZYK Karol"/>
    <x v="1"/>
    <s v="KS AZS AWF Kraków"/>
    <n v="4"/>
    <x v="2"/>
    <x v="2"/>
    <x v="173"/>
  </r>
  <r>
    <s v="KOŁODZIEJCZYK Karol"/>
    <x v="1"/>
    <s v="KS AZS AWF Kraków"/>
    <n v="4"/>
    <x v="3"/>
    <x v="0"/>
    <x v="160"/>
  </r>
  <r>
    <s v="KOŁODZIEJCZYK Karol"/>
    <x v="1"/>
    <s v="KS AZS AWF Kraków"/>
    <n v="4"/>
    <x v="3"/>
    <x v="1"/>
    <x v="64"/>
  </r>
  <r>
    <s v="KOŁODZIEJCZYK Karol"/>
    <x v="1"/>
    <s v="KS AZS AWF Kraków"/>
    <n v="4"/>
    <x v="3"/>
    <x v="2"/>
    <x v="111"/>
  </r>
  <r>
    <s v="KOŁODZIEJCZYK Karol"/>
    <x v="1"/>
    <s v="KS AZS AWF Kraków"/>
    <n v="4"/>
    <x v="4"/>
    <x v="0"/>
    <x v="217"/>
  </r>
  <r>
    <s v="KOŁODZIEJCZYK Karol"/>
    <x v="1"/>
    <s v="KS AZS AWF Kraków"/>
    <n v="4"/>
    <x v="4"/>
    <x v="1"/>
    <x v="218"/>
  </r>
  <r>
    <s v="KOŁODZIEJCZYK Karol"/>
    <x v="1"/>
    <s v="KS AZS AWF Kraków"/>
    <n v="4"/>
    <x v="4"/>
    <x v="2"/>
    <x v="219"/>
  </r>
  <r>
    <s v="KOŁODZIEJCZYK Karol"/>
    <x v="1"/>
    <s v="KS AZS AWF Kraków"/>
    <n v="4"/>
    <x v="5"/>
    <x v="0"/>
    <x v="220"/>
  </r>
  <r>
    <s v="KOŁODZIEJCZYK Karol"/>
    <x v="1"/>
    <s v="KS AZS AWF Kraków"/>
    <n v="4"/>
    <x v="5"/>
    <x v="1"/>
    <x v="221"/>
  </r>
  <r>
    <s v="KOŁODZIEJCZYK Karol"/>
    <x v="1"/>
    <s v="KS AZS AWF Kraków"/>
    <n v="4"/>
    <x v="5"/>
    <x v="2"/>
    <x v="222"/>
  </r>
  <r>
    <s v="KOPERSKI Filip"/>
    <x v="1"/>
    <s v="KS AZS AWF Kraków"/>
    <n v="3"/>
    <x v="0"/>
    <x v="0"/>
    <x v="31"/>
  </r>
  <r>
    <s v="KOPERSKI Filip"/>
    <x v="1"/>
    <s v="KS AZS AWF Kraków"/>
    <n v="3"/>
    <x v="0"/>
    <x v="1"/>
    <x v="31"/>
  </r>
  <r>
    <s v="KOPERSKI Filip"/>
    <x v="1"/>
    <s v="KS AZS AWF Kraków"/>
    <n v="3"/>
    <x v="0"/>
    <x v="2"/>
    <x v="31"/>
  </r>
  <r>
    <s v="KOPERSKI Filip"/>
    <x v="1"/>
    <s v="KS AZS AWF Kraków"/>
    <n v="3"/>
    <x v="1"/>
    <x v="0"/>
    <x v="46"/>
  </r>
  <r>
    <s v="KOPERSKI Filip"/>
    <x v="1"/>
    <s v="KS AZS AWF Kraków"/>
    <n v="3"/>
    <x v="1"/>
    <x v="1"/>
    <x v="197"/>
  </r>
  <r>
    <s v="KOPERSKI Filip"/>
    <x v="1"/>
    <s v="KS AZS AWF Kraków"/>
    <n v="3"/>
    <x v="1"/>
    <x v="2"/>
    <x v="127"/>
  </r>
  <r>
    <s v="KOPERSKI Filip"/>
    <x v="1"/>
    <s v="KS AZS AWF Kraków"/>
    <n v="3"/>
    <x v="2"/>
    <x v="0"/>
    <x v="46"/>
  </r>
  <r>
    <s v="KOPERSKI Filip"/>
    <x v="1"/>
    <s v="KS AZS AWF Kraków"/>
    <n v="3"/>
    <x v="2"/>
    <x v="1"/>
    <x v="149"/>
  </r>
  <r>
    <s v="KOPERSKI Filip"/>
    <x v="1"/>
    <s v="KS AZS AWF Kraków"/>
    <n v="3"/>
    <x v="2"/>
    <x v="2"/>
    <x v="209"/>
  </r>
  <r>
    <s v="KOPERSKI Filip"/>
    <x v="1"/>
    <s v="KS AZS AWF Kraków"/>
    <n v="3"/>
    <x v="3"/>
    <x v="0"/>
    <x v="216"/>
  </r>
  <r>
    <s v="KOPERSKI Filip"/>
    <x v="1"/>
    <s v="KS AZS AWF Kraków"/>
    <n v="3"/>
    <x v="3"/>
    <x v="1"/>
    <x v="78"/>
  </r>
  <r>
    <s v="KOPERSKI Filip"/>
    <x v="1"/>
    <s v="KS AZS AWF Kraków"/>
    <n v="3"/>
    <x v="3"/>
    <x v="2"/>
    <x v="211"/>
  </r>
  <r>
    <s v="KOPERSKI Filip"/>
    <x v="1"/>
    <s v="KS AZS AWF Kraków"/>
    <n v="3"/>
    <x v="4"/>
    <x v="0"/>
    <x v="140"/>
  </r>
  <r>
    <s v="KOPERSKI Filip"/>
    <x v="1"/>
    <s v="KS AZS AWF Kraków"/>
    <n v="3"/>
    <x v="4"/>
    <x v="1"/>
    <x v="223"/>
  </r>
  <r>
    <s v="KOPERSKI Filip"/>
    <x v="1"/>
    <s v="KS AZS AWF Kraków"/>
    <n v="3"/>
    <x v="4"/>
    <x v="2"/>
    <x v="224"/>
  </r>
  <r>
    <s v="KOPERSKI Filip"/>
    <x v="1"/>
    <s v="KS AZS AWF Kraków"/>
    <n v="3"/>
    <x v="5"/>
    <x v="0"/>
    <x v="225"/>
  </r>
  <r>
    <s v="KOPERSKI Filip"/>
    <x v="1"/>
    <s v="KS AZS AWF Kraków"/>
    <n v="3"/>
    <x v="5"/>
    <x v="1"/>
    <x v="226"/>
  </r>
  <r>
    <s v="KOPERSKI Filip"/>
    <x v="1"/>
    <s v="KS AZS AWF Kraków"/>
    <n v="3"/>
    <x v="5"/>
    <x v="2"/>
    <x v="227"/>
  </r>
  <r>
    <s v="KORBIEL Franciszek"/>
    <x v="1"/>
    <s v="KS AZS AWF Kraków"/>
    <n v="4"/>
    <x v="0"/>
    <x v="0"/>
    <x v="160"/>
  </r>
  <r>
    <s v="KORBIEL Franciszek"/>
    <x v="1"/>
    <s v="KS AZS AWF Kraków"/>
    <n v="4"/>
    <x v="0"/>
    <x v="1"/>
    <x v="187"/>
  </r>
  <r>
    <s v="KORBIEL Franciszek"/>
    <x v="1"/>
    <s v="KS AZS AWF Kraków"/>
    <n v="4"/>
    <x v="0"/>
    <x v="2"/>
    <x v="127"/>
  </r>
  <r>
    <s v="KORBIEL Franciszek"/>
    <x v="1"/>
    <s v="KS AZS AWF Kraków"/>
    <n v="4"/>
    <x v="1"/>
    <x v="0"/>
    <x v="160"/>
  </r>
  <r>
    <s v="KORBIEL Franciszek"/>
    <x v="1"/>
    <s v="KS AZS AWF Kraków"/>
    <n v="4"/>
    <x v="1"/>
    <x v="1"/>
    <x v="187"/>
  </r>
  <r>
    <s v="KORBIEL Franciszek"/>
    <x v="1"/>
    <s v="KS AZS AWF Kraków"/>
    <n v="4"/>
    <x v="1"/>
    <x v="2"/>
    <x v="127"/>
  </r>
  <r>
    <s v="KORBIEL Franciszek"/>
    <x v="1"/>
    <s v="KS AZS AWF Kraków"/>
    <n v="4"/>
    <x v="2"/>
    <x v="0"/>
    <x v="160"/>
  </r>
  <r>
    <s v="KORBIEL Franciszek"/>
    <x v="1"/>
    <s v="KS AZS AWF Kraków"/>
    <n v="4"/>
    <x v="2"/>
    <x v="1"/>
    <x v="34"/>
  </r>
  <r>
    <s v="KORBIEL Franciszek"/>
    <x v="1"/>
    <s v="KS AZS AWF Kraków"/>
    <n v="4"/>
    <x v="2"/>
    <x v="2"/>
    <x v="228"/>
  </r>
  <r>
    <s v="KORBIEL Franciszek"/>
    <x v="1"/>
    <s v="KS AZS AWF Kraków"/>
    <n v="4"/>
    <x v="3"/>
    <x v="0"/>
    <x v="160"/>
  </r>
  <r>
    <s v="KORBIEL Franciszek"/>
    <x v="1"/>
    <s v="KS AZS AWF Kraków"/>
    <n v="4"/>
    <x v="3"/>
    <x v="1"/>
    <x v="229"/>
  </r>
  <r>
    <s v="KORBIEL Franciszek"/>
    <x v="1"/>
    <s v="KS AZS AWF Kraków"/>
    <n v="4"/>
    <x v="3"/>
    <x v="2"/>
    <x v="230"/>
  </r>
  <r>
    <s v="KORBIEL Franciszek"/>
    <x v="1"/>
    <s v="KS AZS AWF Kraków"/>
    <n v="4"/>
    <x v="4"/>
    <x v="0"/>
    <x v="231"/>
  </r>
  <r>
    <s v="KORBIEL Franciszek"/>
    <x v="1"/>
    <s v="KS AZS AWF Kraków"/>
    <n v="4"/>
    <x v="4"/>
    <x v="1"/>
    <x v="232"/>
  </r>
  <r>
    <s v="KORBIEL Franciszek"/>
    <x v="1"/>
    <s v="KS AZS AWF Kraków"/>
    <n v="4"/>
    <x v="4"/>
    <x v="2"/>
    <x v="233"/>
  </r>
  <r>
    <s v="KORBIEL Franciszek"/>
    <x v="1"/>
    <s v="KS AZS AWF Kraków"/>
    <n v="4"/>
    <x v="5"/>
    <x v="0"/>
    <x v="234"/>
  </r>
  <r>
    <s v="KORBIEL Franciszek"/>
    <x v="1"/>
    <s v="KS AZS AWF Kraków"/>
    <n v="4"/>
    <x v="5"/>
    <x v="1"/>
    <x v="149"/>
  </r>
  <r>
    <s v="KORBIEL Franciszek"/>
    <x v="1"/>
    <s v="KS AZS AWF Kraków"/>
    <n v="4"/>
    <x v="5"/>
    <x v="2"/>
    <x v="120"/>
  </r>
  <r>
    <s v="ŻEMEŁKA Dawid"/>
    <x v="1"/>
    <s v="MKS Gdańsk"/>
    <n v="3"/>
    <x v="0"/>
    <x v="0"/>
    <x v="31"/>
  </r>
  <r>
    <s v="ŻEMEŁKA Dawid"/>
    <x v="1"/>
    <s v="MKS Gdańsk"/>
    <n v="3"/>
    <x v="0"/>
    <x v="1"/>
    <x v="31"/>
  </r>
  <r>
    <s v="ŻEMEŁKA Dawid"/>
    <x v="1"/>
    <s v="MKS Gdańsk"/>
    <n v="3"/>
    <x v="0"/>
    <x v="2"/>
    <x v="31"/>
  </r>
  <r>
    <s v="ŻEMEŁKA Dawid"/>
    <x v="1"/>
    <s v="MKS Gdańsk"/>
    <n v="3"/>
    <x v="1"/>
    <x v="0"/>
    <x v="235"/>
  </r>
  <r>
    <s v="ŻEMEŁKA Dawid"/>
    <x v="1"/>
    <s v="MKS Gdańsk"/>
    <n v="3"/>
    <x v="1"/>
    <x v="1"/>
    <x v="197"/>
  </r>
  <r>
    <s v="ŻEMEŁKA Dawid"/>
    <x v="1"/>
    <s v="MKS Gdańsk"/>
    <n v="3"/>
    <x v="1"/>
    <x v="2"/>
    <x v="65"/>
  </r>
  <r>
    <s v="ŻEMEŁKA Dawid"/>
    <x v="1"/>
    <s v="MKS Gdańsk"/>
    <n v="3"/>
    <x v="2"/>
    <x v="0"/>
    <x v="216"/>
  </r>
  <r>
    <s v="ŻEMEŁKA Dawid"/>
    <x v="1"/>
    <s v="MKS Gdańsk"/>
    <n v="3"/>
    <x v="2"/>
    <x v="1"/>
    <x v="171"/>
  </r>
  <r>
    <s v="ŻEMEŁKA Dawid"/>
    <x v="1"/>
    <s v="MKS Gdańsk"/>
    <n v="3"/>
    <x v="2"/>
    <x v="2"/>
    <x v="52"/>
  </r>
  <r>
    <s v="ŻEMEŁKA Dawid"/>
    <x v="1"/>
    <s v="MKS Gdańsk"/>
    <n v="3"/>
    <x v="3"/>
    <x v="0"/>
    <x v="235"/>
  </r>
  <r>
    <s v="ŻEMEŁKA Dawid"/>
    <x v="1"/>
    <s v="MKS Gdańsk"/>
    <n v="3"/>
    <x v="3"/>
    <x v="1"/>
    <x v="1"/>
  </r>
  <r>
    <s v="ŻEMEŁKA Dawid"/>
    <x v="1"/>
    <s v="MKS Gdańsk"/>
    <n v="3"/>
    <x v="3"/>
    <x v="2"/>
    <x v="166"/>
  </r>
  <r>
    <s v="ŻEMEŁKA Dawid"/>
    <x v="1"/>
    <s v="MKS Gdańsk"/>
    <n v="3"/>
    <x v="4"/>
    <x v="0"/>
    <x v="167"/>
  </r>
  <r>
    <s v="ŻEMEŁKA Dawid"/>
    <x v="1"/>
    <s v="MKS Gdańsk"/>
    <n v="3"/>
    <x v="4"/>
    <x v="1"/>
    <x v="236"/>
  </r>
  <r>
    <s v="ŻEMEŁKA Dawid"/>
    <x v="1"/>
    <s v="MKS Gdańsk"/>
    <n v="3"/>
    <x v="4"/>
    <x v="2"/>
    <x v="237"/>
  </r>
  <r>
    <s v="ŻEMEŁKA Dawid"/>
    <x v="1"/>
    <s v="MKS Gdańsk"/>
    <n v="3"/>
    <x v="5"/>
    <x v="0"/>
    <x v="238"/>
  </r>
  <r>
    <s v="ŻEMEŁKA Dawid"/>
    <x v="1"/>
    <s v="MKS Gdańsk"/>
    <n v="3"/>
    <x v="5"/>
    <x v="1"/>
    <x v="239"/>
  </r>
  <r>
    <s v="ŻEMEŁKA Dawid"/>
    <x v="1"/>
    <s v="MKS Gdańsk"/>
    <n v="3"/>
    <x v="5"/>
    <x v="2"/>
    <x v="240"/>
  </r>
  <r>
    <s v="MISHCHENKO Oleksandr"/>
    <x v="1"/>
    <s v="MKS Kusy Szczecin"/>
    <n v="2"/>
    <x v="0"/>
    <x v="0"/>
    <x v="86"/>
  </r>
  <r>
    <s v="MISHCHENKO Oleksandr"/>
    <x v="1"/>
    <s v="MKS Kusy Szczecin"/>
    <n v="2"/>
    <x v="0"/>
    <x v="1"/>
    <x v="1"/>
  </r>
  <r>
    <s v="MISHCHENKO Oleksandr"/>
    <x v="1"/>
    <s v="MKS Kusy Szczecin"/>
    <n v="2"/>
    <x v="0"/>
    <x v="2"/>
    <x v="104"/>
  </r>
  <r>
    <s v="MISHCHENKO Oleksandr"/>
    <x v="1"/>
    <s v="MKS Kusy Szczecin"/>
    <n v="2"/>
    <x v="1"/>
    <x v="0"/>
    <x v="31"/>
  </r>
  <r>
    <s v="MISHCHENKO Oleksandr"/>
    <x v="1"/>
    <s v="MKS Kusy Szczecin"/>
    <n v="2"/>
    <x v="1"/>
    <x v="1"/>
    <x v="31"/>
  </r>
  <r>
    <s v="MISHCHENKO Oleksandr"/>
    <x v="1"/>
    <s v="MKS Kusy Szczecin"/>
    <n v="2"/>
    <x v="1"/>
    <x v="2"/>
    <x v="31"/>
  </r>
  <r>
    <s v="MISHCHENKO Oleksandr"/>
    <x v="1"/>
    <s v="MKS Kusy Szczecin"/>
    <n v="2"/>
    <x v="2"/>
    <x v="0"/>
    <x v="31"/>
  </r>
  <r>
    <s v="MISHCHENKO Oleksandr"/>
    <x v="1"/>
    <s v="MKS Kusy Szczecin"/>
    <n v="2"/>
    <x v="2"/>
    <x v="1"/>
    <x v="31"/>
  </r>
  <r>
    <s v="MISHCHENKO Oleksandr"/>
    <x v="1"/>
    <s v="MKS Kusy Szczecin"/>
    <n v="2"/>
    <x v="2"/>
    <x v="2"/>
    <x v="31"/>
  </r>
  <r>
    <s v="MISHCHENKO Oleksandr"/>
    <x v="1"/>
    <s v="MKS Kusy Szczecin"/>
    <n v="2"/>
    <x v="3"/>
    <x v="0"/>
    <x v="57"/>
  </r>
  <r>
    <s v="MISHCHENKO Oleksandr"/>
    <x v="1"/>
    <s v="MKS Kusy Szczecin"/>
    <n v="2"/>
    <x v="3"/>
    <x v="1"/>
    <x v="87"/>
  </r>
  <r>
    <s v="MISHCHENKO Oleksandr"/>
    <x v="1"/>
    <s v="MKS Kusy Szczecin"/>
    <n v="2"/>
    <x v="3"/>
    <x v="2"/>
    <x v="111"/>
  </r>
  <r>
    <s v="MISHCHENKO Oleksandr"/>
    <x v="1"/>
    <s v="MKS Kusy Szczecin"/>
    <n v="2"/>
    <x v="4"/>
    <x v="0"/>
    <x v="197"/>
  </r>
  <r>
    <s v="MISHCHENKO Oleksandr"/>
    <x v="1"/>
    <s v="MKS Kusy Szczecin"/>
    <n v="2"/>
    <x v="4"/>
    <x v="1"/>
    <x v="241"/>
  </r>
  <r>
    <s v="MISHCHENKO Oleksandr"/>
    <x v="1"/>
    <s v="MKS Kusy Szczecin"/>
    <n v="2"/>
    <x v="4"/>
    <x v="2"/>
    <x v="242"/>
  </r>
  <r>
    <s v="MISHCHENKO Oleksandr"/>
    <x v="1"/>
    <s v="MKS Kusy Szczecin"/>
    <n v="2"/>
    <x v="5"/>
    <x v="0"/>
    <x v="31"/>
  </r>
  <r>
    <s v="MISHCHENKO Oleksandr"/>
    <x v="1"/>
    <s v="MKS Kusy Szczecin"/>
    <n v="2"/>
    <x v="5"/>
    <x v="1"/>
    <x v="31"/>
  </r>
  <r>
    <s v="MISHCHENKO Oleksandr"/>
    <x v="1"/>
    <s v="MKS Kusy Szczecin"/>
    <n v="2"/>
    <x v="5"/>
    <x v="2"/>
    <x v="31"/>
  </r>
  <r>
    <s v="ĆWIEK Tymoteusz"/>
    <x v="1"/>
    <s v="KS AZS AWF Kraków"/>
    <n v="2"/>
    <x v="0"/>
    <x v="0"/>
    <x v="243"/>
  </r>
  <r>
    <s v="ĆWIEK Tymoteusz"/>
    <x v="1"/>
    <s v="KS AZS AWF Kraków"/>
    <n v="2"/>
    <x v="0"/>
    <x v="1"/>
    <x v="187"/>
  </r>
  <r>
    <s v="ĆWIEK Tymoteusz"/>
    <x v="1"/>
    <s v="KS AZS AWF Kraków"/>
    <n v="2"/>
    <x v="0"/>
    <x v="2"/>
    <x v="244"/>
  </r>
  <r>
    <s v="ĆWIEK Tymoteusz"/>
    <x v="1"/>
    <s v="KS AZS AWF Kraków"/>
    <n v="2"/>
    <x v="1"/>
    <x v="0"/>
    <x v="31"/>
  </r>
  <r>
    <s v="ĆWIEK Tymoteusz"/>
    <x v="1"/>
    <s v="KS AZS AWF Kraków"/>
    <n v="2"/>
    <x v="1"/>
    <x v="1"/>
    <x v="31"/>
  </r>
  <r>
    <s v="ĆWIEK Tymoteusz"/>
    <x v="1"/>
    <s v="KS AZS AWF Kraków"/>
    <n v="2"/>
    <x v="1"/>
    <x v="2"/>
    <x v="31"/>
  </r>
  <r>
    <s v="ĆWIEK Tymoteusz"/>
    <x v="1"/>
    <s v="KS AZS AWF Kraków"/>
    <n v="2"/>
    <x v="2"/>
    <x v="0"/>
    <x v="245"/>
  </r>
  <r>
    <s v="ĆWIEK Tymoteusz"/>
    <x v="1"/>
    <s v="KS AZS AWF Kraków"/>
    <n v="2"/>
    <x v="2"/>
    <x v="1"/>
    <x v="1"/>
  </r>
  <r>
    <s v="ĆWIEK Tymoteusz"/>
    <x v="1"/>
    <s v="KS AZS AWF Kraków"/>
    <n v="2"/>
    <x v="2"/>
    <x v="2"/>
    <x v="211"/>
  </r>
  <r>
    <s v="ĆWIEK Tymoteusz"/>
    <x v="1"/>
    <s v="KS AZS AWF Kraków"/>
    <n v="2"/>
    <x v="3"/>
    <x v="0"/>
    <x v="31"/>
  </r>
  <r>
    <s v="ĆWIEK Tymoteusz"/>
    <x v="1"/>
    <s v="KS AZS AWF Kraków"/>
    <n v="2"/>
    <x v="3"/>
    <x v="1"/>
    <x v="31"/>
  </r>
  <r>
    <s v="ĆWIEK Tymoteusz"/>
    <x v="1"/>
    <s v="KS AZS AWF Kraków"/>
    <n v="2"/>
    <x v="3"/>
    <x v="2"/>
    <x v="31"/>
  </r>
  <r>
    <s v="ĆWIEK Tymoteusz"/>
    <x v="1"/>
    <s v="KS AZS AWF Kraków"/>
    <n v="2"/>
    <x v="4"/>
    <x v="0"/>
    <x v="6"/>
  </r>
  <r>
    <s v="ĆWIEK Tymoteusz"/>
    <x v="1"/>
    <s v="KS AZS AWF Kraków"/>
    <n v="2"/>
    <x v="4"/>
    <x v="1"/>
    <x v="246"/>
  </r>
  <r>
    <s v="ĆWIEK Tymoteusz"/>
    <x v="1"/>
    <s v="KS AZS AWF Kraków"/>
    <n v="2"/>
    <x v="4"/>
    <x v="2"/>
    <x v="247"/>
  </r>
  <r>
    <s v="ĆWIEK Tymoteusz"/>
    <x v="1"/>
    <s v="KS AZS AWF Kraków"/>
    <n v="2"/>
    <x v="5"/>
    <x v="0"/>
    <x v="31"/>
  </r>
  <r>
    <s v="ĆWIEK Tymoteusz"/>
    <x v="1"/>
    <s v="KS AZS AWF Kraków"/>
    <n v="2"/>
    <x v="5"/>
    <x v="1"/>
    <x v="31"/>
  </r>
  <r>
    <s v="ĆWIEK Tymoteusz"/>
    <x v="1"/>
    <s v="KS AZS AWF Kraków"/>
    <n v="2"/>
    <x v="5"/>
    <x v="2"/>
    <x v="31"/>
  </r>
  <r>
    <s v="AZUMI Vincent"/>
    <x v="1"/>
    <s v="MKS Gdańsk"/>
    <n v="2"/>
    <x v="0"/>
    <x v="0"/>
    <x v="31"/>
  </r>
  <r>
    <s v="AZUMI Vincent"/>
    <x v="1"/>
    <s v="MKS Gdańsk"/>
    <n v="2"/>
    <x v="0"/>
    <x v="1"/>
    <x v="31"/>
  </r>
  <r>
    <s v="AZUMI Vincent"/>
    <x v="1"/>
    <s v="MKS Gdańsk"/>
    <n v="2"/>
    <x v="0"/>
    <x v="2"/>
    <x v="31"/>
  </r>
  <r>
    <s v="AZUMI Vincent"/>
    <x v="1"/>
    <s v="MKS Gdańsk"/>
    <n v="2"/>
    <x v="1"/>
    <x v="0"/>
    <x v="144"/>
  </r>
  <r>
    <s v="AZUMI Vincent"/>
    <x v="1"/>
    <s v="MKS Gdańsk"/>
    <n v="2"/>
    <x v="1"/>
    <x v="1"/>
    <x v="187"/>
  </r>
  <r>
    <s v="AZUMI Vincent"/>
    <x v="1"/>
    <s v="MKS Gdańsk"/>
    <n v="2"/>
    <x v="1"/>
    <x v="2"/>
    <x v="49"/>
  </r>
  <r>
    <s v="AZUMI Vincent"/>
    <x v="1"/>
    <s v="MKS Gdańsk"/>
    <n v="2"/>
    <x v="2"/>
    <x v="0"/>
    <x v="59"/>
  </r>
  <r>
    <s v="AZUMI Vincent"/>
    <x v="1"/>
    <s v="MKS Gdańsk"/>
    <n v="2"/>
    <x v="2"/>
    <x v="1"/>
    <x v="72"/>
  </r>
  <r>
    <s v="AZUMI Vincent"/>
    <x v="1"/>
    <s v="MKS Gdańsk"/>
    <n v="2"/>
    <x v="2"/>
    <x v="2"/>
    <x v="120"/>
  </r>
  <r>
    <s v="AZUMI Vincent"/>
    <x v="1"/>
    <s v="MKS Gdańsk"/>
    <n v="2"/>
    <x v="3"/>
    <x v="0"/>
    <x v="31"/>
  </r>
  <r>
    <s v="AZUMI Vincent"/>
    <x v="1"/>
    <s v="MKS Gdańsk"/>
    <n v="2"/>
    <x v="3"/>
    <x v="1"/>
    <x v="31"/>
  </r>
  <r>
    <s v="AZUMI Vincent"/>
    <x v="1"/>
    <s v="MKS Gdańsk"/>
    <n v="2"/>
    <x v="3"/>
    <x v="2"/>
    <x v="31"/>
  </r>
  <r>
    <s v="AZUMI Vincent"/>
    <x v="1"/>
    <s v="MKS Gdańsk"/>
    <n v="2"/>
    <x v="4"/>
    <x v="0"/>
    <x v="139"/>
  </r>
  <r>
    <s v="AZUMI Vincent"/>
    <x v="1"/>
    <s v="MKS Gdańsk"/>
    <n v="2"/>
    <x v="4"/>
    <x v="1"/>
    <x v="248"/>
  </r>
  <r>
    <s v="AZUMI Vincent"/>
    <x v="1"/>
    <s v="MKS Gdańsk"/>
    <n v="2"/>
    <x v="4"/>
    <x v="2"/>
    <x v="115"/>
  </r>
  <r>
    <s v="AZUMI Vincent"/>
    <x v="1"/>
    <s v="MKS Gdańsk"/>
    <n v="2"/>
    <x v="5"/>
    <x v="0"/>
    <x v="31"/>
  </r>
  <r>
    <s v="AZUMI Vincent"/>
    <x v="1"/>
    <s v="MKS Gdańsk"/>
    <n v="2"/>
    <x v="5"/>
    <x v="1"/>
    <x v="31"/>
  </r>
  <r>
    <s v="AZUMI Vincent"/>
    <x v="1"/>
    <s v="MKS Gdańsk"/>
    <n v="2"/>
    <x v="5"/>
    <x v="2"/>
    <x v="31"/>
  </r>
  <r>
    <s v="SZCZUBIAŁ Bartłomiej"/>
    <x v="1"/>
    <s v="KS AZS AWF Kraków"/>
    <n v="1"/>
    <x v="0"/>
    <x v="0"/>
    <x v="113"/>
  </r>
  <r>
    <s v="SZCZUBIAŁ Bartłomiej"/>
    <x v="1"/>
    <s v="KS AZS AWF Kraków"/>
    <n v="1"/>
    <x v="0"/>
    <x v="1"/>
    <x v="1"/>
  </r>
  <r>
    <s v="SZCZUBIAŁ Bartłomiej"/>
    <x v="1"/>
    <s v="KS AZS AWF Kraków"/>
    <n v="1"/>
    <x v="0"/>
    <x v="2"/>
    <x v="127"/>
  </r>
  <r>
    <s v="SZCZUBIAŁ Bartłomiej"/>
    <x v="1"/>
    <s v="KS AZS AWF Kraków"/>
    <n v="1"/>
    <x v="1"/>
    <x v="0"/>
    <x v="31"/>
  </r>
  <r>
    <s v="SZCZUBIAŁ Bartłomiej"/>
    <x v="1"/>
    <s v="KS AZS AWF Kraków"/>
    <n v="1"/>
    <x v="1"/>
    <x v="1"/>
    <x v="31"/>
  </r>
  <r>
    <s v="SZCZUBIAŁ Bartłomiej"/>
    <x v="1"/>
    <s v="KS AZS AWF Kraków"/>
    <n v="1"/>
    <x v="1"/>
    <x v="2"/>
    <x v="31"/>
  </r>
  <r>
    <s v="SZCZUBIAŁ Bartłomiej"/>
    <x v="1"/>
    <s v="KS AZS AWF Kraków"/>
    <n v="1"/>
    <x v="2"/>
    <x v="0"/>
    <x v="31"/>
  </r>
  <r>
    <s v="SZCZUBIAŁ Bartłomiej"/>
    <x v="1"/>
    <s v="KS AZS AWF Kraków"/>
    <n v="1"/>
    <x v="2"/>
    <x v="1"/>
    <x v="31"/>
  </r>
  <r>
    <s v="SZCZUBIAŁ Bartłomiej"/>
    <x v="1"/>
    <s v="KS AZS AWF Kraków"/>
    <n v="1"/>
    <x v="2"/>
    <x v="2"/>
    <x v="31"/>
  </r>
  <r>
    <s v="SZCZUBIAŁ Bartłomiej"/>
    <x v="1"/>
    <s v="KS AZS AWF Kraków"/>
    <n v="1"/>
    <x v="3"/>
    <x v="0"/>
    <x v="31"/>
  </r>
  <r>
    <s v="SZCZUBIAŁ Bartłomiej"/>
    <x v="1"/>
    <s v="KS AZS AWF Kraków"/>
    <n v="1"/>
    <x v="3"/>
    <x v="1"/>
    <x v="31"/>
  </r>
  <r>
    <s v="SZCZUBIAŁ Bartłomiej"/>
    <x v="1"/>
    <s v="KS AZS AWF Kraków"/>
    <n v="1"/>
    <x v="3"/>
    <x v="2"/>
    <x v="31"/>
  </r>
  <r>
    <s v="SZCZUBIAŁ Bartłomiej"/>
    <x v="1"/>
    <s v="KS AZS AWF Kraków"/>
    <n v="1"/>
    <x v="4"/>
    <x v="0"/>
    <x v="113"/>
  </r>
  <r>
    <s v="SZCZUBIAŁ Bartłomiej"/>
    <x v="1"/>
    <s v="KS AZS AWF Kraków"/>
    <n v="1"/>
    <x v="4"/>
    <x v="1"/>
    <x v="1"/>
  </r>
  <r>
    <s v="SZCZUBIAŁ Bartłomiej"/>
    <x v="1"/>
    <s v="KS AZS AWF Kraków"/>
    <n v="1"/>
    <x v="4"/>
    <x v="2"/>
    <x v="127"/>
  </r>
  <r>
    <s v="SZCZUBIAŁ Bartłomiej"/>
    <x v="1"/>
    <s v="KS AZS AWF Kraków"/>
    <n v="1"/>
    <x v="5"/>
    <x v="0"/>
    <x v="31"/>
  </r>
  <r>
    <s v="SZCZUBIAŁ Bartłomiej"/>
    <x v="1"/>
    <s v="KS AZS AWF Kraków"/>
    <n v="1"/>
    <x v="5"/>
    <x v="1"/>
    <x v="31"/>
  </r>
  <r>
    <s v="SZCZUBIAŁ Bartłomiej"/>
    <x v="1"/>
    <s v="KS AZS AWF Kraków"/>
    <n v="1"/>
    <x v="5"/>
    <x v="2"/>
    <x v="31"/>
  </r>
  <r>
    <s v="MARCZEWSKI Stanisław"/>
    <x v="1"/>
    <s v="MKS Gdańsk"/>
    <n v="1"/>
    <x v="0"/>
    <x v="0"/>
    <x v="174"/>
  </r>
  <r>
    <s v="MARCZEWSKI Stanisław"/>
    <x v="1"/>
    <s v="MKS Gdańsk"/>
    <n v="1"/>
    <x v="0"/>
    <x v="1"/>
    <x v="78"/>
  </r>
  <r>
    <s v="MARCZEWSKI Stanisław"/>
    <x v="1"/>
    <s v="MKS Gdańsk"/>
    <n v="1"/>
    <x v="0"/>
    <x v="2"/>
    <x v="111"/>
  </r>
  <r>
    <s v="MARCZEWSKI Stanisław"/>
    <x v="1"/>
    <s v="MKS Gdańsk"/>
    <n v="1"/>
    <x v="1"/>
    <x v="0"/>
    <x v="31"/>
  </r>
  <r>
    <s v="MARCZEWSKI Stanisław"/>
    <x v="1"/>
    <s v="MKS Gdańsk"/>
    <n v="1"/>
    <x v="1"/>
    <x v="1"/>
    <x v="31"/>
  </r>
  <r>
    <s v="MARCZEWSKI Stanisław"/>
    <x v="1"/>
    <s v="MKS Gdańsk"/>
    <n v="1"/>
    <x v="1"/>
    <x v="2"/>
    <x v="31"/>
  </r>
  <r>
    <s v="MARCZEWSKI Stanisław"/>
    <x v="1"/>
    <s v="MKS Gdańsk"/>
    <n v="1"/>
    <x v="2"/>
    <x v="0"/>
    <x v="31"/>
  </r>
  <r>
    <s v="MARCZEWSKI Stanisław"/>
    <x v="1"/>
    <s v="MKS Gdańsk"/>
    <n v="1"/>
    <x v="2"/>
    <x v="1"/>
    <x v="31"/>
  </r>
  <r>
    <s v="MARCZEWSKI Stanisław"/>
    <x v="1"/>
    <s v="MKS Gdańsk"/>
    <n v="1"/>
    <x v="2"/>
    <x v="2"/>
    <x v="31"/>
  </r>
  <r>
    <s v="MARCZEWSKI Stanisław"/>
    <x v="1"/>
    <s v="MKS Gdańsk"/>
    <n v="1"/>
    <x v="3"/>
    <x v="0"/>
    <x v="31"/>
  </r>
  <r>
    <s v="MARCZEWSKI Stanisław"/>
    <x v="1"/>
    <s v="MKS Gdańsk"/>
    <n v="1"/>
    <x v="3"/>
    <x v="1"/>
    <x v="31"/>
  </r>
  <r>
    <s v="MARCZEWSKI Stanisław"/>
    <x v="1"/>
    <s v="MKS Gdańsk"/>
    <n v="1"/>
    <x v="3"/>
    <x v="2"/>
    <x v="31"/>
  </r>
  <r>
    <s v="MARCZEWSKI Stanisław"/>
    <x v="1"/>
    <s v="MKS Gdańsk"/>
    <n v="1"/>
    <x v="4"/>
    <x v="0"/>
    <x v="174"/>
  </r>
  <r>
    <s v="MARCZEWSKI Stanisław"/>
    <x v="1"/>
    <s v="MKS Gdańsk"/>
    <n v="1"/>
    <x v="4"/>
    <x v="1"/>
    <x v="78"/>
  </r>
  <r>
    <s v="MARCZEWSKI Stanisław"/>
    <x v="1"/>
    <s v="MKS Gdańsk"/>
    <n v="1"/>
    <x v="4"/>
    <x v="2"/>
    <x v="111"/>
  </r>
  <r>
    <s v="MARCZEWSKI Stanisław"/>
    <x v="1"/>
    <s v="MKS Gdańsk"/>
    <n v="1"/>
    <x v="5"/>
    <x v="0"/>
    <x v="31"/>
  </r>
  <r>
    <s v="MARCZEWSKI Stanisław"/>
    <x v="1"/>
    <s v="MKS Gdańsk"/>
    <n v="1"/>
    <x v="5"/>
    <x v="1"/>
    <x v="31"/>
  </r>
  <r>
    <s v="MARCZEWSKI Stanisław"/>
    <x v="1"/>
    <s v="MKS Gdańsk"/>
    <n v="1"/>
    <x v="5"/>
    <x v="2"/>
    <x v="31"/>
  </r>
  <r>
    <s v="MYSZI Dominik"/>
    <x v="1"/>
    <s v="KG Radlin"/>
    <n v="1"/>
    <x v="0"/>
    <x v="0"/>
    <x v="243"/>
  </r>
  <r>
    <s v="MYSZI Dominik"/>
    <x v="1"/>
    <s v="KG Radlin"/>
    <n v="1"/>
    <x v="0"/>
    <x v="1"/>
    <x v="197"/>
  </r>
  <r>
    <s v="MYSZI Dominik"/>
    <x v="1"/>
    <s v="KG Radlin"/>
    <n v="1"/>
    <x v="0"/>
    <x v="2"/>
    <x v="114"/>
  </r>
  <r>
    <s v="MYSZI Dominik"/>
    <x v="1"/>
    <s v="KG Radlin"/>
    <n v="1"/>
    <x v="1"/>
    <x v="0"/>
    <x v="31"/>
  </r>
  <r>
    <s v="MYSZI Dominik"/>
    <x v="1"/>
    <s v="KG Radlin"/>
    <n v="1"/>
    <x v="1"/>
    <x v="1"/>
    <x v="31"/>
  </r>
  <r>
    <s v="MYSZI Dominik"/>
    <x v="1"/>
    <s v="KG Radlin"/>
    <n v="1"/>
    <x v="1"/>
    <x v="2"/>
    <x v="31"/>
  </r>
  <r>
    <s v="MYSZI Dominik"/>
    <x v="1"/>
    <s v="KG Radlin"/>
    <n v="1"/>
    <x v="2"/>
    <x v="0"/>
    <x v="31"/>
  </r>
  <r>
    <s v="MYSZI Dominik"/>
    <x v="1"/>
    <s v="KG Radlin"/>
    <n v="1"/>
    <x v="2"/>
    <x v="1"/>
    <x v="31"/>
  </r>
  <r>
    <s v="MYSZI Dominik"/>
    <x v="1"/>
    <s v="KG Radlin"/>
    <n v="1"/>
    <x v="2"/>
    <x v="2"/>
    <x v="31"/>
  </r>
  <r>
    <s v="MYSZI Dominik"/>
    <x v="1"/>
    <s v="KG Radlin"/>
    <n v="1"/>
    <x v="3"/>
    <x v="0"/>
    <x v="31"/>
  </r>
  <r>
    <s v="MYSZI Dominik"/>
    <x v="1"/>
    <s v="KG Radlin"/>
    <n v="1"/>
    <x v="3"/>
    <x v="1"/>
    <x v="31"/>
  </r>
  <r>
    <s v="MYSZI Dominik"/>
    <x v="1"/>
    <s v="KG Radlin"/>
    <n v="1"/>
    <x v="3"/>
    <x v="2"/>
    <x v="31"/>
  </r>
  <r>
    <s v="MYSZI Dominik"/>
    <x v="1"/>
    <s v="KG Radlin"/>
    <n v="1"/>
    <x v="4"/>
    <x v="0"/>
    <x v="243"/>
  </r>
  <r>
    <s v="MYSZI Dominik"/>
    <x v="1"/>
    <s v="KG Radlin"/>
    <n v="1"/>
    <x v="4"/>
    <x v="1"/>
    <x v="197"/>
  </r>
  <r>
    <s v="MYSZI Dominik"/>
    <x v="1"/>
    <s v="KG Radlin"/>
    <n v="1"/>
    <x v="4"/>
    <x v="2"/>
    <x v="114"/>
  </r>
  <r>
    <s v="MYSZI Dominik"/>
    <x v="1"/>
    <s v="KG Radlin"/>
    <n v="1"/>
    <x v="5"/>
    <x v="0"/>
    <x v="31"/>
  </r>
  <r>
    <s v="MYSZI Dominik"/>
    <x v="1"/>
    <s v="KG Radlin"/>
    <n v="1"/>
    <x v="5"/>
    <x v="1"/>
    <x v="31"/>
  </r>
  <r>
    <s v="MYSZI Dominik"/>
    <x v="1"/>
    <s v="KG Radlin"/>
    <n v="1"/>
    <x v="5"/>
    <x v="2"/>
    <x v="31"/>
  </r>
  <r>
    <s v="KOLORZ Maks"/>
    <x v="1"/>
    <s v="KG Radlin"/>
    <n v="1"/>
    <x v="0"/>
    <x v="0"/>
    <x v="235"/>
  </r>
  <r>
    <s v="KOLORZ Maks"/>
    <x v="1"/>
    <s v="KG Radlin"/>
    <n v="1"/>
    <x v="0"/>
    <x v="1"/>
    <x v="1"/>
  </r>
  <r>
    <s v="KOLORZ Maks"/>
    <x v="1"/>
    <s v="KG Radlin"/>
    <n v="1"/>
    <x v="0"/>
    <x v="2"/>
    <x v="166"/>
  </r>
  <r>
    <s v="KOLORZ Maks"/>
    <x v="1"/>
    <s v="KG Radlin"/>
    <n v="1"/>
    <x v="1"/>
    <x v="0"/>
    <x v="31"/>
  </r>
  <r>
    <s v="KOLORZ Maks"/>
    <x v="1"/>
    <s v="KG Radlin"/>
    <n v="1"/>
    <x v="1"/>
    <x v="1"/>
    <x v="31"/>
  </r>
  <r>
    <s v="KOLORZ Maks"/>
    <x v="1"/>
    <s v="KG Radlin"/>
    <n v="1"/>
    <x v="1"/>
    <x v="2"/>
    <x v="31"/>
  </r>
  <r>
    <s v="KOLORZ Maks"/>
    <x v="1"/>
    <s v="KG Radlin"/>
    <n v="1"/>
    <x v="2"/>
    <x v="0"/>
    <x v="31"/>
  </r>
  <r>
    <s v="KOLORZ Maks"/>
    <x v="1"/>
    <s v="KG Radlin"/>
    <n v="1"/>
    <x v="2"/>
    <x v="1"/>
    <x v="31"/>
  </r>
  <r>
    <s v="KOLORZ Maks"/>
    <x v="1"/>
    <s v="KG Radlin"/>
    <n v="1"/>
    <x v="2"/>
    <x v="2"/>
    <x v="31"/>
  </r>
  <r>
    <s v="KOLORZ Maks"/>
    <x v="1"/>
    <s v="KG Radlin"/>
    <n v="1"/>
    <x v="3"/>
    <x v="0"/>
    <x v="31"/>
  </r>
  <r>
    <s v="KOLORZ Maks"/>
    <x v="1"/>
    <s v="KG Radlin"/>
    <n v="1"/>
    <x v="3"/>
    <x v="1"/>
    <x v="31"/>
  </r>
  <r>
    <s v="KOLORZ Maks"/>
    <x v="1"/>
    <s v="KG Radlin"/>
    <n v="1"/>
    <x v="3"/>
    <x v="2"/>
    <x v="31"/>
  </r>
  <r>
    <s v="KOLORZ Maks"/>
    <x v="1"/>
    <s v="KG Radlin"/>
    <n v="1"/>
    <x v="4"/>
    <x v="0"/>
    <x v="235"/>
  </r>
  <r>
    <s v="KOLORZ Maks"/>
    <x v="1"/>
    <s v="KG Radlin"/>
    <n v="1"/>
    <x v="4"/>
    <x v="1"/>
    <x v="1"/>
  </r>
  <r>
    <s v="KOLORZ Maks"/>
    <x v="1"/>
    <s v="KG Radlin"/>
    <n v="1"/>
    <x v="4"/>
    <x v="2"/>
    <x v="166"/>
  </r>
  <r>
    <s v="KOLORZ Maks"/>
    <x v="1"/>
    <s v="KG Radlin"/>
    <n v="1"/>
    <x v="5"/>
    <x v="0"/>
    <x v="31"/>
  </r>
  <r>
    <s v="KOLORZ Maks"/>
    <x v="1"/>
    <s v="KG Radlin"/>
    <n v="1"/>
    <x v="5"/>
    <x v="1"/>
    <x v="31"/>
  </r>
  <r>
    <s v="KOLORZ Maks"/>
    <x v="1"/>
    <s v="KG Radlin"/>
    <n v="1"/>
    <x v="5"/>
    <x v="2"/>
    <x v="31"/>
  </r>
  <r>
    <s v="RUS Gracjan"/>
    <x v="1"/>
    <s v="KG Radlin"/>
    <n v="1"/>
    <x v="0"/>
    <x v="0"/>
    <x v="249"/>
  </r>
  <r>
    <s v="RUS Gracjan"/>
    <x v="1"/>
    <s v="KG Radlin"/>
    <n v="1"/>
    <x v="0"/>
    <x v="1"/>
    <x v="187"/>
  </r>
  <r>
    <s v="RUS Gracjan"/>
    <x v="1"/>
    <s v="KG Radlin"/>
    <n v="1"/>
    <x v="0"/>
    <x v="2"/>
    <x v="52"/>
  </r>
  <r>
    <s v="RUS Gracjan"/>
    <x v="1"/>
    <s v="KG Radlin"/>
    <n v="1"/>
    <x v="1"/>
    <x v="0"/>
    <x v="31"/>
  </r>
  <r>
    <s v="RUS Gracjan"/>
    <x v="1"/>
    <s v="KG Radlin"/>
    <n v="1"/>
    <x v="1"/>
    <x v="1"/>
    <x v="31"/>
  </r>
  <r>
    <s v="RUS Gracjan"/>
    <x v="1"/>
    <s v="KG Radlin"/>
    <n v="1"/>
    <x v="1"/>
    <x v="2"/>
    <x v="31"/>
  </r>
  <r>
    <s v="RUS Gracjan"/>
    <x v="1"/>
    <s v="KG Radlin"/>
    <n v="1"/>
    <x v="2"/>
    <x v="0"/>
    <x v="31"/>
  </r>
  <r>
    <s v="RUS Gracjan"/>
    <x v="1"/>
    <s v="KG Radlin"/>
    <n v="1"/>
    <x v="2"/>
    <x v="1"/>
    <x v="31"/>
  </r>
  <r>
    <s v="RUS Gracjan"/>
    <x v="1"/>
    <s v="KG Radlin"/>
    <n v="1"/>
    <x v="2"/>
    <x v="2"/>
    <x v="31"/>
  </r>
  <r>
    <s v="RUS Gracjan"/>
    <x v="1"/>
    <s v="KG Radlin"/>
    <n v="1"/>
    <x v="3"/>
    <x v="0"/>
    <x v="31"/>
  </r>
  <r>
    <s v="RUS Gracjan"/>
    <x v="1"/>
    <s v="KG Radlin"/>
    <n v="1"/>
    <x v="3"/>
    <x v="1"/>
    <x v="31"/>
  </r>
  <r>
    <s v="RUS Gracjan"/>
    <x v="1"/>
    <s v="KG Radlin"/>
    <n v="1"/>
    <x v="3"/>
    <x v="2"/>
    <x v="31"/>
  </r>
  <r>
    <s v="RUS Gracjan"/>
    <x v="1"/>
    <s v="KG Radlin"/>
    <n v="1"/>
    <x v="4"/>
    <x v="0"/>
    <x v="249"/>
  </r>
  <r>
    <s v="RUS Gracjan"/>
    <x v="1"/>
    <s v="KG Radlin"/>
    <n v="1"/>
    <x v="4"/>
    <x v="1"/>
    <x v="187"/>
  </r>
  <r>
    <s v="RUS Gracjan"/>
    <x v="1"/>
    <s v="KG Radlin"/>
    <n v="1"/>
    <x v="4"/>
    <x v="2"/>
    <x v="52"/>
  </r>
  <r>
    <s v="RUS Gracjan"/>
    <x v="1"/>
    <s v="KG Radlin"/>
    <n v="1"/>
    <x v="5"/>
    <x v="0"/>
    <x v="31"/>
  </r>
  <r>
    <s v="RUS Gracjan"/>
    <x v="1"/>
    <s v="KG Radlin"/>
    <n v="1"/>
    <x v="5"/>
    <x v="1"/>
    <x v="31"/>
  </r>
  <r>
    <s v="RUS Gracjan"/>
    <x v="1"/>
    <s v="KG Radlin"/>
    <n v="1"/>
    <x v="5"/>
    <x v="2"/>
    <x v="31"/>
  </r>
  <r>
    <s v="SADZA Jakub"/>
    <x v="1"/>
    <s v="NTG Nysa"/>
    <n v="1"/>
    <x v="0"/>
    <x v="0"/>
    <x v="31"/>
  </r>
  <r>
    <s v="SADZA Jakub"/>
    <x v="1"/>
    <s v="NTG Nysa"/>
    <n v="1"/>
    <x v="0"/>
    <x v="1"/>
    <x v="31"/>
  </r>
  <r>
    <s v="SADZA Jakub"/>
    <x v="1"/>
    <s v="NTG Nysa"/>
    <n v="1"/>
    <x v="0"/>
    <x v="2"/>
    <x v="31"/>
  </r>
  <r>
    <s v="SADZA Jakub"/>
    <x v="1"/>
    <s v="NTG Nysa"/>
    <n v="1"/>
    <x v="1"/>
    <x v="0"/>
    <x v="31"/>
  </r>
  <r>
    <s v="SADZA Jakub"/>
    <x v="1"/>
    <s v="NTG Nysa"/>
    <n v="1"/>
    <x v="1"/>
    <x v="1"/>
    <x v="31"/>
  </r>
  <r>
    <s v="SADZA Jakub"/>
    <x v="1"/>
    <s v="NTG Nysa"/>
    <n v="1"/>
    <x v="1"/>
    <x v="2"/>
    <x v="31"/>
  </r>
  <r>
    <s v="SADZA Jakub"/>
    <x v="1"/>
    <s v="NTG Nysa"/>
    <n v="1"/>
    <x v="2"/>
    <x v="0"/>
    <x v="161"/>
  </r>
  <r>
    <s v="SADZA Jakub"/>
    <x v="1"/>
    <s v="NTG Nysa"/>
    <n v="1"/>
    <x v="2"/>
    <x v="1"/>
    <x v="112"/>
  </r>
  <r>
    <s v="SADZA Jakub"/>
    <x v="1"/>
    <s v="NTG Nysa"/>
    <n v="1"/>
    <x v="2"/>
    <x v="2"/>
    <x v="209"/>
  </r>
  <r>
    <s v="SADZA Jakub"/>
    <x v="1"/>
    <s v="NTG Nysa"/>
    <n v="1"/>
    <x v="3"/>
    <x v="0"/>
    <x v="31"/>
  </r>
  <r>
    <s v="SADZA Jakub"/>
    <x v="1"/>
    <s v="NTG Nysa"/>
    <n v="1"/>
    <x v="3"/>
    <x v="1"/>
    <x v="31"/>
  </r>
  <r>
    <s v="SADZA Jakub"/>
    <x v="1"/>
    <s v="NTG Nysa"/>
    <n v="1"/>
    <x v="3"/>
    <x v="2"/>
    <x v="31"/>
  </r>
  <r>
    <s v="SADZA Jakub"/>
    <x v="1"/>
    <s v="NTG Nysa"/>
    <n v="1"/>
    <x v="4"/>
    <x v="0"/>
    <x v="161"/>
  </r>
  <r>
    <s v="SADZA Jakub"/>
    <x v="1"/>
    <s v="NTG Nysa"/>
    <n v="1"/>
    <x v="4"/>
    <x v="1"/>
    <x v="112"/>
  </r>
  <r>
    <s v="SADZA Jakub"/>
    <x v="1"/>
    <s v="NTG Nysa"/>
    <n v="1"/>
    <x v="4"/>
    <x v="2"/>
    <x v="209"/>
  </r>
  <r>
    <s v="SADZA Jakub"/>
    <x v="1"/>
    <s v="NTG Nysa"/>
    <n v="1"/>
    <x v="5"/>
    <x v="0"/>
    <x v="31"/>
  </r>
  <r>
    <s v="SADZA Jakub"/>
    <x v="1"/>
    <s v="NTG Nysa"/>
    <n v="1"/>
    <x v="5"/>
    <x v="1"/>
    <x v="31"/>
  </r>
  <r>
    <s v="SADZA Jakub"/>
    <x v="1"/>
    <s v="NTG Nysa"/>
    <n v="1"/>
    <x v="5"/>
    <x v="2"/>
    <x v="31"/>
  </r>
  <r>
    <s v="ŁUCKI Miłosz"/>
    <x v="1"/>
    <s v="KG Radlin"/>
    <n v="1"/>
    <x v="0"/>
    <x v="0"/>
    <x v="31"/>
  </r>
  <r>
    <s v="ŁUCKI Miłosz"/>
    <x v="1"/>
    <s v="KG Radlin"/>
    <n v="1"/>
    <x v="0"/>
    <x v="1"/>
    <x v="31"/>
  </r>
  <r>
    <s v="ŁUCKI Miłosz"/>
    <x v="1"/>
    <s v="KG Radlin"/>
    <n v="1"/>
    <x v="0"/>
    <x v="2"/>
    <x v="31"/>
  </r>
  <r>
    <s v="ŁUCKI Miłosz"/>
    <x v="1"/>
    <s v="KG Radlin"/>
    <n v="1"/>
    <x v="1"/>
    <x v="0"/>
    <x v="31"/>
  </r>
  <r>
    <s v="ŁUCKI Miłosz"/>
    <x v="1"/>
    <s v="KG Radlin"/>
    <n v="1"/>
    <x v="1"/>
    <x v="1"/>
    <x v="31"/>
  </r>
  <r>
    <s v="ŁUCKI Miłosz"/>
    <x v="1"/>
    <s v="KG Radlin"/>
    <n v="1"/>
    <x v="1"/>
    <x v="2"/>
    <x v="31"/>
  </r>
  <r>
    <s v="ŁUCKI Miłosz"/>
    <x v="1"/>
    <s v="KG Radlin"/>
    <n v="1"/>
    <x v="2"/>
    <x v="0"/>
    <x v="216"/>
  </r>
  <r>
    <s v="ŁUCKI Miłosz"/>
    <x v="1"/>
    <s v="KG Radlin"/>
    <n v="1"/>
    <x v="2"/>
    <x v="1"/>
    <x v="62"/>
  </r>
  <r>
    <s v="ŁUCKI Miłosz"/>
    <x v="1"/>
    <s v="KG Radlin"/>
    <n v="1"/>
    <x v="2"/>
    <x v="2"/>
    <x v="250"/>
  </r>
  <r>
    <s v="ŁUCKI Miłosz"/>
    <x v="1"/>
    <s v="KG Radlin"/>
    <n v="1"/>
    <x v="3"/>
    <x v="0"/>
    <x v="31"/>
  </r>
  <r>
    <s v="ŁUCKI Miłosz"/>
    <x v="1"/>
    <s v="KG Radlin"/>
    <n v="1"/>
    <x v="3"/>
    <x v="1"/>
    <x v="31"/>
  </r>
  <r>
    <s v="ŁUCKI Miłosz"/>
    <x v="1"/>
    <s v="KG Radlin"/>
    <n v="1"/>
    <x v="3"/>
    <x v="2"/>
    <x v="31"/>
  </r>
  <r>
    <s v="ŁUCKI Miłosz"/>
    <x v="1"/>
    <s v="KG Radlin"/>
    <n v="1"/>
    <x v="4"/>
    <x v="0"/>
    <x v="216"/>
  </r>
  <r>
    <s v="ŁUCKI Miłosz"/>
    <x v="1"/>
    <s v="KG Radlin"/>
    <n v="1"/>
    <x v="4"/>
    <x v="1"/>
    <x v="62"/>
  </r>
  <r>
    <s v="ŁUCKI Miłosz"/>
    <x v="1"/>
    <s v="KG Radlin"/>
    <n v="1"/>
    <x v="4"/>
    <x v="2"/>
    <x v="250"/>
  </r>
  <r>
    <s v="ŁUCKI Miłosz"/>
    <x v="1"/>
    <s v="KG Radlin"/>
    <n v="1"/>
    <x v="5"/>
    <x v="0"/>
    <x v="31"/>
  </r>
  <r>
    <s v="ŁUCKI Miłosz"/>
    <x v="1"/>
    <s v="KG Radlin"/>
    <n v="1"/>
    <x v="5"/>
    <x v="1"/>
    <x v="31"/>
  </r>
  <r>
    <s v="ŁUCKI Miłosz"/>
    <x v="1"/>
    <s v="KG Radlin"/>
    <n v="1"/>
    <x v="5"/>
    <x v="2"/>
    <x v="31"/>
  </r>
  <r>
    <s v="KLIMCZUK Michał"/>
    <x v="1"/>
    <s v="MKS Gdańsk"/>
    <n v="1"/>
    <x v="0"/>
    <x v="0"/>
    <x v="31"/>
  </r>
  <r>
    <s v="KLIMCZUK Michał"/>
    <x v="1"/>
    <s v="MKS Gdańsk"/>
    <n v="1"/>
    <x v="0"/>
    <x v="1"/>
    <x v="31"/>
  </r>
  <r>
    <s v="KLIMCZUK Michał"/>
    <x v="1"/>
    <s v="MKS Gdańsk"/>
    <n v="1"/>
    <x v="0"/>
    <x v="2"/>
    <x v="31"/>
  </r>
  <r>
    <s v="KLIMCZUK Michał"/>
    <x v="1"/>
    <s v="MKS Gdańsk"/>
    <n v="1"/>
    <x v="1"/>
    <x v="0"/>
    <x v="31"/>
  </r>
  <r>
    <s v="KLIMCZUK Michał"/>
    <x v="1"/>
    <s v="MKS Gdańsk"/>
    <n v="1"/>
    <x v="1"/>
    <x v="1"/>
    <x v="31"/>
  </r>
  <r>
    <s v="KLIMCZUK Michał"/>
    <x v="1"/>
    <s v="MKS Gdańsk"/>
    <n v="1"/>
    <x v="1"/>
    <x v="2"/>
    <x v="31"/>
  </r>
  <r>
    <s v="KLIMCZUK Michał"/>
    <x v="1"/>
    <s v="MKS Gdańsk"/>
    <n v="1"/>
    <x v="2"/>
    <x v="0"/>
    <x v="31"/>
  </r>
  <r>
    <s v="KLIMCZUK Michał"/>
    <x v="1"/>
    <s v="MKS Gdańsk"/>
    <n v="1"/>
    <x v="2"/>
    <x v="1"/>
    <x v="31"/>
  </r>
  <r>
    <s v="KLIMCZUK Michał"/>
    <x v="1"/>
    <s v="MKS Gdańsk"/>
    <n v="1"/>
    <x v="2"/>
    <x v="2"/>
    <x v="31"/>
  </r>
  <r>
    <s v="KLIMCZUK Michał"/>
    <x v="1"/>
    <s v="MKS Gdańsk"/>
    <n v="1"/>
    <x v="3"/>
    <x v="0"/>
    <x v="46"/>
  </r>
  <r>
    <s v="KLIMCZUK Michał"/>
    <x v="1"/>
    <s v="MKS Gdańsk"/>
    <n v="1"/>
    <x v="3"/>
    <x v="1"/>
    <x v="145"/>
  </r>
  <r>
    <s v="KLIMCZUK Michał"/>
    <x v="1"/>
    <s v="MKS Gdańsk"/>
    <n v="1"/>
    <x v="3"/>
    <x v="2"/>
    <x v="111"/>
  </r>
  <r>
    <s v="KLIMCZUK Michał"/>
    <x v="1"/>
    <s v="MKS Gdańsk"/>
    <n v="1"/>
    <x v="4"/>
    <x v="0"/>
    <x v="46"/>
  </r>
  <r>
    <s v="KLIMCZUK Michał"/>
    <x v="1"/>
    <s v="MKS Gdańsk"/>
    <n v="1"/>
    <x v="4"/>
    <x v="1"/>
    <x v="145"/>
  </r>
  <r>
    <s v="KLIMCZUK Michał"/>
    <x v="1"/>
    <s v="MKS Gdańsk"/>
    <n v="1"/>
    <x v="4"/>
    <x v="2"/>
    <x v="111"/>
  </r>
  <r>
    <s v="KLIMCZUK Michał"/>
    <x v="1"/>
    <s v="MKS Gdańsk"/>
    <n v="1"/>
    <x v="5"/>
    <x v="0"/>
    <x v="31"/>
  </r>
  <r>
    <s v="KLIMCZUK Michał"/>
    <x v="1"/>
    <s v="MKS Gdańsk"/>
    <n v="1"/>
    <x v="5"/>
    <x v="1"/>
    <x v="31"/>
  </r>
  <r>
    <s v="KLIMCZUK Michał"/>
    <x v="1"/>
    <s v="MKS Gdańsk"/>
    <n v="1"/>
    <x v="5"/>
    <x v="2"/>
    <x v="31"/>
  </r>
  <r>
    <s v="KUBALA Kacper"/>
    <x v="1"/>
    <s v="MKS Gdańsk"/>
    <n v="1"/>
    <x v="0"/>
    <x v="0"/>
    <x v="31"/>
  </r>
  <r>
    <s v="KUBALA Kacper"/>
    <x v="1"/>
    <s v="MKS Gdańsk"/>
    <n v="1"/>
    <x v="0"/>
    <x v="1"/>
    <x v="31"/>
  </r>
  <r>
    <s v="KUBALA Kacper"/>
    <x v="1"/>
    <s v="MKS Gdańsk"/>
    <n v="1"/>
    <x v="0"/>
    <x v="2"/>
    <x v="31"/>
  </r>
  <r>
    <s v="KUBALA Kacper"/>
    <x v="1"/>
    <s v="MKS Gdańsk"/>
    <n v="1"/>
    <x v="1"/>
    <x v="0"/>
    <x v="31"/>
  </r>
  <r>
    <s v="KUBALA Kacper"/>
    <x v="1"/>
    <s v="MKS Gdańsk"/>
    <n v="1"/>
    <x v="1"/>
    <x v="1"/>
    <x v="31"/>
  </r>
  <r>
    <s v="KUBALA Kacper"/>
    <x v="1"/>
    <s v="MKS Gdańsk"/>
    <n v="1"/>
    <x v="1"/>
    <x v="2"/>
    <x v="31"/>
  </r>
  <r>
    <s v="KUBALA Kacper"/>
    <x v="1"/>
    <s v="MKS Gdańsk"/>
    <n v="1"/>
    <x v="2"/>
    <x v="0"/>
    <x v="31"/>
  </r>
  <r>
    <s v="KUBALA Kacper"/>
    <x v="1"/>
    <s v="MKS Gdańsk"/>
    <n v="1"/>
    <x v="2"/>
    <x v="1"/>
    <x v="31"/>
  </r>
  <r>
    <s v="KUBALA Kacper"/>
    <x v="1"/>
    <s v="MKS Gdańsk"/>
    <n v="1"/>
    <x v="2"/>
    <x v="2"/>
    <x v="31"/>
  </r>
  <r>
    <s v="KUBALA Kacper"/>
    <x v="1"/>
    <s v="MKS Gdańsk"/>
    <n v="1"/>
    <x v="3"/>
    <x v="0"/>
    <x v="174"/>
  </r>
  <r>
    <s v="KUBALA Kacper"/>
    <x v="1"/>
    <s v="MKS Gdańsk"/>
    <n v="1"/>
    <x v="3"/>
    <x v="1"/>
    <x v="251"/>
  </r>
  <r>
    <s v="KUBALA Kacper"/>
    <x v="1"/>
    <s v="MKS Gdańsk"/>
    <n v="1"/>
    <x v="3"/>
    <x v="2"/>
    <x v="217"/>
  </r>
  <r>
    <s v="KUBALA Kacper"/>
    <x v="1"/>
    <s v="MKS Gdańsk"/>
    <n v="1"/>
    <x v="4"/>
    <x v="0"/>
    <x v="174"/>
  </r>
  <r>
    <s v="KUBALA Kacper"/>
    <x v="1"/>
    <s v="MKS Gdańsk"/>
    <n v="1"/>
    <x v="4"/>
    <x v="1"/>
    <x v="251"/>
  </r>
  <r>
    <s v="KUBALA Kacper"/>
    <x v="1"/>
    <s v="MKS Gdańsk"/>
    <n v="1"/>
    <x v="4"/>
    <x v="2"/>
    <x v="217"/>
  </r>
  <r>
    <s v="KUBALA Kacper"/>
    <x v="1"/>
    <s v="MKS Gdańsk"/>
    <n v="1"/>
    <x v="5"/>
    <x v="0"/>
    <x v="31"/>
  </r>
  <r>
    <s v="KUBALA Kacper"/>
    <x v="1"/>
    <s v="MKS Gdańsk"/>
    <n v="1"/>
    <x v="5"/>
    <x v="1"/>
    <x v="31"/>
  </r>
  <r>
    <s v="KUBALA Kacper"/>
    <x v="1"/>
    <s v="MKS Gdańsk"/>
    <n v="1"/>
    <x v="5"/>
    <x v="2"/>
    <x v="3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4">
  <r>
    <s v="SZYMCZYK Radosław"/>
    <x v="0"/>
    <s v="33928"/>
    <s v="KS AZS AWF Kraków"/>
    <n v="3"/>
    <x v="0"/>
    <x v="0"/>
    <x v="0"/>
  </r>
  <r>
    <s v="SZYMCZYK Radosław"/>
    <x v="0"/>
    <s v="33928"/>
    <s v="KS AZS AWF Kraków"/>
    <n v="3"/>
    <x v="0"/>
    <x v="1"/>
    <x v="1"/>
  </r>
  <r>
    <s v="SZYMCZYK Radosław"/>
    <x v="0"/>
    <s v="33928"/>
    <s v="KS AZS AWF Kraków"/>
    <n v="3"/>
    <x v="0"/>
    <x v="2"/>
    <x v="2"/>
  </r>
  <r>
    <s v="SZYMCZYK Radosław"/>
    <x v="0"/>
    <s v="33928"/>
    <s v="KS AZS AWF Kraków"/>
    <n v="3"/>
    <x v="1"/>
    <x v="0"/>
    <x v="3"/>
  </r>
  <r>
    <s v="SZYMCZYK Radosław"/>
    <x v="0"/>
    <s v="33928"/>
    <s v="KS AZS AWF Kraków"/>
    <n v="3"/>
    <x v="1"/>
    <x v="1"/>
    <x v="4"/>
  </r>
  <r>
    <s v="SZYMCZYK Radosław"/>
    <x v="0"/>
    <s v="33928"/>
    <s v="KS AZS AWF Kraków"/>
    <n v="3"/>
    <x v="1"/>
    <x v="2"/>
    <x v="5"/>
  </r>
  <r>
    <s v="SZYMCZYK Radosław"/>
    <x v="0"/>
    <s v="33928"/>
    <s v="KS AZS AWF Kraków"/>
    <n v="3"/>
    <x v="2"/>
    <x v="0"/>
    <x v="3"/>
  </r>
  <r>
    <s v="SZYMCZYK Radosław"/>
    <x v="0"/>
    <s v="33928"/>
    <s v="KS AZS AWF Kraków"/>
    <n v="3"/>
    <x v="2"/>
    <x v="1"/>
    <x v="6"/>
  </r>
  <r>
    <s v="SZYMCZYK Radosław"/>
    <x v="0"/>
    <s v="33928"/>
    <s v="KS AZS AWF Kraków"/>
    <n v="3"/>
    <x v="2"/>
    <x v="2"/>
    <x v="7"/>
  </r>
  <r>
    <s v="SZYMCZYK Radosław"/>
    <x v="0"/>
    <s v="33928"/>
    <s v="KS AZS AWF Kraków"/>
    <n v="3"/>
    <x v="3"/>
    <x v="0"/>
    <x v="8"/>
  </r>
  <r>
    <s v="SZYMCZYK Radosław"/>
    <x v="0"/>
    <s v="33928"/>
    <s v="KS AZS AWF Kraków"/>
    <n v="3"/>
    <x v="3"/>
    <x v="1"/>
    <x v="8"/>
  </r>
  <r>
    <s v="SZYMCZYK Radosław"/>
    <x v="0"/>
    <s v="33928"/>
    <s v="KS AZS AWF Kraków"/>
    <n v="3"/>
    <x v="3"/>
    <x v="2"/>
    <x v="8"/>
  </r>
  <r>
    <s v="SZYMCZYK Radosław"/>
    <x v="0"/>
    <s v="33928"/>
    <s v="KS AZS AWF Kraków"/>
    <n v="3"/>
    <x v="4"/>
    <x v="0"/>
    <x v="9"/>
  </r>
  <r>
    <s v="SZYMCZYK Radosław"/>
    <x v="0"/>
    <s v="33928"/>
    <s v="KS AZS AWF Kraków"/>
    <n v="3"/>
    <x v="4"/>
    <x v="1"/>
    <x v="10"/>
  </r>
  <r>
    <s v="SZYMCZYK Radosław"/>
    <x v="0"/>
    <s v="33928"/>
    <s v="KS AZS AWF Kraków"/>
    <n v="3"/>
    <x v="4"/>
    <x v="2"/>
    <x v="11"/>
  </r>
  <r>
    <s v="SZYMCZYK Radosław"/>
    <x v="0"/>
    <s v="33928"/>
    <s v="KS AZS AWF Kraków"/>
    <n v="3"/>
    <x v="5"/>
    <x v="0"/>
    <x v="12"/>
  </r>
  <r>
    <s v="SZYMCZYK Radosław"/>
    <x v="0"/>
    <s v="33928"/>
    <s v="KS AZS AWF Kraków"/>
    <n v="3"/>
    <x v="5"/>
    <x v="1"/>
    <x v="13"/>
  </r>
  <r>
    <s v="SZYMCZYK Radosław"/>
    <x v="0"/>
    <s v="33928"/>
    <s v="KS AZS AWF Kraków"/>
    <n v="3"/>
    <x v="5"/>
    <x v="2"/>
    <x v="14"/>
  </r>
  <r>
    <s v="GARNCZAREK Kacper"/>
    <x v="0"/>
    <s v="32211"/>
    <s v="KS AZS AWF Katowice"/>
    <n v="3"/>
    <x v="0"/>
    <x v="0"/>
    <x v="8"/>
  </r>
  <r>
    <s v="GARNCZAREK Kacper"/>
    <x v="0"/>
    <s v="32211"/>
    <s v="KS AZS AWF Katowice"/>
    <n v="3"/>
    <x v="0"/>
    <x v="1"/>
    <x v="8"/>
  </r>
  <r>
    <s v="GARNCZAREK Kacper"/>
    <x v="0"/>
    <s v="32211"/>
    <s v="KS AZS AWF Katowice"/>
    <n v="3"/>
    <x v="0"/>
    <x v="2"/>
    <x v="8"/>
  </r>
  <r>
    <s v="GARNCZAREK Kacper"/>
    <x v="0"/>
    <s v="32211"/>
    <s v="KS AZS AWF Katowice"/>
    <n v="3"/>
    <x v="1"/>
    <x v="0"/>
    <x v="15"/>
  </r>
  <r>
    <s v="GARNCZAREK Kacper"/>
    <x v="0"/>
    <s v="32211"/>
    <s v="KS AZS AWF Katowice"/>
    <n v="3"/>
    <x v="1"/>
    <x v="1"/>
    <x v="16"/>
  </r>
  <r>
    <s v="GARNCZAREK Kacper"/>
    <x v="0"/>
    <s v="32211"/>
    <s v="KS AZS AWF Katowice"/>
    <n v="3"/>
    <x v="1"/>
    <x v="2"/>
    <x v="5"/>
  </r>
  <r>
    <s v="GARNCZAREK Kacper"/>
    <x v="0"/>
    <s v="32211"/>
    <s v="KS AZS AWF Katowice"/>
    <n v="3"/>
    <x v="2"/>
    <x v="0"/>
    <x v="17"/>
  </r>
  <r>
    <s v="GARNCZAREK Kacper"/>
    <x v="0"/>
    <s v="32211"/>
    <s v="KS AZS AWF Katowice"/>
    <n v="3"/>
    <x v="2"/>
    <x v="1"/>
    <x v="18"/>
  </r>
  <r>
    <s v="GARNCZAREK Kacper"/>
    <x v="0"/>
    <s v="32211"/>
    <s v="KS AZS AWF Katowice"/>
    <n v="3"/>
    <x v="2"/>
    <x v="2"/>
    <x v="19"/>
  </r>
  <r>
    <s v="GARNCZAREK Kacper"/>
    <x v="0"/>
    <s v="32211"/>
    <s v="KS AZS AWF Katowice"/>
    <n v="3"/>
    <x v="3"/>
    <x v="0"/>
    <x v="15"/>
  </r>
  <r>
    <s v="GARNCZAREK Kacper"/>
    <x v="0"/>
    <s v="32211"/>
    <s v="KS AZS AWF Katowice"/>
    <n v="3"/>
    <x v="3"/>
    <x v="1"/>
    <x v="20"/>
  </r>
  <r>
    <s v="GARNCZAREK Kacper"/>
    <x v="0"/>
    <s v="32211"/>
    <s v="KS AZS AWF Katowice"/>
    <n v="3"/>
    <x v="3"/>
    <x v="2"/>
    <x v="21"/>
  </r>
  <r>
    <s v="GARNCZAREK Kacper"/>
    <x v="0"/>
    <s v="32211"/>
    <s v="KS AZS AWF Katowice"/>
    <n v="3"/>
    <x v="4"/>
    <x v="0"/>
    <x v="22"/>
  </r>
  <r>
    <s v="GARNCZAREK Kacper"/>
    <x v="0"/>
    <s v="32211"/>
    <s v="KS AZS AWF Katowice"/>
    <n v="3"/>
    <x v="4"/>
    <x v="1"/>
    <x v="23"/>
  </r>
  <r>
    <s v="GARNCZAREK Kacper"/>
    <x v="0"/>
    <s v="32211"/>
    <s v="KS AZS AWF Katowice"/>
    <n v="3"/>
    <x v="4"/>
    <x v="2"/>
    <x v="24"/>
  </r>
  <r>
    <s v="GARNCZAREK Kacper"/>
    <x v="0"/>
    <s v="32211"/>
    <s v="KS AZS AWF Katowice"/>
    <n v="3"/>
    <x v="5"/>
    <x v="0"/>
    <x v="25"/>
  </r>
  <r>
    <s v="GARNCZAREK Kacper"/>
    <x v="0"/>
    <s v="32211"/>
    <s v="KS AZS AWF Katowice"/>
    <n v="3"/>
    <x v="5"/>
    <x v="1"/>
    <x v="26"/>
  </r>
  <r>
    <s v="GARNCZAREK Kacper"/>
    <x v="0"/>
    <s v="32211"/>
    <s v="KS AZS AWF Katowice"/>
    <n v="3"/>
    <x v="5"/>
    <x v="2"/>
    <x v="27"/>
  </r>
  <r>
    <s v="JAKUBOWSKI Jakub"/>
    <x v="0"/>
    <s v="33661"/>
    <s v="KS AZS AWFiS Gdańsk"/>
    <n v="4"/>
    <x v="0"/>
    <x v="0"/>
    <x v="28"/>
  </r>
  <r>
    <s v="JAKUBOWSKI Jakub"/>
    <x v="0"/>
    <s v="33661"/>
    <s v="KS AZS AWFiS Gdańsk"/>
    <n v="4"/>
    <x v="0"/>
    <x v="1"/>
    <x v="29"/>
  </r>
  <r>
    <s v="JAKUBOWSKI Jakub"/>
    <x v="0"/>
    <s v="33661"/>
    <s v="KS AZS AWFiS Gdańsk"/>
    <n v="4"/>
    <x v="0"/>
    <x v="2"/>
    <x v="21"/>
  </r>
  <r>
    <s v="JAKUBOWSKI Jakub"/>
    <x v="0"/>
    <s v="33661"/>
    <s v="KS AZS AWFiS Gdańsk"/>
    <n v="4"/>
    <x v="1"/>
    <x v="0"/>
    <x v="0"/>
  </r>
  <r>
    <s v="JAKUBOWSKI Jakub"/>
    <x v="0"/>
    <s v="33661"/>
    <s v="KS AZS AWFiS Gdańsk"/>
    <n v="4"/>
    <x v="1"/>
    <x v="1"/>
    <x v="30"/>
  </r>
  <r>
    <s v="JAKUBOWSKI Jakub"/>
    <x v="0"/>
    <s v="33661"/>
    <s v="KS AZS AWFiS Gdańsk"/>
    <n v="4"/>
    <x v="1"/>
    <x v="2"/>
    <x v="31"/>
  </r>
  <r>
    <s v="JAKUBOWSKI Jakub"/>
    <x v="0"/>
    <s v="33661"/>
    <s v="KS AZS AWFiS Gdańsk"/>
    <n v="4"/>
    <x v="2"/>
    <x v="0"/>
    <x v="32"/>
  </r>
  <r>
    <s v="JAKUBOWSKI Jakub"/>
    <x v="0"/>
    <s v="33661"/>
    <s v="KS AZS AWFiS Gdańsk"/>
    <n v="4"/>
    <x v="2"/>
    <x v="1"/>
    <x v="33"/>
  </r>
  <r>
    <s v="JAKUBOWSKI Jakub"/>
    <x v="0"/>
    <s v="33661"/>
    <s v="KS AZS AWFiS Gdańsk"/>
    <n v="4"/>
    <x v="2"/>
    <x v="2"/>
    <x v="34"/>
  </r>
  <r>
    <s v="JAKUBOWSKI Jakub"/>
    <x v="0"/>
    <s v="33661"/>
    <s v="KS AZS AWFiS Gdańsk"/>
    <n v="4"/>
    <x v="3"/>
    <x v="0"/>
    <x v="28"/>
  </r>
  <r>
    <s v="JAKUBOWSKI Jakub"/>
    <x v="0"/>
    <s v="33661"/>
    <s v="KS AZS AWFiS Gdańsk"/>
    <n v="4"/>
    <x v="3"/>
    <x v="1"/>
    <x v="35"/>
  </r>
  <r>
    <s v="JAKUBOWSKI Jakub"/>
    <x v="0"/>
    <s v="33661"/>
    <s v="KS AZS AWFiS Gdańsk"/>
    <n v="4"/>
    <x v="3"/>
    <x v="2"/>
    <x v="9"/>
  </r>
  <r>
    <s v="JAKUBOWSKI Jakub"/>
    <x v="0"/>
    <s v="33661"/>
    <s v="KS AZS AWFiS Gdańsk"/>
    <n v="4"/>
    <x v="4"/>
    <x v="0"/>
    <x v="36"/>
  </r>
  <r>
    <s v="JAKUBOWSKI Jakub"/>
    <x v="0"/>
    <s v="33661"/>
    <s v="KS AZS AWFiS Gdańsk"/>
    <n v="4"/>
    <x v="4"/>
    <x v="1"/>
    <x v="37"/>
  </r>
  <r>
    <s v="JAKUBOWSKI Jakub"/>
    <x v="0"/>
    <s v="33661"/>
    <s v="KS AZS AWFiS Gdańsk"/>
    <n v="4"/>
    <x v="4"/>
    <x v="2"/>
    <x v="38"/>
  </r>
  <r>
    <s v="JAKUBOWSKI Jakub"/>
    <x v="0"/>
    <s v="33661"/>
    <s v="KS AZS AWFiS Gdańsk"/>
    <n v="4"/>
    <x v="5"/>
    <x v="0"/>
    <x v="0"/>
  </r>
  <r>
    <s v="JAKUBOWSKI Jakub"/>
    <x v="0"/>
    <s v="33661"/>
    <s v="KS AZS AWFiS Gdańsk"/>
    <n v="4"/>
    <x v="5"/>
    <x v="1"/>
    <x v="30"/>
  </r>
  <r>
    <s v="JAKUBOWSKI Jakub"/>
    <x v="0"/>
    <s v="33661"/>
    <s v="KS AZS AWFiS Gdańsk"/>
    <n v="4"/>
    <x v="5"/>
    <x v="2"/>
    <x v="39"/>
  </r>
  <r>
    <s v="KUROWSKI Jakub"/>
    <x v="0"/>
    <s v="30190"/>
    <s v="MKS Kusy Szczecin"/>
    <n v="3"/>
    <x v="0"/>
    <x v="0"/>
    <x v="8"/>
  </r>
  <r>
    <s v="KUROWSKI Jakub"/>
    <x v="0"/>
    <s v="30190"/>
    <s v="MKS Kusy Szczecin"/>
    <n v="3"/>
    <x v="0"/>
    <x v="1"/>
    <x v="8"/>
  </r>
  <r>
    <s v="KUROWSKI Jakub"/>
    <x v="0"/>
    <s v="30190"/>
    <s v="MKS Kusy Szczecin"/>
    <n v="3"/>
    <x v="0"/>
    <x v="2"/>
    <x v="8"/>
  </r>
  <r>
    <s v="KUROWSKI Jakub"/>
    <x v="0"/>
    <s v="30190"/>
    <s v="MKS Kusy Szczecin"/>
    <n v="3"/>
    <x v="1"/>
    <x v="0"/>
    <x v="28"/>
  </r>
  <r>
    <s v="KUROWSKI Jakub"/>
    <x v="0"/>
    <s v="30190"/>
    <s v="MKS Kusy Szczecin"/>
    <n v="3"/>
    <x v="1"/>
    <x v="1"/>
    <x v="40"/>
  </r>
  <r>
    <s v="KUROWSKI Jakub"/>
    <x v="0"/>
    <s v="30190"/>
    <s v="MKS Kusy Szczecin"/>
    <n v="3"/>
    <x v="1"/>
    <x v="2"/>
    <x v="41"/>
  </r>
  <r>
    <s v="KUROWSKI Jakub"/>
    <x v="0"/>
    <s v="30190"/>
    <s v="MKS Kusy Szczecin"/>
    <n v="3"/>
    <x v="2"/>
    <x v="0"/>
    <x v="28"/>
  </r>
  <r>
    <s v="KUROWSKI Jakub"/>
    <x v="0"/>
    <s v="30190"/>
    <s v="MKS Kusy Szczecin"/>
    <n v="3"/>
    <x v="2"/>
    <x v="1"/>
    <x v="33"/>
  </r>
  <r>
    <s v="KUROWSKI Jakub"/>
    <x v="0"/>
    <s v="30190"/>
    <s v="MKS Kusy Szczecin"/>
    <n v="3"/>
    <x v="2"/>
    <x v="2"/>
    <x v="31"/>
  </r>
  <r>
    <s v="KUROWSKI Jakub"/>
    <x v="0"/>
    <s v="30190"/>
    <s v="MKS Kusy Szczecin"/>
    <n v="3"/>
    <x v="3"/>
    <x v="0"/>
    <x v="42"/>
  </r>
  <r>
    <s v="KUROWSKI Jakub"/>
    <x v="0"/>
    <s v="30190"/>
    <s v="MKS Kusy Szczecin"/>
    <n v="3"/>
    <x v="3"/>
    <x v="1"/>
    <x v="16"/>
  </r>
  <r>
    <s v="KUROWSKI Jakub"/>
    <x v="0"/>
    <s v="30190"/>
    <s v="MKS Kusy Szczecin"/>
    <n v="3"/>
    <x v="3"/>
    <x v="2"/>
    <x v="43"/>
  </r>
  <r>
    <s v="KUROWSKI Jakub"/>
    <x v="0"/>
    <s v="30190"/>
    <s v="MKS Kusy Szczecin"/>
    <n v="3"/>
    <x v="4"/>
    <x v="0"/>
    <x v="44"/>
  </r>
  <r>
    <s v="KUROWSKI Jakub"/>
    <x v="0"/>
    <s v="30190"/>
    <s v="MKS Kusy Szczecin"/>
    <n v="3"/>
    <x v="4"/>
    <x v="1"/>
    <x v="45"/>
  </r>
  <r>
    <s v="KUROWSKI Jakub"/>
    <x v="0"/>
    <s v="30190"/>
    <s v="MKS Kusy Szczecin"/>
    <n v="3"/>
    <x v="4"/>
    <x v="2"/>
    <x v="46"/>
  </r>
  <r>
    <s v="KUROWSKI Jakub"/>
    <x v="0"/>
    <s v="30190"/>
    <s v="MKS Kusy Szczecin"/>
    <n v="3"/>
    <x v="5"/>
    <x v="0"/>
    <x v="47"/>
  </r>
  <r>
    <s v="KUROWSKI Jakub"/>
    <x v="0"/>
    <s v="30190"/>
    <s v="MKS Kusy Szczecin"/>
    <n v="3"/>
    <x v="5"/>
    <x v="1"/>
    <x v="48"/>
  </r>
  <r>
    <s v="KUROWSKI Jakub"/>
    <x v="0"/>
    <s v="30190"/>
    <s v="MKS Kusy Szczecin"/>
    <n v="3"/>
    <x v="5"/>
    <x v="2"/>
    <x v="49"/>
  </r>
  <r>
    <s v="SASNAL Filip"/>
    <x v="0"/>
    <s v="32804"/>
    <s v="KS AZS AWF Kraków"/>
    <n v="4"/>
    <x v="0"/>
    <x v="0"/>
    <x v="50"/>
  </r>
  <r>
    <s v="SASNAL Filip"/>
    <x v="0"/>
    <s v="32804"/>
    <s v="KS AZS AWF Kraków"/>
    <n v="4"/>
    <x v="0"/>
    <x v="1"/>
    <x v="29"/>
  </r>
  <r>
    <s v="SASNAL Filip"/>
    <x v="0"/>
    <s v="32804"/>
    <s v="KS AZS AWF Kraków"/>
    <n v="4"/>
    <x v="0"/>
    <x v="2"/>
    <x v="51"/>
  </r>
  <r>
    <s v="SASNAL Filip"/>
    <x v="0"/>
    <s v="32804"/>
    <s v="KS AZS AWF Kraków"/>
    <n v="4"/>
    <x v="1"/>
    <x v="0"/>
    <x v="52"/>
  </r>
  <r>
    <s v="SASNAL Filip"/>
    <x v="0"/>
    <s v="32804"/>
    <s v="KS AZS AWF Kraków"/>
    <n v="4"/>
    <x v="1"/>
    <x v="1"/>
    <x v="53"/>
  </r>
  <r>
    <s v="SASNAL Filip"/>
    <x v="0"/>
    <s v="32804"/>
    <s v="KS AZS AWF Kraków"/>
    <n v="4"/>
    <x v="1"/>
    <x v="2"/>
    <x v="54"/>
  </r>
  <r>
    <s v="SASNAL Filip"/>
    <x v="0"/>
    <s v="32804"/>
    <s v="KS AZS AWF Kraków"/>
    <n v="4"/>
    <x v="2"/>
    <x v="0"/>
    <x v="50"/>
  </r>
  <r>
    <s v="SASNAL Filip"/>
    <x v="0"/>
    <s v="32804"/>
    <s v="KS AZS AWF Kraków"/>
    <n v="4"/>
    <x v="2"/>
    <x v="1"/>
    <x v="55"/>
  </r>
  <r>
    <s v="SASNAL Filip"/>
    <x v="0"/>
    <s v="32804"/>
    <s v="KS AZS AWF Kraków"/>
    <n v="4"/>
    <x v="2"/>
    <x v="2"/>
    <x v="9"/>
  </r>
  <r>
    <s v="SASNAL Filip"/>
    <x v="0"/>
    <s v="32804"/>
    <s v="KS AZS AWF Kraków"/>
    <n v="4"/>
    <x v="3"/>
    <x v="0"/>
    <x v="50"/>
  </r>
  <r>
    <s v="SASNAL Filip"/>
    <x v="0"/>
    <s v="32804"/>
    <s v="KS AZS AWF Kraków"/>
    <n v="4"/>
    <x v="3"/>
    <x v="1"/>
    <x v="56"/>
  </r>
  <r>
    <s v="SASNAL Filip"/>
    <x v="0"/>
    <s v="32804"/>
    <s v="KS AZS AWF Kraków"/>
    <n v="4"/>
    <x v="3"/>
    <x v="2"/>
    <x v="57"/>
  </r>
  <r>
    <s v="SASNAL Filip"/>
    <x v="0"/>
    <s v="32804"/>
    <s v="KS AZS AWF Kraków"/>
    <n v="4"/>
    <x v="4"/>
    <x v="0"/>
    <x v="58"/>
  </r>
  <r>
    <s v="SASNAL Filip"/>
    <x v="0"/>
    <s v="32804"/>
    <s v="KS AZS AWF Kraków"/>
    <n v="4"/>
    <x v="4"/>
    <x v="1"/>
    <x v="59"/>
  </r>
  <r>
    <s v="SASNAL Filip"/>
    <x v="0"/>
    <s v="32804"/>
    <s v="KS AZS AWF Kraków"/>
    <n v="4"/>
    <x v="4"/>
    <x v="2"/>
    <x v="60"/>
  </r>
  <r>
    <s v="SASNAL Filip"/>
    <x v="0"/>
    <s v="32804"/>
    <s v="KS AZS AWF Kraków"/>
    <n v="4"/>
    <x v="5"/>
    <x v="0"/>
    <x v="61"/>
  </r>
  <r>
    <s v="SASNAL Filip"/>
    <x v="0"/>
    <s v="32804"/>
    <s v="KS AZS AWF Kraków"/>
    <n v="4"/>
    <x v="5"/>
    <x v="1"/>
    <x v="62"/>
  </r>
  <r>
    <s v="SASNAL Filip"/>
    <x v="0"/>
    <s v="32804"/>
    <s v="KS AZS AWF Kraków"/>
    <n v="4"/>
    <x v="5"/>
    <x v="2"/>
    <x v="63"/>
  </r>
  <r>
    <s v="BRACKI Borys"/>
    <x v="0"/>
    <s v="32570"/>
    <s v="KS AZS AWF Katowice"/>
    <n v="4"/>
    <x v="0"/>
    <x v="0"/>
    <x v="47"/>
  </r>
  <r>
    <s v="BRACKI Borys"/>
    <x v="0"/>
    <s v="32570"/>
    <s v="KS AZS AWF Katowice"/>
    <n v="4"/>
    <x v="0"/>
    <x v="1"/>
    <x v="64"/>
  </r>
  <r>
    <s v="BRACKI Borys"/>
    <x v="0"/>
    <s v="32570"/>
    <s v="KS AZS AWF Katowice"/>
    <n v="4"/>
    <x v="0"/>
    <x v="2"/>
    <x v="65"/>
  </r>
  <r>
    <s v="BRACKI Borys"/>
    <x v="0"/>
    <s v="32570"/>
    <s v="KS AZS AWF Katowice"/>
    <n v="4"/>
    <x v="1"/>
    <x v="0"/>
    <x v="66"/>
  </r>
  <r>
    <s v="BRACKI Borys"/>
    <x v="0"/>
    <s v="32570"/>
    <s v="KS AZS AWF Katowice"/>
    <n v="4"/>
    <x v="1"/>
    <x v="1"/>
    <x v="67"/>
  </r>
  <r>
    <s v="BRACKI Borys"/>
    <x v="0"/>
    <s v="32570"/>
    <s v="KS AZS AWF Katowice"/>
    <n v="4"/>
    <x v="1"/>
    <x v="2"/>
    <x v="44"/>
  </r>
  <r>
    <s v="BRACKI Borys"/>
    <x v="0"/>
    <s v="32570"/>
    <s v="KS AZS AWF Katowice"/>
    <n v="4"/>
    <x v="2"/>
    <x v="0"/>
    <x v="47"/>
  </r>
  <r>
    <s v="BRACKI Borys"/>
    <x v="0"/>
    <s v="32570"/>
    <s v="KS AZS AWF Katowice"/>
    <n v="4"/>
    <x v="2"/>
    <x v="1"/>
    <x v="33"/>
  </r>
  <r>
    <s v="BRACKI Borys"/>
    <x v="0"/>
    <s v="32570"/>
    <s v="KS AZS AWF Katowice"/>
    <n v="4"/>
    <x v="2"/>
    <x v="2"/>
    <x v="68"/>
  </r>
  <r>
    <s v="BRACKI Borys"/>
    <x v="0"/>
    <s v="32570"/>
    <s v="KS AZS AWF Katowice"/>
    <n v="4"/>
    <x v="3"/>
    <x v="0"/>
    <x v="66"/>
  </r>
  <r>
    <s v="BRACKI Borys"/>
    <x v="0"/>
    <s v="32570"/>
    <s v="KS AZS AWF Katowice"/>
    <n v="4"/>
    <x v="3"/>
    <x v="1"/>
    <x v="67"/>
  </r>
  <r>
    <s v="BRACKI Borys"/>
    <x v="0"/>
    <s v="32570"/>
    <s v="KS AZS AWF Katowice"/>
    <n v="4"/>
    <x v="3"/>
    <x v="2"/>
    <x v="44"/>
  </r>
  <r>
    <s v="BRACKI Borys"/>
    <x v="0"/>
    <s v="32570"/>
    <s v="KS AZS AWF Katowice"/>
    <n v="4"/>
    <x v="4"/>
    <x v="0"/>
    <x v="39"/>
  </r>
  <r>
    <s v="BRACKI Borys"/>
    <x v="0"/>
    <s v="32570"/>
    <s v="KS AZS AWF Katowice"/>
    <n v="4"/>
    <x v="4"/>
    <x v="1"/>
    <x v="69"/>
  </r>
  <r>
    <s v="BRACKI Borys"/>
    <x v="0"/>
    <s v="32570"/>
    <s v="KS AZS AWF Katowice"/>
    <n v="4"/>
    <x v="4"/>
    <x v="2"/>
    <x v="70"/>
  </r>
  <r>
    <s v="BRACKI Borys"/>
    <x v="0"/>
    <s v="32570"/>
    <s v="KS AZS AWF Katowice"/>
    <n v="4"/>
    <x v="5"/>
    <x v="0"/>
    <x v="71"/>
  </r>
  <r>
    <s v="BRACKI Borys"/>
    <x v="0"/>
    <s v="32570"/>
    <s v="KS AZS AWF Katowice"/>
    <n v="4"/>
    <x v="5"/>
    <x v="1"/>
    <x v="72"/>
  </r>
  <r>
    <s v="BRACKI Borys"/>
    <x v="0"/>
    <s v="32570"/>
    <s v="KS AZS AWF Katowice"/>
    <n v="4"/>
    <x v="5"/>
    <x v="2"/>
    <x v="73"/>
  </r>
  <r>
    <s v="BOBER Michał"/>
    <x v="0"/>
    <s v="33750"/>
    <s v="UKS SP7 Łódź"/>
    <n v="4"/>
    <x v="0"/>
    <x v="0"/>
    <x v="74"/>
  </r>
  <r>
    <s v="BOBER Michał"/>
    <x v="0"/>
    <s v="33750"/>
    <s v="UKS SP7 Łódź"/>
    <n v="4"/>
    <x v="0"/>
    <x v="1"/>
    <x v="30"/>
  </r>
  <r>
    <s v="BOBER Michał"/>
    <x v="0"/>
    <s v="33750"/>
    <s v="UKS SP7 Łódź"/>
    <n v="4"/>
    <x v="0"/>
    <x v="2"/>
    <x v="75"/>
  </r>
  <r>
    <s v="BOBER Michał"/>
    <x v="0"/>
    <s v="33750"/>
    <s v="UKS SP7 Łódź"/>
    <n v="4"/>
    <x v="1"/>
    <x v="0"/>
    <x v="28"/>
  </r>
  <r>
    <s v="BOBER Michał"/>
    <x v="0"/>
    <s v="33750"/>
    <s v="UKS SP7 Łódź"/>
    <n v="4"/>
    <x v="1"/>
    <x v="1"/>
    <x v="76"/>
  </r>
  <r>
    <s v="BOBER Michał"/>
    <x v="0"/>
    <s v="33750"/>
    <s v="UKS SP7 Łódź"/>
    <n v="4"/>
    <x v="1"/>
    <x v="2"/>
    <x v="77"/>
  </r>
  <r>
    <s v="BOBER Michał"/>
    <x v="0"/>
    <s v="33750"/>
    <s v="UKS SP7 Łódź"/>
    <n v="4"/>
    <x v="2"/>
    <x v="0"/>
    <x v="3"/>
  </r>
  <r>
    <s v="BOBER Michał"/>
    <x v="0"/>
    <s v="33750"/>
    <s v="UKS SP7 Łódź"/>
    <n v="4"/>
    <x v="2"/>
    <x v="1"/>
    <x v="55"/>
  </r>
  <r>
    <s v="BOBER Michał"/>
    <x v="0"/>
    <s v="33750"/>
    <s v="UKS SP7 Łódź"/>
    <n v="4"/>
    <x v="2"/>
    <x v="2"/>
    <x v="78"/>
  </r>
  <r>
    <s v="BOBER Michał"/>
    <x v="0"/>
    <s v="33750"/>
    <s v="UKS SP7 Łódź"/>
    <n v="4"/>
    <x v="3"/>
    <x v="0"/>
    <x v="79"/>
  </r>
  <r>
    <s v="BOBER Michał"/>
    <x v="0"/>
    <s v="33750"/>
    <s v="UKS SP7 Łódź"/>
    <n v="4"/>
    <x v="3"/>
    <x v="1"/>
    <x v="35"/>
  </r>
  <r>
    <s v="BOBER Michał"/>
    <x v="0"/>
    <s v="33750"/>
    <s v="UKS SP7 Łódź"/>
    <n v="4"/>
    <x v="3"/>
    <x v="2"/>
    <x v="78"/>
  </r>
  <r>
    <s v="BOBER Michał"/>
    <x v="0"/>
    <s v="33750"/>
    <s v="UKS SP7 Łódź"/>
    <n v="4"/>
    <x v="4"/>
    <x v="0"/>
    <x v="80"/>
  </r>
  <r>
    <s v="BOBER Michał"/>
    <x v="0"/>
    <s v="33750"/>
    <s v="UKS SP7 Łódź"/>
    <n v="4"/>
    <x v="4"/>
    <x v="1"/>
    <x v="81"/>
  </r>
  <r>
    <s v="BOBER Michał"/>
    <x v="0"/>
    <s v="33750"/>
    <s v="UKS SP7 Łódź"/>
    <n v="4"/>
    <x v="4"/>
    <x v="2"/>
    <x v="82"/>
  </r>
  <r>
    <s v="BOBER Michał"/>
    <x v="0"/>
    <s v="33750"/>
    <s v="UKS SP7 Łódź"/>
    <n v="4"/>
    <x v="5"/>
    <x v="0"/>
    <x v="83"/>
  </r>
  <r>
    <s v="BOBER Michał"/>
    <x v="0"/>
    <s v="33750"/>
    <s v="UKS SP7 Łódź"/>
    <n v="4"/>
    <x v="5"/>
    <x v="1"/>
    <x v="84"/>
  </r>
  <r>
    <s v="BOBER Michał"/>
    <x v="0"/>
    <s v="33750"/>
    <s v="UKS SP7 Łódź"/>
    <n v="4"/>
    <x v="5"/>
    <x v="2"/>
    <x v="85"/>
  </r>
  <r>
    <s v="LUDYNIA Marceli"/>
    <x v="0"/>
    <s v="32213"/>
    <s v="KS AZS AWF Katowice"/>
    <n v="4"/>
    <x v="0"/>
    <x v="0"/>
    <x v="86"/>
  </r>
  <r>
    <s v="LUDYNIA Marceli"/>
    <x v="0"/>
    <s v="32213"/>
    <s v="KS AZS AWF Katowice"/>
    <n v="4"/>
    <x v="0"/>
    <x v="1"/>
    <x v="87"/>
  </r>
  <r>
    <s v="LUDYNIA Marceli"/>
    <x v="0"/>
    <s v="32213"/>
    <s v="KS AZS AWF Katowice"/>
    <n v="4"/>
    <x v="0"/>
    <x v="2"/>
    <x v="88"/>
  </r>
  <r>
    <s v="LUDYNIA Marceli"/>
    <x v="0"/>
    <s v="32213"/>
    <s v="KS AZS AWF Katowice"/>
    <n v="4"/>
    <x v="1"/>
    <x v="0"/>
    <x v="86"/>
  </r>
  <r>
    <s v="LUDYNIA Marceli"/>
    <x v="0"/>
    <s v="32213"/>
    <s v="KS AZS AWF Katowice"/>
    <n v="4"/>
    <x v="1"/>
    <x v="1"/>
    <x v="89"/>
  </r>
  <r>
    <s v="LUDYNIA Marceli"/>
    <x v="0"/>
    <s v="32213"/>
    <s v="KS AZS AWF Katowice"/>
    <n v="4"/>
    <x v="1"/>
    <x v="2"/>
    <x v="90"/>
  </r>
  <r>
    <s v="LUDYNIA Marceli"/>
    <x v="0"/>
    <s v="32213"/>
    <s v="KS AZS AWF Katowice"/>
    <n v="4"/>
    <x v="2"/>
    <x v="0"/>
    <x v="79"/>
  </r>
  <r>
    <s v="LUDYNIA Marceli"/>
    <x v="0"/>
    <s v="32213"/>
    <s v="KS AZS AWF Katowice"/>
    <n v="4"/>
    <x v="2"/>
    <x v="1"/>
    <x v="91"/>
  </r>
  <r>
    <s v="LUDYNIA Marceli"/>
    <x v="0"/>
    <s v="32213"/>
    <s v="KS AZS AWF Katowice"/>
    <n v="4"/>
    <x v="2"/>
    <x v="2"/>
    <x v="92"/>
  </r>
  <r>
    <s v="LUDYNIA Marceli"/>
    <x v="0"/>
    <s v="32213"/>
    <s v="KS AZS AWF Katowice"/>
    <n v="4"/>
    <x v="3"/>
    <x v="0"/>
    <x v="93"/>
  </r>
  <r>
    <s v="LUDYNIA Marceli"/>
    <x v="0"/>
    <s v="32213"/>
    <s v="KS AZS AWF Katowice"/>
    <n v="4"/>
    <x v="3"/>
    <x v="1"/>
    <x v="29"/>
  </r>
  <r>
    <s v="LUDYNIA Marceli"/>
    <x v="0"/>
    <s v="32213"/>
    <s v="KS AZS AWF Katowice"/>
    <n v="4"/>
    <x v="3"/>
    <x v="2"/>
    <x v="77"/>
  </r>
  <r>
    <s v="LUDYNIA Marceli"/>
    <x v="0"/>
    <s v="32213"/>
    <s v="KS AZS AWF Katowice"/>
    <n v="4"/>
    <x v="4"/>
    <x v="0"/>
    <x v="94"/>
  </r>
  <r>
    <s v="LUDYNIA Marceli"/>
    <x v="0"/>
    <s v="32213"/>
    <s v="KS AZS AWF Katowice"/>
    <n v="4"/>
    <x v="4"/>
    <x v="1"/>
    <x v="95"/>
  </r>
  <r>
    <s v="LUDYNIA Marceli"/>
    <x v="0"/>
    <s v="32213"/>
    <s v="KS AZS AWF Katowice"/>
    <n v="4"/>
    <x v="4"/>
    <x v="2"/>
    <x v="96"/>
  </r>
  <r>
    <s v="LUDYNIA Marceli"/>
    <x v="0"/>
    <s v="32213"/>
    <s v="KS AZS AWF Katowice"/>
    <n v="4"/>
    <x v="5"/>
    <x v="0"/>
    <x v="97"/>
  </r>
  <r>
    <s v="LUDYNIA Marceli"/>
    <x v="0"/>
    <s v="32213"/>
    <s v="KS AZS AWF Katowice"/>
    <n v="4"/>
    <x v="5"/>
    <x v="1"/>
    <x v="98"/>
  </r>
  <r>
    <s v="LUDYNIA Marceli"/>
    <x v="0"/>
    <s v="32213"/>
    <s v="KS AZS AWF Katowice"/>
    <n v="4"/>
    <x v="5"/>
    <x v="2"/>
    <x v="99"/>
  </r>
  <r>
    <s v="CHRUŚCIEL Szymon"/>
    <x v="0"/>
    <s v="33132"/>
    <s v="KS AZS AWF Kraków"/>
    <n v="4"/>
    <x v="0"/>
    <x v="0"/>
    <x v="42"/>
  </r>
  <r>
    <s v="CHRUŚCIEL Szymon"/>
    <x v="0"/>
    <s v="33132"/>
    <s v="KS AZS AWF Kraków"/>
    <n v="4"/>
    <x v="0"/>
    <x v="1"/>
    <x v="100"/>
  </r>
  <r>
    <s v="CHRUŚCIEL Szymon"/>
    <x v="0"/>
    <s v="33132"/>
    <s v="KS AZS AWF Kraków"/>
    <n v="4"/>
    <x v="0"/>
    <x v="2"/>
    <x v="88"/>
  </r>
  <r>
    <s v="CHRUŚCIEL Szymon"/>
    <x v="0"/>
    <s v="33132"/>
    <s v="KS AZS AWF Kraków"/>
    <n v="4"/>
    <x v="1"/>
    <x v="0"/>
    <x v="42"/>
  </r>
  <r>
    <s v="CHRUŚCIEL Szymon"/>
    <x v="0"/>
    <s v="33132"/>
    <s v="KS AZS AWF Kraków"/>
    <n v="4"/>
    <x v="1"/>
    <x v="1"/>
    <x v="101"/>
  </r>
  <r>
    <s v="CHRUŚCIEL Szymon"/>
    <x v="0"/>
    <s v="33132"/>
    <s v="KS AZS AWF Kraków"/>
    <n v="4"/>
    <x v="1"/>
    <x v="2"/>
    <x v="102"/>
  </r>
  <r>
    <s v="CHRUŚCIEL Szymon"/>
    <x v="0"/>
    <s v="33132"/>
    <s v="KS AZS AWF Kraków"/>
    <n v="4"/>
    <x v="2"/>
    <x v="0"/>
    <x v="42"/>
  </r>
  <r>
    <s v="CHRUŚCIEL Szymon"/>
    <x v="0"/>
    <s v="33132"/>
    <s v="KS AZS AWF Kraków"/>
    <n v="4"/>
    <x v="2"/>
    <x v="1"/>
    <x v="52"/>
  </r>
  <r>
    <s v="CHRUŚCIEL Szymon"/>
    <x v="0"/>
    <s v="33132"/>
    <s v="KS AZS AWF Kraków"/>
    <n v="4"/>
    <x v="2"/>
    <x v="2"/>
    <x v="30"/>
  </r>
  <r>
    <s v="CHRUŚCIEL Szymon"/>
    <x v="0"/>
    <s v="33132"/>
    <s v="KS AZS AWF Kraków"/>
    <n v="4"/>
    <x v="3"/>
    <x v="0"/>
    <x v="103"/>
  </r>
  <r>
    <s v="CHRUŚCIEL Szymon"/>
    <x v="0"/>
    <s v="33132"/>
    <s v="KS AZS AWF Kraków"/>
    <n v="4"/>
    <x v="3"/>
    <x v="1"/>
    <x v="104"/>
  </r>
  <r>
    <s v="CHRUŚCIEL Szymon"/>
    <x v="0"/>
    <s v="33132"/>
    <s v="KS AZS AWF Kraków"/>
    <n v="4"/>
    <x v="3"/>
    <x v="2"/>
    <x v="105"/>
  </r>
  <r>
    <s v="CHRUŚCIEL Szymon"/>
    <x v="0"/>
    <s v="33132"/>
    <s v="KS AZS AWF Kraków"/>
    <n v="4"/>
    <x v="4"/>
    <x v="0"/>
    <x v="106"/>
  </r>
  <r>
    <s v="CHRUŚCIEL Szymon"/>
    <x v="0"/>
    <s v="33132"/>
    <s v="KS AZS AWF Kraków"/>
    <n v="4"/>
    <x v="4"/>
    <x v="1"/>
    <x v="107"/>
  </r>
  <r>
    <s v="CHRUŚCIEL Szymon"/>
    <x v="0"/>
    <s v="33132"/>
    <s v="KS AZS AWF Kraków"/>
    <n v="4"/>
    <x v="4"/>
    <x v="2"/>
    <x v="108"/>
  </r>
  <r>
    <s v="CHRUŚCIEL Szymon"/>
    <x v="0"/>
    <s v="33132"/>
    <s v="KS AZS AWF Kraków"/>
    <n v="4"/>
    <x v="5"/>
    <x v="0"/>
    <x v="109"/>
  </r>
  <r>
    <s v="CHRUŚCIEL Szymon"/>
    <x v="0"/>
    <s v="33132"/>
    <s v="KS AZS AWF Kraków"/>
    <n v="4"/>
    <x v="5"/>
    <x v="1"/>
    <x v="110"/>
  </r>
  <r>
    <s v="CHRUŚCIEL Szymon"/>
    <x v="0"/>
    <s v="33132"/>
    <s v="KS AZS AWF Kraków"/>
    <n v="4"/>
    <x v="5"/>
    <x v="2"/>
    <x v="111"/>
  </r>
  <r>
    <s v="LAKHIN Yaroslav"/>
    <x v="0"/>
    <s v="Z/2003/308"/>
    <s v="CWZS Zawisza KG Bydgoszcz"/>
    <n v="2"/>
    <x v="0"/>
    <x v="0"/>
    <x v="8"/>
  </r>
  <r>
    <s v="LAKHIN Yaroslav"/>
    <x v="0"/>
    <s v="Z/2003/308"/>
    <s v="CWZS Zawisza KG Bydgoszcz"/>
    <n v="2"/>
    <x v="0"/>
    <x v="1"/>
    <x v="8"/>
  </r>
  <r>
    <s v="LAKHIN Yaroslav"/>
    <x v="0"/>
    <s v="Z/2003/308"/>
    <s v="CWZS Zawisza KG Bydgoszcz"/>
    <n v="2"/>
    <x v="0"/>
    <x v="2"/>
    <x v="8"/>
  </r>
  <r>
    <s v="LAKHIN Yaroslav"/>
    <x v="0"/>
    <s v="Z/2003/308"/>
    <s v="CWZS Zawisza KG Bydgoszcz"/>
    <n v="2"/>
    <x v="1"/>
    <x v="0"/>
    <x v="32"/>
  </r>
  <r>
    <s v="LAKHIN Yaroslav"/>
    <x v="0"/>
    <s v="Z/2003/308"/>
    <s v="CWZS Zawisza KG Bydgoszcz"/>
    <n v="2"/>
    <x v="1"/>
    <x v="1"/>
    <x v="112"/>
  </r>
  <r>
    <s v="LAKHIN Yaroslav"/>
    <x v="0"/>
    <s v="Z/2003/308"/>
    <s v="CWZS Zawisza KG Bydgoszcz"/>
    <n v="2"/>
    <x v="1"/>
    <x v="2"/>
    <x v="113"/>
  </r>
  <r>
    <s v="LAKHIN Yaroslav"/>
    <x v="0"/>
    <s v="Z/2003/308"/>
    <s v="CWZS Zawisza KG Bydgoszcz"/>
    <n v="2"/>
    <x v="2"/>
    <x v="0"/>
    <x v="32"/>
  </r>
  <r>
    <s v="LAKHIN Yaroslav"/>
    <x v="0"/>
    <s v="Z/2003/308"/>
    <s v="CWZS Zawisza KG Bydgoszcz"/>
    <n v="2"/>
    <x v="2"/>
    <x v="1"/>
    <x v="114"/>
  </r>
  <r>
    <s v="LAKHIN Yaroslav"/>
    <x v="0"/>
    <s v="Z/2003/308"/>
    <s v="CWZS Zawisza KG Bydgoszcz"/>
    <n v="2"/>
    <x v="2"/>
    <x v="2"/>
    <x v="115"/>
  </r>
  <r>
    <s v="LAKHIN Yaroslav"/>
    <x v="0"/>
    <s v="Z/2003/308"/>
    <s v="CWZS Zawisza KG Bydgoszcz"/>
    <n v="2"/>
    <x v="3"/>
    <x v="0"/>
    <x v="8"/>
  </r>
  <r>
    <s v="LAKHIN Yaroslav"/>
    <x v="0"/>
    <s v="Z/2003/308"/>
    <s v="CWZS Zawisza KG Bydgoszcz"/>
    <n v="2"/>
    <x v="3"/>
    <x v="1"/>
    <x v="8"/>
  </r>
  <r>
    <s v="LAKHIN Yaroslav"/>
    <x v="0"/>
    <s v="Z/2003/308"/>
    <s v="CWZS Zawisza KG Bydgoszcz"/>
    <n v="2"/>
    <x v="3"/>
    <x v="2"/>
    <x v="8"/>
  </r>
  <r>
    <s v="LAKHIN Yaroslav"/>
    <x v="0"/>
    <s v="Z/2003/308"/>
    <s v="CWZS Zawisza KG Bydgoszcz"/>
    <n v="2"/>
    <x v="4"/>
    <x v="0"/>
    <x v="116"/>
  </r>
  <r>
    <s v="LAKHIN Yaroslav"/>
    <x v="0"/>
    <s v="Z/2003/308"/>
    <s v="CWZS Zawisza KG Bydgoszcz"/>
    <n v="2"/>
    <x v="4"/>
    <x v="1"/>
    <x v="117"/>
  </r>
  <r>
    <s v="LAKHIN Yaroslav"/>
    <x v="0"/>
    <s v="Z/2003/308"/>
    <s v="CWZS Zawisza KG Bydgoszcz"/>
    <n v="2"/>
    <x v="4"/>
    <x v="2"/>
    <x v="118"/>
  </r>
  <r>
    <s v="LAKHIN Yaroslav"/>
    <x v="0"/>
    <s v="Z/2003/308"/>
    <s v="CWZS Zawisza KG Bydgoszcz"/>
    <n v="2"/>
    <x v="5"/>
    <x v="0"/>
    <x v="8"/>
  </r>
  <r>
    <s v="LAKHIN Yaroslav"/>
    <x v="0"/>
    <s v="Z/2003/308"/>
    <s v="CWZS Zawisza KG Bydgoszcz"/>
    <n v="2"/>
    <x v="5"/>
    <x v="1"/>
    <x v="8"/>
  </r>
  <r>
    <s v="LAKHIN Yaroslav"/>
    <x v="0"/>
    <s v="Z/2003/308"/>
    <s v="CWZS Zawisza KG Bydgoszcz"/>
    <n v="2"/>
    <x v="5"/>
    <x v="2"/>
    <x v="8"/>
  </r>
  <r>
    <s v="KAŚKÓW Paweł"/>
    <x v="0"/>
    <s v="33059"/>
    <s v="KS AZS AWFiS Gdańsk"/>
    <n v="2"/>
    <x v="0"/>
    <x v="0"/>
    <x v="32"/>
  </r>
  <r>
    <s v="KAŚKÓW Paweł"/>
    <x v="0"/>
    <s v="33059"/>
    <s v="KS AZS AWFiS Gdańsk"/>
    <n v="2"/>
    <x v="0"/>
    <x v="1"/>
    <x v="33"/>
  </r>
  <r>
    <s v="KAŚKÓW Paweł"/>
    <x v="0"/>
    <s v="33059"/>
    <s v="KS AZS AWFiS Gdańsk"/>
    <n v="2"/>
    <x v="0"/>
    <x v="2"/>
    <x v="34"/>
  </r>
  <r>
    <s v="KAŚKÓW Paweł"/>
    <x v="0"/>
    <s v="33059"/>
    <s v="KS AZS AWFiS Gdańsk"/>
    <n v="2"/>
    <x v="1"/>
    <x v="0"/>
    <x v="8"/>
  </r>
  <r>
    <s v="KAŚKÓW Paweł"/>
    <x v="0"/>
    <s v="33059"/>
    <s v="KS AZS AWFiS Gdańsk"/>
    <n v="2"/>
    <x v="1"/>
    <x v="1"/>
    <x v="8"/>
  </r>
  <r>
    <s v="KAŚKÓW Paweł"/>
    <x v="0"/>
    <s v="33059"/>
    <s v="KS AZS AWFiS Gdańsk"/>
    <n v="2"/>
    <x v="1"/>
    <x v="2"/>
    <x v="8"/>
  </r>
  <r>
    <s v="KAŚKÓW Paweł"/>
    <x v="0"/>
    <s v="33059"/>
    <s v="KS AZS AWFiS Gdańsk"/>
    <n v="2"/>
    <x v="2"/>
    <x v="0"/>
    <x v="50"/>
  </r>
  <r>
    <s v="KAŚKÓW Paweł"/>
    <x v="0"/>
    <s v="33059"/>
    <s v="KS AZS AWFiS Gdańsk"/>
    <n v="2"/>
    <x v="2"/>
    <x v="1"/>
    <x v="119"/>
  </r>
  <r>
    <s v="KAŚKÓW Paweł"/>
    <x v="0"/>
    <s v="33059"/>
    <s v="KS AZS AWFiS Gdańsk"/>
    <n v="2"/>
    <x v="2"/>
    <x v="2"/>
    <x v="68"/>
  </r>
  <r>
    <s v="KAŚKÓW Paweł"/>
    <x v="0"/>
    <s v="33059"/>
    <s v="KS AZS AWFiS Gdańsk"/>
    <n v="2"/>
    <x v="3"/>
    <x v="0"/>
    <x v="8"/>
  </r>
  <r>
    <s v="KAŚKÓW Paweł"/>
    <x v="0"/>
    <s v="33059"/>
    <s v="KS AZS AWFiS Gdańsk"/>
    <n v="2"/>
    <x v="3"/>
    <x v="1"/>
    <x v="8"/>
  </r>
  <r>
    <s v="KAŚKÓW Paweł"/>
    <x v="0"/>
    <s v="33059"/>
    <s v="KS AZS AWFiS Gdańsk"/>
    <n v="2"/>
    <x v="3"/>
    <x v="2"/>
    <x v="8"/>
  </r>
  <r>
    <s v="KAŚKÓW Paweł"/>
    <x v="0"/>
    <s v="33059"/>
    <s v="KS AZS AWFiS Gdańsk"/>
    <n v="2"/>
    <x v="4"/>
    <x v="0"/>
    <x v="120"/>
  </r>
  <r>
    <s v="KAŚKÓW Paweł"/>
    <x v="0"/>
    <s v="33059"/>
    <s v="KS AZS AWFiS Gdańsk"/>
    <n v="2"/>
    <x v="4"/>
    <x v="1"/>
    <x v="121"/>
  </r>
  <r>
    <s v="KAŚKÓW Paweł"/>
    <x v="0"/>
    <s v="33059"/>
    <s v="KS AZS AWFiS Gdańsk"/>
    <n v="2"/>
    <x v="4"/>
    <x v="2"/>
    <x v="122"/>
  </r>
  <r>
    <s v="KAŚKÓW Paweł"/>
    <x v="0"/>
    <s v="33059"/>
    <s v="KS AZS AWFiS Gdańsk"/>
    <n v="2"/>
    <x v="5"/>
    <x v="0"/>
    <x v="8"/>
  </r>
  <r>
    <s v="KAŚKÓW Paweł"/>
    <x v="0"/>
    <s v="33059"/>
    <s v="KS AZS AWFiS Gdańsk"/>
    <n v="2"/>
    <x v="5"/>
    <x v="1"/>
    <x v="8"/>
  </r>
  <r>
    <s v="KAŚKÓW Paweł"/>
    <x v="0"/>
    <s v="33059"/>
    <s v="KS AZS AWFiS Gdańsk"/>
    <n v="2"/>
    <x v="5"/>
    <x v="2"/>
    <x v="8"/>
  </r>
  <r>
    <s v="IAREMCHUK Vladyslav"/>
    <x v="0"/>
    <s v="Z/02/00023"/>
    <s v="KS AZS AWF Katowice"/>
    <n v="2"/>
    <x v="0"/>
    <x v="0"/>
    <x v="8"/>
  </r>
  <r>
    <s v="IAREMCHUK Vladyslav"/>
    <x v="0"/>
    <s v="Z/02/00023"/>
    <s v="KS AZS AWF Katowice"/>
    <n v="2"/>
    <x v="0"/>
    <x v="1"/>
    <x v="8"/>
  </r>
  <r>
    <s v="IAREMCHUK Vladyslav"/>
    <x v="0"/>
    <s v="Z/02/00023"/>
    <s v="KS AZS AWF Katowice"/>
    <n v="2"/>
    <x v="0"/>
    <x v="2"/>
    <x v="8"/>
  </r>
  <r>
    <s v="IAREMCHUK Vladyslav"/>
    <x v="0"/>
    <s v="Z/02/00023"/>
    <s v="KS AZS AWF Katowice"/>
    <n v="2"/>
    <x v="1"/>
    <x v="0"/>
    <x v="123"/>
  </r>
  <r>
    <s v="IAREMCHUK Vladyslav"/>
    <x v="0"/>
    <s v="Z/02/00023"/>
    <s v="KS AZS AWF Katowice"/>
    <n v="2"/>
    <x v="1"/>
    <x v="1"/>
    <x v="124"/>
  </r>
  <r>
    <s v="IAREMCHUK Vladyslav"/>
    <x v="0"/>
    <s v="Z/02/00023"/>
    <s v="KS AZS AWF Katowice"/>
    <n v="2"/>
    <x v="1"/>
    <x v="2"/>
    <x v="31"/>
  </r>
  <r>
    <s v="IAREMCHUK Vladyslav"/>
    <x v="0"/>
    <s v="Z/02/00023"/>
    <s v="KS AZS AWF Katowice"/>
    <n v="2"/>
    <x v="2"/>
    <x v="0"/>
    <x v="125"/>
  </r>
  <r>
    <s v="IAREMCHUK Vladyslav"/>
    <x v="0"/>
    <s v="Z/02/00023"/>
    <s v="KS AZS AWF Katowice"/>
    <n v="2"/>
    <x v="2"/>
    <x v="1"/>
    <x v="126"/>
  </r>
  <r>
    <s v="IAREMCHUK Vladyslav"/>
    <x v="0"/>
    <s v="Z/02/00023"/>
    <s v="KS AZS AWF Katowice"/>
    <n v="2"/>
    <x v="2"/>
    <x v="2"/>
    <x v="51"/>
  </r>
  <r>
    <s v="IAREMCHUK Vladyslav"/>
    <x v="0"/>
    <s v="Z/02/00023"/>
    <s v="KS AZS AWF Katowice"/>
    <n v="2"/>
    <x v="3"/>
    <x v="0"/>
    <x v="8"/>
  </r>
  <r>
    <s v="IAREMCHUK Vladyslav"/>
    <x v="0"/>
    <s v="Z/02/00023"/>
    <s v="KS AZS AWF Katowice"/>
    <n v="2"/>
    <x v="3"/>
    <x v="1"/>
    <x v="8"/>
  </r>
  <r>
    <s v="IAREMCHUK Vladyslav"/>
    <x v="0"/>
    <s v="Z/02/00023"/>
    <s v="KS AZS AWF Katowice"/>
    <n v="2"/>
    <x v="3"/>
    <x v="2"/>
    <x v="8"/>
  </r>
  <r>
    <s v="IAREMCHUK Vladyslav"/>
    <x v="0"/>
    <s v="Z/02/00023"/>
    <s v="KS AZS AWF Katowice"/>
    <n v="2"/>
    <x v="4"/>
    <x v="0"/>
    <x v="127"/>
  </r>
  <r>
    <s v="IAREMCHUK Vladyslav"/>
    <x v="0"/>
    <s v="Z/02/00023"/>
    <s v="KS AZS AWF Katowice"/>
    <n v="2"/>
    <x v="4"/>
    <x v="1"/>
    <x v="128"/>
  </r>
  <r>
    <s v="IAREMCHUK Vladyslav"/>
    <x v="0"/>
    <s v="Z/02/00023"/>
    <s v="KS AZS AWF Katowice"/>
    <n v="2"/>
    <x v="4"/>
    <x v="2"/>
    <x v="129"/>
  </r>
  <r>
    <s v="IAREMCHUK Vladyslav"/>
    <x v="0"/>
    <s v="Z/02/00023"/>
    <s v="KS AZS AWF Katowice"/>
    <n v="2"/>
    <x v="5"/>
    <x v="0"/>
    <x v="8"/>
  </r>
  <r>
    <s v="IAREMCHUK Vladyslav"/>
    <x v="0"/>
    <s v="Z/02/00023"/>
    <s v="KS AZS AWF Katowice"/>
    <n v="2"/>
    <x v="5"/>
    <x v="1"/>
    <x v="8"/>
  </r>
  <r>
    <s v="IAREMCHUK Vladyslav"/>
    <x v="0"/>
    <s v="Z/02/00023"/>
    <s v="KS AZS AWF Katowice"/>
    <n v="2"/>
    <x v="5"/>
    <x v="2"/>
    <x v="8"/>
  </r>
  <r>
    <s v="GAWROŃSKI Sebastian"/>
    <x v="0"/>
    <s v="32203"/>
    <s v="KS AZS AWF Katowice"/>
    <n v="2"/>
    <x v="0"/>
    <x v="0"/>
    <x v="8"/>
  </r>
  <r>
    <s v="GAWROŃSKI Sebastian"/>
    <x v="0"/>
    <s v="32203"/>
    <s v="KS AZS AWF Katowice"/>
    <n v="2"/>
    <x v="0"/>
    <x v="1"/>
    <x v="8"/>
  </r>
  <r>
    <s v="GAWROŃSKI Sebastian"/>
    <x v="0"/>
    <s v="32203"/>
    <s v="KS AZS AWF Katowice"/>
    <n v="2"/>
    <x v="0"/>
    <x v="2"/>
    <x v="8"/>
  </r>
  <r>
    <s v="GAWROŃSKI Sebastian"/>
    <x v="0"/>
    <s v="32203"/>
    <s v="KS AZS AWF Katowice"/>
    <n v="2"/>
    <x v="1"/>
    <x v="0"/>
    <x v="8"/>
  </r>
  <r>
    <s v="GAWROŃSKI Sebastian"/>
    <x v="0"/>
    <s v="32203"/>
    <s v="KS AZS AWF Katowice"/>
    <n v="2"/>
    <x v="1"/>
    <x v="1"/>
    <x v="8"/>
  </r>
  <r>
    <s v="GAWROŃSKI Sebastian"/>
    <x v="0"/>
    <s v="32203"/>
    <s v="KS AZS AWF Katowice"/>
    <n v="2"/>
    <x v="1"/>
    <x v="2"/>
    <x v="8"/>
  </r>
  <r>
    <s v="GAWROŃSKI Sebastian"/>
    <x v="0"/>
    <s v="32203"/>
    <s v="KS AZS AWF Katowice"/>
    <n v="2"/>
    <x v="2"/>
    <x v="0"/>
    <x v="32"/>
  </r>
  <r>
    <s v="GAWROŃSKI Sebastian"/>
    <x v="0"/>
    <s v="32203"/>
    <s v="KS AZS AWF Katowice"/>
    <n v="2"/>
    <x v="2"/>
    <x v="1"/>
    <x v="130"/>
  </r>
  <r>
    <s v="GAWROŃSKI Sebastian"/>
    <x v="0"/>
    <s v="32203"/>
    <s v="KS AZS AWF Katowice"/>
    <n v="2"/>
    <x v="2"/>
    <x v="2"/>
    <x v="78"/>
  </r>
  <r>
    <s v="GAWROŃSKI Sebastian"/>
    <x v="0"/>
    <s v="32203"/>
    <s v="KS AZS AWF Katowice"/>
    <n v="2"/>
    <x v="3"/>
    <x v="0"/>
    <x v="66"/>
  </r>
  <r>
    <s v="GAWROŃSKI Sebastian"/>
    <x v="0"/>
    <s v="32203"/>
    <s v="KS AZS AWF Katowice"/>
    <n v="2"/>
    <x v="3"/>
    <x v="1"/>
    <x v="131"/>
  </r>
  <r>
    <s v="GAWROŃSKI Sebastian"/>
    <x v="0"/>
    <s v="32203"/>
    <s v="KS AZS AWF Katowice"/>
    <n v="2"/>
    <x v="3"/>
    <x v="2"/>
    <x v="36"/>
  </r>
  <r>
    <s v="GAWROŃSKI Sebastian"/>
    <x v="0"/>
    <s v="32203"/>
    <s v="KS AZS AWF Katowice"/>
    <n v="2"/>
    <x v="4"/>
    <x v="0"/>
    <x v="132"/>
  </r>
  <r>
    <s v="GAWROŃSKI Sebastian"/>
    <x v="0"/>
    <s v="32203"/>
    <s v="KS AZS AWF Katowice"/>
    <n v="2"/>
    <x v="4"/>
    <x v="1"/>
    <x v="133"/>
  </r>
  <r>
    <s v="GAWROŃSKI Sebastian"/>
    <x v="0"/>
    <s v="32203"/>
    <s v="KS AZS AWF Katowice"/>
    <n v="2"/>
    <x v="4"/>
    <x v="2"/>
    <x v="134"/>
  </r>
  <r>
    <s v="GAWROŃSKI Sebastian"/>
    <x v="0"/>
    <s v="32203"/>
    <s v="KS AZS AWF Katowice"/>
    <n v="2"/>
    <x v="5"/>
    <x v="0"/>
    <x v="8"/>
  </r>
  <r>
    <s v="GAWROŃSKI Sebastian"/>
    <x v="0"/>
    <s v="32203"/>
    <s v="KS AZS AWF Katowice"/>
    <n v="2"/>
    <x v="5"/>
    <x v="1"/>
    <x v="8"/>
  </r>
  <r>
    <s v="GAWROŃSKI Sebastian"/>
    <x v="0"/>
    <s v="32203"/>
    <s v="KS AZS AWF Katowice"/>
    <n v="2"/>
    <x v="5"/>
    <x v="2"/>
    <x v="8"/>
  </r>
  <r>
    <s v="WROŃSKI Filip"/>
    <x v="0"/>
    <s v="32670"/>
    <s v="NTG Nysa"/>
    <n v="2"/>
    <x v="0"/>
    <x v="0"/>
    <x v="8"/>
  </r>
  <r>
    <s v="WROŃSKI Filip"/>
    <x v="0"/>
    <s v="32670"/>
    <s v="NTG Nysa"/>
    <n v="2"/>
    <x v="0"/>
    <x v="1"/>
    <x v="8"/>
  </r>
  <r>
    <s v="WROŃSKI Filip"/>
    <x v="0"/>
    <s v="32670"/>
    <s v="NTG Nysa"/>
    <n v="2"/>
    <x v="0"/>
    <x v="2"/>
    <x v="8"/>
  </r>
  <r>
    <s v="WROŃSKI Filip"/>
    <x v="0"/>
    <s v="32670"/>
    <s v="NTG Nysa"/>
    <n v="2"/>
    <x v="1"/>
    <x v="0"/>
    <x v="86"/>
  </r>
  <r>
    <s v="WROŃSKI Filip"/>
    <x v="0"/>
    <s v="32670"/>
    <s v="NTG Nysa"/>
    <n v="2"/>
    <x v="1"/>
    <x v="1"/>
    <x v="116"/>
  </r>
  <r>
    <s v="WROŃSKI Filip"/>
    <x v="0"/>
    <s v="32670"/>
    <s v="NTG Nysa"/>
    <n v="2"/>
    <x v="1"/>
    <x v="2"/>
    <x v="9"/>
  </r>
  <r>
    <s v="WROŃSKI Filip"/>
    <x v="0"/>
    <s v="32670"/>
    <s v="NTG Nysa"/>
    <n v="2"/>
    <x v="2"/>
    <x v="0"/>
    <x v="8"/>
  </r>
  <r>
    <s v="WROŃSKI Filip"/>
    <x v="0"/>
    <s v="32670"/>
    <s v="NTG Nysa"/>
    <n v="2"/>
    <x v="2"/>
    <x v="1"/>
    <x v="8"/>
  </r>
  <r>
    <s v="WROŃSKI Filip"/>
    <x v="0"/>
    <s v="32670"/>
    <s v="NTG Nysa"/>
    <n v="2"/>
    <x v="2"/>
    <x v="2"/>
    <x v="8"/>
  </r>
  <r>
    <s v="WROŃSKI Filip"/>
    <x v="0"/>
    <s v="32670"/>
    <s v="NTG Nysa"/>
    <n v="2"/>
    <x v="3"/>
    <x v="0"/>
    <x v="42"/>
  </r>
  <r>
    <s v="WROŃSKI Filip"/>
    <x v="0"/>
    <s v="32670"/>
    <s v="NTG Nysa"/>
    <n v="2"/>
    <x v="3"/>
    <x v="1"/>
    <x v="30"/>
  </r>
  <r>
    <s v="WROŃSKI Filip"/>
    <x v="0"/>
    <s v="32670"/>
    <s v="NTG Nysa"/>
    <n v="2"/>
    <x v="3"/>
    <x v="2"/>
    <x v="54"/>
  </r>
  <r>
    <s v="WROŃSKI Filip"/>
    <x v="0"/>
    <s v="32670"/>
    <s v="NTG Nysa"/>
    <n v="2"/>
    <x v="4"/>
    <x v="0"/>
    <x v="76"/>
  </r>
  <r>
    <s v="WROŃSKI Filip"/>
    <x v="0"/>
    <s v="32670"/>
    <s v="NTG Nysa"/>
    <n v="2"/>
    <x v="4"/>
    <x v="1"/>
    <x v="135"/>
  </r>
  <r>
    <s v="WROŃSKI Filip"/>
    <x v="0"/>
    <s v="32670"/>
    <s v="NTG Nysa"/>
    <n v="2"/>
    <x v="4"/>
    <x v="2"/>
    <x v="81"/>
  </r>
  <r>
    <s v="WROŃSKI Filip"/>
    <x v="0"/>
    <s v="32670"/>
    <s v="NTG Nysa"/>
    <n v="2"/>
    <x v="5"/>
    <x v="0"/>
    <x v="8"/>
  </r>
  <r>
    <s v="WROŃSKI Filip"/>
    <x v="0"/>
    <s v="32670"/>
    <s v="NTG Nysa"/>
    <n v="2"/>
    <x v="5"/>
    <x v="1"/>
    <x v="8"/>
  </r>
  <r>
    <s v="WROŃSKI Filip"/>
    <x v="0"/>
    <s v="32670"/>
    <s v="NTG Nysa"/>
    <n v="2"/>
    <x v="5"/>
    <x v="2"/>
    <x v="8"/>
  </r>
  <r>
    <s v="PAWŁOWSKI Jakub"/>
    <x v="0"/>
    <s v="33097"/>
    <s v="MKS Gdańsk"/>
    <n v="3"/>
    <x v="0"/>
    <x v="0"/>
    <x v="8"/>
  </r>
  <r>
    <s v="PAWŁOWSKI Jakub"/>
    <x v="0"/>
    <s v="33097"/>
    <s v="MKS Gdańsk"/>
    <n v="3"/>
    <x v="0"/>
    <x v="1"/>
    <x v="8"/>
  </r>
  <r>
    <s v="PAWŁOWSKI Jakub"/>
    <x v="0"/>
    <s v="33097"/>
    <s v="MKS Gdańsk"/>
    <n v="3"/>
    <x v="0"/>
    <x v="2"/>
    <x v="8"/>
  </r>
  <r>
    <s v="PAWŁOWSKI Jakub"/>
    <x v="0"/>
    <s v="33097"/>
    <s v="MKS Gdańsk"/>
    <n v="3"/>
    <x v="1"/>
    <x v="0"/>
    <x v="136"/>
  </r>
  <r>
    <s v="PAWŁOWSKI Jakub"/>
    <x v="0"/>
    <s v="33097"/>
    <s v="MKS Gdańsk"/>
    <n v="3"/>
    <x v="1"/>
    <x v="1"/>
    <x v="8"/>
  </r>
  <r>
    <s v="PAWŁOWSKI Jakub"/>
    <x v="0"/>
    <s v="33097"/>
    <s v="MKS Gdańsk"/>
    <n v="3"/>
    <x v="1"/>
    <x v="2"/>
    <x v="136"/>
  </r>
  <r>
    <s v="PAWŁOWSKI Jakub"/>
    <x v="0"/>
    <s v="33097"/>
    <s v="MKS Gdańsk"/>
    <n v="3"/>
    <x v="2"/>
    <x v="0"/>
    <x v="93"/>
  </r>
  <r>
    <s v="PAWŁOWSKI Jakub"/>
    <x v="0"/>
    <s v="33097"/>
    <s v="MKS Gdańsk"/>
    <n v="3"/>
    <x v="2"/>
    <x v="1"/>
    <x v="56"/>
  </r>
  <r>
    <s v="PAWŁOWSKI Jakub"/>
    <x v="0"/>
    <s v="33097"/>
    <s v="MKS Gdańsk"/>
    <n v="3"/>
    <x v="2"/>
    <x v="2"/>
    <x v="131"/>
  </r>
  <r>
    <s v="PAWŁOWSKI Jakub"/>
    <x v="0"/>
    <s v="33097"/>
    <s v="MKS Gdańsk"/>
    <n v="3"/>
    <x v="3"/>
    <x v="0"/>
    <x v="137"/>
  </r>
  <r>
    <s v="PAWŁOWSKI Jakub"/>
    <x v="0"/>
    <s v="33097"/>
    <s v="MKS Gdańsk"/>
    <n v="3"/>
    <x v="3"/>
    <x v="1"/>
    <x v="116"/>
  </r>
  <r>
    <s v="PAWŁOWSKI Jakub"/>
    <x v="0"/>
    <s v="33097"/>
    <s v="MKS Gdańsk"/>
    <n v="3"/>
    <x v="3"/>
    <x v="2"/>
    <x v="31"/>
  </r>
  <r>
    <s v="PAWŁOWSKI Jakub"/>
    <x v="0"/>
    <s v="33097"/>
    <s v="MKS Gdańsk"/>
    <n v="3"/>
    <x v="4"/>
    <x v="0"/>
    <x v="138"/>
  </r>
  <r>
    <s v="PAWŁOWSKI Jakub"/>
    <x v="0"/>
    <s v="33097"/>
    <s v="MKS Gdańsk"/>
    <n v="3"/>
    <x v="4"/>
    <x v="1"/>
    <x v="58"/>
  </r>
  <r>
    <s v="PAWŁOWSKI Jakub"/>
    <x v="0"/>
    <s v="33097"/>
    <s v="MKS Gdańsk"/>
    <n v="3"/>
    <x v="4"/>
    <x v="2"/>
    <x v="139"/>
  </r>
  <r>
    <s v="PAWŁOWSKI Jakub"/>
    <x v="0"/>
    <s v="33097"/>
    <s v="MKS Gdańsk"/>
    <n v="3"/>
    <x v="5"/>
    <x v="0"/>
    <x v="140"/>
  </r>
  <r>
    <s v="PAWŁOWSKI Jakub"/>
    <x v="0"/>
    <s v="33097"/>
    <s v="MKS Gdańsk"/>
    <n v="3"/>
    <x v="5"/>
    <x v="1"/>
    <x v="61"/>
  </r>
  <r>
    <s v="PAWŁOWSKI Jakub"/>
    <x v="0"/>
    <s v="33097"/>
    <s v="MKS Gdańsk"/>
    <n v="3"/>
    <x v="5"/>
    <x v="2"/>
    <x v="141"/>
  </r>
  <r>
    <s v="KORNIICHUK Yehor"/>
    <x v="0"/>
    <s v="Z/2001/135"/>
    <s v="KS AZS AWFiS Gdańsk"/>
    <n v="2"/>
    <x v="0"/>
    <x v="0"/>
    <x v="8"/>
  </r>
  <r>
    <s v="KORNIICHUK Yehor"/>
    <x v="0"/>
    <s v="Z/2001/135"/>
    <s v="KS AZS AWFiS Gdańsk"/>
    <n v="2"/>
    <x v="0"/>
    <x v="1"/>
    <x v="8"/>
  </r>
  <r>
    <s v="KORNIICHUK Yehor"/>
    <x v="0"/>
    <s v="Z/2001/135"/>
    <s v="KS AZS AWFiS Gdańsk"/>
    <n v="2"/>
    <x v="0"/>
    <x v="2"/>
    <x v="8"/>
  </r>
  <r>
    <s v="KORNIICHUK Yehor"/>
    <x v="0"/>
    <s v="Z/2001/135"/>
    <s v="KS AZS AWFiS Gdańsk"/>
    <n v="2"/>
    <x v="1"/>
    <x v="0"/>
    <x v="142"/>
  </r>
  <r>
    <s v="KORNIICHUK Yehor"/>
    <x v="0"/>
    <s v="Z/2001/135"/>
    <s v="KS AZS AWFiS Gdańsk"/>
    <n v="2"/>
    <x v="1"/>
    <x v="1"/>
    <x v="20"/>
  </r>
  <r>
    <s v="KORNIICHUK Yehor"/>
    <x v="0"/>
    <s v="Z/2001/135"/>
    <s v="KS AZS AWFiS Gdańsk"/>
    <n v="2"/>
    <x v="1"/>
    <x v="2"/>
    <x v="88"/>
  </r>
  <r>
    <s v="KORNIICHUK Yehor"/>
    <x v="0"/>
    <s v="Z/2001/135"/>
    <s v="KS AZS AWFiS Gdańsk"/>
    <n v="2"/>
    <x v="2"/>
    <x v="0"/>
    <x v="47"/>
  </r>
  <r>
    <s v="KORNIICHUK Yehor"/>
    <x v="0"/>
    <s v="Z/2001/135"/>
    <s v="KS AZS AWFiS Gdańsk"/>
    <n v="2"/>
    <x v="2"/>
    <x v="1"/>
    <x v="67"/>
  </r>
  <r>
    <s v="KORNIICHUK Yehor"/>
    <x v="0"/>
    <s v="Z/2001/135"/>
    <s v="KS AZS AWFiS Gdańsk"/>
    <n v="2"/>
    <x v="2"/>
    <x v="2"/>
    <x v="143"/>
  </r>
  <r>
    <s v="KORNIICHUK Yehor"/>
    <x v="0"/>
    <s v="Z/2001/135"/>
    <s v="KS AZS AWFiS Gdańsk"/>
    <n v="2"/>
    <x v="3"/>
    <x v="0"/>
    <x v="8"/>
  </r>
  <r>
    <s v="KORNIICHUK Yehor"/>
    <x v="0"/>
    <s v="Z/2001/135"/>
    <s v="KS AZS AWFiS Gdańsk"/>
    <n v="2"/>
    <x v="3"/>
    <x v="1"/>
    <x v="8"/>
  </r>
  <r>
    <s v="KORNIICHUK Yehor"/>
    <x v="0"/>
    <s v="Z/2001/135"/>
    <s v="KS AZS AWFiS Gdańsk"/>
    <n v="2"/>
    <x v="3"/>
    <x v="2"/>
    <x v="8"/>
  </r>
  <r>
    <s v="KORNIICHUK Yehor"/>
    <x v="0"/>
    <s v="Z/2001/135"/>
    <s v="KS AZS AWFiS Gdańsk"/>
    <n v="2"/>
    <x v="4"/>
    <x v="0"/>
    <x v="144"/>
  </r>
  <r>
    <s v="KORNIICHUK Yehor"/>
    <x v="0"/>
    <s v="Z/2001/135"/>
    <s v="KS AZS AWFiS Gdańsk"/>
    <n v="2"/>
    <x v="4"/>
    <x v="1"/>
    <x v="115"/>
  </r>
  <r>
    <s v="KORNIICHUK Yehor"/>
    <x v="0"/>
    <s v="Z/2001/135"/>
    <s v="KS AZS AWFiS Gdańsk"/>
    <n v="2"/>
    <x v="4"/>
    <x v="2"/>
    <x v="145"/>
  </r>
  <r>
    <s v="KORNIICHUK Yehor"/>
    <x v="0"/>
    <s v="Z/2001/135"/>
    <s v="KS AZS AWFiS Gdańsk"/>
    <n v="2"/>
    <x v="5"/>
    <x v="0"/>
    <x v="8"/>
  </r>
  <r>
    <s v="KORNIICHUK Yehor"/>
    <x v="0"/>
    <s v="Z/2001/135"/>
    <s v="KS AZS AWFiS Gdańsk"/>
    <n v="2"/>
    <x v="5"/>
    <x v="1"/>
    <x v="8"/>
  </r>
  <r>
    <s v="KORNIICHUK Yehor"/>
    <x v="0"/>
    <s v="Z/2001/135"/>
    <s v="KS AZS AWFiS Gdańsk"/>
    <n v="2"/>
    <x v="5"/>
    <x v="2"/>
    <x v="8"/>
  </r>
  <r>
    <s v="WIERZBA Kacper"/>
    <x v="0"/>
    <s v="32450"/>
    <s v="MKS Gdańsk"/>
    <n v="2"/>
    <x v="0"/>
    <x v="0"/>
    <x v="8"/>
  </r>
  <r>
    <s v="WIERZBA Kacper"/>
    <x v="0"/>
    <s v="32450"/>
    <s v="MKS Gdańsk"/>
    <n v="2"/>
    <x v="0"/>
    <x v="1"/>
    <x v="8"/>
  </r>
  <r>
    <s v="WIERZBA Kacper"/>
    <x v="0"/>
    <s v="32450"/>
    <s v="MKS Gdańsk"/>
    <n v="2"/>
    <x v="0"/>
    <x v="2"/>
    <x v="8"/>
  </r>
  <r>
    <s v="WIERZBA Kacper"/>
    <x v="0"/>
    <s v="32450"/>
    <s v="MKS Gdańsk"/>
    <n v="2"/>
    <x v="1"/>
    <x v="0"/>
    <x v="137"/>
  </r>
  <r>
    <s v="WIERZBA Kacper"/>
    <x v="0"/>
    <s v="32450"/>
    <s v="MKS Gdańsk"/>
    <n v="2"/>
    <x v="1"/>
    <x v="1"/>
    <x v="104"/>
  </r>
  <r>
    <s v="WIERZBA Kacper"/>
    <x v="0"/>
    <s v="32450"/>
    <s v="MKS Gdańsk"/>
    <n v="2"/>
    <x v="1"/>
    <x v="2"/>
    <x v="138"/>
  </r>
  <r>
    <s v="WIERZBA Kacper"/>
    <x v="0"/>
    <s v="32450"/>
    <s v="MKS Gdańsk"/>
    <n v="2"/>
    <x v="2"/>
    <x v="0"/>
    <x v="8"/>
  </r>
  <r>
    <s v="WIERZBA Kacper"/>
    <x v="0"/>
    <s v="32450"/>
    <s v="MKS Gdańsk"/>
    <n v="2"/>
    <x v="2"/>
    <x v="1"/>
    <x v="8"/>
  </r>
  <r>
    <s v="WIERZBA Kacper"/>
    <x v="0"/>
    <s v="32450"/>
    <s v="MKS Gdańsk"/>
    <n v="2"/>
    <x v="2"/>
    <x v="2"/>
    <x v="8"/>
  </r>
  <r>
    <s v="WIERZBA Kacper"/>
    <x v="0"/>
    <s v="32450"/>
    <s v="MKS Gdańsk"/>
    <n v="2"/>
    <x v="3"/>
    <x v="0"/>
    <x v="137"/>
  </r>
  <r>
    <s v="WIERZBA Kacper"/>
    <x v="0"/>
    <s v="32450"/>
    <s v="MKS Gdańsk"/>
    <n v="2"/>
    <x v="3"/>
    <x v="1"/>
    <x v="53"/>
  </r>
  <r>
    <s v="WIERZBA Kacper"/>
    <x v="0"/>
    <s v="32450"/>
    <s v="MKS Gdańsk"/>
    <n v="2"/>
    <x v="3"/>
    <x v="2"/>
    <x v="146"/>
  </r>
  <r>
    <s v="WIERZBA Kacper"/>
    <x v="0"/>
    <s v="32450"/>
    <s v="MKS Gdańsk"/>
    <n v="2"/>
    <x v="4"/>
    <x v="0"/>
    <x v="126"/>
  </r>
  <r>
    <s v="WIERZBA Kacper"/>
    <x v="0"/>
    <s v="32450"/>
    <s v="MKS Gdańsk"/>
    <n v="2"/>
    <x v="4"/>
    <x v="1"/>
    <x v="147"/>
  </r>
  <r>
    <s v="WIERZBA Kacper"/>
    <x v="0"/>
    <s v="32450"/>
    <s v="MKS Gdańsk"/>
    <n v="2"/>
    <x v="4"/>
    <x v="2"/>
    <x v="148"/>
  </r>
  <r>
    <s v="WIERZBA Kacper"/>
    <x v="0"/>
    <s v="32450"/>
    <s v="MKS Gdańsk"/>
    <n v="2"/>
    <x v="5"/>
    <x v="0"/>
    <x v="8"/>
  </r>
  <r>
    <s v="WIERZBA Kacper"/>
    <x v="0"/>
    <s v="32450"/>
    <s v="MKS Gdańsk"/>
    <n v="2"/>
    <x v="5"/>
    <x v="1"/>
    <x v="8"/>
  </r>
  <r>
    <s v="WIERZBA Kacper"/>
    <x v="0"/>
    <s v="32450"/>
    <s v="MKS Gdańsk"/>
    <n v="2"/>
    <x v="5"/>
    <x v="2"/>
    <x v="8"/>
  </r>
  <r>
    <s v="KLIMCZUK Paweł"/>
    <x v="0"/>
    <s v="330103"/>
    <s v="MKS Gdańsk"/>
    <n v="2"/>
    <x v="0"/>
    <x v="0"/>
    <x v="8"/>
  </r>
  <r>
    <s v="KLIMCZUK Paweł"/>
    <x v="0"/>
    <s v="330103"/>
    <s v="MKS Gdańsk"/>
    <n v="2"/>
    <x v="0"/>
    <x v="1"/>
    <x v="8"/>
  </r>
  <r>
    <s v="KLIMCZUK Paweł"/>
    <x v="0"/>
    <s v="330103"/>
    <s v="MKS Gdańsk"/>
    <n v="2"/>
    <x v="0"/>
    <x v="2"/>
    <x v="8"/>
  </r>
  <r>
    <s v="KLIMCZUK Paweł"/>
    <x v="0"/>
    <s v="330103"/>
    <s v="MKS Gdańsk"/>
    <n v="2"/>
    <x v="1"/>
    <x v="0"/>
    <x v="79"/>
  </r>
  <r>
    <s v="KLIMCZUK Paweł"/>
    <x v="0"/>
    <s v="330103"/>
    <s v="MKS Gdańsk"/>
    <n v="2"/>
    <x v="1"/>
    <x v="1"/>
    <x v="20"/>
  </r>
  <r>
    <s v="KLIMCZUK Paweł"/>
    <x v="0"/>
    <s v="330103"/>
    <s v="MKS Gdańsk"/>
    <n v="2"/>
    <x v="1"/>
    <x v="2"/>
    <x v="94"/>
  </r>
  <r>
    <s v="KLIMCZUK Paweł"/>
    <x v="0"/>
    <s v="330103"/>
    <s v="MKS Gdańsk"/>
    <n v="2"/>
    <x v="2"/>
    <x v="0"/>
    <x v="103"/>
  </r>
  <r>
    <s v="KLIMCZUK Paweł"/>
    <x v="0"/>
    <s v="330103"/>
    <s v="MKS Gdańsk"/>
    <n v="2"/>
    <x v="2"/>
    <x v="1"/>
    <x v="149"/>
  </r>
  <r>
    <s v="KLIMCZUK Paweł"/>
    <x v="0"/>
    <s v="330103"/>
    <s v="MKS Gdańsk"/>
    <n v="2"/>
    <x v="2"/>
    <x v="2"/>
    <x v="94"/>
  </r>
  <r>
    <s v="KLIMCZUK Paweł"/>
    <x v="0"/>
    <s v="330103"/>
    <s v="MKS Gdańsk"/>
    <n v="2"/>
    <x v="3"/>
    <x v="0"/>
    <x v="8"/>
  </r>
  <r>
    <s v="KLIMCZUK Paweł"/>
    <x v="0"/>
    <s v="330103"/>
    <s v="MKS Gdańsk"/>
    <n v="2"/>
    <x v="3"/>
    <x v="1"/>
    <x v="8"/>
  </r>
  <r>
    <s v="KLIMCZUK Paweł"/>
    <x v="0"/>
    <s v="330103"/>
    <s v="MKS Gdańsk"/>
    <n v="2"/>
    <x v="3"/>
    <x v="2"/>
    <x v="8"/>
  </r>
  <r>
    <s v="KLIMCZUK Paweł"/>
    <x v="0"/>
    <s v="330103"/>
    <s v="MKS Gdańsk"/>
    <n v="2"/>
    <x v="4"/>
    <x v="0"/>
    <x v="150"/>
  </r>
  <r>
    <s v="KLIMCZUK Paweł"/>
    <x v="0"/>
    <s v="330103"/>
    <s v="MKS Gdańsk"/>
    <n v="2"/>
    <x v="4"/>
    <x v="1"/>
    <x v="68"/>
  </r>
  <r>
    <s v="KLIMCZUK Paweł"/>
    <x v="0"/>
    <s v="330103"/>
    <s v="MKS Gdańsk"/>
    <n v="2"/>
    <x v="4"/>
    <x v="2"/>
    <x v="151"/>
  </r>
  <r>
    <s v="KLIMCZUK Paweł"/>
    <x v="0"/>
    <s v="330103"/>
    <s v="MKS Gdańsk"/>
    <n v="2"/>
    <x v="5"/>
    <x v="0"/>
    <x v="8"/>
  </r>
  <r>
    <s v="KLIMCZUK Paweł"/>
    <x v="0"/>
    <s v="330103"/>
    <s v="MKS Gdańsk"/>
    <n v="2"/>
    <x v="5"/>
    <x v="1"/>
    <x v="8"/>
  </r>
  <r>
    <s v="KLIMCZUK Paweł"/>
    <x v="0"/>
    <s v="330103"/>
    <s v="MKS Gdańsk"/>
    <n v="2"/>
    <x v="5"/>
    <x v="2"/>
    <x v="8"/>
  </r>
  <r>
    <s v="KUZDRA Konrad"/>
    <x v="0"/>
    <s v="33664"/>
    <s v="MKS Gdańsk"/>
    <n v="2"/>
    <x v="0"/>
    <x v="0"/>
    <x v="8"/>
  </r>
  <r>
    <s v="KUZDRA Konrad"/>
    <x v="0"/>
    <s v="33664"/>
    <s v="MKS Gdańsk"/>
    <n v="2"/>
    <x v="0"/>
    <x v="1"/>
    <x v="8"/>
  </r>
  <r>
    <s v="KUZDRA Konrad"/>
    <x v="0"/>
    <s v="33664"/>
    <s v="MKS Gdańsk"/>
    <n v="2"/>
    <x v="0"/>
    <x v="2"/>
    <x v="8"/>
  </r>
  <r>
    <s v="KUZDRA Konrad"/>
    <x v="0"/>
    <s v="33664"/>
    <s v="MKS Gdańsk"/>
    <n v="2"/>
    <x v="1"/>
    <x v="0"/>
    <x v="152"/>
  </r>
  <r>
    <s v="KUZDRA Konrad"/>
    <x v="0"/>
    <s v="33664"/>
    <s v="MKS Gdańsk"/>
    <n v="2"/>
    <x v="1"/>
    <x v="1"/>
    <x v="55"/>
  </r>
  <r>
    <s v="KUZDRA Konrad"/>
    <x v="0"/>
    <s v="33664"/>
    <s v="MKS Gdańsk"/>
    <n v="2"/>
    <x v="1"/>
    <x v="2"/>
    <x v="153"/>
  </r>
  <r>
    <s v="KUZDRA Konrad"/>
    <x v="0"/>
    <s v="33664"/>
    <s v="MKS Gdańsk"/>
    <n v="2"/>
    <x v="2"/>
    <x v="0"/>
    <x v="8"/>
  </r>
  <r>
    <s v="KUZDRA Konrad"/>
    <x v="0"/>
    <s v="33664"/>
    <s v="MKS Gdańsk"/>
    <n v="2"/>
    <x v="2"/>
    <x v="1"/>
    <x v="8"/>
  </r>
  <r>
    <s v="KUZDRA Konrad"/>
    <x v="0"/>
    <s v="33664"/>
    <s v="MKS Gdańsk"/>
    <n v="2"/>
    <x v="2"/>
    <x v="2"/>
    <x v="8"/>
  </r>
  <r>
    <s v="KUZDRA Konrad"/>
    <x v="0"/>
    <s v="33664"/>
    <s v="MKS Gdańsk"/>
    <n v="2"/>
    <x v="3"/>
    <x v="0"/>
    <x v="154"/>
  </r>
  <r>
    <s v="KUZDRA Konrad"/>
    <x v="0"/>
    <s v="33664"/>
    <s v="MKS Gdańsk"/>
    <n v="2"/>
    <x v="3"/>
    <x v="1"/>
    <x v="155"/>
  </r>
  <r>
    <s v="KUZDRA Konrad"/>
    <x v="0"/>
    <s v="33664"/>
    <s v="MKS Gdańsk"/>
    <n v="2"/>
    <x v="3"/>
    <x v="2"/>
    <x v="156"/>
  </r>
  <r>
    <s v="KUZDRA Konrad"/>
    <x v="0"/>
    <s v="33664"/>
    <s v="MKS Gdańsk"/>
    <n v="2"/>
    <x v="4"/>
    <x v="0"/>
    <x v="157"/>
  </r>
  <r>
    <s v="KUZDRA Konrad"/>
    <x v="0"/>
    <s v="33664"/>
    <s v="MKS Gdańsk"/>
    <n v="2"/>
    <x v="4"/>
    <x v="1"/>
    <x v="158"/>
  </r>
  <r>
    <s v="KUZDRA Konrad"/>
    <x v="0"/>
    <s v="33664"/>
    <s v="MKS Gdańsk"/>
    <n v="2"/>
    <x v="4"/>
    <x v="2"/>
    <x v="159"/>
  </r>
  <r>
    <s v="KUZDRA Konrad"/>
    <x v="0"/>
    <s v="33664"/>
    <s v="MKS Gdańsk"/>
    <n v="2"/>
    <x v="5"/>
    <x v="0"/>
    <x v="8"/>
  </r>
  <r>
    <s v="KUZDRA Konrad"/>
    <x v="0"/>
    <s v="33664"/>
    <s v="MKS Gdańsk"/>
    <n v="2"/>
    <x v="5"/>
    <x v="1"/>
    <x v="8"/>
  </r>
  <r>
    <s v="KUZDRA Konrad"/>
    <x v="0"/>
    <s v="33664"/>
    <s v="MKS Gdańsk"/>
    <n v="2"/>
    <x v="5"/>
    <x v="2"/>
    <x v="8"/>
  </r>
  <r>
    <s v="HERASYMOV Mykyta"/>
    <x v="0"/>
    <s v="Z/2003/338"/>
    <s v="KS AZS AWFiS Gdańsk"/>
    <n v="2"/>
    <x v="0"/>
    <x v="0"/>
    <x v="8"/>
  </r>
  <r>
    <s v="HERASYMOV Mykyta"/>
    <x v="0"/>
    <s v="Z/2003/338"/>
    <s v="KS AZS AWFiS Gdańsk"/>
    <n v="2"/>
    <x v="0"/>
    <x v="1"/>
    <x v="8"/>
  </r>
  <r>
    <s v="HERASYMOV Mykyta"/>
    <x v="0"/>
    <s v="Z/2003/338"/>
    <s v="KS AZS AWFiS Gdańsk"/>
    <n v="2"/>
    <x v="0"/>
    <x v="2"/>
    <x v="8"/>
  </r>
  <r>
    <s v="HERASYMOV Mykyta"/>
    <x v="0"/>
    <s v="Z/2003/338"/>
    <s v="KS AZS AWFiS Gdańsk"/>
    <n v="2"/>
    <x v="1"/>
    <x v="0"/>
    <x v="137"/>
  </r>
  <r>
    <s v="HERASYMOV Mykyta"/>
    <x v="0"/>
    <s v="Z/2003/338"/>
    <s v="KS AZS AWFiS Gdańsk"/>
    <n v="2"/>
    <x v="1"/>
    <x v="1"/>
    <x v="55"/>
  </r>
  <r>
    <s v="HERASYMOV Mykyta"/>
    <x v="0"/>
    <s v="Z/2003/338"/>
    <s v="KS AZS AWFiS Gdańsk"/>
    <n v="2"/>
    <x v="1"/>
    <x v="2"/>
    <x v="160"/>
  </r>
  <r>
    <s v="HERASYMOV Mykyta"/>
    <x v="0"/>
    <s v="Z/2003/338"/>
    <s v="KS AZS AWFiS Gdańsk"/>
    <n v="2"/>
    <x v="2"/>
    <x v="0"/>
    <x v="142"/>
  </r>
  <r>
    <s v="HERASYMOV Mykyta"/>
    <x v="0"/>
    <s v="Z/2003/338"/>
    <s v="KS AZS AWFiS Gdańsk"/>
    <n v="2"/>
    <x v="2"/>
    <x v="1"/>
    <x v="161"/>
  </r>
  <r>
    <s v="HERASYMOV Mykyta"/>
    <x v="0"/>
    <s v="Z/2003/338"/>
    <s v="KS AZS AWFiS Gdańsk"/>
    <n v="2"/>
    <x v="2"/>
    <x v="2"/>
    <x v="162"/>
  </r>
  <r>
    <s v="HERASYMOV Mykyta"/>
    <x v="0"/>
    <s v="Z/2003/338"/>
    <s v="KS AZS AWFiS Gdańsk"/>
    <n v="2"/>
    <x v="3"/>
    <x v="0"/>
    <x v="8"/>
  </r>
  <r>
    <s v="HERASYMOV Mykyta"/>
    <x v="0"/>
    <s v="Z/2003/338"/>
    <s v="KS AZS AWFiS Gdańsk"/>
    <n v="2"/>
    <x v="3"/>
    <x v="1"/>
    <x v="8"/>
  </r>
  <r>
    <s v="HERASYMOV Mykyta"/>
    <x v="0"/>
    <s v="Z/2003/338"/>
    <s v="KS AZS AWFiS Gdańsk"/>
    <n v="2"/>
    <x v="3"/>
    <x v="2"/>
    <x v="8"/>
  </r>
  <r>
    <s v="HERASYMOV Mykyta"/>
    <x v="0"/>
    <s v="Z/2003/338"/>
    <s v="KS AZS AWFiS Gdańsk"/>
    <n v="2"/>
    <x v="4"/>
    <x v="0"/>
    <x v="163"/>
  </r>
  <r>
    <s v="HERASYMOV Mykyta"/>
    <x v="0"/>
    <s v="Z/2003/338"/>
    <s v="KS AZS AWFiS Gdańsk"/>
    <n v="2"/>
    <x v="4"/>
    <x v="1"/>
    <x v="65"/>
  </r>
  <r>
    <s v="HERASYMOV Mykyta"/>
    <x v="0"/>
    <s v="Z/2003/338"/>
    <s v="KS AZS AWFiS Gdańsk"/>
    <n v="2"/>
    <x v="4"/>
    <x v="2"/>
    <x v="164"/>
  </r>
  <r>
    <s v="HERASYMOV Mykyta"/>
    <x v="0"/>
    <s v="Z/2003/338"/>
    <s v="KS AZS AWFiS Gdańsk"/>
    <n v="2"/>
    <x v="5"/>
    <x v="0"/>
    <x v="8"/>
  </r>
  <r>
    <s v="HERASYMOV Mykyta"/>
    <x v="0"/>
    <s v="Z/2003/338"/>
    <s v="KS AZS AWFiS Gdańsk"/>
    <n v="2"/>
    <x v="5"/>
    <x v="1"/>
    <x v="8"/>
  </r>
  <r>
    <s v="HERASYMOV Mykyta"/>
    <x v="0"/>
    <s v="Z/2003/338"/>
    <s v="KS AZS AWFiS Gdańsk"/>
    <n v="2"/>
    <x v="5"/>
    <x v="2"/>
    <x v="8"/>
  </r>
  <r>
    <s v="LUKIANIENKO Illia"/>
    <x v="0"/>
    <s v="Z/2000/104"/>
    <s v="MKS Kusy Szczecin"/>
    <n v="1"/>
    <x v="0"/>
    <x v="0"/>
    <x v="8"/>
  </r>
  <r>
    <s v="LUKIANIENKO Illia"/>
    <x v="0"/>
    <s v="Z/2000/104"/>
    <s v="MKS Kusy Szczecin"/>
    <n v="1"/>
    <x v="0"/>
    <x v="1"/>
    <x v="8"/>
  </r>
  <r>
    <s v="LUKIANIENKO Illia"/>
    <x v="0"/>
    <s v="Z/2000/104"/>
    <s v="MKS Kusy Szczecin"/>
    <n v="1"/>
    <x v="0"/>
    <x v="2"/>
    <x v="8"/>
  </r>
  <r>
    <s v="LUKIANIENKO Illia"/>
    <x v="0"/>
    <s v="Z/2000/104"/>
    <s v="MKS Kusy Szczecin"/>
    <n v="1"/>
    <x v="1"/>
    <x v="0"/>
    <x v="8"/>
  </r>
  <r>
    <s v="LUKIANIENKO Illia"/>
    <x v="0"/>
    <s v="Z/2000/104"/>
    <s v="MKS Kusy Szczecin"/>
    <n v="1"/>
    <x v="1"/>
    <x v="1"/>
    <x v="8"/>
  </r>
  <r>
    <s v="LUKIANIENKO Illia"/>
    <x v="0"/>
    <s v="Z/2000/104"/>
    <s v="MKS Kusy Szczecin"/>
    <n v="1"/>
    <x v="1"/>
    <x v="2"/>
    <x v="8"/>
  </r>
  <r>
    <s v="LUKIANIENKO Illia"/>
    <x v="0"/>
    <s v="Z/2000/104"/>
    <s v="MKS Kusy Szczecin"/>
    <n v="1"/>
    <x v="2"/>
    <x v="0"/>
    <x v="52"/>
  </r>
  <r>
    <s v="LUKIANIENKO Illia"/>
    <x v="0"/>
    <s v="Z/2000/104"/>
    <s v="MKS Kusy Szczecin"/>
    <n v="1"/>
    <x v="2"/>
    <x v="1"/>
    <x v="18"/>
  </r>
  <r>
    <s v="LUKIANIENKO Illia"/>
    <x v="0"/>
    <s v="Z/2000/104"/>
    <s v="MKS Kusy Szczecin"/>
    <n v="1"/>
    <x v="2"/>
    <x v="2"/>
    <x v="5"/>
  </r>
  <r>
    <s v="LUKIANIENKO Illia"/>
    <x v="0"/>
    <s v="Z/2000/104"/>
    <s v="MKS Kusy Szczecin"/>
    <n v="1"/>
    <x v="3"/>
    <x v="0"/>
    <x v="8"/>
  </r>
  <r>
    <s v="LUKIANIENKO Illia"/>
    <x v="0"/>
    <s v="Z/2000/104"/>
    <s v="MKS Kusy Szczecin"/>
    <n v="1"/>
    <x v="3"/>
    <x v="1"/>
    <x v="8"/>
  </r>
  <r>
    <s v="LUKIANIENKO Illia"/>
    <x v="0"/>
    <s v="Z/2000/104"/>
    <s v="MKS Kusy Szczecin"/>
    <n v="1"/>
    <x v="3"/>
    <x v="2"/>
    <x v="8"/>
  </r>
  <r>
    <s v="LUKIANIENKO Illia"/>
    <x v="0"/>
    <s v="Z/2000/104"/>
    <s v="MKS Kusy Szczecin"/>
    <n v="1"/>
    <x v="4"/>
    <x v="0"/>
    <x v="52"/>
  </r>
  <r>
    <s v="LUKIANIENKO Illia"/>
    <x v="0"/>
    <s v="Z/2000/104"/>
    <s v="MKS Kusy Szczecin"/>
    <n v="1"/>
    <x v="4"/>
    <x v="1"/>
    <x v="18"/>
  </r>
  <r>
    <s v="LUKIANIENKO Illia"/>
    <x v="0"/>
    <s v="Z/2000/104"/>
    <s v="MKS Kusy Szczecin"/>
    <n v="1"/>
    <x v="4"/>
    <x v="2"/>
    <x v="5"/>
  </r>
  <r>
    <s v="LUKIANIENKO Illia"/>
    <x v="0"/>
    <s v="Z/2000/104"/>
    <s v="MKS Kusy Szczecin"/>
    <n v="1"/>
    <x v="5"/>
    <x v="0"/>
    <x v="8"/>
  </r>
  <r>
    <s v="LUKIANIENKO Illia"/>
    <x v="0"/>
    <s v="Z/2000/104"/>
    <s v="MKS Kusy Szczecin"/>
    <n v="1"/>
    <x v="5"/>
    <x v="1"/>
    <x v="8"/>
  </r>
  <r>
    <s v="LUKIANIENKO Illia"/>
    <x v="0"/>
    <s v="Z/2000/104"/>
    <s v="MKS Kusy Szczecin"/>
    <n v="1"/>
    <x v="5"/>
    <x v="2"/>
    <x v="8"/>
  </r>
  <r>
    <s v="NOWAK Maciej"/>
    <x v="0"/>
    <s v="32524"/>
    <s v="KS AZS AWF Katowice"/>
    <n v="1"/>
    <x v="0"/>
    <x v="0"/>
    <x v="28"/>
  </r>
  <r>
    <s v="NOWAK Maciej"/>
    <x v="0"/>
    <s v="32524"/>
    <s v="KS AZS AWF Katowice"/>
    <n v="1"/>
    <x v="0"/>
    <x v="1"/>
    <x v="131"/>
  </r>
  <r>
    <s v="NOWAK Maciej"/>
    <x v="0"/>
    <s v="32524"/>
    <s v="KS AZS AWF Katowice"/>
    <n v="1"/>
    <x v="0"/>
    <x v="2"/>
    <x v="75"/>
  </r>
  <r>
    <s v="NOWAK Maciej"/>
    <x v="0"/>
    <s v="32524"/>
    <s v="KS AZS AWF Katowice"/>
    <n v="1"/>
    <x v="1"/>
    <x v="0"/>
    <x v="8"/>
  </r>
  <r>
    <s v="NOWAK Maciej"/>
    <x v="0"/>
    <s v="32524"/>
    <s v="KS AZS AWF Katowice"/>
    <n v="1"/>
    <x v="1"/>
    <x v="1"/>
    <x v="8"/>
  </r>
  <r>
    <s v="NOWAK Maciej"/>
    <x v="0"/>
    <s v="32524"/>
    <s v="KS AZS AWF Katowice"/>
    <n v="1"/>
    <x v="1"/>
    <x v="2"/>
    <x v="8"/>
  </r>
  <r>
    <s v="NOWAK Maciej"/>
    <x v="0"/>
    <s v="32524"/>
    <s v="KS AZS AWF Katowice"/>
    <n v="1"/>
    <x v="2"/>
    <x v="0"/>
    <x v="8"/>
  </r>
  <r>
    <s v="NOWAK Maciej"/>
    <x v="0"/>
    <s v="32524"/>
    <s v="KS AZS AWF Katowice"/>
    <n v="1"/>
    <x v="2"/>
    <x v="1"/>
    <x v="8"/>
  </r>
  <r>
    <s v="NOWAK Maciej"/>
    <x v="0"/>
    <s v="32524"/>
    <s v="KS AZS AWF Katowice"/>
    <n v="1"/>
    <x v="2"/>
    <x v="2"/>
    <x v="8"/>
  </r>
  <r>
    <s v="NOWAK Maciej"/>
    <x v="0"/>
    <s v="32524"/>
    <s v="KS AZS AWF Katowice"/>
    <n v="1"/>
    <x v="3"/>
    <x v="0"/>
    <x v="8"/>
  </r>
  <r>
    <s v="NOWAK Maciej"/>
    <x v="0"/>
    <s v="32524"/>
    <s v="KS AZS AWF Katowice"/>
    <n v="1"/>
    <x v="3"/>
    <x v="1"/>
    <x v="8"/>
  </r>
  <r>
    <s v="NOWAK Maciej"/>
    <x v="0"/>
    <s v="32524"/>
    <s v="KS AZS AWF Katowice"/>
    <n v="1"/>
    <x v="3"/>
    <x v="2"/>
    <x v="8"/>
  </r>
  <r>
    <s v="NOWAK Maciej"/>
    <x v="0"/>
    <s v="32524"/>
    <s v="KS AZS AWF Katowice"/>
    <n v="1"/>
    <x v="4"/>
    <x v="0"/>
    <x v="28"/>
  </r>
  <r>
    <s v="NOWAK Maciej"/>
    <x v="0"/>
    <s v="32524"/>
    <s v="KS AZS AWF Katowice"/>
    <n v="1"/>
    <x v="4"/>
    <x v="1"/>
    <x v="131"/>
  </r>
  <r>
    <s v="NOWAK Maciej"/>
    <x v="0"/>
    <s v="32524"/>
    <s v="KS AZS AWF Katowice"/>
    <n v="1"/>
    <x v="4"/>
    <x v="2"/>
    <x v="75"/>
  </r>
  <r>
    <s v="NOWAK Maciej"/>
    <x v="0"/>
    <s v="32524"/>
    <s v="KS AZS AWF Katowice"/>
    <n v="1"/>
    <x v="5"/>
    <x v="0"/>
    <x v="8"/>
  </r>
  <r>
    <s v="NOWAK Maciej"/>
    <x v="0"/>
    <s v="32524"/>
    <s v="KS AZS AWF Katowice"/>
    <n v="1"/>
    <x v="5"/>
    <x v="1"/>
    <x v="8"/>
  </r>
  <r>
    <s v="NOWAK Maciej"/>
    <x v="0"/>
    <s v="32524"/>
    <s v="KS AZS AWF Katowice"/>
    <n v="1"/>
    <x v="5"/>
    <x v="2"/>
    <x v="8"/>
  </r>
  <r>
    <s v="KUŹMIŃSKI Bartosz"/>
    <x v="0"/>
    <s v="30186"/>
    <s v="MKS Kusy Szczecin"/>
    <n v="1"/>
    <x v="0"/>
    <x v="0"/>
    <x v="165"/>
  </r>
  <r>
    <s v="KUŹMIŃSKI Bartosz"/>
    <x v="0"/>
    <s v="30186"/>
    <s v="MKS Kusy Szczecin"/>
    <n v="1"/>
    <x v="0"/>
    <x v="1"/>
    <x v="166"/>
  </r>
  <r>
    <s v="KUŹMIŃSKI Bartosz"/>
    <x v="0"/>
    <s v="30186"/>
    <s v="MKS Kusy Szczecin"/>
    <n v="1"/>
    <x v="0"/>
    <x v="2"/>
    <x v="167"/>
  </r>
  <r>
    <s v="KUŹMIŃSKI Bartosz"/>
    <x v="0"/>
    <s v="30186"/>
    <s v="MKS Kusy Szczecin"/>
    <n v="1"/>
    <x v="1"/>
    <x v="0"/>
    <x v="8"/>
  </r>
  <r>
    <s v="KUŹMIŃSKI Bartosz"/>
    <x v="0"/>
    <s v="30186"/>
    <s v="MKS Kusy Szczecin"/>
    <n v="1"/>
    <x v="1"/>
    <x v="1"/>
    <x v="8"/>
  </r>
  <r>
    <s v="KUŹMIŃSKI Bartosz"/>
    <x v="0"/>
    <s v="30186"/>
    <s v="MKS Kusy Szczecin"/>
    <n v="1"/>
    <x v="1"/>
    <x v="2"/>
    <x v="8"/>
  </r>
  <r>
    <s v="KUŹMIŃSKI Bartosz"/>
    <x v="0"/>
    <s v="30186"/>
    <s v="MKS Kusy Szczecin"/>
    <n v="1"/>
    <x v="2"/>
    <x v="0"/>
    <x v="8"/>
  </r>
  <r>
    <s v="KUŹMIŃSKI Bartosz"/>
    <x v="0"/>
    <s v="30186"/>
    <s v="MKS Kusy Szczecin"/>
    <n v="1"/>
    <x v="2"/>
    <x v="1"/>
    <x v="8"/>
  </r>
  <r>
    <s v="KUŹMIŃSKI Bartosz"/>
    <x v="0"/>
    <s v="30186"/>
    <s v="MKS Kusy Szczecin"/>
    <n v="1"/>
    <x v="2"/>
    <x v="2"/>
    <x v="8"/>
  </r>
  <r>
    <s v="KUŹMIŃSKI Bartosz"/>
    <x v="0"/>
    <s v="30186"/>
    <s v="MKS Kusy Szczecin"/>
    <n v="1"/>
    <x v="3"/>
    <x v="0"/>
    <x v="8"/>
  </r>
  <r>
    <s v="KUŹMIŃSKI Bartosz"/>
    <x v="0"/>
    <s v="30186"/>
    <s v="MKS Kusy Szczecin"/>
    <n v="1"/>
    <x v="3"/>
    <x v="1"/>
    <x v="8"/>
  </r>
  <r>
    <s v="KUŹMIŃSKI Bartosz"/>
    <x v="0"/>
    <s v="30186"/>
    <s v="MKS Kusy Szczecin"/>
    <n v="1"/>
    <x v="3"/>
    <x v="2"/>
    <x v="8"/>
  </r>
  <r>
    <s v="KUŹMIŃSKI Bartosz"/>
    <x v="0"/>
    <s v="30186"/>
    <s v="MKS Kusy Szczecin"/>
    <n v="1"/>
    <x v="4"/>
    <x v="0"/>
    <x v="165"/>
  </r>
  <r>
    <s v="KUŹMIŃSKI Bartosz"/>
    <x v="0"/>
    <s v="30186"/>
    <s v="MKS Kusy Szczecin"/>
    <n v="1"/>
    <x v="4"/>
    <x v="1"/>
    <x v="166"/>
  </r>
  <r>
    <s v="KUŹMIŃSKI Bartosz"/>
    <x v="0"/>
    <s v="30186"/>
    <s v="MKS Kusy Szczecin"/>
    <n v="1"/>
    <x v="4"/>
    <x v="2"/>
    <x v="167"/>
  </r>
  <r>
    <s v="KUŹMIŃSKI Bartosz"/>
    <x v="0"/>
    <s v="30186"/>
    <s v="MKS Kusy Szczecin"/>
    <n v="1"/>
    <x v="5"/>
    <x v="0"/>
    <x v="8"/>
  </r>
  <r>
    <s v="KUŹMIŃSKI Bartosz"/>
    <x v="0"/>
    <s v="30186"/>
    <s v="MKS Kusy Szczecin"/>
    <n v="1"/>
    <x v="5"/>
    <x v="1"/>
    <x v="8"/>
  </r>
  <r>
    <s v="KUŹMIŃSKI Bartosz"/>
    <x v="0"/>
    <s v="30186"/>
    <s v="MKS Kusy Szczecin"/>
    <n v="1"/>
    <x v="5"/>
    <x v="2"/>
    <x v="8"/>
  </r>
  <r>
    <s v="SIEDZIAKO Igor"/>
    <x v="0"/>
    <s v="30189"/>
    <s v="MKS Kusy Szczecin"/>
    <n v="1"/>
    <x v="0"/>
    <x v="0"/>
    <x v="154"/>
  </r>
  <r>
    <s v="SIEDZIAKO Igor"/>
    <x v="0"/>
    <s v="30189"/>
    <s v="MKS Kusy Szczecin"/>
    <n v="1"/>
    <x v="0"/>
    <x v="1"/>
    <x v="168"/>
  </r>
  <r>
    <s v="SIEDZIAKO Igor"/>
    <x v="0"/>
    <s v="30189"/>
    <s v="MKS Kusy Szczecin"/>
    <n v="1"/>
    <x v="0"/>
    <x v="2"/>
    <x v="103"/>
  </r>
  <r>
    <s v="SIEDZIAKO Igor"/>
    <x v="0"/>
    <s v="30189"/>
    <s v="MKS Kusy Szczecin"/>
    <n v="1"/>
    <x v="1"/>
    <x v="0"/>
    <x v="8"/>
  </r>
  <r>
    <s v="SIEDZIAKO Igor"/>
    <x v="0"/>
    <s v="30189"/>
    <s v="MKS Kusy Szczecin"/>
    <n v="1"/>
    <x v="1"/>
    <x v="1"/>
    <x v="8"/>
  </r>
  <r>
    <s v="SIEDZIAKO Igor"/>
    <x v="0"/>
    <s v="30189"/>
    <s v="MKS Kusy Szczecin"/>
    <n v="1"/>
    <x v="1"/>
    <x v="2"/>
    <x v="8"/>
  </r>
  <r>
    <s v="SIEDZIAKO Igor"/>
    <x v="0"/>
    <s v="30189"/>
    <s v="MKS Kusy Szczecin"/>
    <n v="1"/>
    <x v="2"/>
    <x v="0"/>
    <x v="8"/>
  </r>
  <r>
    <s v="SIEDZIAKO Igor"/>
    <x v="0"/>
    <s v="30189"/>
    <s v="MKS Kusy Szczecin"/>
    <n v="1"/>
    <x v="2"/>
    <x v="1"/>
    <x v="8"/>
  </r>
  <r>
    <s v="SIEDZIAKO Igor"/>
    <x v="0"/>
    <s v="30189"/>
    <s v="MKS Kusy Szczecin"/>
    <n v="1"/>
    <x v="2"/>
    <x v="2"/>
    <x v="8"/>
  </r>
  <r>
    <s v="SIEDZIAKO Igor"/>
    <x v="0"/>
    <s v="30189"/>
    <s v="MKS Kusy Szczecin"/>
    <n v="1"/>
    <x v="3"/>
    <x v="0"/>
    <x v="8"/>
  </r>
  <r>
    <s v="SIEDZIAKO Igor"/>
    <x v="0"/>
    <s v="30189"/>
    <s v="MKS Kusy Szczecin"/>
    <n v="1"/>
    <x v="3"/>
    <x v="1"/>
    <x v="8"/>
  </r>
  <r>
    <s v="SIEDZIAKO Igor"/>
    <x v="0"/>
    <s v="30189"/>
    <s v="MKS Kusy Szczecin"/>
    <n v="1"/>
    <x v="3"/>
    <x v="2"/>
    <x v="8"/>
  </r>
  <r>
    <s v="SIEDZIAKO Igor"/>
    <x v="0"/>
    <s v="30189"/>
    <s v="MKS Kusy Szczecin"/>
    <n v="1"/>
    <x v="4"/>
    <x v="0"/>
    <x v="154"/>
  </r>
  <r>
    <s v="SIEDZIAKO Igor"/>
    <x v="0"/>
    <s v="30189"/>
    <s v="MKS Kusy Szczecin"/>
    <n v="1"/>
    <x v="4"/>
    <x v="1"/>
    <x v="168"/>
  </r>
  <r>
    <s v="SIEDZIAKO Igor"/>
    <x v="0"/>
    <s v="30189"/>
    <s v="MKS Kusy Szczecin"/>
    <n v="1"/>
    <x v="4"/>
    <x v="2"/>
    <x v="103"/>
  </r>
  <r>
    <s v="SIEDZIAKO Igor"/>
    <x v="0"/>
    <s v="30189"/>
    <s v="MKS Kusy Szczecin"/>
    <n v="1"/>
    <x v="5"/>
    <x v="0"/>
    <x v="8"/>
  </r>
  <r>
    <s v="SIEDZIAKO Igor"/>
    <x v="0"/>
    <s v="30189"/>
    <s v="MKS Kusy Szczecin"/>
    <n v="1"/>
    <x v="5"/>
    <x v="1"/>
    <x v="8"/>
  </r>
  <r>
    <s v="SIEDZIAKO Igor"/>
    <x v="0"/>
    <s v="30189"/>
    <s v="MKS Kusy Szczecin"/>
    <n v="1"/>
    <x v="5"/>
    <x v="2"/>
    <x v="8"/>
  </r>
  <r>
    <s v="LEKHAC Tomasz"/>
    <x v="1"/>
    <s v="Z/08/00007"/>
    <s v="CWZS Zawisza KG Bydgoszcz"/>
    <n v="4"/>
    <x v="0"/>
    <x v="0"/>
    <x v="28"/>
  </r>
  <r>
    <s v="LEKHAC Tomasz"/>
    <x v="1"/>
    <s v="Z/08/00007"/>
    <s v="CWZS Zawisza KG Bydgoszcz"/>
    <n v="4"/>
    <x v="0"/>
    <x v="1"/>
    <x v="169"/>
  </r>
  <r>
    <s v="LEKHAC Tomasz"/>
    <x v="1"/>
    <s v="Z/08/00007"/>
    <s v="CWZS Zawisza KG Bydgoszcz"/>
    <n v="4"/>
    <x v="0"/>
    <x v="2"/>
    <x v="170"/>
  </r>
  <r>
    <s v="LEKHAC Tomasz"/>
    <x v="1"/>
    <s v="Z/08/00007"/>
    <s v="CWZS Zawisza KG Bydgoszcz"/>
    <n v="4"/>
    <x v="1"/>
    <x v="0"/>
    <x v="28"/>
  </r>
  <r>
    <s v="LEKHAC Tomasz"/>
    <x v="1"/>
    <s v="Z/08/00007"/>
    <s v="CWZS Zawisza KG Bydgoszcz"/>
    <n v="4"/>
    <x v="1"/>
    <x v="1"/>
    <x v="138"/>
  </r>
  <r>
    <s v="LEKHAC Tomasz"/>
    <x v="1"/>
    <s v="Z/08/00007"/>
    <s v="CWZS Zawisza KG Bydgoszcz"/>
    <n v="4"/>
    <x v="1"/>
    <x v="2"/>
    <x v="115"/>
  </r>
  <r>
    <s v="LEKHAC Tomasz"/>
    <x v="1"/>
    <s v="Z/08/00007"/>
    <s v="CWZS Zawisza KG Bydgoszcz"/>
    <n v="4"/>
    <x v="2"/>
    <x v="0"/>
    <x v="28"/>
  </r>
  <r>
    <s v="LEKHAC Tomasz"/>
    <x v="1"/>
    <s v="Z/08/00007"/>
    <s v="CWZS Zawisza KG Bydgoszcz"/>
    <n v="4"/>
    <x v="2"/>
    <x v="1"/>
    <x v="171"/>
  </r>
  <r>
    <s v="LEKHAC Tomasz"/>
    <x v="1"/>
    <s v="Z/08/00007"/>
    <s v="CWZS Zawisza KG Bydgoszcz"/>
    <n v="4"/>
    <x v="2"/>
    <x v="2"/>
    <x v="172"/>
  </r>
  <r>
    <s v="LEKHAC Tomasz"/>
    <x v="1"/>
    <s v="Z/08/00007"/>
    <s v="CWZS Zawisza KG Bydgoszcz"/>
    <n v="4"/>
    <x v="3"/>
    <x v="0"/>
    <x v="3"/>
  </r>
  <r>
    <s v="LEKHAC Tomasz"/>
    <x v="1"/>
    <s v="Z/08/00007"/>
    <s v="CWZS Zawisza KG Bydgoszcz"/>
    <n v="4"/>
    <x v="3"/>
    <x v="1"/>
    <x v="173"/>
  </r>
  <r>
    <s v="LEKHAC Tomasz"/>
    <x v="1"/>
    <s v="Z/08/00007"/>
    <s v="CWZS Zawisza KG Bydgoszcz"/>
    <n v="4"/>
    <x v="3"/>
    <x v="2"/>
    <x v="14"/>
  </r>
  <r>
    <s v="LEKHAC Tomasz"/>
    <x v="1"/>
    <s v="Z/08/00007"/>
    <s v="CWZS Zawisza KG Bydgoszcz"/>
    <n v="4"/>
    <x v="4"/>
    <x v="0"/>
    <x v="80"/>
  </r>
  <r>
    <s v="LEKHAC Tomasz"/>
    <x v="1"/>
    <s v="Z/08/00007"/>
    <s v="CWZS Zawisza KG Bydgoszcz"/>
    <n v="4"/>
    <x v="4"/>
    <x v="1"/>
    <x v="174"/>
  </r>
  <r>
    <s v="LEKHAC Tomasz"/>
    <x v="1"/>
    <s v="Z/08/00007"/>
    <s v="CWZS Zawisza KG Bydgoszcz"/>
    <n v="4"/>
    <x v="4"/>
    <x v="2"/>
    <x v="175"/>
  </r>
  <r>
    <s v="LEKHAC Tomasz"/>
    <x v="1"/>
    <s v="Z/08/00007"/>
    <s v="CWZS Zawisza KG Bydgoszcz"/>
    <n v="4"/>
    <x v="5"/>
    <x v="0"/>
    <x v="83"/>
  </r>
  <r>
    <s v="LEKHAC Tomasz"/>
    <x v="1"/>
    <s v="Z/08/00007"/>
    <s v="CWZS Zawisza KG Bydgoszcz"/>
    <n v="4"/>
    <x v="5"/>
    <x v="1"/>
    <x v="176"/>
  </r>
  <r>
    <s v="LEKHAC Tomasz"/>
    <x v="1"/>
    <s v="Z/08/00007"/>
    <s v="CWZS Zawisza KG Bydgoszcz"/>
    <n v="4"/>
    <x v="5"/>
    <x v="2"/>
    <x v="2"/>
  </r>
  <r>
    <s v="KORBIEL Franciszek"/>
    <x v="1"/>
    <s v="33134"/>
    <s v="KS AZS AWF Kraków"/>
    <n v="4"/>
    <x v="0"/>
    <x v="0"/>
    <x v="50"/>
  </r>
  <r>
    <s v="KORBIEL Franciszek"/>
    <x v="1"/>
    <s v="33134"/>
    <s v="KS AZS AWF Kraków"/>
    <n v="4"/>
    <x v="0"/>
    <x v="1"/>
    <x v="177"/>
  </r>
  <r>
    <s v="KORBIEL Franciszek"/>
    <x v="1"/>
    <s v="33134"/>
    <s v="KS AZS AWF Kraków"/>
    <n v="4"/>
    <x v="0"/>
    <x v="2"/>
    <x v="178"/>
  </r>
  <r>
    <s v="KORBIEL Franciszek"/>
    <x v="1"/>
    <s v="33134"/>
    <s v="KS AZS AWF Kraków"/>
    <n v="4"/>
    <x v="1"/>
    <x v="0"/>
    <x v="167"/>
  </r>
  <r>
    <s v="KORBIEL Franciszek"/>
    <x v="1"/>
    <s v="33134"/>
    <s v="KS AZS AWF Kraków"/>
    <n v="4"/>
    <x v="1"/>
    <x v="1"/>
    <x v="131"/>
  </r>
  <r>
    <s v="KORBIEL Franciszek"/>
    <x v="1"/>
    <s v="33134"/>
    <s v="KS AZS AWF Kraków"/>
    <n v="4"/>
    <x v="1"/>
    <x v="2"/>
    <x v="34"/>
  </r>
  <r>
    <s v="KORBIEL Franciszek"/>
    <x v="1"/>
    <s v="33134"/>
    <s v="KS AZS AWF Kraków"/>
    <n v="4"/>
    <x v="2"/>
    <x v="0"/>
    <x v="47"/>
  </r>
  <r>
    <s v="KORBIEL Franciszek"/>
    <x v="1"/>
    <s v="33134"/>
    <s v="KS AZS AWF Kraków"/>
    <n v="4"/>
    <x v="2"/>
    <x v="1"/>
    <x v="162"/>
  </r>
  <r>
    <s v="KORBIEL Franciszek"/>
    <x v="1"/>
    <s v="33134"/>
    <s v="KS AZS AWF Kraków"/>
    <n v="4"/>
    <x v="2"/>
    <x v="2"/>
    <x v="179"/>
  </r>
  <r>
    <s v="KORBIEL Franciszek"/>
    <x v="1"/>
    <s v="33134"/>
    <s v="KS AZS AWF Kraków"/>
    <n v="4"/>
    <x v="3"/>
    <x v="0"/>
    <x v="74"/>
  </r>
  <r>
    <s v="KORBIEL Franciszek"/>
    <x v="1"/>
    <s v="33134"/>
    <s v="KS AZS AWF Kraków"/>
    <n v="4"/>
    <x v="3"/>
    <x v="1"/>
    <x v="156"/>
  </r>
  <r>
    <s v="KORBIEL Franciszek"/>
    <x v="1"/>
    <s v="33134"/>
    <s v="KS AZS AWF Kraków"/>
    <n v="4"/>
    <x v="3"/>
    <x v="2"/>
    <x v="180"/>
  </r>
  <r>
    <s v="KORBIEL Franciszek"/>
    <x v="1"/>
    <s v="33134"/>
    <s v="KS AZS AWF Kraków"/>
    <n v="4"/>
    <x v="4"/>
    <x v="0"/>
    <x v="181"/>
  </r>
  <r>
    <s v="KORBIEL Franciszek"/>
    <x v="1"/>
    <s v="33134"/>
    <s v="KS AZS AWF Kraków"/>
    <n v="4"/>
    <x v="4"/>
    <x v="1"/>
    <x v="182"/>
  </r>
  <r>
    <s v="KORBIEL Franciszek"/>
    <x v="1"/>
    <s v="33134"/>
    <s v="KS AZS AWF Kraków"/>
    <n v="4"/>
    <x v="4"/>
    <x v="2"/>
    <x v="183"/>
  </r>
  <r>
    <s v="KORBIEL Franciszek"/>
    <x v="1"/>
    <s v="33134"/>
    <s v="KS AZS AWF Kraków"/>
    <n v="4"/>
    <x v="5"/>
    <x v="0"/>
    <x v="32"/>
  </r>
  <r>
    <s v="KORBIEL Franciszek"/>
    <x v="1"/>
    <s v="33134"/>
    <s v="KS AZS AWF Kraków"/>
    <n v="4"/>
    <x v="5"/>
    <x v="1"/>
    <x v="184"/>
  </r>
  <r>
    <s v="KORBIEL Franciszek"/>
    <x v="1"/>
    <s v="33134"/>
    <s v="KS AZS AWF Kraków"/>
    <n v="4"/>
    <x v="5"/>
    <x v="2"/>
    <x v="185"/>
  </r>
  <r>
    <s v="KUZDRA Christian"/>
    <x v="1"/>
    <s v="33663"/>
    <s v="MKS Gdańsk"/>
    <n v="4"/>
    <x v="0"/>
    <x v="0"/>
    <x v="50"/>
  </r>
  <r>
    <s v="KUZDRA Christian"/>
    <x v="1"/>
    <s v="33663"/>
    <s v="MKS Gdańsk"/>
    <n v="4"/>
    <x v="0"/>
    <x v="1"/>
    <x v="55"/>
  </r>
  <r>
    <s v="KUZDRA Christian"/>
    <x v="1"/>
    <s v="33663"/>
    <s v="MKS Gdańsk"/>
    <n v="4"/>
    <x v="0"/>
    <x v="2"/>
    <x v="9"/>
  </r>
  <r>
    <s v="KUZDRA Christian"/>
    <x v="1"/>
    <s v="33663"/>
    <s v="MKS Gdańsk"/>
    <n v="4"/>
    <x v="1"/>
    <x v="0"/>
    <x v="74"/>
  </r>
  <r>
    <s v="KUZDRA Christian"/>
    <x v="1"/>
    <s v="33663"/>
    <s v="MKS Gdańsk"/>
    <n v="4"/>
    <x v="1"/>
    <x v="1"/>
    <x v="55"/>
  </r>
  <r>
    <s v="KUZDRA Christian"/>
    <x v="1"/>
    <s v="33663"/>
    <s v="MKS Gdańsk"/>
    <n v="4"/>
    <x v="1"/>
    <x v="2"/>
    <x v="21"/>
  </r>
  <r>
    <s v="KUZDRA Christian"/>
    <x v="1"/>
    <s v="33663"/>
    <s v="MKS Gdańsk"/>
    <n v="4"/>
    <x v="2"/>
    <x v="0"/>
    <x v="47"/>
  </r>
  <r>
    <s v="KUZDRA Christian"/>
    <x v="1"/>
    <s v="33663"/>
    <s v="MKS Gdańsk"/>
    <n v="4"/>
    <x v="2"/>
    <x v="1"/>
    <x v="116"/>
  </r>
  <r>
    <s v="KUZDRA Christian"/>
    <x v="1"/>
    <s v="33663"/>
    <s v="MKS Gdańsk"/>
    <n v="4"/>
    <x v="2"/>
    <x v="2"/>
    <x v="36"/>
  </r>
  <r>
    <s v="KUZDRA Christian"/>
    <x v="1"/>
    <s v="33663"/>
    <s v="MKS Gdańsk"/>
    <n v="4"/>
    <x v="3"/>
    <x v="0"/>
    <x v="47"/>
  </r>
  <r>
    <s v="KUZDRA Christian"/>
    <x v="1"/>
    <s v="33663"/>
    <s v="MKS Gdańsk"/>
    <n v="4"/>
    <x v="3"/>
    <x v="1"/>
    <x v="132"/>
  </r>
  <r>
    <s v="KUZDRA Christian"/>
    <x v="1"/>
    <s v="33663"/>
    <s v="MKS Gdańsk"/>
    <n v="4"/>
    <x v="3"/>
    <x v="2"/>
    <x v="147"/>
  </r>
  <r>
    <s v="KUZDRA Christian"/>
    <x v="1"/>
    <s v="33663"/>
    <s v="MKS Gdańsk"/>
    <n v="4"/>
    <x v="4"/>
    <x v="0"/>
    <x v="147"/>
  </r>
  <r>
    <s v="KUZDRA Christian"/>
    <x v="1"/>
    <s v="33663"/>
    <s v="MKS Gdańsk"/>
    <n v="4"/>
    <x v="4"/>
    <x v="1"/>
    <x v="186"/>
  </r>
  <r>
    <s v="KUZDRA Christian"/>
    <x v="1"/>
    <s v="33663"/>
    <s v="MKS Gdańsk"/>
    <n v="4"/>
    <x v="4"/>
    <x v="2"/>
    <x v="187"/>
  </r>
  <r>
    <s v="KUZDRA Christian"/>
    <x v="1"/>
    <s v="33663"/>
    <s v="MKS Gdańsk"/>
    <n v="4"/>
    <x v="5"/>
    <x v="0"/>
    <x v="188"/>
  </r>
  <r>
    <s v="KUZDRA Christian"/>
    <x v="1"/>
    <s v="33663"/>
    <s v="MKS Gdańsk"/>
    <n v="4"/>
    <x v="5"/>
    <x v="1"/>
    <x v="189"/>
  </r>
  <r>
    <s v="KUZDRA Christian"/>
    <x v="1"/>
    <s v="33663"/>
    <s v="MKS Gdańsk"/>
    <n v="4"/>
    <x v="5"/>
    <x v="2"/>
    <x v="190"/>
  </r>
  <r>
    <s v="KWIATKOWSKI Michał"/>
    <x v="1"/>
    <s v="30185"/>
    <s v="MKS Kusy Szczecin"/>
    <n v="4"/>
    <x v="0"/>
    <x v="0"/>
    <x v="47"/>
  </r>
  <r>
    <s v="KWIATKOWSKI Michał"/>
    <x v="1"/>
    <s v="30185"/>
    <s v="MKS Kusy Szczecin"/>
    <n v="4"/>
    <x v="0"/>
    <x v="1"/>
    <x v="55"/>
  </r>
  <r>
    <s v="KWIATKOWSKI Michał"/>
    <x v="1"/>
    <s v="30185"/>
    <s v="MKS Kusy Szczecin"/>
    <n v="4"/>
    <x v="0"/>
    <x v="2"/>
    <x v="43"/>
  </r>
  <r>
    <s v="KWIATKOWSKI Michał"/>
    <x v="1"/>
    <s v="30185"/>
    <s v="MKS Kusy Szczecin"/>
    <n v="4"/>
    <x v="1"/>
    <x v="0"/>
    <x v="47"/>
  </r>
  <r>
    <s v="KWIATKOWSKI Michał"/>
    <x v="1"/>
    <s v="30185"/>
    <s v="MKS Kusy Szczecin"/>
    <n v="4"/>
    <x v="1"/>
    <x v="1"/>
    <x v="76"/>
  </r>
  <r>
    <s v="KWIATKOWSKI Michał"/>
    <x v="1"/>
    <s v="30185"/>
    <s v="MKS Kusy Szczecin"/>
    <n v="4"/>
    <x v="1"/>
    <x v="2"/>
    <x v="146"/>
  </r>
  <r>
    <s v="KWIATKOWSKI Michał"/>
    <x v="1"/>
    <s v="30185"/>
    <s v="MKS Kusy Szczecin"/>
    <n v="4"/>
    <x v="2"/>
    <x v="0"/>
    <x v="137"/>
  </r>
  <r>
    <s v="KWIATKOWSKI Michał"/>
    <x v="1"/>
    <s v="30185"/>
    <s v="MKS Kusy Szczecin"/>
    <n v="4"/>
    <x v="2"/>
    <x v="1"/>
    <x v="102"/>
  </r>
  <r>
    <s v="KWIATKOWSKI Michał"/>
    <x v="1"/>
    <s v="30185"/>
    <s v="MKS Kusy Szczecin"/>
    <n v="4"/>
    <x v="2"/>
    <x v="2"/>
    <x v="191"/>
  </r>
  <r>
    <s v="KWIATKOWSKI Michał"/>
    <x v="1"/>
    <s v="30185"/>
    <s v="MKS Kusy Szczecin"/>
    <n v="4"/>
    <x v="3"/>
    <x v="0"/>
    <x v="47"/>
  </r>
  <r>
    <s v="KWIATKOWSKI Michał"/>
    <x v="1"/>
    <s v="30185"/>
    <s v="MKS Kusy Szczecin"/>
    <n v="4"/>
    <x v="3"/>
    <x v="1"/>
    <x v="132"/>
  </r>
  <r>
    <s v="KWIATKOWSKI Michał"/>
    <x v="1"/>
    <s v="30185"/>
    <s v="MKS Kusy Szczecin"/>
    <n v="4"/>
    <x v="3"/>
    <x v="2"/>
    <x v="147"/>
  </r>
  <r>
    <s v="KWIATKOWSKI Michał"/>
    <x v="1"/>
    <s v="30185"/>
    <s v="MKS Kusy Szczecin"/>
    <n v="4"/>
    <x v="4"/>
    <x v="0"/>
    <x v="44"/>
  </r>
  <r>
    <s v="KWIATKOWSKI Michał"/>
    <x v="1"/>
    <s v="30185"/>
    <s v="MKS Kusy Szczecin"/>
    <n v="4"/>
    <x v="4"/>
    <x v="1"/>
    <x v="192"/>
  </r>
  <r>
    <s v="KWIATKOWSKI Michał"/>
    <x v="1"/>
    <s v="30185"/>
    <s v="MKS Kusy Szczecin"/>
    <n v="4"/>
    <x v="4"/>
    <x v="2"/>
    <x v="193"/>
  </r>
  <r>
    <s v="KWIATKOWSKI Michał"/>
    <x v="1"/>
    <s v="30185"/>
    <s v="MKS Kusy Szczecin"/>
    <n v="4"/>
    <x v="5"/>
    <x v="0"/>
    <x v="47"/>
  </r>
  <r>
    <s v="KWIATKOWSKI Michał"/>
    <x v="1"/>
    <s v="30185"/>
    <s v="MKS Kusy Szczecin"/>
    <n v="4"/>
    <x v="5"/>
    <x v="1"/>
    <x v="40"/>
  </r>
  <r>
    <s v="KWIATKOWSKI Michał"/>
    <x v="1"/>
    <s v="30185"/>
    <s v="MKS Kusy Szczecin"/>
    <n v="4"/>
    <x v="5"/>
    <x v="2"/>
    <x v="194"/>
  </r>
  <r>
    <s v="KOŁODZIEJCZYK Karol"/>
    <x v="1"/>
    <s v="32980"/>
    <s v="KS AZS AWF Kraków"/>
    <n v="4"/>
    <x v="0"/>
    <x v="0"/>
    <x v="86"/>
  </r>
  <r>
    <s v="KOŁODZIEJCZYK Karol"/>
    <x v="1"/>
    <s v="32980"/>
    <s v="KS AZS AWF Kraków"/>
    <n v="4"/>
    <x v="0"/>
    <x v="1"/>
    <x v="4"/>
  </r>
  <r>
    <s v="KOŁODZIEJCZYK Karol"/>
    <x v="1"/>
    <s v="32980"/>
    <s v="KS AZS AWF Kraków"/>
    <n v="4"/>
    <x v="0"/>
    <x v="2"/>
    <x v="68"/>
  </r>
  <r>
    <s v="KOŁODZIEJCZYK Karol"/>
    <x v="1"/>
    <s v="32980"/>
    <s v="KS AZS AWF Kraków"/>
    <n v="4"/>
    <x v="1"/>
    <x v="0"/>
    <x v="86"/>
  </r>
  <r>
    <s v="KOŁODZIEJCZYK Karol"/>
    <x v="1"/>
    <s v="32980"/>
    <s v="KS AZS AWF Kraków"/>
    <n v="4"/>
    <x v="1"/>
    <x v="1"/>
    <x v="119"/>
  </r>
  <r>
    <s v="KOŁODZIEJCZYK Karol"/>
    <x v="1"/>
    <s v="32980"/>
    <s v="KS AZS AWF Kraków"/>
    <n v="4"/>
    <x v="1"/>
    <x v="2"/>
    <x v="195"/>
  </r>
  <r>
    <s v="KOŁODZIEJCZYK Karol"/>
    <x v="1"/>
    <s v="32980"/>
    <s v="KS AZS AWF Kraków"/>
    <n v="4"/>
    <x v="2"/>
    <x v="0"/>
    <x v="86"/>
  </r>
  <r>
    <s v="KOŁODZIEJCZYK Karol"/>
    <x v="1"/>
    <s v="32980"/>
    <s v="KS AZS AWF Kraków"/>
    <n v="4"/>
    <x v="2"/>
    <x v="1"/>
    <x v="196"/>
  </r>
  <r>
    <s v="KOŁODZIEJCZYK Karol"/>
    <x v="1"/>
    <s v="32980"/>
    <s v="KS AZS AWF Kraków"/>
    <n v="4"/>
    <x v="2"/>
    <x v="2"/>
    <x v="111"/>
  </r>
  <r>
    <s v="KOŁODZIEJCZYK Karol"/>
    <x v="1"/>
    <s v="32980"/>
    <s v="KS AZS AWF Kraków"/>
    <n v="4"/>
    <x v="3"/>
    <x v="0"/>
    <x v="197"/>
  </r>
  <r>
    <s v="KOŁODZIEJCZYK Karol"/>
    <x v="1"/>
    <s v="32980"/>
    <s v="KS AZS AWF Kraków"/>
    <n v="4"/>
    <x v="3"/>
    <x v="1"/>
    <x v="114"/>
  </r>
  <r>
    <s v="KOŁODZIEJCZYK Karol"/>
    <x v="1"/>
    <s v="32980"/>
    <s v="KS AZS AWF Kraków"/>
    <n v="4"/>
    <x v="3"/>
    <x v="2"/>
    <x v="198"/>
  </r>
  <r>
    <s v="KOŁODZIEJCZYK Karol"/>
    <x v="1"/>
    <s v="32980"/>
    <s v="KS AZS AWF Kraków"/>
    <n v="4"/>
    <x v="4"/>
    <x v="0"/>
    <x v="105"/>
  </r>
  <r>
    <s v="KOŁODZIEJCZYK Karol"/>
    <x v="1"/>
    <s v="32980"/>
    <s v="KS AZS AWF Kraków"/>
    <n v="4"/>
    <x v="4"/>
    <x v="1"/>
    <x v="199"/>
  </r>
  <r>
    <s v="KOŁODZIEJCZYK Karol"/>
    <x v="1"/>
    <s v="32980"/>
    <s v="KS AZS AWF Kraków"/>
    <n v="4"/>
    <x v="4"/>
    <x v="2"/>
    <x v="82"/>
  </r>
  <r>
    <s v="KOŁODZIEJCZYK Karol"/>
    <x v="1"/>
    <s v="32980"/>
    <s v="KS AZS AWF Kraków"/>
    <n v="4"/>
    <x v="5"/>
    <x v="0"/>
    <x v="86"/>
  </r>
  <r>
    <s v="KOŁODZIEJCZYK Karol"/>
    <x v="1"/>
    <s v="32980"/>
    <s v="KS AZS AWF Kraków"/>
    <n v="4"/>
    <x v="5"/>
    <x v="1"/>
    <x v="200"/>
  </r>
  <r>
    <s v="KOŁODZIEJCZYK Karol"/>
    <x v="1"/>
    <s v="32980"/>
    <s v="KS AZS AWF Kraków"/>
    <n v="4"/>
    <x v="5"/>
    <x v="2"/>
    <x v="85"/>
  </r>
  <r>
    <s v="KOPERSKI Filip"/>
    <x v="1"/>
    <s v="Z/07/00266"/>
    <s v="KS AZS AWF Kraków"/>
    <n v="3"/>
    <x v="0"/>
    <x v="0"/>
    <x v="8"/>
  </r>
  <r>
    <s v="KOPERSKI Filip"/>
    <x v="1"/>
    <s v="Z/07/00266"/>
    <s v="KS AZS AWF Kraków"/>
    <n v="3"/>
    <x v="0"/>
    <x v="1"/>
    <x v="8"/>
  </r>
  <r>
    <s v="KOPERSKI Filip"/>
    <x v="1"/>
    <s v="Z/07/00266"/>
    <s v="KS AZS AWF Kraków"/>
    <n v="3"/>
    <x v="0"/>
    <x v="2"/>
    <x v="8"/>
  </r>
  <r>
    <s v="KOPERSKI Filip"/>
    <x v="1"/>
    <s v="Z/07/00266"/>
    <s v="KS AZS AWF Kraków"/>
    <n v="3"/>
    <x v="1"/>
    <x v="0"/>
    <x v="93"/>
  </r>
  <r>
    <s v="KOPERSKI Filip"/>
    <x v="1"/>
    <s v="Z/07/00266"/>
    <s v="KS AZS AWF Kraków"/>
    <n v="3"/>
    <x v="1"/>
    <x v="1"/>
    <x v="119"/>
  </r>
  <r>
    <s v="KOPERSKI Filip"/>
    <x v="1"/>
    <s v="Z/07/00266"/>
    <s v="KS AZS AWF Kraków"/>
    <n v="3"/>
    <x v="1"/>
    <x v="2"/>
    <x v="201"/>
  </r>
  <r>
    <s v="KOPERSKI Filip"/>
    <x v="1"/>
    <s v="Z/07/00266"/>
    <s v="KS AZS AWF Kraków"/>
    <n v="3"/>
    <x v="2"/>
    <x v="0"/>
    <x v="93"/>
  </r>
  <r>
    <s v="KOPERSKI Filip"/>
    <x v="1"/>
    <s v="Z/07/00266"/>
    <s v="KS AZS AWF Kraków"/>
    <n v="3"/>
    <x v="2"/>
    <x v="1"/>
    <x v="202"/>
  </r>
  <r>
    <s v="KOPERSKI Filip"/>
    <x v="1"/>
    <s v="Z/07/00266"/>
    <s v="KS AZS AWF Kraków"/>
    <n v="3"/>
    <x v="2"/>
    <x v="2"/>
    <x v="179"/>
  </r>
  <r>
    <s v="KOPERSKI Filip"/>
    <x v="1"/>
    <s v="Z/07/00266"/>
    <s v="KS AZS AWF Kraków"/>
    <n v="3"/>
    <x v="3"/>
    <x v="0"/>
    <x v="93"/>
  </r>
  <r>
    <s v="KOPERSKI Filip"/>
    <x v="1"/>
    <s v="Z/07/00266"/>
    <s v="KS AZS AWF Kraków"/>
    <n v="3"/>
    <x v="3"/>
    <x v="1"/>
    <x v="200"/>
  </r>
  <r>
    <s v="KOPERSKI Filip"/>
    <x v="1"/>
    <s v="Z/07/00266"/>
    <s v="KS AZS AWF Kraków"/>
    <n v="3"/>
    <x v="3"/>
    <x v="2"/>
    <x v="54"/>
  </r>
  <r>
    <s v="KOPERSKI Filip"/>
    <x v="1"/>
    <s v="Z/07/00266"/>
    <s v="KS AZS AWF Kraków"/>
    <n v="3"/>
    <x v="4"/>
    <x v="0"/>
    <x v="203"/>
  </r>
  <r>
    <s v="KOPERSKI Filip"/>
    <x v="1"/>
    <s v="Z/07/00266"/>
    <s v="KS AZS AWF Kraków"/>
    <n v="3"/>
    <x v="4"/>
    <x v="1"/>
    <x v="204"/>
  </r>
  <r>
    <s v="KOPERSKI Filip"/>
    <x v="1"/>
    <s v="Z/07/00266"/>
    <s v="KS AZS AWF Kraków"/>
    <n v="3"/>
    <x v="4"/>
    <x v="2"/>
    <x v="205"/>
  </r>
  <r>
    <s v="KOPERSKI Filip"/>
    <x v="1"/>
    <s v="Z/07/00266"/>
    <s v="KS AZS AWF Kraków"/>
    <n v="3"/>
    <x v="5"/>
    <x v="0"/>
    <x v="93"/>
  </r>
  <r>
    <s v="KOPERSKI Filip"/>
    <x v="1"/>
    <s v="Z/07/00266"/>
    <s v="KS AZS AWF Kraków"/>
    <n v="3"/>
    <x v="5"/>
    <x v="1"/>
    <x v="206"/>
  </r>
  <r>
    <s v="KOPERSKI Filip"/>
    <x v="1"/>
    <s v="Z/07/00266"/>
    <s v="KS AZS AWF Kraków"/>
    <n v="3"/>
    <x v="5"/>
    <x v="2"/>
    <x v="207"/>
  </r>
  <r>
    <s v="CZARNECKI Aleksander"/>
    <x v="1"/>
    <s v="30195"/>
    <s v="MKS Kusy Szczecin"/>
    <n v="3"/>
    <x v="0"/>
    <x v="0"/>
    <x v="142"/>
  </r>
  <r>
    <s v="CZARNECKI Aleksander"/>
    <x v="1"/>
    <s v="30195"/>
    <s v="MKS Kusy Szczecin"/>
    <n v="3"/>
    <x v="0"/>
    <x v="1"/>
    <x v="208"/>
  </r>
  <r>
    <s v="CZARNECKI Aleksander"/>
    <x v="1"/>
    <s v="30195"/>
    <s v="MKS Kusy Szczecin"/>
    <n v="3"/>
    <x v="0"/>
    <x v="2"/>
    <x v="209"/>
  </r>
  <r>
    <s v="CZARNECKI Aleksander"/>
    <x v="1"/>
    <s v="30195"/>
    <s v="MKS Kusy Szczecin"/>
    <n v="3"/>
    <x v="1"/>
    <x v="0"/>
    <x v="47"/>
  </r>
  <r>
    <s v="CZARNECKI Aleksander"/>
    <x v="1"/>
    <s v="30195"/>
    <s v="MKS Kusy Szczecin"/>
    <n v="3"/>
    <x v="1"/>
    <x v="1"/>
    <x v="210"/>
  </r>
  <r>
    <s v="CZARNECKI Aleksander"/>
    <x v="1"/>
    <s v="30195"/>
    <s v="MKS Kusy Szczecin"/>
    <n v="3"/>
    <x v="1"/>
    <x v="2"/>
    <x v="211"/>
  </r>
  <r>
    <s v="CZARNECKI Aleksander"/>
    <x v="1"/>
    <s v="30195"/>
    <s v="MKS Kusy Szczecin"/>
    <n v="3"/>
    <x v="2"/>
    <x v="0"/>
    <x v="8"/>
  </r>
  <r>
    <s v="CZARNECKI Aleksander"/>
    <x v="1"/>
    <s v="30195"/>
    <s v="MKS Kusy Szczecin"/>
    <n v="3"/>
    <x v="2"/>
    <x v="1"/>
    <x v="8"/>
  </r>
  <r>
    <s v="CZARNECKI Aleksander"/>
    <x v="1"/>
    <s v="30195"/>
    <s v="MKS Kusy Szczecin"/>
    <n v="3"/>
    <x v="2"/>
    <x v="2"/>
    <x v="8"/>
  </r>
  <r>
    <s v="CZARNECKI Aleksander"/>
    <x v="1"/>
    <s v="30195"/>
    <s v="MKS Kusy Szczecin"/>
    <n v="3"/>
    <x v="3"/>
    <x v="0"/>
    <x v="47"/>
  </r>
  <r>
    <s v="CZARNECKI Aleksander"/>
    <x v="1"/>
    <s v="30195"/>
    <s v="MKS Kusy Szczecin"/>
    <n v="3"/>
    <x v="3"/>
    <x v="1"/>
    <x v="87"/>
  </r>
  <r>
    <s v="CZARNECKI Aleksander"/>
    <x v="1"/>
    <s v="30195"/>
    <s v="MKS Kusy Szczecin"/>
    <n v="3"/>
    <x v="3"/>
    <x v="2"/>
    <x v="106"/>
  </r>
  <r>
    <s v="CZARNECKI Aleksander"/>
    <x v="1"/>
    <s v="30195"/>
    <s v="MKS Kusy Szczecin"/>
    <n v="3"/>
    <x v="4"/>
    <x v="0"/>
    <x v="90"/>
  </r>
  <r>
    <s v="CZARNECKI Aleksander"/>
    <x v="1"/>
    <s v="30195"/>
    <s v="MKS Kusy Szczecin"/>
    <n v="3"/>
    <x v="4"/>
    <x v="1"/>
    <x v="212"/>
  </r>
  <r>
    <s v="CZARNECKI Aleksander"/>
    <x v="1"/>
    <s v="30195"/>
    <s v="MKS Kusy Szczecin"/>
    <n v="3"/>
    <x v="4"/>
    <x v="2"/>
    <x v="213"/>
  </r>
  <r>
    <s v="CZARNECKI Aleksander"/>
    <x v="1"/>
    <s v="30195"/>
    <s v="MKS Kusy Szczecin"/>
    <n v="3"/>
    <x v="5"/>
    <x v="0"/>
    <x v="103"/>
  </r>
  <r>
    <s v="CZARNECKI Aleksander"/>
    <x v="1"/>
    <s v="30195"/>
    <s v="MKS Kusy Szczecin"/>
    <n v="3"/>
    <x v="5"/>
    <x v="1"/>
    <x v="214"/>
  </r>
  <r>
    <s v="CZARNECKI Aleksander"/>
    <x v="1"/>
    <s v="30195"/>
    <s v="MKS Kusy Szczecin"/>
    <n v="3"/>
    <x v="5"/>
    <x v="2"/>
    <x v="43"/>
  </r>
  <r>
    <s v="JANKOWSKI Dominik"/>
    <x v="1"/>
    <s v="330115"/>
    <s v="MKS Gdańsk"/>
    <n v="4"/>
    <x v="0"/>
    <x v="0"/>
    <x v="136"/>
  </r>
  <r>
    <s v="JANKOWSKI Dominik"/>
    <x v="1"/>
    <s v="330115"/>
    <s v="MKS Gdańsk"/>
    <n v="4"/>
    <x v="0"/>
    <x v="1"/>
    <x v="18"/>
  </r>
  <r>
    <s v="JANKOWSKI Dominik"/>
    <x v="1"/>
    <s v="330115"/>
    <s v="MKS Gdańsk"/>
    <n v="4"/>
    <x v="0"/>
    <x v="2"/>
    <x v="143"/>
  </r>
  <r>
    <s v="JANKOWSKI Dominik"/>
    <x v="1"/>
    <s v="330115"/>
    <s v="MKS Gdańsk"/>
    <n v="4"/>
    <x v="1"/>
    <x v="0"/>
    <x v="136"/>
  </r>
  <r>
    <s v="JANKOWSKI Dominik"/>
    <x v="1"/>
    <s v="330115"/>
    <s v="MKS Gdańsk"/>
    <n v="4"/>
    <x v="1"/>
    <x v="1"/>
    <x v="171"/>
  </r>
  <r>
    <s v="JANKOWSKI Dominik"/>
    <x v="1"/>
    <s v="330115"/>
    <s v="MKS Gdańsk"/>
    <n v="4"/>
    <x v="1"/>
    <x v="2"/>
    <x v="65"/>
  </r>
  <r>
    <s v="JANKOWSKI Dominik"/>
    <x v="1"/>
    <s v="330115"/>
    <s v="MKS Gdańsk"/>
    <n v="4"/>
    <x v="2"/>
    <x v="0"/>
    <x v="136"/>
  </r>
  <r>
    <s v="JANKOWSKI Dominik"/>
    <x v="1"/>
    <s v="330115"/>
    <s v="MKS Gdańsk"/>
    <n v="4"/>
    <x v="2"/>
    <x v="1"/>
    <x v="215"/>
  </r>
  <r>
    <s v="JANKOWSKI Dominik"/>
    <x v="1"/>
    <s v="330115"/>
    <s v="MKS Gdańsk"/>
    <n v="4"/>
    <x v="2"/>
    <x v="2"/>
    <x v="216"/>
  </r>
  <r>
    <s v="JANKOWSKI Dominik"/>
    <x v="1"/>
    <s v="330115"/>
    <s v="MKS Gdańsk"/>
    <n v="4"/>
    <x v="3"/>
    <x v="0"/>
    <x v="136"/>
  </r>
  <r>
    <s v="JANKOWSKI Dominik"/>
    <x v="1"/>
    <s v="330115"/>
    <s v="MKS Gdańsk"/>
    <n v="4"/>
    <x v="3"/>
    <x v="1"/>
    <x v="119"/>
  </r>
  <r>
    <s v="JANKOWSKI Dominik"/>
    <x v="1"/>
    <s v="330115"/>
    <s v="MKS Gdańsk"/>
    <n v="4"/>
    <x v="3"/>
    <x v="2"/>
    <x v="146"/>
  </r>
  <r>
    <s v="JANKOWSKI Dominik"/>
    <x v="1"/>
    <s v="330115"/>
    <s v="MKS Gdańsk"/>
    <n v="4"/>
    <x v="4"/>
    <x v="0"/>
    <x v="217"/>
  </r>
  <r>
    <s v="JANKOWSKI Dominik"/>
    <x v="1"/>
    <s v="330115"/>
    <s v="MKS Gdańsk"/>
    <n v="4"/>
    <x v="4"/>
    <x v="1"/>
    <x v="218"/>
  </r>
  <r>
    <s v="JANKOWSKI Dominik"/>
    <x v="1"/>
    <s v="330115"/>
    <s v="MKS Gdańsk"/>
    <n v="4"/>
    <x v="4"/>
    <x v="2"/>
    <x v="219"/>
  </r>
  <r>
    <s v="JANKOWSKI Dominik"/>
    <x v="1"/>
    <s v="330115"/>
    <s v="MKS Gdańsk"/>
    <n v="4"/>
    <x v="5"/>
    <x v="0"/>
    <x v="136"/>
  </r>
  <r>
    <s v="JANKOWSKI Dominik"/>
    <x v="1"/>
    <s v="330115"/>
    <s v="MKS Gdańsk"/>
    <n v="4"/>
    <x v="5"/>
    <x v="1"/>
    <x v="220"/>
  </r>
  <r>
    <s v="JANKOWSKI Dominik"/>
    <x v="1"/>
    <s v="330115"/>
    <s v="MKS Gdańsk"/>
    <n v="4"/>
    <x v="5"/>
    <x v="2"/>
    <x v="221"/>
  </r>
  <r>
    <s v="KLIMCZUK Michał"/>
    <x v="1"/>
    <s v="330118"/>
    <s v="MKS Gdańsk"/>
    <n v="3"/>
    <x v="0"/>
    <x v="0"/>
    <x v="136"/>
  </r>
  <r>
    <s v="KLIMCZUK Michał"/>
    <x v="1"/>
    <s v="330118"/>
    <s v="MKS Gdańsk"/>
    <n v="3"/>
    <x v="0"/>
    <x v="1"/>
    <x v="15"/>
  </r>
  <r>
    <s v="KLIMCZUK Michał"/>
    <x v="1"/>
    <s v="330118"/>
    <s v="MKS Gdańsk"/>
    <n v="3"/>
    <x v="0"/>
    <x v="2"/>
    <x v="89"/>
  </r>
  <r>
    <s v="KLIMCZUK Michał"/>
    <x v="1"/>
    <s v="330118"/>
    <s v="MKS Gdańsk"/>
    <n v="3"/>
    <x v="1"/>
    <x v="0"/>
    <x v="8"/>
  </r>
  <r>
    <s v="KLIMCZUK Michał"/>
    <x v="1"/>
    <s v="330118"/>
    <s v="MKS Gdańsk"/>
    <n v="3"/>
    <x v="1"/>
    <x v="1"/>
    <x v="8"/>
  </r>
  <r>
    <s v="KLIMCZUK Michał"/>
    <x v="1"/>
    <s v="330118"/>
    <s v="MKS Gdańsk"/>
    <n v="3"/>
    <x v="1"/>
    <x v="2"/>
    <x v="8"/>
  </r>
  <r>
    <s v="KLIMCZUK Michał"/>
    <x v="1"/>
    <s v="330118"/>
    <s v="MKS Gdańsk"/>
    <n v="3"/>
    <x v="2"/>
    <x v="0"/>
    <x v="136"/>
  </r>
  <r>
    <s v="KLIMCZUK Michał"/>
    <x v="1"/>
    <s v="330118"/>
    <s v="MKS Gdańsk"/>
    <n v="3"/>
    <x v="2"/>
    <x v="1"/>
    <x v="215"/>
  </r>
  <r>
    <s v="KLIMCZUK Michał"/>
    <x v="1"/>
    <s v="330118"/>
    <s v="MKS Gdańsk"/>
    <n v="3"/>
    <x v="2"/>
    <x v="2"/>
    <x v="216"/>
  </r>
  <r>
    <s v="KLIMCZUK Michał"/>
    <x v="1"/>
    <s v="330118"/>
    <s v="MKS Gdańsk"/>
    <n v="3"/>
    <x v="3"/>
    <x v="0"/>
    <x v="136"/>
  </r>
  <r>
    <s v="KLIMCZUK Michał"/>
    <x v="1"/>
    <s v="330118"/>
    <s v="MKS Gdańsk"/>
    <n v="3"/>
    <x v="3"/>
    <x v="1"/>
    <x v="130"/>
  </r>
  <r>
    <s v="KLIMCZUK Michał"/>
    <x v="1"/>
    <s v="330118"/>
    <s v="MKS Gdańsk"/>
    <n v="3"/>
    <x v="3"/>
    <x v="2"/>
    <x v="94"/>
  </r>
  <r>
    <s v="KLIMCZUK Michał"/>
    <x v="1"/>
    <s v="330118"/>
    <s v="MKS Gdańsk"/>
    <n v="3"/>
    <x v="4"/>
    <x v="0"/>
    <x v="217"/>
  </r>
  <r>
    <s v="KLIMCZUK Michał"/>
    <x v="1"/>
    <s v="330118"/>
    <s v="MKS Gdańsk"/>
    <n v="3"/>
    <x v="4"/>
    <x v="1"/>
    <x v="222"/>
  </r>
  <r>
    <s v="KLIMCZUK Michał"/>
    <x v="1"/>
    <s v="330118"/>
    <s v="MKS Gdańsk"/>
    <n v="3"/>
    <x v="4"/>
    <x v="2"/>
    <x v="223"/>
  </r>
  <r>
    <s v="KLIMCZUK Michał"/>
    <x v="1"/>
    <s v="330118"/>
    <s v="MKS Gdańsk"/>
    <n v="3"/>
    <x v="5"/>
    <x v="0"/>
    <x v="136"/>
  </r>
  <r>
    <s v="KLIMCZUK Michał"/>
    <x v="1"/>
    <s v="330118"/>
    <s v="MKS Gdańsk"/>
    <n v="3"/>
    <x v="5"/>
    <x v="1"/>
    <x v="224"/>
  </r>
  <r>
    <s v="KLIMCZUK Michał"/>
    <x v="1"/>
    <s v="330118"/>
    <s v="MKS Gdańsk"/>
    <n v="3"/>
    <x v="5"/>
    <x v="2"/>
    <x v="225"/>
  </r>
  <r>
    <s v="KUBALA Kacper"/>
    <x v="1"/>
    <s v="330113"/>
    <s v="MKS Gdańsk"/>
    <n v="4"/>
    <x v="0"/>
    <x v="0"/>
    <x v="226"/>
  </r>
  <r>
    <s v="KUBALA Kacper"/>
    <x v="1"/>
    <s v="330113"/>
    <s v="MKS Gdańsk"/>
    <n v="4"/>
    <x v="0"/>
    <x v="1"/>
    <x v="123"/>
  </r>
  <r>
    <s v="KUBALA Kacper"/>
    <x v="1"/>
    <s v="330113"/>
    <s v="MKS Gdańsk"/>
    <n v="4"/>
    <x v="0"/>
    <x v="2"/>
    <x v="150"/>
  </r>
  <r>
    <s v="KUBALA Kacper"/>
    <x v="1"/>
    <s v="330113"/>
    <s v="MKS Gdańsk"/>
    <n v="4"/>
    <x v="1"/>
    <x v="0"/>
    <x v="227"/>
  </r>
  <r>
    <s v="KUBALA Kacper"/>
    <x v="1"/>
    <s v="330113"/>
    <s v="MKS Gdańsk"/>
    <n v="4"/>
    <x v="1"/>
    <x v="1"/>
    <x v="130"/>
  </r>
  <r>
    <s v="KUBALA Kacper"/>
    <x v="1"/>
    <s v="330113"/>
    <s v="MKS Gdańsk"/>
    <n v="4"/>
    <x v="1"/>
    <x v="2"/>
    <x v="203"/>
  </r>
  <r>
    <s v="KUBALA Kacper"/>
    <x v="1"/>
    <s v="330113"/>
    <s v="MKS Gdańsk"/>
    <n v="4"/>
    <x v="2"/>
    <x v="0"/>
    <x v="227"/>
  </r>
  <r>
    <s v="KUBALA Kacper"/>
    <x v="1"/>
    <s v="330113"/>
    <s v="MKS Gdańsk"/>
    <n v="4"/>
    <x v="2"/>
    <x v="1"/>
    <x v="76"/>
  </r>
  <r>
    <s v="KUBALA Kacper"/>
    <x v="1"/>
    <s v="330113"/>
    <s v="MKS Gdańsk"/>
    <n v="4"/>
    <x v="2"/>
    <x v="2"/>
    <x v="116"/>
  </r>
  <r>
    <s v="KUBALA Kacper"/>
    <x v="1"/>
    <s v="330113"/>
    <s v="MKS Gdańsk"/>
    <n v="4"/>
    <x v="3"/>
    <x v="0"/>
    <x v="166"/>
  </r>
  <r>
    <s v="KUBALA Kacper"/>
    <x v="1"/>
    <s v="330113"/>
    <s v="MKS Gdańsk"/>
    <n v="4"/>
    <x v="3"/>
    <x v="1"/>
    <x v="103"/>
  </r>
  <r>
    <s v="KUBALA Kacper"/>
    <x v="1"/>
    <s v="330113"/>
    <s v="MKS Gdańsk"/>
    <n v="4"/>
    <x v="3"/>
    <x v="2"/>
    <x v="104"/>
  </r>
  <r>
    <s v="KUBALA Kacper"/>
    <x v="1"/>
    <s v="330113"/>
    <s v="MKS Gdańsk"/>
    <n v="4"/>
    <x v="4"/>
    <x v="0"/>
    <x v="130"/>
  </r>
  <r>
    <s v="KUBALA Kacper"/>
    <x v="1"/>
    <s v="330113"/>
    <s v="MKS Gdańsk"/>
    <n v="4"/>
    <x v="4"/>
    <x v="1"/>
    <x v="228"/>
  </r>
  <r>
    <s v="KUBALA Kacper"/>
    <x v="1"/>
    <s v="330113"/>
    <s v="MKS Gdańsk"/>
    <n v="4"/>
    <x v="4"/>
    <x v="2"/>
    <x v="186"/>
  </r>
  <r>
    <s v="KUBALA Kacper"/>
    <x v="1"/>
    <s v="330113"/>
    <s v="MKS Gdańsk"/>
    <n v="4"/>
    <x v="5"/>
    <x v="0"/>
    <x v="229"/>
  </r>
  <r>
    <s v="KUBALA Kacper"/>
    <x v="1"/>
    <s v="330113"/>
    <s v="MKS Gdańsk"/>
    <n v="4"/>
    <x v="5"/>
    <x v="1"/>
    <x v="230"/>
  </r>
  <r>
    <s v="KUBALA Kacper"/>
    <x v="1"/>
    <s v="330113"/>
    <s v="MKS Gdańsk"/>
    <n v="4"/>
    <x v="5"/>
    <x v="2"/>
    <x v="189"/>
  </r>
  <r>
    <s v="MOSKAL Błażej"/>
    <x v="1"/>
    <s v="330111"/>
    <s v="MKS Gdańsk"/>
    <n v="4"/>
    <x v="0"/>
    <x v="0"/>
    <x v="197"/>
  </r>
  <r>
    <s v="MOSKAL Błażej"/>
    <x v="1"/>
    <s v="330111"/>
    <s v="MKS Gdańsk"/>
    <n v="4"/>
    <x v="0"/>
    <x v="1"/>
    <x v="0"/>
  </r>
  <r>
    <s v="MOSKAL Błażej"/>
    <x v="1"/>
    <s v="330111"/>
    <s v="MKS Gdańsk"/>
    <n v="4"/>
    <x v="0"/>
    <x v="2"/>
    <x v="126"/>
  </r>
  <r>
    <s v="MOSKAL Błażej"/>
    <x v="1"/>
    <s v="330111"/>
    <s v="MKS Gdańsk"/>
    <n v="4"/>
    <x v="1"/>
    <x v="0"/>
    <x v="152"/>
  </r>
  <r>
    <s v="MOSKAL Błażej"/>
    <x v="1"/>
    <s v="330111"/>
    <s v="MKS Gdańsk"/>
    <n v="4"/>
    <x v="1"/>
    <x v="1"/>
    <x v="231"/>
  </r>
  <r>
    <s v="MOSKAL Błażej"/>
    <x v="1"/>
    <s v="330111"/>
    <s v="MKS Gdańsk"/>
    <n v="4"/>
    <x v="1"/>
    <x v="2"/>
    <x v="232"/>
  </r>
  <r>
    <s v="MOSKAL Błażej"/>
    <x v="1"/>
    <s v="330111"/>
    <s v="MKS Gdańsk"/>
    <n v="4"/>
    <x v="2"/>
    <x v="0"/>
    <x v="227"/>
  </r>
  <r>
    <s v="MOSKAL Błażej"/>
    <x v="1"/>
    <s v="330111"/>
    <s v="MKS Gdańsk"/>
    <n v="4"/>
    <x v="2"/>
    <x v="1"/>
    <x v="233"/>
  </r>
  <r>
    <s v="MOSKAL Błażej"/>
    <x v="1"/>
    <s v="330111"/>
    <s v="MKS Gdańsk"/>
    <n v="4"/>
    <x v="2"/>
    <x v="2"/>
    <x v="234"/>
  </r>
  <r>
    <s v="MOSKAL Błażej"/>
    <x v="1"/>
    <s v="330111"/>
    <s v="MKS Gdańsk"/>
    <n v="4"/>
    <x v="3"/>
    <x v="0"/>
    <x v="136"/>
  </r>
  <r>
    <s v="MOSKAL Błażej"/>
    <x v="1"/>
    <s v="330111"/>
    <s v="MKS Gdańsk"/>
    <n v="4"/>
    <x v="3"/>
    <x v="1"/>
    <x v="55"/>
  </r>
  <r>
    <s v="MOSKAL Błażej"/>
    <x v="1"/>
    <s v="330111"/>
    <s v="MKS Gdańsk"/>
    <n v="4"/>
    <x v="3"/>
    <x v="2"/>
    <x v="235"/>
  </r>
  <r>
    <s v="MOSKAL Błażej"/>
    <x v="1"/>
    <s v="330111"/>
    <s v="MKS Gdańsk"/>
    <n v="4"/>
    <x v="4"/>
    <x v="0"/>
    <x v="200"/>
  </r>
  <r>
    <s v="MOSKAL Błażej"/>
    <x v="1"/>
    <s v="330111"/>
    <s v="MKS Gdańsk"/>
    <n v="4"/>
    <x v="4"/>
    <x v="1"/>
    <x v="236"/>
  </r>
  <r>
    <s v="MOSKAL Błażej"/>
    <x v="1"/>
    <s v="330111"/>
    <s v="MKS Gdańsk"/>
    <n v="4"/>
    <x v="4"/>
    <x v="2"/>
    <x v="237"/>
  </r>
  <r>
    <s v="MOSKAL Błażej"/>
    <x v="1"/>
    <s v="330111"/>
    <s v="MKS Gdańsk"/>
    <n v="4"/>
    <x v="5"/>
    <x v="0"/>
    <x v="238"/>
  </r>
  <r>
    <s v="MOSKAL Błażej"/>
    <x v="1"/>
    <s v="330111"/>
    <s v="MKS Gdańsk"/>
    <n v="4"/>
    <x v="5"/>
    <x v="1"/>
    <x v="239"/>
  </r>
  <r>
    <s v="MOSKAL Błażej"/>
    <x v="1"/>
    <s v="330111"/>
    <s v="MKS Gdańsk"/>
    <n v="4"/>
    <x v="5"/>
    <x v="2"/>
    <x v="240"/>
  </r>
  <r>
    <s v="ŻEMEŁKA Dawid"/>
    <x v="1"/>
    <s v="Z/06/00087"/>
    <s v="MKS Gdańsk"/>
    <n v="3"/>
    <x v="0"/>
    <x v="0"/>
    <x v="8"/>
  </r>
  <r>
    <s v="ŻEMEŁKA Dawid"/>
    <x v="1"/>
    <s v="Z/06/00087"/>
    <s v="MKS Gdańsk"/>
    <n v="3"/>
    <x v="0"/>
    <x v="1"/>
    <x v="8"/>
  </r>
  <r>
    <s v="ŻEMEŁKA Dawid"/>
    <x v="1"/>
    <s v="Z/06/00087"/>
    <s v="MKS Gdańsk"/>
    <n v="3"/>
    <x v="0"/>
    <x v="2"/>
    <x v="8"/>
  </r>
  <r>
    <s v="ŻEMEŁKA Dawid"/>
    <x v="1"/>
    <s v="Z/06/00087"/>
    <s v="MKS Gdańsk"/>
    <n v="3"/>
    <x v="1"/>
    <x v="0"/>
    <x v="227"/>
  </r>
  <r>
    <s v="ŻEMEŁKA Dawid"/>
    <x v="1"/>
    <s v="Z/06/00087"/>
    <s v="MKS Gdańsk"/>
    <n v="3"/>
    <x v="1"/>
    <x v="1"/>
    <x v="196"/>
  </r>
  <r>
    <s v="ŻEMEŁKA Dawid"/>
    <x v="1"/>
    <s v="Z/06/00087"/>
    <s v="MKS Gdańsk"/>
    <n v="3"/>
    <x v="1"/>
    <x v="2"/>
    <x v="102"/>
  </r>
  <r>
    <s v="ŻEMEŁKA Dawid"/>
    <x v="1"/>
    <s v="Z/06/00087"/>
    <s v="MKS Gdańsk"/>
    <n v="3"/>
    <x v="2"/>
    <x v="0"/>
    <x v="227"/>
  </r>
  <r>
    <s v="ŻEMEŁKA Dawid"/>
    <x v="1"/>
    <s v="Z/06/00087"/>
    <s v="MKS Gdańsk"/>
    <n v="3"/>
    <x v="2"/>
    <x v="1"/>
    <x v="241"/>
  </r>
  <r>
    <s v="ŻEMEŁKA Dawid"/>
    <x v="1"/>
    <s v="Z/06/00087"/>
    <s v="MKS Gdańsk"/>
    <n v="3"/>
    <x v="2"/>
    <x v="2"/>
    <x v="233"/>
  </r>
  <r>
    <s v="ŻEMEŁKA Dawid"/>
    <x v="1"/>
    <s v="Z/06/00087"/>
    <s v="MKS Gdańsk"/>
    <n v="3"/>
    <x v="3"/>
    <x v="0"/>
    <x v="242"/>
  </r>
  <r>
    <s v="ŻEMEŁKA Dawid"/>
    <x v="1"/>
    <s v="Z/06/00087"/>
    <s v="MKS Gdańsk"/>
    <n v="3"/>
    <x v="3"/>
    <x v="1"/>
    <x v="104"/>
  </r>
  <r>
    <s v="ŻEMEŁKA Dawid"/>
    <x v="1"/>
    <s v="Z/06/00087"/>
    <s v="MKS Gdańsk"/>
    <n v="3"/>
    <x v="3"/>
    <x v="2"/>
    <x v="33"/>
  </r>
  <r>
    <s v="ŻEMEŁKA Dawid"/>
    <x v="1"/>
    <s v="Z/06/00087"/>
    <s v="MKS Gdańsk"/>
    <n v="3"/>
    <x v="4"/>
    <x v="0"/>
    <x v="144"/>
  </r>
  <r>
    <s v="ŻEMEŁKA Dawid"/>
    <x v="1"/>
    <s v="Z/06/00087"/>
    <s v="MKS Gdańsk"/>
    <n v="3"/>
    <x v="4"/>
    <x v="1"/>
    <x v="243"/>
  </r>
  <r>
    <s v="ŻEMEŁKA Dawid"/>
    <x v="1"/>
    <s v="Z/06/00087"/>
    <s v="MKS Gdańsk"/>
    <n v="3"/>
    <x v="4"/>
    <x v="2"/>
    <x v="95"/>
  </r>
  <r>
    <s v="ŻEMEŁKA Dawid"/>
    <x v="1"/>
    <s v="Z/06/00087"/>
    <s v="MKS Gdańsk"/>
    <n v="3"/>
    <x v="5"/>
    <x v="0"/>
    <x v="244"/>
  </r>
  <r>
    <s v="ŻEMEŁKA Dawid"/>
    <x v="1"/>
    <s v="Z/06/00087"/>
    <s v="MKS Gdańsk"/>
    <n v="3"/>
    <x v="5"/>
    <x v="1"/>
    <x v="245"/>
  </r>
  <r>
    <s v="ŻEMEŁKA Dawid"/>
    <x v="1"/>
    <s v="Z/06/00087"/>
    <s v="MKS Gdańsk"/>
    <n v="3"/>
    <x v="5"/>
    <x v="2"/>
    <x v="98"/>
  </r>
  <r>
    <s v="MISHCHENKO Oleksandr"/>
    <x v="1"/>
    <s v="33333"/>
    <s v="MKS Kusy Szczecin"/>
    <n v="2"/>
    <x v="0"/>
    <x v="0"/>
    <x v="79"/>
  </r>
  <r>
    <s v="MISHCHENKO Oleksandr"/>
    <x v="1"/>
    <s v="33333"/>
    <s v="MKS Kusy Szczecin"/>
    <n v="2"/>
    <x v="0"/>
    <x v="1"/>
    <x v="215"/>
  </r>
  <r>
    <s v="MISHCHENKO Oleksandr"/>
    <x v="1"/>
    <s v="33333"/>
    <s v="MKS Kusy Szczecin"/>
    <n v="2"/>
    <x v="0"/>
    <x v="2"/>
    <x v="246"/>
  </r>
  <r>
    <s v="MISHCHENKO Oleksandr"/>
    <x v="1"/>
    <s v="33333"/>
    <s v="MKS Kusy Szczecin"/>
    <n v="2"/>
    <x v="1"/>
    <x v="0"/>
    <x v="8"/>
  </r>
  <r>
    <s v="MISHCHENKO Oleksandr"/>
    <x v="1"/>
    <s v="33333"/>
    <s v="MKS Kusy Szczecin"/>
    <n v="2"/>
    <x v="1"/>
    <x v="1"/>
    <x v="8"/>
  </r>
  <r>
    <s v="MISHCHENKO Oleksandr"/>
    <x v="1"/>
    <s v="33333"/>
    <s v="MKS Kusy Szczecin"/>
    <n v="2"/>
    <x v="1"/>
    <x v="2"/>
    <x v="8"/>
  </r>
  <r>
    <s v="MISHCHENKO Oleksandr"/>
    <x v="1"/>
    <s v="33333"/>
    <s v="MKS Kusy Szczecin"/>
    <n v="2"/>
    <x v="2"/>
    <x v="0"/>
    <x v="8"/>
  </r>
  <r>
    <s v="MISHCHENKO Oleksandr"/>
    <x v="1"/>
    <s v="33333"/>
    <s v="MKS Kusy Szczecin"/>
    <n v="2"/>
    <x v="2"/>
    <x v="1"/>
    <x v="8"/>
  </r>
  <r>
    <s v="MISHCHENKO Oleksandr"/>
    <x v="1"/>
    <s v="33333"/>
    <s v="MKS Kusy Szczecin"/>
    <n v="2"/>
    <x v="2"/>
    <x v="2"/>
    <x v="8"/>
  </r>
  <r>
    <s v="MISHCHENKO Oleksandr"/>
    <x v="1"/>
    <s v="33333"/>
    <s v="MKS Kusy Szczecin"/>
    <n v="2"/>
    <x v="3"/>
    <x v="0"/>
    <x v="152"/>
  </r>
  <r>
    <s v="MISHCHENKO Oleksandr"/>
    <x v="1"/>
    <s v="33333"/>
    <s v="MKS Kusy Szczecin"/>
    <n v="2"/>
    <x v="3"/>
    <x v="1"/>
    <x v="20"/>
  </r>
  <r>
    <s v="MISHCHENKO Oleksandr"/>
    <x v="1"/>
    <s v="33333"/>
    <s v="MKS Kusy Szczecin"/>
    <n v="2"/>
    <x v="3"/>
    <x v="2"/>
    <x v="203"/>
  </r>
  <r>
    <s v="MISHCHENKO Oleksandr"/>
    <x v="1"/>
    <s v="33333"/>
    <s v="MKS Kusy Szczecin"/>
    <n v="2"/>
    <x v="4"/>
    <x v="0"/>
    <x v="247"/>
  </r>
  <r>
    <s v="MISHCHENKO Oleksandr"/>
    <x v="1"/>
    <s v="33333"/>
    <s v="MKS Kusy Szczecin"/>
    <n v="2"/>
    <x v="4"/>
    <x v="1"/>
    <x v="248"/>
  </r>
  <r>
    <s v="MISHCHENKO Oleksandr"/>
    <x v="1"/>
    <s v="33333"/>
    <s v="MKS Kusy Szczecin"/>
    <n v="2"/>
    <x v="4"/>
    <x v="2"/>
    <x v="249"/>
  </r>
  <r>
    <s v="MISHCHENKO Oleksandr"/>
    <x v="1"/>
    <s v="33333"/>
    <s v="MKS Kusy Szczecin"/>
    <n v="2"/>
    <x v="5"/>
    <x v="0"/>
    <x v="8"/>
  </r>
  <r>
    <s v="MISHCHENKO Oleksandr"/>
    <x v="1"/>
    <s v="33333"/>
    <s v="MKS Kusy Szczecin"/>
    <n v="2"/>
    <x v="5"/>
    <x v="1"/>
    <x v="8"/>
  </r>
  <r>
    <s v="MISHCHENKO Oleksandr"/>
    <x v="1"/>
    <s v="33333"/>
    <s v="MKS Kusy Szczecin"/>
    <n v="2"/>
    <x v="5"/>
    <x v="2"/>
    <x v="8"/>
  </r>
  <r>
    <s v="ĆWIEK Tymoteusz"/>
    <x v="1"/>
    <s v="Z/06/00130"/>
    <s v="KS AZS AWF Kraków"/>
    <n v="2"/>
    <x v="0"/>
    <x v="0"/>
    <x v="136"/>
  </r>
  <r>
    <s v="ĆWIEK Tymoteusz"/>
    <x v="1"/>
    <s v="Z/06/00130"/>
    <s v="KS AZS AWF Kraków"/>
    <n v="2"/>
    <x v="0"/>
    <x v="1"/>
    <x v="50"/>
  </r>
  <r>
    <s v="ĆWIEK Tymoteusz"/>
    <x v="1"/>
    <s v="Z/06/00130"/>
    <s v="KS AZS AWF Kraków"/>
    <n v="2"/>
    <x v="0"/>
    <x v="2"/>
    <x v="55"/>
  </r>
  <r>
    <s v="ĆWIEK Tymoteusz"/>
    <x v="1"/>
    <s v="Z/06/00130"/>
    <s v="KS AZS AWF Kraków"/>
    <n v="2"/>
    <x v="1"/>
    <x v="0"/>
    <x v="8"/>
  </r>
  <r>
    <s v="ĆWIEK Tymoteusz"/>
    <x v="1"/>
    <s v="Z/06/00130"/>
    <s v="KS AZS AWF Kraków"/>
    <n v="2"/>
    <x v="1"/>
    <x v="1"/>
    <x v="8"/>
  </r>
  <r>
    <s v="ĆWIEK Tymoteusz"/>
    <x v="1"/>
    <s v="Z/06/00130"/>
    <s v="KS AZS AWF Kraków"/>
    <n v="2"/>
    <x v="1"/>
    <x v="2"/>
    <x v="8"/>
  </r>
  <r>
    <s v="ĆWIEK Tymoteusz"/>
    <x v="1"/>
    <s v="Z/06/00130"/>
    <s v="KS AZS AWF Kraków"/>
    <n v="2"/>
    <x v="2"/>
    <x v="0"/>
    <x v="154"/>
  </r>
  <r>
    <s v="ĆWIEK Tymoteusz"/>
    <x v="1"/>
    <s v="Z/06/00130"/>
    <s v="KS AZS AWF Kraków"/>
    <n v="2"/>
    <x v="2"/>
    <x v="1"/>
    <x v="250"/>
  </r>
  <r>
    <s v="ĆWIEK Tymoteusz"/>
    <x v="1"/>
    <s v="Z/06/00130"/>
    <s v="KS AZS AWF Kraków"/>
    <n v="2"/>
    <x v="2"/>
    <x v="2"/>
    <x v="200"/>
  </r>
  <r>
    <s v="ĆWIEK Tymoteusz"/>
    <x v="1"/>
    <s v="Z/06/00130"/>
    <s v="KS AZS AWF Kraków"/>
    <n v="2"/>
    <x v="3"/>
    <x v="0"/>
    <x v="8"/>
  </r>
  <r>
    <s v="ĆWIEK Tymoteusz"/>
    <x v="1"/>
    <s v="Z/06/00130"/>
    <s v="KS AZS AWF Kraków"/>
    <n v="2"/>
    <x v="3"/>
    <x v="1"/>
    <x v="8"/>
  </r>
  <r>
    <s v="ĆWIEK Tymoteusz"/>
    <x v="1"/>
    <s v="Z/06/00130"/>
    <s v="KS AZS AWF Kraków"/>
    <n v="2"/>
    <x v="3"/>
    <x v="2"/>
    <x v="8"/>
  </r>
  <r>
    <s v="ĆWIEK Tymoteusz"/>
    <x v="1"/>
    <s v="Z/06/00130"/>
    <s v="KS AZS AWF Kraków"/>
    <n v="2"/>
    <x v="4"/>
    <x v="0"/>
    <x v="56"/>
  </r>
  <r>
    <s v="ĆWIEK Tymoteusz"/>
    <x v="1"/>
    <s v="Z/06/00130"/>
    <s v="KS AZS AWF Kraków"/>
    <n v="2"/>
    <x v="4"/>
    <x v="1"/>
    <x v="251"/>
  </r>
  <r>
    <s v="ĆWIEK Tymoteusz"/>
    <x v="1"/>
    <s v="Z/06/00130"/>
    <s v="KS AZS AWF Kraków"/>
    <n v="2"/>
    <x v="4"/>
    <x v="2"/>
    <x v="252"/>
  </r>
  <r>
    <s v="ĆWIEK Tymoteusz"/>
    <x v="1"/>
    <s v="Z/06/00130"/>
    <s v="KS AZS AWF Kraków"/>
    <n v="2"/>
    <x v="5"/>
    <x v="0"/>
    <x v="8"/>
  </r>
  <r>
    <s v="ĆWIEK Tymoteusz"/>
    <x v="1"/>
    <s v="Z/06/00130"/>
    <s v="KS AZS AWF Kraków"/>
    <n v="2"/>
    <x v="5"/>
    <x v="1"/>
    <x v="8"/>
  </r>
  <r>
    <s v="ĆWIEK Tymoteusz"/>
    <x v="1"/>
    <s v="Z/06/00130"/>
    <s v="KS AZS AWF Kraków"/>
    <n v="2"/>
    <x v="5"/>
    <x v="2"/>
    <x v="8"/>
  </r>
  <r>
    <s v="SZCZUBIAŁ Bartłomiej"/>
    <x v="1"/>
    <s v="222222"/>
    <s v="KS AZS AWF Kraków"/>
    <n v="1"/>
    <x v="0"/>
    <x v="0"/>
    <x v="86"/>
  </r>
  <r>
    <s v="SZCZUBIAŁ Bartłomiej"/>
    <x v="1"/>
    <s v="222222"/>
    <s v="KS AZS AWF Kraków"/>
    <n v="1"/>
    <x v="0"/>
    <x v="1"/>
    <x v="35"/>
  </r>
  <r>
    <s v="SZCZUBIAŁ Bartłomiej"/>
    <x v="1"/>
    <s v="222222"/>
    <s v="KS AZS AWF Kraków"/>
    <n v="1"/>
    <x v="0"/>
    <x v="2"/>
    <x v="43"/>
  </r>
  <r>
    <s v="SZCZUBIAŁ Bartłomiej"/>
    <x v="1"/>
    <s v="222222"/>
    <s v="KS AZS AWF Kraków"/>
    <n v="1"/>
    <x v="1"/>
    <x v="0"/>
    <x v="8"/>
  </r>
  <r>
    <s v="SZCZUBIAŁ Bartłomiej"/>
    <x v="1"/>
    <s v="222222"/>
    <s v="KS AZS AWF Kraków"/>
    <n v="1"/>
    <x v="1"/>
    <x v="1"/>
    <x v="8"/>
  </r>
  <r>
    <s v="SZCZUBIAŁ Bartłomiej"/>
    <x v="1"/>
    <s v="222222"/>
    <s v="KS AZS AWF Kraków"/>
    <n v="1"/>
    <x v="1"/>
    <x v="2"/>
    <x v="8"/>
  </r>
  <r>
    <s v="SZCZUBIAŁ Bartłomiej"/>
    <x v="1"/>
    <s v="222222"/>
    <s v="KS AZS AWF Kraków"/>
    <n v="1"/>
    <x v="2"/>
    <x v="0"/>
    <x v="8"/>
  </r>
  <r>
    <s v="SZCZUBIAŁ Bartłomiej"/>
    <x v="1"/>
    <s v="222222"/>
    <s v="KS AZS AWF Kraków"/>
    <n v="1"/>
    <x v="2"/>
    <x v="1"/>
    <x v="8"/>
  </r>
  <r>
    <s v="SZCZUBIAŁ Bartłomiej"/>
    <x v="1"/>
    <s v="222222"/>
    <s v="KS AZS AWF Kraków"/>
    <n v="1"/>
    <x v="2"/>
    <x v="2"/>
    <x v="8"/>
  </r>
  <r>
    <s v="SZCZUBIAŁ Bartłomiej"/>
    <x v="1"/>
    <s v="222222"/>
    <s v="KS AZS AWF Kraków"/>
    <n v="1"/>
    <x v="3"/>
    <x v="0"/>
    <x v="8"/>
  </r>
  <r>
    <s v="SZCZUBIAŁ Bartłomiej"/>
    <x v="1"/>
    <s v="222222"/>
    <s v="KS AZS AWF Kraków"/>
    <n v="1"/>
    <x v="3"/>
    <x v="1"/>
    <x v="8"/>
  </r>
  <r>
    <s v="SZCZUBIAŁ Bartłomiej"/>
    <x v="1"/>
    <s v="222222"/>
    <s v="KS AZS AWF Kraków"/>
    <n v="1"/>
    <x v="3"/>
    <x v="2"/>
    <x v="8"/>
  </r>
  <r>
    <s v="SZCZUBIAŁ Bartłomiej"/>
    <x v="1"/>
    <s v="222222"/>
    <s v="KS AZS AWF Kraków"/>
    <n v="1"/>
    <x v="4"/>
    <x v="0"/>
    <x v="86"/>
  </r>
  <r>
    <s v="SZCZUBIAŁ Bartłomiej"/>
    <x v="1"/>
    <s v="222222"/>
    <s v="KS AZS AWF Kraków"/>
    <n v="1"/>
    <x v="4"/>
    <x v="1"/>
    <x v="35"/>
  </r>
  <r>
    <s v="SZCZUBIAŁ Bartłomiej"/>
    <x v="1"/>
    <s v="222222"/>
    <s v="KS AZS AWF Kraków"/>
    <n v="1"/>
    <x v="4"/>
    <x v="2"/>
    <x v="43"/>
  </r>
  <r>
    <s v="SZCZUBIAŁ Bartłomiej"/>
    <x v="1"/>
    <s v="222222"/>
    <s v="KS AZS AWF Kraków"/>
    <n v="1"/>
    <x v="5"/>
    <x v="0"/>
    <x v="8"/>
  </r>
  <r>
    <s v="SZCZUBIAŁ Bartłomiej"/>
    <x v="1"/>
    <s v="222222"/>
    <s v="KS AZS AWF Kraków"/>
    <n v="1"/>
    <x v="5"/>
    <x v="1"/>
    <x v="8"/>
  </r>
  <r>
    <s v="SZCZUBIAŁ Bartłomiej"/>
    <x v="1"/>
    <s v="222222"/>
    <s v="KS AZS AWF Kraków"/>
    <n v="1"/>
    <x v="5"/>
    <x v="2"/>
    <x v="8"/>
  </r>
  <r>
    <s v="MARCZEWSKI Stanisław"/>
    <x v="1"/>
    <s v="32361"/>
    <s v="MKS Gdańsk"/>
    <n v="1"/>
    <x v="0"/>
    <x v="0"/>
    <x v="136"/>
  </r>
  <r>
    <s v="MARCZEWSKI Stanisław"/>
    <x v="1"/>
    <s v="32361"/>
    <s v="MKS Gdańsk"/>
    <n v="1"/>
    <x v="0"/>
    <x v="1"/>
    <x v="20"/>
  </r>
  <r>
    <s v="MARCZEWSKI Stanisław"/>
    <x v="1"/>
    <s v="32361"/>
    <s v="MKS Gdańsk"/>
    <n v="1"/>
    <x v="0"/>
    <x v="2"/>
    <x v="4"/>
  </r>
  <r>
    <s v="MARCZEWSKI Stanisław"/>
    <x v="1"/>
    <s v="32361"/>
    <s v="MKS Gdańsk"/>
    <n v="1"/>
    <x v="1"/>
    <x v="0"/>
    <x v="8"/>
  </r>
  <r>
    <s v="MARCZEWSKI Stanisław"/>
    <x v="1"/>
    <s v="32361"/>
    <s v="MKS Gdańsk"/>
    <n v="1"/>
    <x v="1"/>
    <x v="1"/>
    <x v="8"/>
  </r>
  <r>
    <s v="MARCZEWSKI Stanisław"/>
    <x v="1"/>
    <s v="32361"/>
    <s v="MKS Gdańsk"/>
    <n v="1"/>
    <x v="1"/>
    <x v="2"/>
    <x v="8"/>
  </r>
  <r>
    <s v="MARCZEWSKI Stanisław"/>
    <x v="1"/>
    <s v="32361"/>
    <s v="MKS Gdańsk"/>
    <n v="1"/>
    <x v="2"/>
    <x v="0"/>
    <x v="8"/>
  </r>
  <r>
    <s v="MARCZEWSKI Stanisław"/>
    <x v="1"/>
    <s v="32361"/>
    <s v="MKS Gdańsk"/>
    <n v="1"/>
    <x v="2"/>
    <x v="1"/>
    <x v="8"/>
  </r>
  <r>
    <s v="MARCZEWSKI Stanisław"/>
    <x v="1"/>
    <s v="32361"/>
    <s v="MKS Gdańsk"/>
    <n v="1"/>
    <x v="2"/>
    <x v="2"/>
    <x v="8"/>
  </r>
  <r>
    <s v="MARCZEWSKI Stanisław"/>
    <x v="1"/>
    <s v="32361"/>
    <s v="MKS Gdańsk"/>
    <n v="1"/>
    <x v="3"/>
    <x v="0"/>
    <x v="8"/>
  </r>
  <r>
    <s v="MARCZEWSKI Stanisław"/>
    <x v="1"/>
    <s v="32361"/>
    <s v="MKS Gdańsk"/>
    <n v="1"/>
    <x v="3"/>
    <x v="1"/>
    <x v="8"/>
  </r>
  <r>
    <s v="MARCZEWSKI Stanisław"/>
    <x v="1"/>
    <s v="32361"/>
    <s v="MKS Gdańsk"/>
    <n v="1"/>
    <x v="3"/>
    <x v="2"/>
    <x v="8"/>
  </r>
  <r>
    <s v="MARCZEWSKI Stanisław"/>
    <x v="1"/>
    <s v="32361"/>
    <s v="MKS Gdańsk"/>
    <n v="1"/>
    <x v="4"/>
    <x v="0"/>
    <x v="136"/>
  </r>
  <r>
    <s v="MARCZEWSKI Stanisław"/>
    <x v="1"/>
    <s v="32361"/>
    <s v="MKS Gdańsk"/>
    <n v="1"/>
    <x v="4"/>
    <x v="1"/>
    <x v="20"/>
  </r>
  <r>
    <s v="MARCZEWSKI Stanisław"/>
    <x v="1"/>
    <s v="32361"/>
    <s v="MKS Gdańsk"/>
    <n v="1"/>
    <x v="4"/>
    <x v="2"/>
    <x v="4"/>
  </r>
  <r>
    <s v="MARCZEWSKI Stanisław"/>
    <x v="1"/>
    <s v="32361"/>
    <s v="MKS Gdańsk"/>
    <n v="1"/>
    <x v="5"/>
    <x v="0"/>
    <x v="8"/>
  </r>
  <r>
    <s v="MARCZEWSKI Stanisław"/>
    <x v="1"/>
    <s v="32361"/>
    <s v="MKS Gdańsk"/>
    <n v="1"/>
    <x v="5"/>
    <x v="1"/>
    <x v="8"/>
  </r>
  <r>
    <s v="MARCZEWSKI Stanisław"/>
    <x v="1"/>
    <s v="32361"/>
    <s v="MKS Gdańsk"/>
    <n v="1"/>
    <x v="5"/>
    <x v="2"/>
    <x v="8"/>
  </r>
  <r>
    <s v="MYSZI Dominik"/>
    <x v="1"/>
    <s v="111113"/>
    <s v="KG Radlin"/>
    <n v="1"/>
    <x v="0"/>
    <x v="0"/>
    <x v="253"/>
  </r>
  <r>
    <s v="MYSZI Dominik"/>
    <x v="1"/>
    <s v="111113"/>
    <s v="KG Radlin"/>
    <n v="1"/>
    <x v="0"/>
    <x v="1"/>
    <x v="8"/>
  </r>
  <r>
    <s v="MYSZI Dominik"/>
    <x v="1"/>
    <s v="111113"/>
    <s v="KG Radlin"/>
    <n v="1"/>
    <x v="0"/>
    <x v="2"/>
    <x v="253"/>
  </r>
  <r>
    <s v="MYSZI Dominik"/>
    <x v="1"/>
    <s v="111113"/>
    <s v="KG Radlin"/>
    <n v="1"/>
    <x v="1"/>
    <x v="0"/>
    <x v="8"/>
  </r>
  <r>
    <s v="MYSZI Dominik"/>
    <x v="1"/>
    <s v="111113"/>
    <s v="KG Radlin"/>
    <n v="1"/>
    <x v="1"/>
    <x v="1"/>
    <x v="8"/>
  </r>
  <r>
    <s v="MYSZI Dominik"/>
    <x v="1"/>
    <s v="111113"/>
    <s v="KG Radlin"/>
    <n v="1"/>
    <x v="1"/>
    <x v="2"/>
    <x v="8"/>
  </r>
  <r>
    <s v="MYSZI Dominik"/>
    <x v="1"/>
    <s v="111113"/>
    <s v="KG Radlin"/>
    <n v="1"/>
    <x v="2"/>
    <x v="0"/>
    <x v="8"/>
  </r>
  <r>
    <s v="MYSZI Dominik"/>
    <x v="1"/>
    <s v="111113"/>
    <s v="KG Radlin"/>
    <n v="1"/>
    <x v="2"/>
    <x v="1"/>
    <x v="8"/>
  </r>
  <r>
    <s v="MYSZI Dominik"/>
    <x v="1"/>
    <s v="111113"/>
    <s v="KG Radlin"/>
    <n v="1"/>
    <x v="2"/>
    <x v="2"/>
    <x v="8"/>
  </r>
  <r>
    <s v="MYSZI Dominik"/>
    <x v="1"/>
    <s v="111113"/>
    <s v="KG Radlin"/>
    <n v="1"/>
    <x v="3"/>
    <x v="0"/>
    <x v="8"/>
  </r>
  <r>
    <s v="MYSZI Dominik"/>
    <x v="1"/>
    <s v="111113"/>
    <s v="KG Radlin"/>
    <n v="1"/>
    <x v="3"/>
    <x v="1"/>
    <x v="8"/>
  </r>
  <r>
    <s v="MYSZI Dominik"/>
    <x v="1"/>
    <s v="111113"/>
    <s v="KG Radlin"/>
    <n v="1"/>
    <x v="3"/>
    <x v="2"/>
    <x v="8"/>
  </r>
  <r>
    <s v="MYSZI Dominik"/>
    <x v="1"/>
    <s v="111113"/>
    <s v="KG Radlin"/>
    <n v="1"/>
    <x v="4"/>
    <x v="0"/>
    <x v="253"/>
  </r>
  <r>
    <s v="MYSZI Dominik"/>
    <x v="1"/>
    <s v="111113"/>
    <s v="KG Radlin"/>
    <n v="1"/>
    <x v="4"/>
    <x v="1"/>
    <x v="8"/>
  </r>
  <r>
    <s v="MYSZI Dominik"/>
    <x v="1"/>
    <s v="111113"/>
    <s v="KG Radlin"/>
    <n v="1"/>
    <x v="4"/>
    <x v="2"/>
    <x v="253"/>
  </r>
  <r>
    <s v="MYSZI Dominik"/>
    <x v="1"/>
    <s v="111113"/>
    <s v="KG Radlin"/>
    <n v="1"/>
    <x v="5"/>
    <x v="0"/>
    <x v="8"/>
  </r>
  <r>
    <s v="MYSZI Dominik"/>
    <x v="1"/>
    <s v="111113"/>
    <s v="KG Radlin"/>
    <n v="1"/>
    <x v="5"/>
    <x v="1"/>
    <x v="8"/>
  </r>
  <r>
    <s v="MYSZI Dominik"/>
    <x v="1"/>
    <s v="111113"/>
    <s v="KG Radlin"/>
    <n v="1"/>
    <x v="5"/>
    <x v="2"/>
    <x v="8"/>
  </r>
  <r>
    <s v="KOLORZ Maks"/>
    <x v="1"/>
    <s v="111111"/>
    <s v="KG Radlin"/>
    <n v="1"/>
    <x v="0"/>
    <x v="0"/>
    <x v="254"/>
  </r>
  <r>
    <s v="KOLORZ Maks"/>
    <x v="1"/>
    <s v="111111"/>
    <s v="KG Radlin"/>
    <n v="1"/>
    <x v="0"/>
    <x v="1"/>
    <x v="8"/>
  </r>
  <r>
    <s v="KOLORZ Maks"/>
    <x v="1"/>
    <s v="111111"/>
    <s v="KG Radlin"/>
    <n v="1"/>
    <x v="0"/>
    <x v="2"/>
    <x v="254"/>
  </r>
  <r>
    <s v="KOLORZ Maks"/>
    <x v="1"/>
    <s v="111111"/>
    <s v="KG Radlin"/>
    <n v="1"/>
    <x v="1"/>
    <x v="0"/>
    <x v="8"/>
  </r>
  <r>
    <s v="KOLORZ Maks"/>
    <x v="1"/>
    <s v="111111"/>
    <s v="KG Radlin"/>
    <n v="1"/>
    <x v="1"/>
    <x v="1"/>
    <x v="8"/>
  </r>
  <r>
    <s v="KOLORZ Maks"/>
    <x v="1"/>
    <s v="111111"/>
    <s v="KG Radlin"/>
    <n v="1"/>
    <x v="1"/>
    <x v="2"/>
    <x v="8"/>
  </r>
  <r>
    <s v="KOLORZ Maks"/>
    <x v="1"/>
    <s v="111111"/>
    <s v="KG Radlin"/>
    <n v="1"/>
    <x v="2"/>
    <x v="0"/>
    <x v="8"/>
  </r>
  <r>
    <s v="KOLORZ Maks"/>
    <x v="1"/>
    <s v="111111"/>
    <s v="KG Radlin"/>
    <n v="1"/>
    <x v="2"/>
    <x v="1"/>
    <x v="8"/>
  </r>
  <r>
    <s v="KOLORZ Maks"/>
    <x v="1"/>
    <s v="111111"/>
    <s v="KG Radlin"/>
    <n v="1"/>
    <x v="2"/>
    <x v="2"/>
    <x v="8"/>
  </r>
  <r>
    <s v="KOLORZ Maks"/>
    <x v="1"/>
    <s v="111111"/>
    <s v="KG Radlin"/>
    <n v="1"/>
    <x v="3"/>
    <x v="0"/>
    <x v="8"/>
  </r>
  <r>
    <s v="KOLORZ Maks"/>
    <x v="1"/>
    <s v="111111"/>
    <s v="KG Radlin"/>
    <n v="1"/>
    <x v="3"/>
    <x v="1"/>
    <x v="8"/>
  </r>
  <r>
    <s v="KOLORZ Maks"/>
    <x v="1"/>
    <s v="111111"/>
    <s v="KG Radlin"/>
    <n v="1"/>
    <x v="3"/>
    <x v="2"/>
    <x v="8"/>
  </r>
  <r>
    <s v="KOLORZ Maks"/>
    <x v="1"/>
    <s v="111111"/>
    <s v="KG Radlin"/>
    <n v="1"/>
    <x v="4"/>
    <x v="0"/>
    <x v="254"/>
  </r>
  <r>
    <s v="KOLORZ Maks"/>
    <x v="1"/>
    <s v="111111"/>
    <s v="KG Radlin"/>
    <n v="1"/>
    <x v="4"/>
    <x v="1"/>
    <x v="8"/>
  </r>
  <r>
    <s v="KOLORZ Maks"/>
    <x v="1"/>
    <s v="111111"/>
    <s v="KG Radlin"/>
    <n v="1"/>
    <x v="4"/>
    <x v="2"/>
    <x v="254"/>
  </r>
  <r>
    <s v="KOLORZ Maks"/>
    <x v="1"/>
    <s v="111111"/>
    <s v="KG Radlin"/>
    <n v="1"/>
    <x v="5"/>
    <x v="0"/>
    <x v="8"/>
  </r>
  <r>
    <s v="KOLORZ Maks"/>
    <x v="1"/>
    <s v="111111"/>
    <s v="KG Radlin"/>
    <n v="1"/>
    <x v="5"/>
    <x v="1"/>
    <x v="8"/>
  </r>
  <r>
    <s v="KOLORZ Maks"/>
    <x v="1"/>
    <s v="111111"/>
    <s v="KG Radlin"/>
    <n v="1"/>
    <x v="5"/>
    <x v="2"/>
    <x v="8"/>
  </r>
  <r>
    <s v="RUS Gracjan"/>
    <x v="1"/>
    <s v="111112"/>
    <s v="KG Radlin"/>
    <n v="1"/>
    <x v="0"/>
    <x v="0"/>
    <x v="255"/>
  </r>
  <r>
    <s v="RUS Gracjan"/>
    <x v="1"/>
    <s v="111112"/>
    <s v="KG Radlin"/>
    <n v="1"/>
    <x v="0"/>
    <x v="1"/>
    <x v="8"/>
  </r>
  <r>
    <s v="RUS Gracjan"/>
    <x v="1"/>
    <s v="111112"/>
    <s v="KG Radlin"/>
    <n v="1"/>
    <x v="0"/>
    <x v="2"/>
    <x v="255"/>
  </r>
  <r>
    <s v="RUS Gracjan"/>
    <x v="1"/>
    <s v="111112"/>
    <s v="KG Radlin"/>
    <n v="1"/>
    <x v="1"/>
    <x v="0"/>
    <x v="8"/>
  </r>
  <r>
    <s v="RUS Gracjan"/>
    <x v="1"/>
    <s v="111112"/>
    <s v="KG Radlin"/>
    <n v="1"/>
    <x v="1"/>
    <x v="1"/>
    <x v="8"/>
  </r>
  <r>
    <s v="RUS Gracjan"/>
    <x v="1"/>
    <s v="111112"/>
    <s v="KG Radlin"/>
    <n v="1"/>
    <x v="1"/>
    <x v="2"/>
    <x v="8"/>
  </r>
  <r>
    <s v="RUS Gracjan"/>
    <x v="1"/>
    <s v="111112"/>
    <s v="KG Radlin"/>
    <n v="1"/>
    <x v="2"/>
    <x v="0"/>
    <x v="8"/>
  </r>
  <r>
    <s v="RUS Gracjan"/>
    <x v="1"/>
    <s v="111112"/>
    <s v="KG Radlin"/>
    <n v="1"/>
    <x v="2"/>
    <x v="1"/>
    <x v="8"/>
  </r>
  <r>
    <s v="RUS Gracjan"/>
    <x v="1"/>
    <s v="111112"/>
    <s v="KG Radlin"/>
    <n v="1"/>
    <x v="2"/>
    <x v="2"/>
    <x v="8"/>
  </r>
  <r>
    <s v="RUS Gracjan"/>
    <x v="1"/>
    <s v="111112"/>
    <s v="KG Radlin"/>
    <n v="1"/>
    <x v="3"/>
    <x v="0"/>
    <x v="8"/>
  </r>
  <r>
    <s v="RUS Gracjan"/>
    <x v="1"/>
    <s v="111112"/>
    <s v="KG Radlin"/>
    <n v="1"/>
    <x v="3"/>
    <x v="1"/>
    <x v="8"/>
  </r>
  <r>
    <s v="RUS Gracjan"/>
    <x v="1"/>
    <s v="111112"/>
    <s v="KG Radlin"/>
    <n v="1"/>
    <x v="3"/>
    <x v="2"/>
    <x v="8"/>
  </r>
  <r>
    <s v="RUS Gracjan"/>
    <x v="1"/>
    <s v="111112"/>
    <s v="KG Radlin"/>
    <n v="1"/>
    <x v="4"/>
    <x v="0"/>
    <x v="255"/>
  </r>
  <r>
    <s v="RUS Gracjan"/>
    <x v="1"/>
    <s v="111112"/>
    <s v="KG Radlin"/>
    <n v="1"/>
    <x v="4"/>
    <x v="1"/>
    <x v="8"/>
  </r>
  <r>
    <s v="RUS Gracjan"/>
    <x v="1"/>
    <s v="111112"/>
    <s v="KG Radlin"/>
    <n v="1"/>
    <x v="4"/>
    <x v="2"/>
    <x v="255"/>
  </r>
  <r>
    <s v="RUS Gracjan"/>
    <x v="1"/>
    <s v="111112"/>
    <s v="KG Radlin"/>
    <n v="1"/>
    <x v="5"/>
    <x v="0"/>
    <x v="8"/>
  </r>
  <r>
    <s v="RUS Gracjan"/>
    <x v="1"/>
    <s v="111112"/>
    <s v="KG Radlin"/>
    <n v="1"/>
    <x v="5"/>
    <x v="1"/>
    <x v="8"/>
  </r>
  <r>
    <s v="RUS Gracjan"/>
    <x v="1"/>
    <s v="111112"/>
    <s v="KG Radlin"/>
    <n v="1"/>
    <x v="5"/>
    <x v="2"/>
    <x v="8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2">
  <r>
    <s v="GARNCZAREK Kacper"/>
    <x v="0"/>
    <s v="KS AZS AWF Katowice"/>
    <n v="3"/>
    <x v="0"/>
    <x v="0"/>
    <x v="0"/>
  </r>
  <r>
    <s v="GARNCZAREK Kacper"/>
    <x v="0"/>
    <s v="KS AZS AWF Katowice"/>
    <n v="3"/>
    <x v="0"/>
    <x v="1"/>
    <x v="0"/>
  </r>
  <r>
    <s v="GARNCZAREK Kacper"/>
    <x v="0"/>
    <s v="KS AZS AWF Katowice"/>
    <n v="3"/>
    <x v="0"/>
    <x v="2"/>
    <x v="0"/>
  </r>
  <r>
    <s v="GARNCZAREK Kacper"/>
    <x v="0"/>
    <s v="KS AZS AWF Katowice"/>
    <n v="3"/>
    <x v="1"/>
    <x v="0"/>
    <x v="1"/>
  </r>
  <r>
    <s v="GARNCZAREK Kacper"/>
    <x v="0"/>
    <s v="KS AZS AWF Katowice"/>
    <n v="3"/>
    <x v="1"/>
    <x v="1"/>
    <x v="2"/>
  </r>
  <r>
    <s v="GARNCZAREK Kacper"/>
    <x v="0"/>
    <s v="KS AZS AWF Katowice"/>
    <n v="3"/>
    <x v="1"/>
    <x v="2"/>
    <x v="3"/>
  </r>
  <r>
    <s v="GARNCZAREK Kacper"/>
    <x v="0"/>
    <s v="KS AZS AWF Katowice"/>
    <n v="3"/>
    <x v="2"/>
    <x v="0"/>
    <x v="1"/>
  </r>
  <r>
    <s v="GARNCZAREK Kacper"/>
    <x v="0"/>
    <s v="KS AZS AWF Katowice"/>
    <n v="3"/>
    <x v="2"/>
    <x v="1"/>
    <x v="4"/>
  </r>
  <r>
    <s v="GARNCZAREK Kacper"/>
    <x v="0"/>
    <s v="KS AZS AWF Katowice"/>
    <n v="3"/>
    <x v="2"/>
    <x v="2"/>
    <x v="5"/>
  </r>
  <r>
    <s v="GARNCZAREK Kacper"/>
    <x v="0"/>
    <s v="KS AZS AWF Katowice"/>
    <n v="3"/>
    <x v="3"/>
    <x v="0"/>
    <x v="6"/>
  </r>
  <r>
    <s v="GARNCZAREK Kacper"/>
    <x v="0"/>
    <s v="KS AZS AWF Katowice"/>
    <n v="3"/>
    <x v="3"/>
    <x v="1"/>
    <x v="7"/>
  </r>
  <r>
    <s v="GARNCZAREK Kacper"/>
    <x v="0"/>
    <s v="KS AZS AWF Katowice"/>
    <n v="3"/>
    <x v="3"/>
    <x v="2"/>
    <x v="8"/>
  </r>
  <r>
    <s v="GARNCZAREK Kacper"/>
    <x v="0"/>
    <s v="KS AZS AWF Katowice"/>
    <n v="3"/>
    <x v="4"/>
    <x v="0"/>
    <x v="9"/>
  </r>
  <r>
    <s v="GARNCZAREK Kacper"/>
    <x v="0"/>
    <s v="KS AZS AWF Katowice"/>
    <n v="3"/>
    <x v="4"/>
    <x v="1"/>
    <x v="10"/>
  </r>
  <r>
    <s v="GARNCZAREK Kacper"/>
    <x v="0"/>
    <s v="KS AZS AWF Katowice"/>
    <n v="3"/>
    <x v="4"/>
    <x v="2"/>
    <x v="11"/>
  </r>
  <r>
    <s v="GARNCZAREK Kacper"/>
    <x v="0"/>
    <s v="KS AZS AWF Katowice"/>
    <n v="3"/>
    <x v="5"/>
    <x v="0"/>
    <x v="12"/>
  </r>
  <r>
    <s v="GARNCZAREK Kacper"/>
    <x v="0"/>
    <s v="KS AZS AWF Katowice"/>
    <n v="3"/>
    <x v="5"/>
    <x v="1"/>
    <x v="13"/>
  </r>
  <r>
    <s v="GARNCZAREK Kacper"/>
    <x v="0"/>
    <s v="KS AZS AWF Katowice"/>
    <n v="3"/>
    <x v="5"/>
    <x v="2"/>
    <x v="14"/>
  </r>
  <r>
    <s v="SASNAL Filip"/>
    <x v="0"/>
    <s v="KS AZS AWF Kraków"/>
    <n v="4"/>
    <x v="0"/>
    <x v="0"/>
    <x v="15"/>
  </r>
  <r>
    <s v="SASNAL Filip"/>
    <x v="0"/>
    <s v="KS AZS AWF Kraków"/>
    <n v="4"/>
    <x v="0"/>
    <x v="1"/>
    <x v="16"/>
  </r>
  <r>
    <s v="SASNAL Filip"/>
    <x v="0"/>
    <s v="KS AZS AWF Kraków"/>
    <n v="4"/>
    <x v="0"/>
    <x v="2"/>
    <x v="17"/>
  </r>
  <r>
    <s v="SASNAL Filip"/>
    <x v="0"/>
    <s v="KS AZS AWF Kraków"/>
    <n v="4"/>
    <x v="1"/>
    <x v="0"/>
    <x v="18"/>
  </r>
  <r>
    <s v="SASNAL Filip"/>
    <x v="0"/>
    <s v="KS AZS AWF Kraków"/>
    <n v="4"/>
    <x v="1"/>
    <x v="1"/>
    <x v="4"/>
  </r>
  <r>
    <s v="SASNAL Filip"/>
    <x v="0"/>
    <s v="KS AZS AWF Kraków"/>
    <n v="4"/>
    <x v="1"/>
    <x v="2"/>
    <x v="8"/>
  </r>
  <r>
    <s v="SASNAL Filip"/>
    <x v="0"/>
    <s v="KS AZS AWF Kraków"/>
    <n v="4"/>
    <x v="2"/>
    <x v="0"/>
    <x v="19"/>
  </r>
  <r>
    <s v="SASNAL Filip"/>
    <x v="0"/>
    <s v="KS AZS AWF Kraków"/>
    <n v="4"/>
    <x v="2"/>
    <x v="1"/>
    <x v="20"/>
  </r>
  <r>
    <s v="SASNAL Filip"/>
    <x v="0"/>
    <s v="KS AZS AWF Kraków"/>
    <n v="4"/>
    <x v="2"/>
    <x v="2"/>
    <x v="21"/>
  </r>
  <r>
    <s v="SASNAL Filip"/>
    <x v="0"/>
    <s v="KS AZS AWF Kraków"/>
    <n v="4"/>
    <x v="3"/>
    <x v="0"/>
    <x v="22"/>
  </r>
  <r>
    <s v="SASNAL Filip"/>
    <x v="0"/>
    <s v="KS AZS AWF Kraków"/>
    <n v="4"/>
    <x v="3"/>
    <x v="1"/>
    <x v="23"/>
  </r>
  <r>
    <s v="SASNAL Filip"/>
    <x v="0"/>
    <s v="KS AZS AWF Kraków"/>
    <n v="4"/>
    <x v="3"/>
    <x v="2"/>
    <x v="5"/>
  </r>
  <r>
    <s v="SASNAL Filip"/>
    <x v="0"/>
    <s v="KS AZS AWF Kraków"/>
    <n v="4"/>
    <x v="4"/>
    <x v="0"/>
    <x v="24"/>
  </r>
  <r>
    <s v="SASNAL Filip"/>
    <x v="0"/>
    <s v="KS AZS AWF Kraków"/>
    <n v="4"/>
    <x v="4"/>
    <x v="1"/>
    <x v="25"/>
  </r>
  <r>
    <s v="SASNAL Filip"/>
    <x v="0"/>
    <s v="KS AZS AWF Kraków"/>
    <n v="4"/>
    <x v="4"/>
    <x v="2"/>
    <x v="26"/>
  </r>
  <r>
    <s v="SASNAL Filip"/>
    <x v="0"/>
    <s v="KS AZS AWF Kraków"/>
    <n v="4"/>
    <x v="5"/>
    <x v="0"/>
    <x v="27"/>
  </r>
  <r>
    <s v="SASNAL Filip"/>
    <x v="0"/>
    <s v="KS AZS AWF Kraków"/>
    <n v="4"/>
    <x v="5"/>
    <x v="1"/>
    <x v="28"/>
  </r>
  <r>
    <s v="SASNAL Filip"/>
    <x v="0"/>
    <s v="KS AZS AWF Kraków"/>
    <n v="4"/>
    <x v="5"/>
    <x v="2"/>
    <x v="29"/>
  </r>
  <r>
    <s v="FRONT Filip"/>
    <x v="0"/>
    <s v="KS AZS AWFiS Gdańsk"/>
    <n v="3"/>
    <x v="0"/>
    <x v="0"/>
    <x v="0"/>
  </r>
  <r>
    <s v="FRONT Filip"/>
    <x v="0"/>
    <s v="KS AZS AWFiS Gdańsk"/>
    <n v="3"/>
    <x v="0"/>
    <x v="1"/>
    <x v="0"/>
  </r>
  <r>
    <s v="FRONT Filip"/>
    <x v="0"/>
    <s v="KS AZS AWFiS Gdańsk"/>
    <n v="3"/>
    <x v="0"/>
    <x v="2"/>
    <x v="0"/>
  </r>
  <r>
    <s v="FRONT Filip"/>
    <x v="0"/>
    <s v="KS AZS AWFiS Gdańsk"/>
    <n v="3"/>
    <x v="1"/>
    <x v="0"/>
    <x v="30"/>
  </r>
  <r>
    <s v="FRONT Filip"/>
    <x v="0"/>
    <s v="KS AZS AWFiS Gdańsk"/>
    <n v="3"/>
    <x v="1"/>
    <x v="1"/>
    <x v="31"/>
  </r>
  <r>
    <s v="FRONT Filip"/>
    <x v="0"/>
    <s v="KS AZS AWFiS Gdańsk"/>
    <n v="3"/>
    <x v="1"/>
    <x v="2"/>
    <x v="32"/>
  </r>
  <r>
    <s v="FRONT Filip"/>
    <x v="0"/>
    <s v="KS AZS AWFiS Gdańsk"/>
    <n v="3"/>
    <x v="2"/>
    <x v="0"/>
    <x v="30"/>
  </r>
  <r>
    <s v="FRONT Filip"/>
    <x v="0"/>
    <s v="KS AZS AWFiS Gdańsk"/>
    <n v="3"/>
    <x v="2"/>
    <x v="1"/>
    <x v="33"/>
  </r>
  <r>
    <s v="FRONT Filip"/>
    <x v="0"/>
    <s v="KS AZS AWFiS Gdańsk"/>
    <n v="3"/>
    <x v="2"/>
    <x v="2"/>
    <x v="34"/>
  </r>
  <r>
    <s v="FRONT Filip"/>
    <x v="0"/>
    <s v="KS AZS AWFiS Gdańsk"/>
    <n v="3"/>
    <x v="3"/>
    <x v="0"/>
    <x v="19"/>
  </r>
  <r>
    <s v="FRONT Filip"/>
    <x v="0"/>
    <s v="KS AZS AWFiS Gdańsk"/>
    <n v="3"/>
    <x v="3"/>
    <x v="1"/>
    <x v="16"/>
  </r>
  <r>
    <s v="FRONT Filip"/>
    <x v="0"/>
    <s v="KS AZS AWFiS Gdańsk"/>
    <n v="3"/>
    <x v="3"/>
    <x v="2"/>
    <x v="35"/>
  </r>
  <r>
    <s v="FRONT Filip"/>
    <x v="0"/>
    <s v="KS AZS AWFiS Gdańsk"/>
    <n v="3"/>
    <x v="4"/>
    <x v="0"/>
    <x v="36"/>
  </r>
  <r>
    <s v="FRONT Filip"/>
    <x v="0"/>
    <s v="KS AZS AWFiS Gdańsk"/>
    <n v="3"/>
    <x v="4"/>
    <x v="1"/>
    <x v="37"/>
  </r>
  <r>
    <s v="FRONT Filip"/>
    <x v="0"/>
    <s v="KS AZS AWFiS Gdańsk"/>
    <n v="3"/>
    <x v="4"/>
    <x v="2"/>
    <x v="38"/>
  </r>
  <r>
    <s v="FRONT Filip"/>
    <x v="0"/>
    <s v="KS AZS AWFiS Gdańsk"/>
    <n v="3"/>
    <x v="5"/>
    <x v="0"/>
    <x v="39"/>
  </r>
  <r>
    <s v="FRONT Filip"/>
    <x v="0"/>
    <s v="KS AZS AWFiS Gdańsk"/>
    <n v="3"/>
    <x v="5"/>
    <x v="1"/>
    <x v="40"/>
  </r>
  <r>
    <s v="FRONT Filip"/>
    <x v="0"/>
    <s v="KS AZS AWFiS Gdańsk"/>
    <n v="3"/>
    <x v="5"/>
    <x v="2"/>
    <x v="41"/>
  </r>
  <r>
    <s v="BRACKI Borys"/>
    <x v="0"/>
    <s v="KS AZS AWF Katowice"/>
    <n v="4"/>
    <x v="0"/>
    <x v="0"/>
    <x v="18"/>
  </r>
  <r>
    <s v="BRACKI Borys"/>
    <x v="0"/>
    <s v="KS AZS AWF Katowice"/>
    <n v="4"/>
    <x v="0"/>
    <x v="1"/>
    <x v="42"/>
  </r>
  <r>
    <s v="BRACKI Borys"/>
    <x v="0"/>
    <s v="KS AZS AWF Katowice"/>
    <n v="4"/>
    <x v="0"/>
    <x v="2"/>
    <x v="43"/>
  </r>
  <r>
    <s v="BRACKI Borys"/>
    <x v="0"/>
    <s v="KS AZS AWF Katowice"/>
    <n v="4"/>
    <x v="1"/>
    <x v="0"/>
    <x v="44"/>
  </r>
  <r>
    <s v="BRACKI Borys"/>
    <x v="0"/>
    <s v="KS AZS AWF Katowice"/>
    <n v="4"/>
    <x v="1"/>
    <x v="1"/>
    <x v="45"/>
  </r>
  <r>
    <s v="BRACKI Borys"/>
    <x v="0"/>
    <s v="KS AZS AWF Katowice"/>
    <n v="4"/>
    <x v="1"/>
    <x v="2"/>
    <x v="46"/>
  </r>
  <r>
    <s v="BRACKI Borys"/>
    <x v="0"/>
    <s v="KS AZS AWF Katowice"/>
    <n v="4"/>
    <x v="2"/>
    <x v="0"/>
    <x v="18"/>
  </r>
  <r>
    <s v="BRACKI Borys"/>
    <x v="0"/>
    <s v="KS AZS AWF Katowice"/>
    <n v="4"/>
    <x v="2"/>
    <x v="1"/>
    <x v="47"/>
  </r>
  <r>
    <s v="BRACKI Borys"/>
    <x v="0"/>
    <s v="KS AZS AWF Katowice"/>
    <n v="4"/>
    <x v="2"/>
    <x v="2"/>
    <x v="48"/>
  </r>
  <r>
    <s v="BRACKI Borys"/>
    <x v="0"/>
    <s v="KS AZS AWF Katowice"/>
    <n v="4"/>
    <x v="3"/>
    <x v="0"/>
    <x v="49"/>
  </r>
  <r>
    <s v="BRACKI Borys"/>
    <x v="0"/>
    <s v="KS AZS AWF Katowice"/>
    <n v="4"/>
    <x v="3"/>
    <x v="1"/>
    <x v="50"/>
  </r>
  <r>
    <s v="BRACKI Borys"/>
    <x v="0"/>
    <s v="KS AZS AWF Katowice"/>
    <n v="4"/>
    <x v="3"/>
    <x v="2"/>
    <x v="17"/>
  </r>
  <r>
    <s v="BRACKI Borys"/>
    <x v="0"/>
    <s v="KS AZS AWF Katowice"/>
    <n v="4"/>
    <x v="4"/>
    <x v="0"/>
    <x v="35"/>
  </r>
  <r>
    <s v="BRACKI Borys"/>
    <x v="0"/>
    <s v="KS AZS AWF Katowice"/>
    <n v="4"/>
    <x v="4"/>
    <x v="1"/>
    <x v="51"/>
  </r>
  <r>
    <s v="BRACKI Borys"/>
    <x v="0"/>
    <s v="KS AZS AWF Katowice"/>
    <n v="4"/>
    <x v="4"/>
    <x v="2"/>
    <x v="52"/>
  </r>
  <r>
    <s v="BRACKI Borys"/>
    <x v="0"/>
    <s v="KS AZS AWF Katowice"/>
    <n v="4"/>
    <x v="5"/>
    <x v="0"/>
    <x v="53"/>
  </r>
  <r>
    <s v="BRACKI Borys"/>
    <x v="0"/>
    <s v="KS AZS AWF Katowice"/>
    <n v="4"/>
    <x v="5"/>
    <x v="1"/>
    <x v="54"/>
  </r>
  <r>
    <s v="BRACKI Borys"/>
    <x v="0"/>
    <s v="KS AZS AWF Katowice"/>
    <n v="4"/>
    <x v="5"/>
    <x v="2"/>
    <x v="55"/>
  </r>
  <r>
    <s v="BOBER Michał"/>
    <x v="0"/>
    <s v="UKS SP7 Łódź"/>
    <n v="4"/>
    <x v="0"/>
    <x v="0"/>
    <x v="30"/>
  </r>
  <r>
    <s v="BOBER Michał"/>
    <x v="0"/>
    <s v="UKS SP7 Łódź"/>
    <n v="4"/>
    <x v="0"/>
    <x v="1"/>
    <x v="56"/>
  </r>
  <r>
    <s v="BOBER Michał"/>
    <x v="0"/>
    <s v="UKS SP7 Łódź"/>
    <n v="4"/>
    <x v="0"/>
    <x v="2"/>
    <x v="57"/>
  </r>
  <r>
    <s v="BOBER Michał"/>
    <x v="0"/>
    <s v="UKS SP7 Łódź"/>
    <n v="4"/>
    <x v="1"/>
    <x v="0"/>
    <x v="58"/>
  </r>
  <r>
    <s v="BOBER Michał"/>
    <x v="0"/>
    <s v="UKS SP7 Łódź"/>
    <n v="4"/>
    <x v="1"/>
    <x v="1"/>
    <x v="31"/>
  </r>
  <r>
    <s v="BOBER Michał"/>
    <x v="0"/>
    <s v="UKS SP7 Łódź"/>
    <n v="4"/>
    <x v="1"/>
    <x v="2"/>
    <x v="5"/>
  </r>
  <r>
    <s v="BOBER Michał"/>
    <x v="0"/>
    <s v="UKS SP7 Łódź"/>
    <n v="4"/>
    <x v="2"/>
    <x v="0"/>
    <x v="58"/>
  </r>
  <r>
    <s v="BOBER Michał"/>
    <x v="0"/>
    <s v="UKS SP7 Łódź"/>
    <n v="4"/>
    <x v="2"/>
    <x v="1"/>
    <x v="59"/>
  </r>
  <r>
    <s v="BOBER Michał"/>
    <x v="0"/>
    <s v="UKS SP7 Łódź"/>
    <n v="4"/>
    <x v="2"/>
    <x v="2"/>
    <x v="41"/>
  </r>
  <r>
    <s v="BOBER Michał"/>
    <x v="0"/>
    <s v="UKS SP7 Łódź"/>
    <n v="4"/>
    <x v="3"/>
    <x v="0"/>
    <x v="60"/>
  </r>
  <r>
    <s v="BOBER Michał"/>
    <x v="0"/>
    <s v="UKS SP7 Łódź"/>
    <n v="4"/>
    <x v="3"/>
    <x v="1"/>
    <x v="61"/>
  </r>
  <r>
    <s v="BOBER Michał"/>
    <x v="0"/>
    <s v="UKS SP7 Łódź"/>
    <n v="4"/>
    <x v="3"/>
    <x v="2"/>
    <x v="62"/>
  </r>
  <r>
    <s v="BOBER Michał"/>
    <x v="0"/>
    <s v="UKS SP7 Łódź"/>
    <n v="4"/>
    <x v="4"/>
    <x v="0"/>
    <x v="46"/>
  </r>
  <r>
    <s v="BOBER Michał"/>
    <x v="0"/>
    <s v="UKS SP7 Łódź"/>
    <n v="4"/>
    <x v="4"/>
    <x v="1"/>
    <x v="63"/>
  </r>
  <r>
    <s v="BOBER Michał"/>
    <x v="0"/>
    <s v="UKS SP7 Łódź"/>
    <n v="4"/>
    <x v="4"/>
    <x v="2"/>
    <x v="64"/>
  </r>
  <r>
    <s v="BOBER Michał"/>
    <x v="0"/>
    <s v="UKS SP7 Łódź"/>
    <n v="4"/>
    <x v="5"/>
    <x v="0"/>
    <x v="65"/>
  </r>
  <r>
    <s v="BOBER Michał"/>
    <x v="0"/>
    <s v="UKS SP7 Łódź"/>
    <n v="4"/>
    <x v="5"/>
    <x v="1"/>
    <x v="66"/>
  </r>
  <r>
    <s v="BOBER Michał"/>
    <x v="0"/>
    <s v="UKS SP7 Łódź"/>
    <n v="4"/>
    <x v="5"/>
    <x v="2"/>
    <x v="67"/>
  </r>
  <r>
    <s v="KUROWSKI Jakub"/>
    <x v="0"/>
    <s v="MKS Kusy Szczecin"/>
    <n v="4"/>
    <x v="0"/>
    <x v="0"/>
    <x v="68"/>
  </r>
  <r>
    <s v="KUROWSKI Jakub"/>
    <x v="0"/>
    <s v="MKS Kusy Szczecin"/>
    <n v="4"/>
    <x v="0"/>
    <x v="1"/>
    <x v="69"/>
  </r>
  <r>
    <s v="KUROWSKI Jakub"/>
    <x v="0"/>
    <s v="MKS Kusy Szczecin"/>
    <n v="4"/>
    <x v="0"/>
    <x v="2"/>
    <x v="70"/>
  </r>
  <r>
    <s v="KUROWSKI Jakub"/>
    <x v="0"/>
    <s v="MKS Kusy Szczecin"/>
    <n v="4"/>
    <x v="1"/>
    <x v="0"/>
    <x v="58"/>
  </r>
  <r>
    <s v="KUROWSKI Jakub"/>
    <x v="0"/>
    <s v="MKS Kusy Szczecin"/>
    <n v="4"/>
    <x v="1"/>
    <x v="1"/>
    <x v="71"/>
  </r>
  <r>
    <s v="KUROWSKI Jakub"/>
    <x v="0"/>
    <s v="MKS Kusy Szczecin"/>
    <n v="4"/>
    <x v="1"/>
    <x v="2"/>
    <x v="35"/>
  </r>
  <r>
    <s v="KUROWSKI Jakub"/>
    <x v="0"/>
    <s v="MKS Kusy Szczecin"/>
    <n v="4"/>
    <x v="2"/>
    <x v="0"/>
    <x v="58"/>
  </r>
  <r>
    <s v="KUROWSKI Jakub"/>
    <x v="0"/>
    <s v="MKS Kusy Szczecin"/>
    <n v="4"/>
    <x v="2"/>
    <x v="1"/>
    <x v="72"/>
  </r>
  <r>
    <s v="KUROWSKI Jakub"/>
    <x v="0"/>
    <s v="MKS Kusy Szczecin"/>
    <n v="4"/>
    <x v="2"/>
    <x v="2"/>
    <x v="73"/>
  </r>
  <r>
    <s v="KUROWSKI Jakub"/>
    <x v="0"/>
    <s v="MKS Kusy Szczecin"/>
    <n v="4"/>
    <x v="3"/>
    <x v="0"/>
    <x v="44"/>
  </r>
  <r>
    <s v="KUROWSKI Jakub"/>
    <x v="0"/>
    <s v="MKS Kusy Szczecin"/>
    <n v="4"/>
    <x v="3"/>
    <x v="1"/>
    <x v="56"/>
  </r>
  <r>
    <s v="KUROWSKI Jakub"/>
    <x v="0"/>
    <s v="MKS Kusy Szczecin"/>
    <n v="4"/>
    <x v="3"/>
    <x v="2"/>
    <x v="9"/>
  </r>
  <r>
    <s v="KUROWSKI Jakub"/>
    <x v="0"/>
    <s v="MKS Kusy Szczecin"/>
    <n v="4"/>
    <x v="4"/>
    <x v="0"/>
    <x v="57"/>
  </r>
  <r>
    <s v="KUROWSKI Jakub"/>
    <x v="0"/>
    <s v="MKS Kusy Szczecin"/>
    <n v="4"/>
    <x v="4"/>
    <x v="1"/>
    <x v="74"/>
  </r>
  <r>
    <s v="KUROWSKI Jakub"/>
    <x v="0"/>
    <s v="MKS Kusy Szczecin"/>
    <n v="4"/>
    <x v="4"/>
    <x v="2"/>
    <x v="75"/>
  </r>
  <r>
    <s v="KUROWSKI Jakub"/>
    <x v="0"/>
    <s v="MKS Kusy Szczecin"/>
    <n v="4"/>
    <x v="5"/>
    <x v="0"/>
    <x v="76"/>
  </r>
  <r>
    <s v="KUROWSKI Jakub"/>
    <x v="0"/>
    <s v="MKS Kusy Szczecin"/>
    <n v="4"/>
    <x v="5"/>
    <x v="1"/>
    <x v="77"/>
  </r>
  <r>
    <s v="KUROWSKI Jakub"/>
    <x v="0"/>
    <s v="MKS Kusy Szczecin"/>
    <n v="4"/>
    <x v="5"/>
    <x v="2"/>
    <x v="78"/>
  </r>
  <r>
    <s v="KUZDRA Christian"/>
    <x v="1"/>
    <s v="MKS Gdańsk"/>
    <n v="4"/>
    <x v="0"/>
    <x v="0"/>
    <x v="79"/>
  </r>
  <r>
    <s v="KUZDRA Christian"/>
    <x v="1"/>
    <s v="MKS Gdańsk"/>
    <n v="4"/>
    <x v="0"/>
    <x v="1"/>
    <x v="80"/>
  </r>
  <r>
    <s v="KUZDRA Christian"/>
    <x v="1"/>
    <s v="MKS Gdańsk"/>
    <n v="4"/>
    <x v="0"/>
    <x v="2"/>
    <x v="81"/>
  </r>
  <r>
    <s v="KUZDRA Christian"/>
    <x v="1"/>
    <s v="MKS Gdańsk"/>
    <n v="4"/>
    <x v="1"/>
    <x v="0"/>
    <x v="18"/>
  </r>
  <r>
    <s v="KUZDRA Christian"/>
    <x v="1"/>
    <s v="MKS Gdańsk"/>
    <n v="4"/>
    <x v="1"/>
    <x v="1"/>
    <x v="4"/>
  </r>
  <r>
    <s v="KUZDRA Christian"/>
    <x v="1"/>
    <s v="MKS Gdańsk"/>
    <n v="4"/>
    <x v="1"/>
    <x v="2"/>
    <x v="8"/>
  </r>
  <r>
    <s v="KUZDRA Christian"/>
    <x v="1"/>
    <s v="MKS Gdańsk"/>
    <n v="4"/>
    <x v="2"/>
    <x v="0"/>
    <x v="44"/>
  </r>
  <r>
    <s v="KUZDRA Christian"/>
    <x v="1"/>
    <s v="MKS Gdańsk"/>
    <n v="4"/>
    <x v="2"/>
    <x v="1"/>
    <x v="82"/>
  </r>
  <r>
    <s v="KUZDRA Christian"/>
    <x v="1"/>
    <s v="MKS Gdańsk"/>
    <n v="4"/>
    <x v="2"/>
    <x v="2"/>
    <x v="83"/>
  </r>
  <r>
    <s v="KUZDRA Christian"/>
    <x v="1"/>
    <s v="MKS Gdańsk"/>
    <n v="4"/>
    <x v="3"/>
    <x v="0"/>
    <x v="60"/>
  </r>
  <r>
    <s v="KUZDRA Christian"/>
    <x v="1"/>
    <s v="MKS Gdańsk"/>
    <n v="4"/>
    <x v="3"/>
    <x v="1"/>
    <x v="71"/>
  </r>
  <r>
    <s v="KUZDRA Christian"/>
    <x v="1"/>
    <s v="MKS Gdańsk"/>
    <n v="4"/>
    <x v="3"/>
    <x v="2"/>
    <x v="84"/>
  </r>
  <r>
    <s v="KUZDRA Christian"/>
    <x v="1"/>
    <s v="MKS Gdańsk"/>
    <n v="4"/>
    <x v="4"/>
    <x v="0"/>
    <x v="85"/>
  </r>
  <r>
    <s v="KUZDRA Christian"/>
    <x v="1"/>
    <s v="MKS Gdańsk"/>
    <n v="4"/>
    <x v="4"/>
    <x v="1"/>
    <x v="86"/>
  </r>
  <r>
    <s v="KUZDRA Christian"/>
    <x v="1"/>
    <s v="MKS Gdańsk"/>
    <n v="4"/>
    <x v="4"/>
    <x v="2"/>
    <x v="87"/>
  </r>
  <r>
    <s v="KUZDRA Christian"/>
    <x v="1"/>
    <s v="MKS Gdańsk"/>
    <n v="4"/>
    <x v="5"/>
    <x v="0"/>
    <x v="88"/>
  </r>
  <r>
    <s v="KUZDRA Christian"/>
    <x v="1"/>
    <s v="MKS Gdańsk"/>
    <n v="4"/>
    <x v="5"/>
    <x v="1"/>
    <x v="89"/>
  </r>
  <r>
    <s v="KUZDRA Christian"/>
    <x v="1"/>
    <s v="MKS Gdańsk"/>
    <n v="4"/>
    <x v="5"/>
    <x v="2"/>
    <x v="90"/>
  </r>
  <r>
    <s v="WIERZBA Kacper"/>
    <x v="0"/>
    <s v="MKS Gdańsk"/>
    <n v="3"/>
    <x v="0"/>
    <x v="0"/>
    <x v="0"/>
  </r>
  <r>
    <s v="WIERZBA Kacper"/>
    <x v="0"/>
    <s v="MKS Gdańsk"/>
    <n v="3"/>
    <x v="0"/>
    <x v="1"/>
    <x v="0"/>
  </r>
  <r>
    <s v="WIERZBA Kacper"/>
    <x v="0"/>
    <s v="MKS Gdańsk"/>
    <n v="3"/>
    <x v="0"/>
    <x v="2"/>
    <x v="0"/>
  </r>
  <r>
    <s v="WIERZBA Kacper"/>
    <x v="0"/>
    <s v="MKS Gdańsk"/>
    <n v="3"/>
    <x v="1"/>
    <x v="0"/>
    <x v="58"/>
  </r>
  <r>
    <s v="WIERZBA Kacper"/>
    <x v="0"/>
    <s v="MKS Gdańsk"/>
    <n v="3"/>
    <x v="1"/>
    <x v="1"/>
    <x v="91"/>
  </r>
  <r>
    <s v="WIERZBA Kacper"/>
    <x v="0"/>
    <s v="MKS Gdańsk"/>
    <n v="3"/>
    <x v="1"/>
    <x v="2"/>
    <x v="57"/>
  </r>
  <r>
    <s v="WIERZBA Kacper"/>
    <x v="0"/>
    <s v="MKS Gdańsk"/>
    <n v="3"/>
    <x v="2"/>
    <x v="0"/>
    <x v="58"/>
  </r>
  <r>
    <s v="WIERZBA Kacper"/>
    <x v="0"/>
    <s v="MKS Gdańsk"/>
    <n v="3"/>
    <x v="2"/>
    <x v="1"/>
    <x v="71"/>
  </r>
  <r>
    <s v="WIERZBA Kacper"/>
    <x v="0"/>
    <s v="MKS Gdańsk"/>
    <n v="3"/>
    <x v="2"/>
    <x v="2"/>
    <x v="35"/>
  </r>
  <r>
    <s v="WIERZBA Kacper"/>
    <x v="0"/>
    <s v="MKS Gdańsk"/>
    <n v="3"/>
    <x v="3"/>
    <x v="0"/>
    <x v="58"/>
  </r>
  <r>
    <s v="WIERZBA Kacper"/>
    <x v="0"/>
    <s v="MKS Gdańsk"/>
    <n v="3"/>
    <x v="3"/>
    <x v="1"/>
    <x v="45"/>
  </r>
  <r>
    <s v="WIERZBA Kacper"/>
    <x v="0"/>
    <s v="MKS Gdańsk"/>
    <n v="3"/>
    <x v="3"/>
    <x v="2"/>
    <x v="92"/>
  </r>
  <r>
    <s v="WIERZBA Kacper"/>
    <x v="0"/>
    <s v="MKS Gdańsk"/>
    <n v="3"/>
    <x v="4"/>
    <x v="0"/>
    <x v="93"/>
  </r>
  <r>
    <s v="WIERZBA Kacper"/>
    <x v="0"/>
    <s v="MKS Gdańsk"/>
    <n v="3"/>
    <x v="4"/>
    <x v="1"/>
    <x v="94"/>
  </r>
  <r>
    <s v="WIERZBA Kacper"/>
    <x v="0"/>
    <s v="MKS Gdańsk"/>
    <n v="3"/>
    <x v="4"/>
    <x v="2"/>
    <x v="95"/>
  </r>
  <r>
    <s v="WIERZBA Kacper"/>
    <x v="0"/>
    <s v="MKS Gdańsk"/>
    <n v="3"/>
    <x v="5"/>
    <x v="0"/>
    <x v="96"/>
  </r>
  <r>
    <s v="WIERZBA Kacper"/>
    <x v="0"/>
    <s v="MKS Gdańsk"/>
    <n v="3"/>
    <x v="5"/>
    <x v="1"/>
    <x v="71"/>
  </r>
  <r>
    <s v="WIERZBA Kacper"/>
    <x v="0"/>
    <s v="MKS Gdańsk"/>
    <n v="3"/>
    <x v="5"/>
    <x v="2"/>
    <x v="35"/>
  </r>
  <r>
    <s v="LEKHAC Tomasz"/>
    <x v="1"/>
    <s v="CWZS Zawisza KG Bydgoszcz"/>
    <n v="4"/>
    <x v="0"/>
    <x v="0"/>
    <x v="6"/>
  </r>
  <r>
    <s v="LEKHAC Tomasz"/>
    <x v="1"/>
    <s v="CWZS Zawisza KG Bydgoszcz"/>
    <n v="4"/>
    <x v="0"/>
    <x v="1"/>
    <x v="97"/>
  </r>
  <r>
    <s v="LEKHAC Tomasz"/>
    <x v="1"/>
    <s v="CWZS Zawisza KG Bydgoszcz"/>
    <n v="4"/>
    <x v="0"/>
    <x v="2"/>
    <x v="34"/>
  </r>
  <r>
    <s v="LEKHAC Tomasz"/>
    <x v="1"/>
    <s v="CWZS Zawisza KG Bydgoszcz"/>
    <n v="4"/>
    <x v="1"/>
    <x v="0"/>
    <x v="98"/>
  </r>
  <r>
    <s v="LEKHAC Tomasz"/>
    <x v="1"/>
    <s v="CWZS Zawisza KG Bydgoszcz"/>
    <n v="4"/>
    <x v="1"/>
    <x v="1"/>
    <x v="47"/>
  </r>
  <r>
    <s v="LEKHAC Tomasz"/>
    <x v="1"/>
    <s v="CWZS Zawisza KG Bydgoszcz"/>
    <n v="4"/>
    <x v="1"/>
    <x v="2"/>
    <x v="99"/>
  </r>
  <r>
    <s v="LEKHAC Tomasz"/>
    <x v="1"/>
    <s v="CWZS Zawisza KG Bydgoszcz"/>
    <n v="4"/>
    <x v="2"/>
    <x v="0"/>
    <x v="6"/>
  </r>
  <r>
    <s v="LEKHAC Tomasz"/>
    <x v="1"/>
    <s v="CWZS Zawisza KG Bydgoszcz"/>
    <n v="4"/>
    <x v="2"/>
    <x v="1"/>
    <x v="31"/>
  </r>
  <r>
    <s v="LEKHAC Tomasz"/>
    <x v="1"/>
    <s v="CWZS Zawisza KG Bydgoszcz"/>
    <n v="4"/>
    <x v="2"/>
    <x v="2"/>
    <x v="85"/>
  </r>
  <r>
    <s v="LEKHAC Tomasz"/>
    <x v="1"/>
    <s v="CWZS Zawisza KG Bydgoszcz"/>
    <n v="4"/>
    <x v="3"/>
    <x v="0"/>
    <x v="6"/>
  </r>
  <r>
    <s v="LEKHAC Tomasz"/>
    <x v="1"/>
    <s v="CWZS Zawisza KG Bydgoszcz"/>
    <n v="4"/>
    <x v="3"/>
    <x v="1"/>
    <x v="31"/>
  </r>
  <r>
    <s v="LEKHAC Tomasz"/>
    <x v="1"/>
    <s v="CWZS Zawisza KG Bydgoszcz"/>
    <n v="4"/>
    <x v="3"/>
    <x v="2"/>
    <x v="85"/>
  </r>
  <r>
    <s v="LEKHAC Tomasz"/>
    <x v="1"/>
    <s v="CWZS Zawisza KG Bydgoszcz"/>
    <n v="4"/>
    <x v="4"/>
    <x v="0"/>
    <x v="100"/>
  </r>
  <r>
    <s v="LEKHAC Tomasz"/>
    <x v="1"/>
    <s v="CWZS Zawisza KG Bydgoszcz"/>
    <n v="4"/>
    <x v="4"/>
    <x v="1"/>
    <x v="10"/>
  </r>
  <r>
    <s v="LEKHAC Tomasz"/>
    <x v="1"/>
    <s v="CWZS Zawisza KG Bydgoszcz"/>
    <n v="4"/>
    <x v="4"/>
    <x v="2"/>
    <x v="101"/>
  </r>
  <r>
    <s v="LEKHAC Tomasz"/>
    <x v="1"/>
    <s v="CWZS Zawisza KG Bydgoszcz"/>
    <n v="4"/>
    <x v="5"/>
    <x v="0"/>
    <x v="102"/>
  </r>
  <r>
    <s v="LEKHAC Tomasz"/>
    <x v="1"/>
    <s v="CWZS Zawisza KG Bydgoszcz"/>
    <n v="4"/>
    <x v="5"/>
    <x v="1"/>
    <x v="13"/>
  </r>
  <r>
    <s v="LEKHAC Tomasz"/>
    <x v="1"/>
    <s v="CWZS Zawisza KG Bydgoszcz"/>
    <n v="4"/>
    <x v="5"/>
    <x v="2"/>
    <x v="103"/>
  </r>
  <r>
    <s v="KWIATKOWSKI Michał"/>
    <x v="1"/>
    <s v="MKS Kusy Szczecin"/>
    <n v="4"/>
    <x v="0"/>
    <x v="0"/>
    <x v="104"/>
  </r>
  <r>
    <s v="KWIATKOWSKI Michał"/>
    <x v="1"/>
    <s v="MKS Kusy Szczecin"/>
    <n v="4"/>
    <x v="0"/>
    <x v="1"/>
    <x v="105"/>
  </r>
  <r>
    <s v="KWIATKOWSKI Michał"/>
    <x v="1"/>
    <s v="MKS Kusy Szczecin"/>
    <n v="4"/>
    <x v="0"/>
    <x v="2"/>
    <x v="106"/>
  </r>
  <r>
    <s v="KWIATKOWSKI Michał"/>
    <x v="1"/>
    <s v="MKS Kusy Szczecin"/>
    <n v="4"/>
    <x v="1"/>
    <x v="0"/>
    <x v="68"/>
  </r>
  <r>
    <s v="KWIATKOWSKI Michał"/>
    <x v="1"/>
    <s v="MKS Kusy Szczecin"/>
    <n v="4"/>
    <x v="1"/>
    <x v="1"/>
    <x v="107"/>
  </r>
  <r>
    <s v="KWIATKOWSKI Michał"/>
    <x v="1"/>
    <s v="MKS Kusy Szczecin"/>
    <n v="4"/>
    <x v="1"/>
    <x v="2"/>
    <x v="5"/>
  </r>
  <r>
    <s v="KWIATKOWSKI Michał"/>
    <x v="1"/>
    <s v="MKS Kusy Szczecin"/>
    <n v="4"/>
    <x v="2"/>
    <x v="0"/>
    <x v="104"/>
  </r>
  <r>
    <s v="KWIATKOWSKI Michał"/>
    <x v="1"/>
    <s v="MKS Kusy Szczecin"/>
    <n v="4"/>
    <x v="2"/>
    <x v="1"/>
    <x v="108"/>
  </r>
  <r>
    <s v="KWIATKOWSKI Michał"/>
    <x v="1"/>
    <s v="MKS Kusy Szczecin"/>
    <n v="4"/>
    <x v="2"/>
    <x v="2"/>
    <x v="109"/>
  </r>
  <r>
    <s v="KWIATKOWSKI Michał"/>
    <x v="1"/>
    <s v="MKS Kusy Szczecin"/>
    <n v="4"/>
    <x v="3"/>
    <x v="0"/>
    <x v="104"/>
  </r>
  <r>
    <s v="KWIATKOWSKI Michał"/>
    <x v="1"/>
    <s v="MKS Kusy Szczecin"/>
    <n v="4"/>
    <x v="3"/>
    <x v="1"/>
    <x v="45"/>
  </r>
  <r>
    <s v="KWIATKOWSKI Michał"/>
    <x v="1"/>
    <s v="MKS Kusy Szczecin"/>
    <n v="4"/>
    <x v="3"/>
    <x v="2"/>
    <x v="85"/>
  </r>
  <r>
    <s v="KWIATKOWSKI Michał"/>
    <x v="1"/>
    <s v="MKS Kusy Szczecin"/>
    <n v="4"/>
    <x v="4"/>
    <x v="0"/>
    <x v="110"/>
  </r>
  <r>
    <s v="KWIATKOWSKI Michał"/>
    <x v="1"/>
    <s v="MKS Kusy Szczecin"/>
    <n v="4"/>
    <x v="4"/>
    <x v="1"/>
    <x v="111"/>
  </r>
  <r>
    <s v="KWIATKOWSKI Michał"/>
    <x v="1"/>
    <s v="MKS Kusy Szczecin"/>
    <n v="4"/>
    <x v="4"/>
    <x v="2"/>
    <x v="112"/>
  </r>
  <r>
    <s v="KWIATKOWSKI Michał"/>
    <x v="1"/>
    <s v="MKS Kusy Szczecin"/>
    <n v="4"/>
    <x v="5"/>
    <x v="0"/>
    <x v="113"/>
  </r>
  <r>
    <s v="KWIATKOWSKI Michał"/>
    <x v="1"/>
    <s v="MKS Kusy Szczecin"/>
    <n v="4"/>
    <x v="5"/>
    <x v="1"/>
    <x v="23"/>
  </r>
  <r>
    <s v="KWIATKOWSKI Michał"/>
    <x v="1"/>
    <s v="MKS Kusy Szczecin"/>
    <n v="4"/>
    <x v="5"/>
    <x v="2"/>
    <x v="114"/>
  </r>
  <r>
    <s v="KOPERSKI Filip"/>
    <x v="1"/>
    <s v="KS AZS AWF Kraków"/>
    <n v="3"/>
    <x v="0"/>
    <x v="0"/>
    <x v="0"/>
  </r>
  <r>
    <s v="KOPERSKI Filip"/>
    <x v="1"/>
    <s v="KS AZS AWF Kraków"/>
    <n v="3"/>
    <x v="0"/>
    <x v="1"/>
    <x v="0"/>
  </r>
  <r>
    <s v="KOPERSKI Filip"/>
    <x v="1"/>
    <s v="KS AZS AWF Kraków"/>
    <n v="3"/>
    <x v="0"/>
    <x v="2"/>
    <x v="0"/>
  </r>
  <r>
    <s v="KOPERSKI Filip"/>
    <x v="1"/>
    <s v="KS AZS AWF Kraków"/>
    <n v="3"/>
    <x v="1"/>
    <x v="0"/>
    <x v="60"/>
  </r>
  <r>
    <s v="KOPERSKI Filip"/>
    <x v="1"/>
    <s v="KS AZS AWF Kraków"/>
    <n v="3"/>
    <x v="1"/>
    <x v="1"/>
    <x v="47"/>
  </r>
  <r>
    <s v="KOPERSKI Filip"/>
    <x v="1"/>
    <s v="KS AZS AWF Kraków"/>
    <n v="3"/>
    <x v="1"/>
    <x v="2"/>
    <x v="46"/>
  </r>
  <r>
    <s v="KOPERSKI Filip"/>
    <x v="1"/>
    <s v="KS AZS AWF Kraków"/>
    <n v="3"/>
    <x v="2"/>
    <x v="0"/>
    <x v="60"/>
  </r>
  <r>
    <s v="KOPERSKI Filip"/>
    <x v="1"/>
    <s v="KS AZS AWF Kraków"/>
    <n v="3"/>
    <x v="2"/>
    <x v="1"/>
    <x v="45"/>
  </r>
  <r>
    <s v="KOPERSKI Filip"/>
    <x v="1"/>
    <s v="KS AZS AWF Kraków"/>
    <n v="3"/>
    <x v="2"/>
    <x v="2"/>
    <x v="57"/>
  </r>
  <r>
    <s v="KOPERSKI Filip"/>
    <x v="1"/>
    <s v="KS AZS AWF Kraków"/>
    <n v="3"/>
    <x v="3"/>
    <x v="0"/>
    <x v="60"/>
  </r>
  <r>
    <s v="KOPERSKI Filip"/>
    <x v="1"/>
    <s v="KS AZS AWF Kraków"/>
    <n v="3"/>
    <x v="3"/>
    <x v="1"/>
    <x v="61"/>
  </r>
  <r>
    <s v="KOPERSKI Filip"/>
    <x v="1"/>
    <s v="KS AZS AWF Kraków"/>
    <n v="3"/>
    <x v="3"/>
    <x v="2"/>
    <x v="62"/>
  </r>
  <r>
    <s v="KOPERSKI Filip"/>
    <x v="1"/>
    <s v="KS AZS AWF Kraków"/>
    <n v="3"/>
    <x v="4"/>
    <x v="0"/>
    <x v="115"/>
  </r>
  <r>
    <s v="KOPERSKI Filip"/>
    <x v="1"/>
    <s v="KS AZS AWF Kraków"/>
    <n v="3"/>
    <x v="4"/>
    <x v="1"/>
    <x v="116"/>
  </r>
  <r>
    <s v="KOPERSKI Filip"/>
    <x v="1"/>
    <s v="KS AZS AWF Kraków"/>
    <n v="3"/>
    <x v="4"/>
    <x v="2"/>
    <x v="117"/>
  </r>
  <r>
    <s v="KOPERSKI Filip"/>
    <x v="1"/>
    <s v="KS AZS AWF Kraków"/>
    <n v="3"/>
    <x v="5"/>
    <x v="0"/>
    <x v="60"/>
  </r>
  <r>
    <s v="KOPERSKI Filip"/>
    <x v="1"/>
    <s v="KS AZS AWF Kraków"/>
    <n v="3"/>
    <x v="5"/>
    <x v="1"/>
    <x v="118"/>
  </r>
  <r>
    <s v="KOPERSKI Filip"/>
    <x v="1"/>
    <s v="KS AZS AWF Kraków"/>
    <n v="3"/>
    <x v="5"/>
    <x v="2"/>
    <x v="119"/>
  </r>
  <r>
    <s v="CHRUŚCIEL Szymon"/>
    <x v="0"/>
    <s v="KS AZS AWF Kraków"/>
    <n v="4"/>
    <x v="0"/>
    <x v="0"/>
    <x v="79"/>
  </r>
  <r>
    <s v="CHRUŚCIEL Szymon"/>
    <x v="0"/>
    <s v="KS AZS AWF Kraków"/>
    <n v="4"/>
    <x v="0"/>
    <x v="1"/>
    <x v="91"/>
  </r>
  <r>
    <s v="CHRUŚCIEL Szymon"/>
    <x v="0"/>
    <s v="KS AZS AWF Kraków"/>
    <n v="4"/>
    <x v="0"/>
    <x v="2"/>
    <x v="84"/>
  </r>
  <r>
    <s v="CHRUŚCIEL Szymon"/>
    <x v="0"/>
    <s v="KS AZS AWF Kraków"/>
    <n v="4"/>
    <x v="1"/>
    <x v="0"/>
    <x v="60"/>
  </r>
  <r>
    <s v="CHRUŚCIEL Szymon"/>
    <x v="0"/>
    <s v="KS AZS AWF Kraków"/>
    <n v="4"/>
    <x v="1"/>
    <x v="1"/>
    <x v="56"/>
  </r>
  <r>
    <s v="CHRUŚCIEL Szymon"/>
    <x v="0"/>
    <s v="KS AZS AWF Kraków"/>
    <n v="4"/>
    <x v="1"/>
    <x v="2"/>
    <x v="120"/>
  </r>
  <r>
    <s v="CHRUŚCIEL Szymon"/>
    <x v="0"/>
    <s v="KS AZS AWF Kraków"/>
    <n v="4"/>
    <x v="2"/>
    <x v="0"/>
    <x v="121"/>
  </r>
  <r>
    <s v="CHRUŚCIEL Szymon"/>
    <x v="0"/>
    <s v="KS AZS AWF Kraków"/>
    <n v="4"/>
    <x v="2"/>
    <x v="1"/>
    <x v="122"/>
  </r>
  <r>
    <s v="CHRUŚCIEL Szymon"/>
    <x v="0"/>
    <s v="KS AZS AWF Kraków"/>
    <n v="4"/>
    <x v="2"/>
    <x v="2"/>
    <x v="123"/>
  </r>
  <r>
    <s v="CHRUŚCIEL Szymon"/>
    <x v="0"/>
    <s v="KS AZS AWF Kraków"/>
    <n v="4"/>
    <x v="3"/>
    <x v="0"/>
    <x v="124"/>
  </r>
  <r>
    <s v="CHRUŚCIEL Szymon"/>
    <x v="0"/>
    <s v="KS AZS AWF Kraków"/>
    <n v="4"/>
    <x v="3"/>
    <x v="1"/>
    <x v="56"/>
  </r>
  <r>
    <s v="CHRUŚCIEL Szymon"/>
    <x v="0"/>
    <s v="KS AZS AWF Kraków"/>
    <n v="4"/>
    <x v="3"/>
    <x v="2"/>
    <x v="106"/>
  </r>
  <r>
    <s v="CHRUŚCIEL Szymon"/>
    <x v="0"/>
    <s v="KS AZS AWF Kraków"/>
    <n v="4"/>
    <x v="4"/>
    <x v="0"/>
    <x v="125"/>
  </r>
  <r>
    <s v="CHRUŚCIEL Szymon"/>
    <x v="0"/>
    <s v="KS AZS AWF Kraków"/>
    <n v="4"/>
    <x v="4"/>
    <x v="1"/>
    <x v="116"/>
  </r>
  <r>
    <s v="CHRUŚCIEL Szymon"/>
    <x v="0"/>
    <s v="KS AZS AWF Kraków"/>
    <n v="4"/>
    <x v="4"/>
    <x v="2"/>
    <x v="126"/>
  </r>
  <r>
    <s v="CHRUŚCIEL Szymon"/>
    <x v="0"/>
    <s v="KS AZS AWF Kraków"/>
    <n v="4"/>
    <x v="5"/>
    <x v="0"/>
    <x v="127"/>
  </r>
  <r>
    <s v="CHRUŚCIEL Szymon"/>
    <x v="0"/>
    <s v="KS AZS AWF Kraków"/>
    <n v="4"/>
    <x v="5"/>
    <x v="1"/>
    <x v="118"/>
  </r>
  <r>
    <s v="CHRUŚCIEL Szymon"/>
    <x v="0"/>
    <s v="KS AZS AWF Kraków"/>
    <n v="4"/>
    <x v="5"/>
    <x v="2"/>
    <x v="128"/>
  </r>
  <r>
    <s v="CZARNECKI Aleksander"/>
    <x v="1"/>
    <s v="MKS Kusy Szczecin"/>
    <n v="3"/>
    <x v="0"/>
    <x v="0"/>
    <x v="98"/>
  </r>
  <r>
    <s v="CZARNECKI Aleksander"/>
    <x v="1"/>
    <s v="MKS Kusy Szczecin"/>
    <n v="3"/>
    <x v="0"/>
    <x v="1"/>
    <x v="129"/>
  </r>
  <r>
    <s v="CZARNECKI Aleksander"/>
    <x v="1"/>
    <s v="MKS Kusy Szczecin"/>
    <n v="3"/>
    <x v="0"/>
    <x v="2"/>
    <x v="130"/>
  </r>
  <r>
    <s v="CZARNECKI Aleksander"/>
    <x v="1"/>
    <s v="MKS Kusy Szczecin"/>
    <n v="3"/>
    <x v="1"/>
    <x v="0"/>
    <x v="121"/>
  </r>
  <r>
    <s v="CZARNECKI Aleksander"/>
    <x v="1"/>
    <s v="MKS Kusy Szczecin"/>
    <n v="3"/>
    <x v="1"/>
    <x v="1"/>
    <x v="4"/>
  </r>
  <r>
    <s v="CZARNECKI Aleksander"/>
    <x v="1"/>
    <s v="MKS Kusy Szczecin"/>
    <n v="3"/>
    <x v="1"/>
    <x v="2"/>
    <x v="9"/>
  </r>
  <r>
    <s v="CZARNECKI Aleksander"/>
    <x v="1"/>
    <s v="MKS Kusy Szczecin"/>
    <n v="3"/>
    <x v="2"/>
    <x v="0"/>
    <x v="0"/>
  </r>
  <r>
    <s v="CZARNECKI Aleksander"/>
    <x v="1"/>
    <s v="MKS Kusy Szczecin"/>
    <n v="3"/>
    <x v="2"/>
    <x v="1"/>
    <x v="0"/>
  </r>
  <r>
    <s v="CZARNECKI Aleksander"/>
    <x v="1"/>
    <s v="MKS Kusy Szczecin"/>
    <n v="3"/>
    <x v="2"/>
    <x v="2"/>
    <x v="0"/>
  </r>
  <r>
    <s v="CZARNECKI Aleksander"/>
    <x v="1"/>
    <s v="MKS Kusy Szczecin"/>
    <n v="3"/>
    <x v="3"/>
    <x v="0"/>
    <x v="131"/>
  </r>
  <r>
    <s v="CZARNECKI Aleksander"/>
    <x v="1"/>
    <s v="MKS Kusy Szczecin"/>
    <n v="3"/>
    <x v="3"/>
    <x v="1"/>
    <x v="132"/>
  </r>
  <r>
    <s v="CZARNECKI Aleksander"/>
    <x v="1"/>
    <s v="MKS Kusy Szczecin"/>
    <n v="3"/>
    <x v="3"/>
    <x v="2"/>
    <x v="133"/>
  </r>
  <r>
    <s v="CZARNECKI Aleksander"/>
    <x v="1"/>
    <s v="MKS Kusy Szczecin"/>
    <n v="3"/>
    <x v="4"/>
    <x v="0"/>
    <x v="80"/>
  </r>
  <r>
    <s v="CZARNECKI Aleksander"/>
    <x v="1"/>
    <s v="MKS Kusy Szczecin"/>
    <n v="3"/>
    <x v="4"/>
    <x v="1"/>
    <x v="134"/>
  </r>
  <r>
    <s v="CZARNECKI Aleksander"/>
    <x v="1"/>
    <s v="MKS Kusy Szczecin"/>
    <n v="3"/>
    <x v="4"/>
    <x v="2"/>
    <x v="135"/>
  </r>
  <r>
    <s v="CZARNECKI Aleksander"/>
    <x v="1"/>
    <s v="MKS Kusy Szczecin"/>
    <n v="3"/>
    <x v="5"/>
    <x v="0"/>
    <x v="98"/>
  </r>
  <r>
    <s v="CZARNECKI Aleksander"/>
    <x v="1"/>
    <s v="MKS Kusy Szczecin"/>
    <n v="3"/>
    <x v="5"/>
    <x v="1"/>
    <x v="136"/>
  </r>
  <r>
    <s v="CZARNECKI Aleksander"/>
    <x v="1"/>
    <s v="MKS Kusy Szczecin"/>
    <n v="3"/>
    <x v="5"/>
    <x v="2"/>
    <x v="137"/>
  </r>
  <r>
    <s v="LUDYNIA Marceli"/>
    <x v="0"/>
    <s v="KS AZS AWF Katowice"/>
    <n v="4"/>
    <x v="0"/>
    <x v="0"/>
    <x v="138"/>
  </r>
  <r>
    <s v="LUDYNIA Marceli"/>
    <x v="0"/>
    <s v="KS AZS AWF Katowice"/>
    <n v="4"/>
    <x v="0"/>
    <x v="1"/>
    <x v="71"/>
  </r>
  <r>
    <s v="LUDYNIA Marceli"/>
    <x v="0"/>
    <s v="KS AZS AWF Katowice"/>
    <n v="4"/>
    <x v="0"/>
    <x v="2"/>
    <x v="106"/>
  </r>
  <r>
    <s v="LUDYNIA Marceli"/>
    <x v="0"/>
    <s v="KS AZS AWF Katowice"/>
    <n v="4"/>
    <x v="1"/>
    <x v="0"/>
    <x v="139"/>
  </r>
  <r>
    <s v="LUDYNIA Marceli"/>
    <x v="0"/>
    <s v="KS AZS AWF Katowice"/>
    <n v="4"/>
    <x v="1"/>
    <x v="1"/>
    <x v="140"/>
  </r>
  <r>
    <s v="LUDYNIA Marceli"/>
    <x v="0"/>
    <s v="KS AZS AWF Katowice"/>
    <n v="4"/>
    <x v="1"/>
    <x v="2"/>
    <x v="141"/>
  </r>
  <r>
    <s v="LUDYNIA Marceli"/>
    <x v="0"/>
    <s v="KS AZS AWF Katowice"/>
    <n v="4"/>
    <x v="2"/>
    <x v="0"/>
    <x v="6"/>
  </r>
  <r>
    <s v="LUDYNIA Marceli"/>
    <x v="0"/>
    <s v="KS AZS AWF Katowice"/>
    <n v="4"/>
    <x v="2"/>
    <x v="1"/>
    <x v="105"/>
  </r>
  <r>
    <s v="LUDYNIA Marceli"/>
    <x v="0"/>
    <s v="KS AZS AWF Katowice"/>
    <n v="4"/>
    <x v="2"/>
    <x v="2"/>
    <x v="142"/>
  </r>
  <r>
    <s v="LUDYNIA Marceli"/>
    <x v="0"/>
    <s v="KS AZS AWF Katowice"/>
    <n v="4"/>
    <x v="3"/>
    <x v="0"/>
    <x v="138"/>
  </r>
  <r>
    <s v="LUDYNIA Marceli"/>
    <x v="0"/>
    <s v="KS AZS AWF Katowice"/>
    <n v="4"/>
    <x v="3"/>
    <x v="1"/>
    <x v="69"/>
  </r>
  <r>
    <s v="LUDYNIA Marceli"/>
    <x v="0"/>
    <s v="KS AZS AWF Katowice"/>
    <n v="4"/>
    <x v="3"/>
    <x v="2"/>
    <x v="125"/>
  </r>
  <r>
    <s v="LUDYNIA Marceli"/>
    <x v="0"/>
    <s v="KS AZS AWF Katowice"/>
    <n v="4"/>
    <x v="4"/>
    <x v="0"/>
    <x v="47"/>
  </r>
  <r>
    <s v="LUDYNIA Marceli"/>
    <x v="0"/>
    <s v="KS AZS AWF Katowice"/>
    <n v="4"/>
    <x v="4"/>
    <x v="1"/>
    <x v="37"/>
  </r>
  <r>
    <s v="LUDYNIA Marceli"/>
    <x v="0"/>
    <s v="KS AZS AWF Katowice"/>
    <n v="4"/>
    <x v="4"/>
    <x v="2"/>
    <x v="143"/>
  </r>
  <r>
    <s v="LUDYNIA Marceli"/>
    <x v="0"/>
    <s v="KS AZS AWF Katowice"/>
    <n v="4"/>
    <x v="5"/>
    <x v="0"/>
    <x v="144"/>
  </r>
  <r>
    <s v="LUDYNIA Marceli"/>
    <x v="0"/>
    <s v="KS AZS AWF Katowice"/>
    <n v="4"/>
    <x v="5"/>
    <x v="1"/>
    <x v="40"/>
  </r>
  <r>
    <s v="LUDYNIA Marceli"/>
    <x v="0"/>
    <s v="KS AZS AWF Katowice"/>
    <n v="4"/>
    <x v="5"/>
    <x v="2"/>
    <x v="145"/>
  </r>
  <r>
    <s v="JANKOWSKI Dominik"/>
    <x v="1"/>
    <s v="MKS Gdańsk"/>
    <n v="4"/>
    <x v="0"/>
    <x v="0"/>
    <x v="146"/>
  </r>
  <r>
    <s v="JANKOWSKI Dominik"/>
    <x v="1"/>
    <s v="MKS Gdańsk"/>
    <n v="4"/>
    <x v="0"/>
    <x v="1"/>
    <x v="80"/>
  </r>
  <r>
    <s v="JANKOWSKI Dominik"/>
    <x v="1"/>
    <s v="MKS Gdańsk"/>
    <n v="4"/>
    <x v="0"/>
    <x v="2"/>
    <x v="115"/>
  </r>
  <r>
    <s v="JANKOWSKI Dominik"/>
    <x v="1"/>
    <s v="MKS Gdańsk"/>
    <n v="4"/>
    <x v="1"/>
    <x v="0"/>
    <x v="146"/>
  </r>
  <r>
    <s v="JANKOWSKI Dominik"/>
    <x v="1"/>
    <s v="MKS Gdańsk"/>
    <n v="4"/>
    <x v="1"/>
    <x v="1"/>
    <x v="45"/>
  </r>
  <r>
    <s v="JANKOWSKI Dominik"/>
    <x v="1"/>
    <s v="MKS Gdańsk"/>
    <n v="4"/>
    <x v="1"/>
    <x v="2"/>
    <x v="43"/>
  </r>
  <r>
    <s v="JANKOWSKI Dominik"/>
    <x v="1"/>
    <s v="MKS Gdańsk"/>
    <n v="4"/>
    <x v="2"/>
    <x v="0"/>
    <x v="146"/>
  </r>
  <r>
    <s v="JANKOWSKI Dominik"/>
    <x v="1"/>
    <s v="MKS Gdańsk"/>
    <n v="4"/>
    <x v="2"/>
    <x v="1"/>
    <x v="59"/>
  </r>
  <r>
    <s v="JANKOWSKI Dominik"/>
    <x v="1"/>
    <s v="MKS Gdańsk"/>
    <n v="4"/>
    <x v="2"/>
    <x v="2"/>
    <x v="147"/>
  </r>
  <r>
    <s v="JANKOWSKI Dominik"/>
    <x v="1"/>
    <s v="MKS Gdańsk"/>
    <n v="4"/>
    <x v="3"/>
    <x v="0"/>
    <x v="148"/>
  </r>
  <r>
    <s v="JANKOWSKI Dominik"/>
    <x v="1"/>
    <s v="MKS Gdańsk"/>
    <n v="4"/>
    <x v="3"/>
    <x v="1"/>
    <x v="45"/>
  </r>
  <r>
    <s v="JANKOWSKI Dominik"/>
    <x v="1"/>
    <s v="MKS Gdańsk"/>
    <n v="4"/>
    <x v="3"/>
    <x v="2"/>
    <x v="142"/>
  </r>
  <r>
    <s v="JANKOWSKI Dominik"/>
    <x v="1"/>
    <s v="MKS Gdańsk"/>
    <n v="4"/>
    <x v="4"/>
    <x v="0"/>
    <x v="149"/>
  </r>
  <r>
    <s v="JANKOWSKI Dominik"/>
    <x v="1"/>
    <s v="MKS Gdańsk"/>
    <n v="4"/>
    <x v="4"/>
    <x v="1"/>
    <x v="150"/>
  </r>
  <r>
    <s v="JANKOWSKI Dominik"/>
    <x v="1"/>
    <s v="MKS Gdańsk"/>
    <n v="4"/>
    <x v="4"/>
    <x v="2"/>
    <x v="151"/>
  </r>
  <r>
    <s v="JANKOWSKI Dominik"/>
    <x v="1"/>
    <s v="MKS Gdańsk"/>
    <n v="4"/>
    <x v="5"/>
    <x v="0"/>
    <x v="146"/>
  </r>
  <r>
    <s v="JANKOWSKI Dominik"/>
    <x v="1"/>
    <s v="MKS Gdańsk"/>
    <n v="4"/>
    <x v="5"/>
    <x v="1"/>
    <x v="152"/>
  </r>
  <r>
    <s v="JANKOWSKI Dominik"/>
    <x v="1"/>
    <s v="MKS Gdańsk"/>
    <n v="4"/>
    <x v="5"/>
    <x v="2"/>
    <x v="153"/>
  </r>
  <r>
    <s v="KORBIEL Franciszek"/>
    <x v="1"/>
    <s v="KS AZS AWF Kraków"/>
    <n v="4"/>
    <x v="0"/>
    <x v="0"/>
    <x v="131"/>
  </r>
  <r>
    <s v="KORBIEL Franciszek"/>
    <x v="1"/>
    <s v="KS AZS AWF Kraków"/>
    <n v="4"/>
    <x v="0"/>
    <x v="1"/>
    <x v="56"/>
  </r>
  <r>
    <s v="KORBIEL Franciszek"/>
    <x v="1"/>
    <s v="KS AZS AWF Kraków"/>
    <n v="4"/>
    <x v="0"/>
    <x v="2"/>
    <x v="154"/>
  </r>
  <r>
    <s v="KORBIEL Franciszek"/>
    <x v="1"/>
    <s v="KS AZS AWF Kraków"/>
    <n v="4"/>
    <x v="1"/>
    <x v="0"/>
    <x v="155"/>
  </r>
  <r>
    <s v="KORBIEL Franciszek"/>
    <x v="1"/>
    <s v="KS AZS AWF Kraków"/>
    <n v="4"/>
    <x v="1"/>
    <x v="1"/>
    <x v="23"/>
  </r>
  <r>
    <s v="KORBIEL Franciszek"/>
    <x v="1"/>
    <s v="KS AZS AWF Kraków"/>
    <n v="4"/>
    <x v="1"/>
    <x v="2"/>
    <x v="9"/>
  </r>
  <r>
    <s v="KORBIEL Franciszek"/>
    <x v="1"/>
    <s v="KS AZS AWF Kraków"/>
    <n v="4"/>
    <x v="2"/>
    <x v="0"/>
    <x v="131"/>
  </r>
  <r>
    <s v="KORBIEL Franciszek"/>
    <x v="1"/>
    <s v="KS AZS AWF Kraków"/>
    <n v="4"/>
    <x v="2"/>
    <x v="1"/>
    <x v="156"/>
  </r>
  <r>
    <s v="KORBIEL Franciszek"/>
    <x v="1"/>
    <s v="KS AZS AWF Kraków"/>
    <n v="4"/>
    <x v="2"/>
    <x v="2"/>
    <x v="157"/>
  </r>
  <r>
    <s v="KORBIEL Franciszek"/>
    <x v="1"/>
    <s v="KS AZS AWF Kraków"/>
    <n v="4"/>
    <x v="3"/>
    <x v="0"/>
    <x v="131"/>
  </r>
  <r>
    <s v="KORBIEL Franciszek"/>
    <x v="1"/>
    <s v="KS AZS AWF Kraków"/>
    <n v="4"/>
    <x v="3"/>
    <x v="1"/>
    <x v="80"/>
  </r>
  <r>
    <s v="KORBIEL Franciszek"/>
    <x v="1"/>
    <s v="KS AZS AWF Kraków"/>
    <n v="4"/>
    <x v="3"/>
    <x v="2"/>
    <x v="125"/>
  </r>
  <r>
    <s v="KORBIEL Franciszek"/>
    <x v="1"/>
    <s v="KS AZS AWF Kraków"/>
    <n v="4"/>
    <x v="4"/>
    <x v="0"/>
    <x v="158"/>
  </r>
  <r>
    <s v="KORBIEL Franciszek"/>
    <x v="1"/>
    <s v="KS AZS AWF Kraków"/>
    <n v="4"/>
    <x v="4"/>
    <x v="1"/>
    <x v="94"/>
  </r>
  <r>
    <s v="KORBIEL Franciszek"/>
    <x v="1"/>
    <s v="KS AZS AWF Kraków"/>
    <n v="4"/>
    <x v="4"/>
    <x v="2"/>
    <x v="159"/>
  </r>
  <r>
    <s v="KORBIEL Franciszek"/>
    <x v="1"/>
    <s v="KS AZS AWF Kraków"/>
    <n v="4"/>
    <x v="5"/>
    <x v="0"/>
    <x v="160"/>
  </r>
  <r>
    <s v="KORBIEL Franciszek"/>
    <x v="1"/>
    <s v="KS AZS AWF Kraków"/>
    <n v="4"/>
    <x v="5"/>
    <x v="1"/>
    <x v="71"/>
  </r>
  <r>
    <s v="KORBIEL Franciszek"/>
    <x v="1"/>
    <s v="KS AZS AWF Kraków"/>
    <n v="4"/>
    <x v="5"/>
    <x v="2"/>
    <x v="161"/>
  </r>
  <r>
    <s v="KOŁODZIEJCZYK Karol"/>
    <x v="1"/>
    <s v="KS AZS AWF Kraków"/>
    <n v="4"/>
    <x v="0"/>
    <x v="0"/>
    <x v="131"/>
  </r>
  <r>
    <s v="KOŁODZIEJCZYK Karol"/>
    <x v="1"/>
    <s v="KS AZS AWF Kraków"/>
    <n v="4"/>
    <x v="0"/>
    <x v="1"/>
    <x v="56"/>
  </r>
  <r>
    <s v="KOŁODZIEJCZYK Karol"/>
    <x v="1"/>
    <s v="KS AZS AWF Kraków"/>
    <n v="4"/>
    <x v="0"/>
    <x v="2"/>
    <x v="154"/>
  </r>
  <r>
    <s v="KOŁODZIEJCZYK Karol"/>
    <x v="1"/>
    <s v="KS AZS AWF Kraków"/>
    <n v="4"/>
    <x v="1"/>
    <x v="0"/>
    <x v="162"/>
  </r>
  <r>
    <s v="KOŁODZIEJCZYK Karol"/>
    <x v="1"/>
    <s v="KS AZS AWF Kraków"/>
    <n v="4"/>
    <x v="1"/>
    <x v="1"/>
    <x v="59"/>
  </r>
  <r>
    <s v="KOŁODZIEJCZYK Karol"/>
    <x v="1"/>
    <s v="KS AZS AWF Kraków"/>
    <n v="4"/>
    <x v="1"/>
    <x v="2"/>
    <x v="163"/>
  </r>
  <r>
    <s v="KOŁODZIEJCZYK Karol"/>
    <x v="1"/>
    <s v="KS AZS AWF Kraków"/>
    <n v="4"/>
    <x v="2"/>
    <x v="0"/>
    <x v="131"/>
  </r>
  <r>
    <s v="KOŁODZIEJCZYK Karol"/>
    <x v="1"/>
    <s v="KS AZS AWF Kraków"/>
    <n v="4"/>
    <x v="2"/>
    <x v="1"/>
    <x v="45"/>
  </r>
  <r>
    <s v="KOŁODZIEJCZYK Karol"/>
    <x v="1"/>
    <s v="KS AZS AWF Kraków"/>
    <n v="4"/>
    <x v="2"/>
    <x v="2"/>
    <x v="115"/>
  </r>
  <r>
    <s v="KOŁODZIEJCZYK Karol"/>
    <x v="1"/>
    <s v="KS AZS AWF Kraków"/>
    <n v="4"/>
    <x v="3"/>
    <x v="0"/>
    <x v="131"/>
  </r>
  <r>
    <s v="KOŁODZIEJCZYK Karol"/>
    <x v="1"/>
    <s v="KS AZS AWF Kraków"/>
    <n v="4"/>
    <x v="3"/>
    <x v="1"/>
    <x v="23"/>
  </r>
  <r>
    <s v="KOŁODZIEJCZYK Karol"/>
    <x v="1"/>
    <s v="KS AZS AWF Kraków"/>
    <n v="4"/>
    <x v="3"/>
    <x v="2"/>
    <x v="43"/>
  </r>
  <r>
    <s v="KOŁODZIEJCZYK Karol"/>
    <x v="1"/>
    <s v="KS AZS AWF Kraków"/>
    <n v="4"/>
    <x v="4"/>
    <x v="0"/>
    <x v="164"/>
  </r>
  <r>
    <s v="KOŁODZIEJCZYK Karol"/>
    <x v="1"/>
    <s v="KS AZS AWF Kraków"/>
    <n v="4"/>
    <x v="4"/>
    <x v="1"/>
    <x v="25"/>
  </r>
  <r>
    <s v="KOŁODZIEJCZYK Karol"/>
    <x v="1"/>
    <s v="KS AZS AWF Kraków"/>
    <n v="4"/>
    <x v="4"/>
    <x v="2"/>
    <x v="165"/>
  </r>
  <r>
    <s v="KOŁODZIEJCZYK Karol"/>
    <x v="1"/>
    <s v="KS AZS AWF Kraków"/>
    <n v="4"/>
    <x v="5"/>
    <x v="0"/>
    <x v="131"/>
  </r>
  <r>
    <s v="KOŁODZIEJCZYK Karol"/>
    <x v="1"/>
    <s v="KS AZS AWF Kraków"/>
    <n v="4"/>
    <x v="5"/>
    <x v="1"/>
    <x v="28"/>
  </r>
  <r>
    <s v="KOŁODZIEJCZYK Karol"/>
    <x v="1"/>
    <s v="KS AZS AWF Kraków"/>
    <n v="4"/>
    <x v="5"/>
    <x v="2"/>
    <x v="166"/>
  </r>
  <r>
    <s v="MOSKAL Błażej"/>
    <x v="1"/>
    <s v="MKS Gdańsk"/>
    <n v="4"/>
    <x v="0"/>
    <x v="0"/>
    <x v="146"/>
  </r>
  <r>
    <s v="MOSKAL Błażej"/>
    <x v="1"/>
    <s v="MKS Gdańsk"/>
    <n v="4"/>
    <x v="0"/>
    <x v="1"/>
    <x v="167"/>
  </r>
  <r>
    <s v="MOSKAL Błażej"/>
    <x v="1"/>
    <s v="MKS Gdańsk"/>
    <n v="4"/>
    <x v="0"/>
    <x v="2"/>
    <x v="168"/>
  </r>
  <r>
    <s v="MOSKAL Błażej"/>
    <x v="1"/>
    <s v="MKS Gdańsk"/>
    <n v="4"/>
    <x v="1"/>
    <x v="0"/>
    <x v="139"/>
  </r>
  <r>
    <s v="MOSKAL Błażej"/>
    <x v="1"/>
    <s v="MKS Gdańsk"/>
    <n v="4"/>
    <x v="1"/>
    <x v="1"/>
    <x v="169"/>
  </r>
  <r>
    <s v="MOSKAL Błażej"/>
    <x v="1"/>
    <s v="MKS Gdańsk"/>
    <n v="4"/>
    <x v="1"/>
    <x v="2"/>
    <x v="107"/>
  </r>
  <r>
    <s v="MOSKAL Błażej"/>
    <x v="1"/>
    <s v="MKS Gdańsk"/>
    <n v="4"/>
    <x v="2"/>
    <x v="0"/>
    <x v="139"/>
  </r>
  <r>
    <s v="MOSKAL Błażej"/>
    <x v="1"/>
    <s v="MKS Gdańsk"/>
    <n v="4"/>
    <x v="2"/>
    <x v="1"/>
    <x v="170"/>
  </r>
  <r>
    <s v="MOSKAL Błażej"/>
    <x v="1"/>
    <s v="MKS Gdańsk"/>
    <n v="4"/>
    <x v="2"/>
    <x v="2"/>
    <x v="157"/>
  </r>
  <r>
    <s v="MOSKAL Błażej"/>
    <x v="1"/>
    <s v="MKS Gdańsk"/>
    <n v="4"/>
    <x v="3"/>
    <x v="0"/>
    <x v="171"/>
  </r>
  <r>
    <s v="MOSKAL Błażej"/>
    <x v="1"/>
    <s v="MKS Gdańsk"/>
    <n v="4"/>
    <x v="3"/>
    <x v="1"/>
    <x v="158"/>
  </r>
  <r>
    <s v="MOSKAL Błażej"/>
    <x v="1"/>
    <s v="MKS Gdańsk"/>
    <n v="4"/>
    <x v="3"/>
    <x v="2"/>
    <x v="172"/>
  </r>
  <r>
    <s v="MOSKAL Błażej"/>
    <x v="1"/>
    <s v="MKS Gdańsk"/>
    <n v="4"/>
    <x v="4"/>
    <x v="0"/>
    <x v="69"/>
  </r>
  <r>
    <s v="MOSKAL Błażej"/>
    <x v="1"/>
    <s v="MKS Gdańsk"/>
    <n v="4"/>
    <x v="4"/>
    <x v="1"/>
    <x v="173"/>
  </r>
  <r>
    <s v="MOSKAL Błażej"/>
    <x v="1"/>
    <s v="MKS Gdańsk"/>
    <n v="4"/>
    <x v="4"/>
    <x v="2"/>
    <x v="174"/>
  </r>
  <r>
    <s v="MOSKAL Błażej"/>
    <x v="1"/>
    <s v="MKS Gdańsk"/>
    <n v="4"/>
    <x v="5"/>
    <x v="0"/>
    <x v="175"/>
  </r>
  <r>
    <s v="MOSKAL Błażej"/>
    <x v="1"/>
    <s v="MKS Gdańsk"/>
    <n v="4"/>
    <x v="5"/>
    <x v="1"/>
    <x v="176"/>
  </r>
  <r>
    <s v="MOSKAL Błażej"/>
    <x v="1"/>
    <s v="MKS Gdańsk"/>
    <n v="4"/>
    <x v="5"/>
    <x v="2"/>
    <x v="177"/>
  </r>
  <r>
    <s v="ŻEMEŁKA Dawid"/>
    <x v="1"/>
    <s v="MKS Gdańsk"/>
    <n v="3"/>
    <x v="0"/>
    <x v="0"/>
    <x v="0"/>
  </r>
  <r>
    <s v="ŻEMEŁKA Dawid"/>
    <x v="1"/>
    <s v="MKS Gdańsk"/>
    <n v="3"/>
    <x v="0"/>
    <x v="1"/>
    <x v="0"/>
  </r>
  <r>
    <s v="ŻEMEŁKA Dawid"/>
    <x v="1"/>
    <s v="MKS Gdańsk"/>
    <n v="3"/>
    <x v="0"/>
    <x v="2"/>
    <x v="0"/>
  </r>
  <r>
    <s v="ŻEMEŁKA Dawid"/>
    <x v="1"/>
    <s v="MKS Gdańsk"/>
    <n v="3"/>
    <x v="1"/>
    <x v="0"/>
    <x v="178"/>
  </r>
  <r>
    <s v="ŻEMEŁKA Dawid"/>
    <x v="1"/>
    <s v="MKS Gdańsk"/>
    <n v="3"/>
    <x v="1"/>
    <x v="1"/>
    <x v="179"/>
  </r>
  <r>
    <s v="ŻEMEŁKA Dawid"/>
    <x v="1"/>
    <s v="MKS Gdańsk"/>
    <n v="3"/>
    <x v="1"/>
    <x v="2"/>
    <x v="180"/>
  </r>
  <r>
    <s v="ŻEMEŁKA Dawid"/>
    <x v="1"/>
    <s v="MKS Gdańsk"/>
    <n v="3"/>
    <x v="2"/>
    <x v="0"/>
    <x v="162"/>
  </r>
  <r>
    <s v="ŻEMEŁKA Dawid"/>
    <x v="1"/>
    <s v="MKS Gdańsk"/>
    <n v="3"/>
    <x v="2"/>
    <x v="1"/>
    <x v="170"/>
  </r>
  <r>
    <s v="ŻEMEŁKA Dawid"/>
    <x v="1"/>
    <s v="MKS Gdańsk"/>
    <n v="3"/>
    <x v="2"/>
    <x v="2"/>
    <x v="181"/>
  </r>
  <r>
    <s v="ŻEMEŁKA Dawid"/>
    <x v="1"/>
    <s v="MKS Gdańsk"/>
    <n v="3"/>
    <x v="3"/>
    <x v="0"/>
    <x v="178"/>
  </r>
  <r>
    <s v="ŻEMEŁKA Dawid"/>
    <x v="1"/>
    <s v="MKS Gdańsk"/>
    <n v="3"/>
    <x v="3"/>
    <x v="1"/>
    <x v="71"/>
  </r>
  <r>
    <s v="ŻEMEŁKA Dawid"/>
    <x v="1"/>
    <s v="MKS Gdańsk"/>
    <n v="3"/>
    <x v="3"/>
    <x v="2"/>
    <x v="62"/>
  </r>
  <r>
    <s v="ŻEMEŁKA Dawid"/>
    <x v="1"/>
    <s v="MKS Gdańsk"/>
    <n v="3"/>
    <x v="4"/>
    <x v="0"/>
    <x v="182"/>
  </r>
  <r>
    <s v="ŻEMEŁKA Dawid"/>
    <x v="1"/>
    <s v="MKS Gdańsk"/>
    <n v="3"/>
    <x v="4"/>
    <x v="1"/>
    <x v="183"/>
  </r>
  <r>
    <s v="ŻEMEŁKA Dawid"/>
    <x v="1"/>
    <s v="MKS Gdańsk"/>
    <n v="3"/>
    <x v="4"/>
    <x v="2"/>
    <x v="184"/>
  </r>
  <r>
    <s v="ŻEMEŁKA Dawid"/>
    <x v="1"/>
    <s v="MKS Gdańsk"/>
    <n v="3"/>
    <x v="5"/>
    <x v="0"/>
    <x v="185"/>
  </r>
  <r>
    <s v="ŻEMEŁKA Dawid"/>
    <x v="1"/>
    <s v="MKS Gdańsk"/>
    <n v="3"/>
    <x v="5"/>
    <x v="1"/>
    <x v="186"/>
  </r>
  <r>
    <s v="ŻEMEŁKA Dawid"/>
    <x v="1"/>
    <s v="MKS Gdańsk"/>
    <n v="3"/>
    <x v="5"/>
    <x v="2"/>
    <x v="187"/>
  </r>
  <r>
    <s v="IAREMCHUK Vladyslav"/>
    <x v="0"/>
    <s v="KS AZS AWF Katowice"/>
    <n v="2"/>
    <x v="0"/>
    <x v="0"/>
    <x v="0"/>
  </r>
  <r>
    <s v="IAREMCHUK Vladyslav"/>
    <x v="0"/>
    <s v="KS AZS AWF Katowice"/>
    <n v="2"/>
    <x v="0"/>
    <x v="1"/>
    <x v="0"/>
  </r>
  <r>
    <s v="IAREMCHUK Vladyslav"/>
    <x v="0"/>
    <s v="KS AZS AWF Katowice"/>
    <n v="2"/>
    <x v="0"/>
    <x v="2"/>
    <x v="0"/>
  </r>
  <r>
    <s v="IAREMCHUK Vladyslav"/>
    <x v="0"/>
    <s v="KS AZS AWF Katowice"/>
    <n v="2"/>
    <x v="1"/>
    <x v="0"/>
    <x v="15"/>
  </r>
  <r>
    <s v="IAREMCHUK Vladyslav"/>
    <x v="0"/>
    <s v="KS AZS AWF Katowice"/>
    <n v="2"/>
    <x v="1"/>
    <x v="1"/>
    <x v="4"/>
  </r>
  <r>
    <s v="IAREMCHUK Vladyslav"/>
    <x v="0"/>
    <s v="KS AZS AWF Katowice"/>
    <n v="2"/>
    <x v="1"/>
    <x v="2"/>
    <x v="188"/>
  </r>
  <r>
    <s v="IAREMCHUK Vladyslav"/>
    <x v="0"/>
    <s v="KS AZS AWF Katowice"/>
    <n v="2"/>
    <x v="2"/>
    <x v="0"/>
    <x v="22"/>
  </r>
  <r>
    <s v="IAREMCHUK Vladyslav"/>
    <x v="0"/>
    <s v="KS AZS AWF Katowice"/>
    <n v="2"/>
    <x v="2"/>
    <x v="1"/>
    <x v="180"/>
  </r>
  <r>
    <s v="IAREMCHUK Vladyslav"/>
    <x v="0"/>
    <s v="KS AZS AWF Katowice"/>
    <n v="2"/>
    <x v="2"/>
    <x v="2"/>
    <x v="188"/>
  </r>
  <r>
    <s v="IAREMCHUK Vladyslav"/>
    <x v="0"/>
    <s v="KS AZS AWF Katowice"/>
    <n v="2"/>
    <x v="3"/>
    <x v="0"/>
    <x v="0"/>
  </r>
  <r>
    <s v="IAREMCHUK Vladyslav"/>
    <x v="0"/>
    <s v="KS AZS AWF Katowice"/>
    <n v="2"/>
    <x v="3"/>
    <x v="1"/>
    <x v="0"/>
  </r>
  <r>
    <s v="IAREMCHUK Vladyslav"/>
    <x v="0"/>
    <s v="KS AZS AWF Katowice"/>
    <n v="2"/>
    <x v="3"/>
    <x v="2"/>
    <x v="0"/>
  </r>
  <r>
    <s v="IAREMCHUK Vladyslav"/>
    <x v="0"/>
    <s v="KS AZS AWF Katowice"/>
    <n v="2"/>
    <x v="4"/>
    <x v="0"/>
    <x v="189"/>
  </r>
  <r>
    <s v="IAREMCHUK Vladyslav"/>
    <x v="0"/>
    <s v="KS AZS AWF Katowice"/>
    <n v="2"/>
    <x v="4"/>
    <x v="1"/>
    <x v="190"/>
  </r>
  <r>
    <s v="IAREMCHUK Vladyslav"/>
    <x v="0"/>
    <s v="KS AZS AWF Katowice"/>
    <n v="2"/>
    <x v="4"/>
    <x v="2"/>
    <x v="191"/>
  </r>
  <r>
    <s v="IAREMCHUK Vladyslav"/>
    <x v="0"/>
    <s v="KS AZS AWF Katowice"/>
    <n v="2"/>
    <x v="5"/>
    <x v="0"/>
    <x v="0"/>
  </r>
  <r>
    <s v="IAREMCHUK Vladyslav"/>
    <x v="0"/>
    <s v="KS AZS AWF Katowice"/>
    <n v="2"/>
    <x v="5"/>
    <x v="1"/>
    <x v="0"/>
  </r>
  <r>
    <s v="IAREMCHUK Vladyslav"/>
    <x v="0"/>
    <s v="KS AZS AWF Katowice"/>
    <n v="2"/>
    <x v="5"/>
    <x v="2"/>
    <x v="0"/>
  </r>
  <r>
    <s v="GAWROŃSKI Sebastian"/>
    <x v="0"/>
    <s v="KS AZS AWF Katowice"/>
    <n v="2"/>
    <x v="0"/>
    <x v="0"/>
    <x v="0"/>
  </r>
  <r>
    <s v="GAWROŃSKI Sebastian"/>
    <x v="0"/>
    <s v="KS AZS AWF Katowice"/>
    <n v="2"/>
    <x v="0"/>
    <x v="1"/>
    <x v="0"/>
  </r>
  <r>
    <s v="GAWROŃSKI Sebastian"/>
    <x v="0"/>
    <s v="KS AZS AWF Katowice"/>
    <n v="2"/>
    <x v="0"/>
    <x v="2"/>
    <x v="0"/>
  </r>
  <r>
    <s v="GAWROŃSKI Sebastian"/>
    <x v="0"/>
    <s v="KS AZS AWF Katowice"/>
    <n v="2"/>
    <x v="1"/>
    <x v="0"/>
    <x v="0"/>
  </r>
  <r>
    <s v="GAWROŃSKI Sebastian"/>
    <x v="0"/>
    <s v="KS AZS AWF Katowice"/>
    <n v="2"/>
    <x v="1"/>
    <x v="1"/>
    <x v="0"/>
  </r>
  <r>
    <s v="GAWROŃSKI Sebastian"/>
    <x v="0"/>
    <s v="KS AZS AWF Katowice"/>
    <n v="2"/>
    <x v="1"/>
    <x v="2"/>
    <x v="0"/>
  </r>
  <r>
    <s v="GAWROŃSKI Sebastian"/>
    <x v="0"/>
    <s v="KS AZS AWF Katowice"/>
    <n v="2"/>
    <x v="2"/>
    <x v="0"/>
    <x v="192"/>
  </r>
  <r>
    <s v="GAWROŃSKI Sebastian"/>
    <x v="0"/>
    <s v="KS AZS AWF Katowice"/>
    <n v="2"/>
    <x v="2"/>
    <x v="1"/>
    <x v="4"/>
  </r>
  <r>
    <s v="GAWROŃSKI Sebastian"/>
    <x v="0"/>
    <s v="KS AZS AWF Katowice"/>
    <n v="2"/>
    <x v="2"/>
    <x v="2"/>
    <x v="193"/>
  </r>
  <r>
    <s v="GAWROŃSKI Sebastian"/>
    <x v="0"/>
    <s v="KS AZS AWF Katowice"/>
    <n v="2"/>
    <x v="3"/>
    <x v="0"/>
    <x v="194"/>
  </r>
  <r>
    <s v="GAWROŃSKI Sebastian"/>
    <x v="0"/>
    <s v="KS AZS AWF Katowice"/>
    <n v="2"/>
    <x v="3"/>
    <x v="1"/>
    <x v="195"/>
  </r>
  <r>
    <s v="GAWROŃSKI Sebastian"/>
    <x v="0"/>
    <s v="KS AZS AWF Katowice"/>
    <n v="2"/>
    <x v="3"/>
    <x v="2"/>
    <x v="196"/>
  </r>
  <r>
    <s v="GAWROŃSKI Sebastian"/>
    <x v="0"/>
    <s v="KS AZS AWF Katowice"/>
    <n v="2"/>
    <x v="4"/>
    <x v="0"/>
    <x v="43"/>
  </r>
  <r>
    <s v="GAWROŃSKI Sebastian"/>
    <x v="0"/>
    <s v="KS AZS AWF Katowice"/>
    <n v="2"/>
    <x v="4"/>
    <x v="1"/>
    <x v="197"/>
  </r>
  <r>
    <s v="GAWROŃSKI Sebastian"/>
    <x v="0"/>
    <s v="KS AZS AWF Katowice"/>
    <n v="2"/>
    <x v="4"/>
    <x v="2"/>
    <x v="198"/>
  </r>
  <r>
    <s v="GAWROŃSKI Sebastian"/>
    <x v="0"/>
    <s v="KS AZS AWF Katowice"/>
    <n v="2"/>
    <x v="5"/>
    <x v="0"/>
    <x v="0"/>
  </r>
  <r>
    <s v="GAWROŃSKI Sebastian"/>
    <x v="0"/>
    <s v="KS AZS AWF Katowice"/>
    <n v="2"/>
    <x v="5"/>
    <x v="1"/>
    <x v="0"/>
  </r>
  <r>
    <s v="GAWROŃSKI Sebastian"/>
    <x v="0"/>
    <s v="KS AZS AWF Katowice"/>
    <n v="2"/>
    <x v="5"/>
    <x v="2"/>
    <x v="0"/>
  </r>
  <r>
    <s v="JAKUBOWSKI Jakub"/>
    <x v="0"/>
    <s v="KS AZS AWFiS Gdańsk"/>
    <n v="3"/>
    <x v="0"/>
    <x v="0"/>
    <x v="49"/>
  </r>
  <r>
    <s v="JAKUBOWSKI Jakub"/>
    <x v="0"/>
    <s v="KS AZS AWFiS Gdańsk"/>
    <n v="3"/>
    <x v="0"/>
    <x v="1"/>
    <x v="199"/>
  </r>
  <r>
    <s v="JAKUBOWSKI Jakub"/>
    <x v="0"/>
    <s v="KS AZS AWFiS Gdańsk"/>
    <n v="3"/>
    <x v="0"/>
    <x v="2"/>
    <x v="115"/>
  </r>
  <r>
    <s v="JAKUBOWSKI Jakub"/>
    <x v="0"/>
    <s v="KS AZS AWFiS Gdańsk"/>
    <n v="3"/>
    <x v="1"/>
    <x v="0"/>
    <x v="98"/>
  </r>
  <r>
    <s v="JAKUBOWSKI Jakub"/>
    <x v="0"/>
    <s v="KS AZS AWFiS Gdańsk"/>
    <n v="3"/>
    <x v="1"/>
    <x v="1"/>
    <x v="155"/>
  </r>
  <r>
    <s v="JAKUBOWSKI Jakub"/>
    <x v="0"/>
    <s v="KS AZS AWFiS Gdańsk"/>
    <n v="3"/>
    <x v="1"/>
    <x v="2"/>
    <x v="200"/>
  </r>
  <r>
    <s v="JAKUBOWSKI Jakub"/>
    <x v="0"/>
    <s v="KS AZS AWFiS Gdańsk"/>
    <n v="3"/>
    <x v="2"/>
    <x v="0"/>
    <x v="0"/>
  </r>
  <r>
    <s v="JAKUBOWSKI Jakub"/>
    <x v="0"/>
    <s v="KS AZS AWFiS Gdańsk"/>
    <n v="3"/>
    <x v="2"/>
    <x v="1"/>
    <x v="0"/>
  </r>
  <r>
    <s v="JAKUBOWSKI Jakub"/>
    <x v="0"/>
    <s v="KS AZS AWFiS Gdańsk"/>
    <n v="3"/>
    <x v="2"/>
    <x v="2"/>
    <x v="0"/>
  </r>
  <r>
    <s v="JAKUBOWSKI Jakub"/>
    <x v="0"/>
    <s v="KS AZS AWFiS Gdańsk"/>
    <n v="3"/>
    <x v="3"/>
    <x v="0"/>
    <x v="138"/>
  </r>
  <r>
    <s v="JAKUBOWSKI Jakub"/>
    <x v="0"/>
    <s v="KS AZS AWFiS Gdańsk"/>
    <n v="3"/>
    <x v="3"/>
    <x v="1"/>
    <x v="61"/>
  </r>
  <r>
    <s v="JAKUBOWSKI Jakub"/>
    <x v="0"/>
    <s v="KS AZS AWFiS Gdańsk"/>
    <n v="3"/>
    <x v="3"/>
    <x v="2"/>
    <x v="201"/>
  </r>
  <r>
    <s v="JAKUBOWSKI Jakub"/>
    <x v="0"/>
    <s v="KS AZS AWFiS Gdańsk"/>
    <n v="3"/>
    <x v="4"/>
    <x v="0"/>
    <x v="189"/>
  </r>
  <r>
    <s v="JAKUBOWSKI Jakub"/>
    <x v="0"/>
    <s v="KS AZS AWFiS Gdańsk"/>
    <n v="3"/>
    <x v="4"/>
    <x v="1"/>
    <x v="202"/>
  </r>
  <r>
    <s v="JAKUBOWSKI Jakub"/>
    <x v="0"/>
    <s v="KS AZS AWFiS Gdańsk"/>
    <n v="3"/>
    <x v="4"/>
    <x v="2"/>
    <x v="203"/>
  </r>
  <r>
    <s v="JAKUBOWSKI Jakub"/>
    <x v="0"/>
    <s v="KS AZS AWFiS Gdańsk"/>
    <n v="3"/>
    <x v="5"/>
    <x v="0"/>
    <x v="204"/>
  </r>
  <r>
    <s v="JAKUBOWSKI Jakub"/>
    <x v="0"/>
    <s v="KS AZS AWFiS Gdańsk"/>
    <n v="3"/>
    <x v="5"/>
    <x v="1"/>
    <x v="205"/>
  </r>
  <r>
    <s v="JAKUBOWSKI Jakub"/>
    <x v="0"/>
    <s v="KS AZS AWFiS Gdańsk"/>
    <n v="3"/>
    <x v="5"/>
    <x v="2"/>
    <x v="206"/>
  </r>
  <r>
    <s v="WROŃSKI Filip"/>
    <x v="0"/>
    <s v="NTG Nysa"/>
    <n v="2"/>
    <x v="0"/>
    <x v="0"/>
    <x v="0"/>
  </r>
  <r>
    <s v="WROŃSKI Filip"/>
    <x v="0"/>
    <s v="NTG Nysa"/>
    <n v="2"/>
    <x v="0"/>
    <x v="1"/>
    <x v="0"/>
  </r>
  <r>
    <s v="WROŃSKI Filip"/>
    <x v="0"/>
    <s v="NTG Nysa"/>
    <n v="2"/>
    <x v="0"/>
    <x v="2"/>
    <x v="0"/>
  </r>
  <r>
    <s v="WROŃSKI Filip"/>
    <x v="0"/>
    <s v="NTG Nysa"/>
    <n v="2"/>
    <x v="1"/>
    <x v="0"/>
    <x v="18"/>
  </r>
  <r>
    <s v="WROŃSKI Filip"/>
    <x v="0"/>
    <s v="NTG Nysa"/>
    <n v="2"/>
    <x v="1"/>
    <x v="1"/>
    <x v="31"/>
  </r>
  <r>
    <s v="WROŃSKI Filip"/>
    <x v="0"/>
    <s v="NTG Nysa"/>
    <n v="2"/>
    <x v="1"/>
    <x v="2"/>
    <x v="36"/>
  </r>
  <r>
    <s v="WROŃSKI Filip"/>
    <x v="0"/>
    <s v="NTG Nysa"/>
    <n v="2"/>
    <x v="2"/>
    <x v="0"/>
    <x v="0"/>
  </r>
  <r>
    <s v="WROŃSKI Filip"/>
    <x v="0"/>
    <s v="NTG Nysa"/>
    <n v="2"/>
    <x v="2"/>
    <x v="1"/>
    <x v="0"/>
  </r>
  <r>
    <s v="WROŃSKI Filip"/>
    <x v="0"/>
    <s v="NTG Nysa"/>
    <n v="2"/>
    <x v="2"/>
    <x v="2"/>
    <x v="0"/>
  </r>
  <r>
    <s v="WROŃSKI Filip"/>
    <x v="0"/>
    <s v="NTG Nysa"/>
    <n v="2"/>
    <x v="3"/>
    <x v="0"/>
    <x v="18"/>
  </r>
  <r>
    <s v="WROŃSKI Filip"/>
    <x v="0"/>
    <s v="NTG Nysa"/>
    <n v="2"/>
    <x v="3"/>
    <x v="1"/>
    <x v="47"/>
  </r>
  <r>
    <s v="WROŃSKI Filip"/>
    <x v="0"/>
    <s v="NTG Nysa"/>
    <n v="2"/>
    <x v="3"/>
    <x v="2"/>
    <x v="48"/>
  </r>
  <r>
    <s v="WROŃSKI Filip"/>
    <x v="0"/>
    <s v="NTG Nysa"/>
    <n v="2"/>
    <x v="4"/>
    <x v="0"/>
    <x v="80"/>
  </r>
  <r>
    <s v="WROŃSKI Filip"/>
    <x v="0"/>
    <s v="NTG Nysa"/>
    <n v="2"/>
    <x v="4"/>
    <x v="1"/>
    <x v="190"/>
  </r>
  <r>
    <s v="WROŃSKI Filip"/>
    <x v="0"/>
    <s v="NTG Nysa"/>
    <n v="2"/>
    <x v="4"/>
    <x v="2"/>
    <x v="51"/>
  </r>
  <r>
    <s v="WROŃSKI Filip"/>
    <x v="0"/>
    <s v="NTG Nysa"/>
    <n v="2"/>
    <x v="5"/>
    <x v="0"/>
    <x v="0"/>
  </r>
  <r>
    <s v="WROŃSKI Filip"/>
    <x v="0"/>
    <s v="NTG Nysa"/>
    <n v="2"/>
    <x v="5"/>
    <x v="1"/>
    <x v="0"/>
  </r>
  <r>
    <s v="WROŃSKI Filip"/>
    <x v="0"/>
    <s v="NTG Nysa"/>
    <n v="2"/>
    <x v="5"/>
    <x v="2"/>
    <x v="0"/>
  </r>
  <r>
    <s v="KAŚKÓW Paweł"/>
    <x v="0"/>
    <s v="KS AZS AWFiS Gdańsk"/>
    <n v="2"/>
    <x v="0"/>
    <x v="0"/>
    <x v="58"/>
  </r>
  <r>
    <s v="KAŚKÓW Paweł"/>
    <x v="0"/>
    <s v="KS AZS AWFiS Gdańsk"/>
    <n v="2"/>
    <x v="0"/>
    <x v="1"/>
    <x v="47"/>
  </r>
  <r>
    <s v="KAŚKÓW Paweł"/>
    <x v="0"/>
    <s v="KS AZS AWFiS Gdańsk"/>
    <n v="2"/>
    <x v="0"/>
    <x v="2"/>
    <x v="8"/>
  </r>
  <r>
    <s v="KAŚKÓW Paweł"/>
    <x v="0"/>
    <s v="KS AZS AWFiS Gdańsk"/>
    <n v="2"/>
    <x v="1"/>
    <x v="0"/>
    <x v="0"/>
  </r>
  <r>
    <s v="KAŚKÓW Paweł"/>
    <x v="0"/>
    <s v="KS AZS AWFiS Gdańsk"/>
    <n v="2"/>
    <x v="1"/>
    <x v="1"/>
    <x v="0"/>
  </r>
  <r>
    <s v="KAŚKÓW Paweł"/>
    <x v="0"/>
    <s v="KS AZS AWFiS Gdańsk"/>
    <n v="2"/>
    <x v="1"/>
    <x v="2"/>
    <x v="0"/>
  </r>
  <r>
    <s v="KAŚKÓW Paweł"/>
    <x v="0"/>
    <s v="KS AZS AWFiS Gdańsk"/>
    <n v="2"/>
    <x v="2"/>
    <x v="0"/>
    <x v="58"/>
  </r>
  <r>
    <s v="KAŚKÓW Paweł"/>
    <x v="0"/>
    <s v="KS AZS AWFiS Gdańsk"/>
    <n v="2"/>
    <x v="2"/>
    <x v="1"/>
    <x v="2"/>
  </r>
  <r>
    <s v="KAŚKÓW Paweł"/>
    <x v="0"/>
    <s v="KS AZS AWFiS Gdańsk"/>
    <n v="2"/>
    <x v="2"/>
    <x v="2"/>
    <x v="21"/>
  </r>
  <r>
    <s v="KAŚKÓW Paweł"/>
    <x v="0"/>
    <s v="KS AZS AWFiS Gdańsk"/>
    <n v="2"/>
    <x v="3"/>
    <x v="0"/>
    <x v="0"/>
  </r>
  <r>
    <s v="KAŚKÓW Paweł"/>
    <x v="0"/>
    <s v="KS AZS AWFiS Gdańsk"/>
    <n v="2"/>
    <x v="3"/>
    <x v="1"/>
    <x v="0"/>
  </r>
  <r>
    <s v="KAŚKÓW Paweł"/>
    <x v="0"/>
    <s v="KS AZS AWFiS Gdańsk"/>
    <n v="2"/>
    <x v="3"/>
    <x v="2"/>
    <x v="0"/>
  </r>
  <r>
    <s v="KAŚKÓW Paweł"/>
    <x v="0"/>
    <s v="KS AZS AWFiS Gdańsk"/>
    <n v="2"/>
    <x v="4"/>
    <x v="0"/>
    <x v="158"/>
  </r>
  <r>
    <s v="KAŚKÓW Paweł"/>
    <x v="0"/>
    <s v="KS AZS AWFiS Gdańsk"/>
    <n v="2"/>
    <x v="4"/>
    <x v="1"/>
    <x v="207"/>
  </r>
  <r>
    <s v="KAŚKÓW Paweł"/>
    <x v="0"/>
    <s v="KS AZS AWFiS Gdańsk"/>
    <n v="2"/>
    <x v="4"/>
    <x v="2"/>
    <x v="208"/>
  </r>
  <r>
    <s v="KAŚKÓW Paweł"/>
    <x v="0"/>
    <s v="KS AZS AWFiS Gdańsk"/>
    <n v="2"/>
    <x v="5"/>
    <x v="0"/>
    <x v="0"/>
  </r>
  <r>
    <s v="KAŚKÓW Paweł"/>
    <x v="0"/>
    <s v="KS AZS AWFiS Gdańsk"/>
    <n v="2"/>
    <x v="5"/>
    <x v="1"/>
    <x v="0"/>
  </r>
  <r>
    <s v="KAŚKÓW Paweł"/>
    <x v="0"/>
    <s v="KS AZS AWFiS Gdańsk"/>
    <n v="2"/>
    <x v="5"/>
    <x v="2"/>
    <x v="0"/>
  </r>
  <r>
    <s v="KORNIICHUK Yehor"/>
    <x v="0"/>
    <s v="KS AZS AWFiS Gdańsk"/>
    <n v="2"/>
    <x v="0"/>
    <x v="0"/>
    <x v="0"/>
  </r>
  <r>
    <s v="KORNIICHUK Yehor"/>
    <x v="0"/>
    <s v="KS AZS AWFiS Gdańsk"/>
    <n v="2"/>
    <x v="0"/>
    <x v="1"/>
    <x v="0"/>
  </r>
  <r>
    <s v="KORNIICHUK Yehor"/>
    <x v="0"/>
    <s v="KS AZS AWFiS Gdańsk"/>
    <n v="2"/>
    <x v="0"/>
    <x v="2"/>
    <x v="0"/>
  </r>
  <r>
    <s v="KORNIICHUK Yehor"/>
    <x v="0"/>
    <s v="KS AZS AWFiS Gdańsk"/>
    <n v="2"/>
    <x v="1"/>
    <x v="0"/>
    <x v="1"/>
  </r>
  <r>
    <s v="KORNIICHUK Yehor"/>
    <x v="0"/>
    <s v="KS AZS AWFiS Gdańsk"/>
    <n v="2"/>
    <x v="1"/>
    <x v="1"/>
    <x v="158"/>
  </r>
  <r>
    <s v="KORNIICHUK Yehor"/>
    <x v="0"/>
    <s v="KS AZS AWFiS Gdańsk"/>
    <n v="2"/>
    <x v="1"/>
    <x v="2"/>
    <x v="92"/>
  </r>
  <r>
    <s v="KORNIICHUK Yehor"/>
    <x v="0"/>
    <s v="KS AZS AWFiS Gdańsk"/>
    <n v="2"/>
    <x v="2"/>
    <x v="0"/>
    <x v="1"/>
  </r>
  <r>
    <s v="KORNIICHUK Yehor"/>
    <x v="0"/>
    <s v="KS AZS AWFiS Gdańsk"/>
    <n v="2"/>
    <x v="2"/>
    <x v="1"/>
    <x v="80"/>
  </r>
  <r>
    <s v="KORNIICHUK Yehor"/>
    <x v="0"/>
    <s v="KS AZS AWFiS Gdańsk"/>
    <n v="2"/>
    <x v="2"/>
    <x v="2"/>
    <x v="196"/>
  </r>
  <r>
    <s v="KORNIICHUK Yehor"/>
    <x v="0"/>
    <s v="KS AZS AWFiS Gdańsk"/>
    <n v="2"/>
    <x v="3"/>
    <x v="0"/>
    <x v="0"/>
  </r>
  <r>
    <s v="KORNIICHUK Yehor"/>
    <x v="0"/>
    <s v="KS AZS AWFiS Gdańsk"/>
    <n v="2"/>
    <x v="3"/>
    <x v="1"/>
    <x v="0"/>
  </r>
  <r>
    <s v="KORNIICHUK Yehor"/>
    <x v="0"/>
    <s v="KS AZS AWFiS Gdańsk"/>
    <n v="2"/>
    <x v="3"/>
    <x v="2"/>
    <x v="0"/>
  </r>
  <r>
    <s v="KORNIICHUK Yehor"/>
    <x v="0"/>
    <s v="KS AZS AWFiS Gdańsk"/>
    <n v="2"/>
    <x v="4"/>
    <x v="0"/>
    <x v="47"/>
  </r>
  <r>
    <s v="KORNIICHUK Yehor"/>
    <x v="0"/>
    <s v="KS AZS AWFiS Gdańsk"/>
    <n v="2"/>
    <x v="4"/>
    <x v="1"/>
    <x v="209"/>
  </r>
  <r>
    <s v="KORNIICHUK Yehor"/>
    <x v="0"/>
    <s v="KS AZS AWFiS Gdańsk"/>
    <n v="2"/>
    <x v="4"/>
    <x v="2"/>
    <x v="134"/>
  </r>
  <r>
    <s v="KORNIICHUK Yehor"/>
    <x v="0"/>
    <s v="KS AZS AWFiS Gdańsk"/>
    <n v="2"/>
    <x v="5"/>
    <x v="0"/>
    <x v="0"/>
  </r>
  <r>
    <s v="KORNIICHUK Yehor"/>
    <x v="0"/>
    <s v="KS AZS AWFiS Gdańsk"/>
    <n v="2"/>
    <x v="5"/>
    <x v="1"/>
    <x v="0"/>
  </r>
  <r>
    <s v="KORNIICHUK Yehor"/>
    <x v="0"/>
    <s v="KS AZS AWFiS Gdańsk"/>
    <n v="2"/>
    <x v="5"/>
    <x v="2"/>
    <x v="0"/>
  </r>
  <r>
    <s v="AZUMI Vincent"/>
    <x v="1"/>
    <s v="MKS Gdańsk"/>
    <n v="2"/>
    <x v="0"/>
    <x v="0"/>
    <x v="0"/>
  </r>
  <r>
    <s v="AZUMI Vincent"/>
    <x v="1"/>
    <s v="MKS Gdańsk"/>
    <n v="2"/>
    <x v="0"/>
    <x v="1"/>
    <x v="0"/>
  </r>
  <r>
    <s v="AZUMI Vincent"/>
    <x v="1"/>
    <s v="MKS Gdańsk"/>
    <n v="2"/>
    <x v="0"/>
    <x v="2"/>
    <x v="0"/>
  </r>
  <r>
    <s v="AZUMI Vincent"/>
    <x v="1"/>
    <s v="MKS Gdańsk"/>
    <n v="2"/>
    <x v="1"/>
    <x v="0"/>
    <x v="44"/>
  </r>
  <r>
    <s v="AZUMI Vincent"/>
    <x v="1"/>
    <s v="MKS Gdańsk"/>
    <n v="2"/>
    <x v="1"/>
    <x v="1"/>
    <x v="4"/>
  </r>
  <r>
    <s v="AZUMI Vincent"/>
    <x v="1"/>
    <s v="MKS Gdańsk"/>
    <n v="2"/>
    <x v="1"/>
    <x v="2"/>
    <x v="17"/>
  </r>
  <r>
    <s v="AZUMI Vincent"/>
    <x v="1"/>
    <s v="MKS Gdańsk"/>
    <n v="2"/>
    <x v="2"/>
    <x v="0"/>
    <x v="44"/>
  </r>
  <r>
    <s v="AZUMI Vincent"/>
    <x v="1"/>
    <s v="MKS Gdańsk"/>
    <n v="2"/>
    <x v="2"/>
    <x v="1"/>
    <x v="80"/>
  </r>
  <r>
    <s v="AZUMI Vincent"/>
    <x v="1"/>
    <s v="MKS Gdańsk"/>
    <n v="2"/>
    <x v="2"/>
    <x v="2"/>
    <x v="35"/>
  </r>
  <r>
    <s v="AZUMI Vincent"/>
    <x v="1"/>
    <s v="MKS Gdańsk"/>
    <n v="2"/>
    <x v="3"/>
    <x v="0"/>
    <x v="0"/>
  </r>
  <r>
    <s v="AZUMI Vincent"/>
    <x v="1"/>
    <s v="MKS Gdańsk"/>
    <n v="2"/>
    <x v="3"/>
    <x v="1"/>
    <x v="0"/>
  </r>
  <r>
    <s v="AZUMI Vincent"/>
    <x v="1"/>
    <s v="MKS Gdańsk"/>
    <n v="2"/>
    <x v="3"/>
    <x v="2"/>
    <x v="0"/>
  </r>
  <r>
    <s v="AZUMI Vincent"/>
    <x v="1"/>
    <s v="MKS Gdańsk"/>
    <n v="2"/>
    <x v="4"/>
    <x v="0"/>
    <x v="69"/>
  </r>
  <r>
    <s v="AZUMI Vincent"/>
    <x v="1"/>
    <s v="MKS Gdańsk"/>
    <n v="2"/>
    <x v="4"/>
    <x v="1"/>
    <x v="210"/>
  </r>
  <r>
    <s v="AZUMI Vincent"/>
    <x v="1"/>
    <s v="MKS Gdańsk"/>
    <n v="2"/>
    <x v="4"/>
    <x v="2"/>
    <x v="211"/>
  </r>
  <r>
    <s v="AZUMI Vincent"/>
    <x v="1"/>
    <s v="MKS Gdańsk"/>
    <n v="2"/>
    <x v="5"/>
    <x v="0"/>
    <x v="0"/>
  </r>
  <r>
    <s v="AZUMI Vincent"/>
    <x v="1"/>
    <s v="MKS Gdańsk"/>
    <n v="2"/>
    <x v="5"/>
    <x v="1"/>
    <x v="0"/>
  </r>
  <r>
    <s v="AZUMI Vincent"/>
    <x v="1"/>
    <s v="MKS Gdańsk"/>
    <n v="2"/>
    <x v="5"/>
    <x v="2"/>
    <x v="0"/>
  </r>
  <r>
    <s v="LAKHIN Yaroslav"/>
    <x v="0"/>
    <s v="CWZS Zawisza KG Bydgoszcz"/>
    <n v="2"/>
    <x v="0"/>
    <x v="0"/>
    <x v="0"/>
  </r>
  <r>
    <s v="LAKHIN Yaroslav"/>
    <x v="0"/>
    <s v="CWZS Zawisza KG Bydgoszcz"/>
    <n v="2"/>
    <x v="0"/>
    <x v="1"/>
    <x v="0"/>
  </r>
  <r>
    <s v="LAKHIN Yaroslav"/>
    <x v="0"/>
    <s v="CWZS Zawisza KG Bydgoszcz"/>
    <n v="2"/>
    <x v="0"/>
    <x v="2"/>
    <x v="0"/>
  </r>
  <r>
    <s v="LAKHIN Yaroslav"/>
    <x v="0"/>
    <s v="CWZS Zawisza KG Bydgoszcz"/>
    <n v="2"/>
    <x v="1"/>
    <x v="0"/>
    <x v="58"/>
  </r>
  <r>
    <s v="LAKHIN Yaroslav"/>
    <x v="0"/>
    <s v="CWZS Zawisza KG Bydgoszcz"/>
    <n v="2"/>
    <x v="1"/>
    <x v="1"/>
    <x v="80"/>
  </r>
  <r>
    <s v="LAKHIN Yaroslav"/>
    <x v="0"/>
    <s v="CWZS Zawisza KG Bydgoszcz"/>
    <n v="2"/>
    <x v="1"/>
    <x v="2"/>
    <x v="46"/>
  </r>
  <r>
    <s v="LAKHIN Yaroslav"/>
    <x v="0"/>
    <s v="CWZS Zawisza KG Bydgoszcz"/>
    <n v="2"/>
    <x v="2"/>
    <x v="0"/>
    <x v="60"/>
  </r>
  <r>
    <s v="LAKHIN Yaroslav"/>
    <x v="0"/>
    <s v="CWZS Zawisza KG Bydgoszcz"/>
    <n v="2"/>
    <x v="2"/>
    <x v="1"/>
    <x v="71"/>
  </r>
  <r>
    <s v="LAKHIN Yaroslav"/>
    <x v="0"/>
    <s v="CWZS Zawisza KG Bydgoszcz"/>
    <n v="2"/>
    <x v="2"/>
    <x v="2"/>
    <x v="84"/>
  </r>
  <r>
    <s v="LAKHIN Yaroslav"/>
    <x v="0"/>
    <s v="CWZS Zawisza KG Bydgoszcz"/>
    <n v="2"/>
    <x v="3"/>
    <x v="0"/>
    <x v="0"/>
  </r>
  <r>
    <s v="LAKHIN Yaroslav"/>
    <x v="0"/>
    <s v="CWZS Zawisza KG Bydgoszcz"/>
    <n v="2"/>
    <x v="3"/>
    <x v="1"/>
    <x v="0"/>
  </r>
  <r>
    <s v="LAKHIN Yaroslav"/>
    <x v="0"/>
    <s v="CWZS Zawisza KG Bydgoszcz"/>
    <n v="2"/>
    <x v="3"/>
    <x v="2"/>
    <x v="0"/>
  </r>
  <r>
    <s v="LAKHIN Yaroslav"/>
    <x v="0"/>
    <s v="CWZS Zawisza KG Bydgoszcz"/>
    <n v="2"/>
    <x v="4"/>
    <x v="0"/>
    <x v="149"/>
  </r>
  <r>
    <s v="LAKHIN Yaroslav"/>
    <x v="0"/>
    <s v="CWZS Zawisza KG Bydgoszcz"/>
    <n v="2"/>
    <x v="4"/>
    <x v="1"/>
    <x v="212"/>
  </r>
  <r>
    <s v="LAKHIN Yaroslav"/>
    <x v="0"/>
    <s v="CWZS Zawisza KG Bydgoszcz"/>
    <n v="2"/>
    <x v="4"/>
    <x v="2"/>
    <x v="213"/>
  </r>
  <r>
    <s v="LAKHIN Yaroslav"/>
    <x v="0"/>
    <s v="CWZS Zawisza KG Bydgoszcz"/>
    <n v="2"/>
    <x v="5"/>
    <x v="0"/>
    <x v="0"/>
  </r>
  <r>
    <s v="LAKHIN Yaroslav"/>
    <x v="0"/>
    <s v="CWZS Zawisza KG Bydgoszcz"/>
    <n v="2"/>
    <x v="5"/>
    <x v="1"/>
    <x v="0"/>
  </r>
  <r>
    <s v="LAKHIN Yaroslav"/>
    <x v="0"/>
    <s v="CWZS Zawisza KG Bydgoszcz"/>
    <n v="2"/>
    <x v="5"/>
    <x v="2"/>
    <x v="0"/>
  </r>
  <r>
    <s v="MISHCHENKO Oleksandr"/>
    <x v="1"/>
    <s v="MKS Kusy Szczecin"/>
    <n v="2"/>
    <x v="0"/>
    <x v="0"/>
    <x v="121"/>
  </r>
  <r>
    <s v="MISHCHENKO Oleksandr"/>
    <x v="1"/>
    <s v="MKS Kusy Szczecin"/>
    <n v="2"/>
    <x v="0"/>
    <x v="1"/>
    <x v="23"/>
  </r>
  <r>
    <s v="MISHCHENKO Oleksandr"/>
    <x v="1"/>
    <s v="MKS Kusy Szczecin"/>
    <n v="2"/>
    <x v="0"/>
    <x v="2"/>
    <x v="133"/>
  </r>
  <r>
    <s v="MISHCHENKO Oleksandr"/>
    <x v="1"/>
    <s v="MKS Kusy Szczecin"/>
    <n v="2"/>
    <x v="1"/>
    <x v="0"/>
    <x v="0"/>
  </r>
  <r>
    <s v="MISHCHENKO Oleksandr"/>
    <x v="1"/>
    <s v="MKS Kusy Szczecin"/>
    <n v="2"/>
    <x v="1"/>
    <x v="1"/>
    <x v="0"/>
  </r>
  <r>
    <s v="MISHCHENKO Oleksandr"/>
    <x v="1"/>
    <s v="MKS Kusy Szczecin"/>
    <n v="2"/>
    <x v="1"/>
    <x v="2"/>
    <x v="0"/>
  </r>
  <r>
    <s v="MISHCHENKO Oleksandr"/>
    <x v="1"/>
    <s v="MKS Kusy Szczecin"/>
    <n v="2"/>
    <x v="2"/>
    <x v="0"/>
    <x v="0"/>
  </r>
  <r>
    <s v="MISHCHENKO Oleksandr"/>
    <x v="1"/>
    <s v="MKS Kusy Szczecin"/>
    <n v="2"/>
    <x v="2"/>
    <x v="1"/>
    <x v="0"/>
  </r>
  <r>
    <s v="MISHCHENKO Oleksandr"/>
    <x v="1"/>
    <s v="MKS Kusy Szczecin"/>
    <n v="2"/>
    <x v="2"/>
    <x v="2"/>
    <x v="0"/>
  </r>
  <r>
    <s v="MISHCHENKO Oleksandr"/>
    <x v="1"/>
    <s v="MKS Kusy Szczecin"/>
    <n v="2"/>
    <x v="3"/>
    <x v="0"/>
    <x v="171"/>
  </r>
  <r>
    <s v="MISHCHENKO Oleksandr"/>
    <x v="1"/>
    <s v="MKS Kusy Szczecin"/>
    <n v="2"/>
    <x v="3"/>
    <x v="1"/>
    <x v="71"/>
  </r>
  <r>
    <s v="MISHCHENKO Oleksandr"/>
    <x v="1"/>
    <s v="MKS Kusy Szczecin"/>
    <n v="2"/>
    <x v="3"/>
    <x v="2"/>
    <x v="142"/>
  </r>
  <r>
    <s v="MISHCHENKO Oleksandr"/>
    <x v="1"/>
    <s v="MKS Kusy Szczecin"/>
    <n v="2"/>
    <x v="4"/>
    <x v="0"/>
    <x v="214"/>
  </r>
  <r>
    <s v="MISHCHENKO Oleksandr"/>
    <x v="1"/>
    <s v="MKS Kusy Szczecin"/>
    <n v="2"/>
    <x v="4"/>
    <x v="1"/>
    <x v="202"/>
  </r>
  <r>
    <s v="MISHCHENKO Oleksandr"/>
    <x v="1"/>
    <s v="MKS Kusy Szczecin"/>
    <n v="2"/>
    <x v="4"/>
    <x v="2"/>
    <x v="215"/>
  </r>
  <r>
    <s v="MISHCHENKO Oleksandr"/>
    <x v="1"/>
    <s v="MKS Kusy Szczecin"/>
    <n v="2"/>
    <x v="5"/>
    <x v="0"/>
    <x v="0"/>
  </r>
  <r>
    <s v="MISHCHENKO Oleksandr"/>
    <x v="1"/>
    <s v="MKS Kusy Szczecin"/>
    <n v="2"/>
    <x v="5"/>
    <x v="1"/>
    <x v="0"/>
  </r>
  <r>
    <s v="MISHCHENKO Oleksandr"/>
    <x v="1"/>
    <s v="MKS Kusy Szczecin"/>
    <n v="2"/>
    <x v="5"/>
    <x v="2"/>
    <x v="0"/>
  </r>
  <r>
    <s v="PAWŁOWSKI Jakub"/>
    <x v="0"/>
    <s v="MKS Gdańsk"/>
    <n v="2"/>
    <x v="0"/>
    <x v="0"/>
    <x v="0"/>
  </r>
  <r>
    <s v="PAWŁOWSKI Jakub"/>
    <x v="0"/>
    <s v="MKS Gdańsk"/>
    <n v="2"/>
    <x v="0"/>
    <x v="1"/>
    <x v="0"/>
  </r>
  <r>
    <s v="PAWŁOWSKI Jakub"/>
    <x v="0"/>
    <s v="MKS Gdańsk"/>
    <n v="2"/>
    <x v="0"/>
    <x v="2"/>
    <x v="0"/>
  </r>
  <r>
    <s v="PAWŁOWSKI Jakub"/>
    <x v="0"/>
    <s v="MKS Gdańsk"/>
    <n v="2"/>
    <x v="1"/>
    <x v="0"/>
    <x v="58"/>
  </r>
  <r>
    <s v="PAWŁOWSKI Jakub"/>
    <x v="0"/>
    <s v="MKS Gdańsk"/>
    <n v="2"/>
    <x v="1"/>
    <x v="1"/>
    <x v="216"/>
  </r>
  <r>
    <s v="PAWŁOWSKI Jakub"/>
    <x v="0"/>
    <s v="MKS Gdańsk"/>
    <n v="2"/>
    <x v="1"/>
    <x v="2"/>
    <x v="99"/>
  </r>
  <r>
    <s v="PAWŁOWSKI Jakub"/>
    <x v="0"/>
    <s v="MKS Gdańsk"/>
    <n v="2"/>
    <x v="2"/>
    <x v="0"/>
    <x v="155"/>
  </r>
  <r>
    <s v="PAWŁOWSKI Jakub"/>
    <x v="0"/>
    <s v="MKS Gdańsk"/>
    <n v="2"/>
    <x v="2"/>
    <x v="1"/>
    <x v="217"/>
  </r>
  <r>
    <s v="PAWŁOWSKI Jakub"/>
    <x v="0"/>
    <s v="MKS Gdańsk"/>
    <n v="2"/>
    <x v="2"/>
    <x v="2"/>
    <x v="218"/>
  </r>
  <r>
    <s v="PAWŁOWSKI Jakub"/>
    <x v="0"/>
    <s v="MKS Gdańsk"/>
    <n v="2"/>
    <x v="3"/>
    <x v="0"/>
    <x v="0"/>
  </r>
  <r>
    <s v="PAWŁOWSKI Jakub"/>
    <x v="0"/>
    <s v="MKS Gdańsk"/>
    <n v="2"/>
    <x v="3"/>
    <x v="1"/>
    <x v="0"/>
  </r>
  <r>
    <s v="PAWŁOWSKI Jakub"/>
    <x v="0"/>
    <s v="MKS Gdańsk"/>
    <n v="2"/>
    <x v="3"/>
    <x v="2"/>
    <x v="0"/>
  </r>
  <r>
    <s v="PAWŁOWSKI Jakub"/>
    <x v="0"/>
    <s v="MKS Gdańsk"/>
    <n v="2"/>
    <x v="4"/>
    <x v="0"/>
    <x v="179"/>
  </r>
  <r>
    <s v="PAWŁOWSKI Jakub"/>
    <x v="0"/>
    <s v="MKS Gdańsk"/>
    <n v="2"/>
    <x v="4"/>
    <x v="1"/>
    <x v="219"/>
  </r>
  <r>
    <s v="PAWŁOWSKI Jakub"/>
    <x v="0"/>
    <s v="MKS Gdańsk"/>
    <n v="2"/>
    <x v="4"/>
    <x v="2"/>
    <x v="220"/>
  </r>
  <r>
    <s v="PAWŁOWSKI Jakub"/>
    <x v="0"/>
    <s v="MKS Gdańsk"/>
    <n v="2"/>
    <x v="5"/>
    <x v="0"/>
    <x v="0"/>
  </r>
  <r>
    <s v="PAWŁOWSKI Jakub"/>
    <x v="0"/>
    <s v="MKS Gdańsk"/>
    <n v="2"/>
    <x v="5"/>
    <x v="1"/>
    <x v="0"/>
  </r>
  <r>
    <s v="PAWŁOWSKI Jakub"/>
    <x v="0"/>
    <s v="MKS Gdańsk"/>
    <n v="2"/>
    <x v="5"/>
    <x v="2"/>
    <x v="0"/>
  </r>
  <r>
    <s v="KUZDRA Konrad"/>
    <x v="0"/>
    <s v="MKS Gdańsk"/>
    <n v="2"/>
    <x v="0"/>
    <x v="0"/>
    <x v="0"/>
  </r>
  <r>
    <s v="KUZDRA Konrad"/>
    <x v="0"/>
    <s v="MKS Gdańsk"/>
    <n v="2"/>
    <x v="0"/>
    <x v="1"/>
    <x v="0"/>
  </r>
  <r>
    <s v="KUZDRA Konrad"/>
    <x v="0"/>
    <s v="MKS Gdańsk"/>
    <n v="2"/>
    <x v="0"/>
    <x v="2"/>
    <x v="0"/>
  </r>
  <r>
    <s v="KUZDRA Konrad"/>
    <x v="0"/>
    <s v="MKS Gdańsk"/>
    <n v="2"/>
    <x v="1"/>
    <x v="0"/>
    <x v="139"/>
  </r>
  <r>
    <s v="KUZDRA Konrad"/>
    <x v="0"/>
    <s v="MKS Gdańsk"/>
    <n v="2"/>
    <x v="1"/>
    <x v="1"/>
    <x v="16"/>
  </r>
  <r>
    <s v="KUZDRA Konrad"/>
    <x v="0"/>
    <s v="MKS Gdańsk"/>
    <n v="2"/>
    <x v="1"/>
    <x v="2"/>
    <x v="221"/>
  </r>
  <r>
    <s v="KUZDRA Konrad"/>
    <x v="0"/>
    <s v="MKS Gdańsk"/>
    <n v="2"/>
    <x v="2"/>
    <x v="0"/>
    <x v="0"/>
  </r>
  <r>
    <s v="KUZDRA Konrad"/>
    <x v="0"/>
    <s v="MKS Gdańsk"/>
    <n v="2"/>
    <x v="2"/>
    <x v="1"/>
    <x v="0"/>
  </r>
  <r>
    <s v="KUZDRA Konrad"/>
    <x v="0"/>
    <s v="MKS Gdańsk"/>
    <n v="2"/>
    <x v="2"/>
    <x v="2"/>
    <x v="0"/>
  </r>
  <r>
    <s v="KUZDRA Konrad"/>
    <x v="0"/>
    <s v="MKS Gdańsk"/>
    <n v="2"/>
    <x v="3"/>
    <x v="0"/>
    <x v="171"/>
  </r>
  <r>
    <s v="KUZDRA Konrad"/>
    <x v="0"/>
    <s v="MKS Gdańsk"/>
    <n v="2"/>
    <x v="3"/>
    <x v="1"/>
    <x v="71"/>
  </r>
  <r>
    <s v="KUZDRA Konrad"/>
    <x v="0"/>
    <s v="MKS Gdańsk"/>
    <n v="2"/>
    <x v="3"/>
    <x v="2"/>
    <x v="142"/>
  </r>
  <r>
    <s v="KUZDRA Konrad"/>
    <x v="0"/>
    <s v="MKS Gdańsk"/>
    <n v="2"/>
    <x v="4"/>
    <x v="0"/>
    <x v="222"/>
  </r>
  <r>
    <s v="KUZDRA Konrad"/>
    <x v="0"/>
    <s v="MKS Gdańsk"/>
    <n v="2"/>
    <x v="4"/>
    <x v="1"/>
    <x v="223"/>
  </r>
  <r>
    <s v="KUZDRA Konrad"/>
    <x v="0"/>
    <s v="MKS Gdańsk"/>
    <n v="2"/>
    <x v="4"/>
    <x v="2"/>
    <x v="224"/>
  </r>
  <r>
    <s v="KUZDRA Konrad"/>
    <x v="0"/>
    <s v="MKS Gdańsk"/>
    <n v="2"/>
    <x v="5"/>
    <x v="0"/>
    <x v="0"/>
  </r>
  <r>
    <s v="KUZDRA Konrad"/>
    <x v="0"/>
    <s v="MKS Gdańsk"/>
    <n v="2"/>
    <x v="5"/>
    <x v="1"/>
    <x v="0"/>
  </r>
  <r>
    <s v="KUZDRA Konrad"/>
    <x v="0"/>
    <s v="MKS Gdańsk"/>
    <n v="2"/>
    <x v="5"/>
    <x v="2"/>
    <x v="0"/>
  </r>
  <r>
    <s v="HERASYMOV Mykyta"/>
    <x v="0"/>
    <s v="KS AZS AWFiS Gdańsk"/>
    <n v="2"/>
    <x v="0"/>
    <x v="0"/>
    <x v="0"/>
  </r>
  <r>
    <s v="HERASYMOV Mykyta"/>
    <x v="0"/>
    <s v="KS AZS AWFiS Gdańsk"/>
    <n v="2"/>
    <x v="0"/>
    <x v="1"/>
    <x v="0"/>
  </r>
  <r>
    <s v="HERASYMOV Mykyta"/>
    <x v="0"/>
    <s v="KS AZS AWFiS Gdańsk"/>
    <n v="2"/>
    <x v="0"/>
    <x v="2"/>
    <x v="0"/>
  </r>
  <r>
    <s v="HERASYMOV Mykyta"/>
    <x v="0"/>
    <s v="KS AZS AWFiS Gdańsk"/>
    <n v="2"/>
    <x v="1"/>
    <x v="0"/>
    <x v="121"/>
  </r>
  <r>
    <s v="HERASYMOV Mykyta"/>
    <x v="0"/>
    <s v="KS AZS AWFiS Gdańsk"/>
    <n v="2"/>
    <x v="1"/>
    <x v="1"/>
    <x v="199"/>
  </r>
  <r>
    <s v="HERASYMOV Mykyta"/>
    <x v="0"/>
    <s v="KS AZS AWFiS Gdańsk"/>
    <n v="2"/>
    <x v="1"/>
    <x v="2"/>
    <x v="154"/>
  </r>
  <r>
    <s v="HERASYMOV Mykyta"/>
    <x v="0"/>
    <s v="KS AZS AWFiS Gdańsk"/>
    <n v="2"/>
    <x v="2"/>
    <x v="0"/>
    <x v="139"/>
  </r>
  <r>
    <s v="HERASYMOV Mykyta"/>
    <x v="0"/>
    <s v="KS AZS AWFiS Gdańsk"/>
    <n v="2"/>
    <x v="2"/>
    <x v="1"/>
    <x v="225"/>
  </r>
  <r>
    <s v="HERASYMOV Mykyta"/>
    <x v="0"/>
    <s v="KS AZS AWFiS Gdańsk"/>
    <n v="2"/>
    <x v="2"/>
    <x v="2"/>
    <x v="123"/>
  </r>
  <r>
    <s v="HERASYMOV Mykyta"/>
    <x v="0"/>
    <s v="KS AZS AWFiS Gdańsk"/>
    <n v="2"/>
    <x v="3"/>
    <x v="0"/>
    <x v="0"/>
  </r>
  <r>
    <s v="HERASYMOV Mykyta"/>
    <x v="0"/>
    <s v="KS AZS AWFiS Gdańsk"/>
    <n v="2"/>
    <x v="3"/>
    <x v="1"/>
    <x v="0"/>
  </r>
  <r>
    <s v="HERASYMOV Mykyta"/>
    <x v="0"/>
    <s v="KS AZS AWFiS Gdańsk"/>
    <n v="2"/>
    <x v="3"/>
    <x v="2"/>
    <x v="0"/>
  </r>
  <r>
    <s v="HERASYMOV Mykyta"/>
    <x v="0"/>
    <s v="KS AZS AWFiS Gdańsk"/>
    <n v="2"/>
    <x v="4"/>
    <x v="0"/>
    <x v="226"/>
  </r>
  <r>
    <s v="HERASYMOV Mykyta"/>
    <x v="0"/>
    <s v="KS AZS AWFiS Gdańsk"/>
    <n v="2"/>
    <x v="4"/>
    <x v="1"/>
    <x v="227"/>
  </r>
  <r>
    <s v="HERASYMOV Mykyta"/>
    <x v="0"/>
    <s v="KS AZS AWFiS Gdańsk"/>
    <n v="2"/>
    <x v="4"/>
    <x v="2"/>
    <x v="228"/>
  </r>
  <r>
    <s v="HERASYMOV Mykyta"/>
    <x v="0"/>
    <s v="KS AZS AWFiS Gdańsk"/>
    <n v="2"/>
    <x v="5"/>
    <x v="0"/>
    <x v="0"/>
  </r>
  <r>
    <s v="HERASYMOV Mykyta"/>
    <x v="0"/>
    <s v="KS AZS AWFiS Gdańsk"/>
    <n v="2"/>
    <x v="5"/>
    <x v="1"/>
    <x v="0"/>
  </r>
  <r>
    <s v="HERASYMOV Mykyta"/>
    <x v="0"/>
    <s v="KS AZS AWFiS Gdańsk"/>
    <n v="2"/>
    <x v="5"/>
    <x v="2"/>
    <x v="0"/>
  </r>
  <r>
    <s v="ĆWIEK Tymoteusz"/>
    <x v="1"/>
    <s v="KS AZS AWF Kraków"/>
    <n v="2"/>
    <x v="0"/>
    <x v="0"/>
    <x v="121"/>
  </r>
  <r>
    <s v="ĆWIEK Tymoteusz"/>
    <x v="1"/>
    <s v="KS AZS AWF Kraków"/>
    <n v="2"/>
    <x v="0"/>
    <x v="1"/>
    <x v="199"/>
  </r>
  <r>
    <s v="ĆWIEK Tymoteusz"/>
    <x v="1"/>
    <s v="KS AZS AWF Kraków"/>
    <n v="2"/>
    <x v="0"/>
    <x v="2"/>
    <x v="154"/>
  </r>
  <r>
    <s v="ĆWIEK Tymoteusz"/>
    <x v="1"/>
    <s v="KS AZS AWF Kraków"/>
    <n v="2"/>
    <x v="1"/>
    <x v="0"/>
    <x v="0"/>
  </r>
  <r>
    <s v="ĆWIEK Tymoteusz"/>
    <x v="1"/>
    <s v="KS AZS AWF Kraków"/>
    <n v="2"/>
    <x v="1"/>
    <x v="1"/>
    <x v="0"/>
  </r>
  <r>
    <s v="ĆWIEK Tymoteusz"/>
    <x v="1"/>
    <s v="KS AZS AWF Kraków"/>
    <n v="2"/>
    <x v="1"/>
    <x v="2"/>
    <x v="0"/>
  </r>
  <r>
    <s v="ĆWIEK Tymoteusz"/>
    <x v="1"/>
    <s v="KS AZS AWF Kraków"/>
    <n v="2"/>
    <x v="2"/>
    <x v="0"/>
    <x v="229"/>
  </r>
  <r>
    <s v="ĆWIEK Tymoteusz"/>
    <x v="1"/>
    <s v="KS AZS AWF Kraków"/>
    <n v="2"/>
    <x v="2"/>
    <x v="1"/>
    <x v="179"/>
  </r>
  <r>
    <s v="ĆWIEK Tymoteusz"/>
    <x v="1"/>
    <s v="KS AZS AWF Kraków"/>
    <n v="2"/>
    <x v="2"/>
    <x v="2"/>
    <x v="132"/>
  </r>
  <r>
    <s v="ĆWIEK Tymoteusz"/>
    <x v="1"/>
    <s v="KS AZS AWF Kraków"/>
    <n v="2"/>
    <x v="3"/>
    <x v="0"/>
    <x v="0"/>
  </r>
  <r>
    <s v="ĆWIEK Tymoteusz"/>
    <x v="1"/>
    <s v="KS AZS AWF Kraków"/>
    <n v="2"/>
    <x v="3"/>
    <x v="1"/>
    <x v="0"/>
  </r>
  <r>
    <s v="ĆWIEK Tymoteusz"/>
    <x v="1"/>
    <s v="KS AZS AWF Kraków"/>
    <n v="2"/>
    <x v="3"/>
    <x v="2"/>
    <x v="0"/>
  </r>
  <r>
    <s v="ĆWIEK Tymoteusz"/>
    <x v="1"/>
    <s v="KS AZS AWF Kraków"/>
    <n v="2"/>
    <x v="4"/>
    <x v="0"/>
    <x v="222"/>
  </r>
  <r>
    <s v="ĆWIEK Tymoteusz"/>
    <x v="1"/>
    <s v="KS AZS AWF Kraków"/>
    <n v="2"/>
    <x v="4"/>
    <x v="1"/>
    <x v="230"/>
  </r>
  <r>
    <s v="ĆWIEK Tymoteusz"/>
    <x v="1"/>
    <s v="KS AZS AWF Kraków"/>
    <n v="2"/>
    <x v="4"/>
    <x v="2"/>
    <x v="231"/>
  </r>
  <r>
    <s v="ĆWIEK Tymoteusz"/>
    <x v="1"/>
    <s v="KS AZS AWF Kraków"/>
    <n v="2"/>
    <x v="5"/>
    <x v="0"/>
    <x v="0"/>
  </r>
  <r>
    <s v="ĆWIEK Tymoteusz"/>
    <x v="1"/>
    <s v="KS AZS AWF Kraków"/>
    <n v="2"/>
    <x v="5"/>
    <x v="1"/>
    <x v="0"/>
  </r>
  <r>
    <s v="ĆWIEK Tymoteusz"/>
    <x v="1"/>
    <s v="KS AZS AWF Kraków"/>
    <n v="2"/>
    <x v="5"/>
    <x v="2"/>
    <x v="0"/>
  </r>
  <r>
    <s v="SIUTA Jakub"/>
    <x v="0"/>
    <s v="KS AZS AWF Katowice"/>
    <n v="2"/>
    <x v="0"/>
    <x v="0"/>
    <x v="0"/>
  </r>
  <r>
    <s v="SIUTA Jakub"/>
    <x v="0"/>
    <s v="KS AZS AWF Katowice"/>
    <n v="2"/>
    <x v="0"/>
    <x v="1"/>
    <x v="0"/>
  </r>
  <r>
    <s v="SIUTA Jakub"/>
    <x v="0"/>
    <s v="KS AZS AWF Katowice"/>
    <n v="2"/>
    <x v="0"/>
    <x v="2"/>
    <x v="0"/>
  </r>
  <r>
    <s v="SIUTA Jakub"/>
    <x v="0"/>
    <s v="KS AZS AWF Katowice"/>
    <n v="2"/>
    <x v="1"/>
    <x v="0"/>
    <x v="98"/>
  </r>
  <r>
    <s v="SIUTA Jakub"/>
    <x v="0"/>
    <s v="KS AZS AWF Katowice"/>
    <n v="2"/>
    <x v="1"/>
    <x v="1"/>
    <x v="178"/>
  </r>
  <r>
    <s v="SIUTA Jakub"/>
    <x v="0"/>
    <s v="KS AZS AWF Katowice"/>
    <n v="2"/>
    <x v="1"/>
    <x v="2"/>
    <x v="19"/>
  </r>
  <r>
    <s v="SIUTA Jakub"/>
    <x v="0"/>
    <s v="KS AZS AWF Katowice"/>
    <n v="2"/>
    <x v="2"/>
    <x v="0"/>
    <x v="121"/>
  </r>
  <r>
    <s v="SIUTA Jakub"/>
    <x v="0"/>
    <s v="KS AZS AWF Katowice"/>
    <n v="2"/>
    <x v="2"/>
    <x v="1"/>
    <x v="232"/>
  </r>
  <r>
    <s v="SIUTA Jakub"/>
    <x v="0"/>
    <s v="KS AZS AWF Katowice"/>
    <n v="2"/>
    <x v="2"/>
    <x v="2"/>
    <x v="233"/>
  </r>
  <r>
    <s v="SIUTA Jakub"/>
    <x v="0"/>
    <s v="KS AZS AWF Katowice"/>
    <n v="2"/>
    <x v="3"/>
    <x v="0"/>
    <x v="0"/>
  </r>
  <r>
    <s v="SIUTA Jakub"/>
    <x v="0"/>
    <s v="KS AZS AWF Katowice"/>
    <n v="2"/>
    <x v="3"/>
    <x v="1"/>
    <x v="0"/>
  </r>
  <r>
    <s v="SIUTA Jakub"/>
    <x v="0"/>
    <s v="KS AZS AWF Katowice"/>
    <n v="2"/>
    <x v="3"/>
    <x v="2"/>
    <x v="0"/>
  </r>
  <r>
    <s v="SIUTA Jakub"/>
    <x v="0"/>
    <s v="KS AZS AWF Katowice"/>
    <n v="2"/>
    <x v="4"/>
    <x v="0"/>
    <x v="182"/>
  </r>
  <r>
    <s v="SIUTA Jakub"/>
    <x v="0"/>
    <s v="KS AZS AWF Katowice"/>
    <n v="2"/>
    <x v="4"/>
    <x v="1"/>
    <x v="82"/>
  </r>
  <r>
    <s v="SIUTA Jakub"/>
    <x v="0"/>
    <s v="KS AZS AWF Katowice"/>
    <n v="2"/>
    <x v="4"/>
    <x v="2"/>
    <x v="234"/>
  </r>
  <r>
    <s v="SIUTA Jakub"/>
    <x v="0"/>
    <s v="KS AZS AWF Katowice"/>
    <n v="2"/>
    <x v="5"/>
    <x v="0"/>
    <x v="0"/>
  </r>
  <r>
    <s v="SIUTA Jakub"/>
    <x v="0"/>
    <s v="KS AZS AWF Katowice"/>
    <n v="2"/>
    <x v="5"/>
    <x v="1"/>
    <x v="0"/>
  </r>
  <r>
    <s v="SIUTA Jakub"/>
    <x v="0"/>
    <s v="KS AZS AWF Katowice"/>
    <n v="2"/>
    <x v="5"/>
    <x v="2"/>
    <x v="0"/>
  </r>
  <r>
    <s v="LUKIANIENKO Illia"/>
    <x v="0"/>
    <s v="MKS Kusy Szczecin"/>
    <n v="1"/>
    <x v="0"/>
    <x v="0"/>
    <x v="0"/>
  </r>
  <r>
    <s v="LUKIANIENKO Illia"/>
    <x v="0"/>
    <s v="MKS Kusy Szczecin"/>
    <n v="1"/>
    <x v="0"/>
    <x v="1"/>
    <x v="0"/>
  </r>
  <r>
    <s v="LUKIANIENKO Illia"/>
    <x v="0"/>
    <s v="MKS Kusy Szczecin"/>
    <n v="1"/>
    <x v="0"/>
    <x v="2"/>
    <x v="0"/>
  </r>
  <r>
    <s v="LUKIANIENKO Illia"/>
    <x v="0"/>
    <s v="MKS Kusy Szczecin"/>
    <n v="1"/>
    <x v="1"/>
    <x v="0"/>
    <x v="0"/>
  </r>
  <r>
    <s v="LUKIANIENKO Illia"/>
    <x v="0"/>
    <s v="MKS Kusy Szczecin"/>
    <n v="1"/>
    <x v="1"/>
    <x v="1"/>
    <x v="0"/>
  </r>
  <r>
    <s v="LUKIANIENKO Illia"/>
    <x v="0"/>
    <s v="MKS Kusy Szczecin"/>
    <n v="1"/>
    <x v="1"/>
    <x v="2"/>
    <x v="0"/>
  </r>
  <r>
    <s v="LUKIANIENKO Illia"/>
    <x v="0"/>
    <s v="MKS Kusy Szczecin"/>
    <n v="1"/>
    <x v="2"/>
    <x v="0"/>
    <x v="30"/>
  </r>
  <r>
    <s v="LUKIANIENKO Illia"/>
    <x v="0"/>
    <s v="MKS Kusy Szczecin"/>
    <n v="1"/>
    <x v="2"/>
    <x v="1"/>
    <x v="33"/>
  </r>
  <r>
    <s v="LUKIANIENKO Illia"/>
    <x v="0"/>
    <s v="MKS Kusy Szczecin"/>
    <n v="1"/>
    <x v="2"/>
    <x v="2"/>
    <x v="34"/>
  </r>
  <r>
    <s v="LUKIANIENKO Illia"/>
    <x v="0"/>
    <s v="MKS Kusy Szczecin"/>
    <n v="1"/>
    <x v="3"/>
    <x v="0"/>
    <x v="0"/>
  </r>
  <r>
    <s v="LUKIANIENKO Illia"/>
    <x v="0"/>
    <s v="MKS Kusy Szczecin"/>
    <n v="1"/>
    <x v="3"/>
    <x v="1"/>
    <x v="0"/>
  </r>
  <r>
    <s v="LUKIANIENKO Illia"/>
    <x v="0"/>
    <s v="MKS Kusy Szczecin"/>
    <n v="1"/>
    <x v="3"/>
    <x v="2"/>
    <x v="0"/>
  </r>
  <r>
    <s v="LUKIANIENKO Illia"/>
    <x v="0"/>
    <s v="MKS Kusy Szczecin"/>
    <n v="1"/>
    <x v="4"/>
    <x v="0"/>
    <x v="30"/>
  </r>
  <r>
    <s v="LUKIANIENKO Illia"/>
    <x v="0"/>
    <s v="MKS Kusy Szczecin"/>
    <n v="1"/>
    <x v="4"/>
    <x v="1"/>
    <x v="33"/>
  </r>
  <r>
    <s v="LUKIANIENKO Illia"/>
    <x v="0"/>
    <s v="MKS Kusy Szczecin"/>
    <n v="1"/>
    <x v="4"/>
    <x v="2"/>
    <x v="34"/>
  </r>
  <r>
    <s v="LUKIANIENKO Illia"/>
    <x v="0"/>
    <s v="MKS Kusy Szczecin"/>
    <n v="1"/>
    <x v="5"/>
    <x v="0"/>
    <x v="0"/>
  </r>
  <r>
    <s v="LUKIANIENKO Illia"/>
    <x v="0"/>
    <s v="MKS Kusy Szczecin"/>
    <n v="1"/>
    <x v="5"/>
    <x v="1"/>
    <x v="0"/>
  </r>
  <r>
    <s v="LUKIANIENKO Illia"/>
    <x v="0"/>
    <s v="MKS Kusy Szczecin"/>
    <n v="1"/>
    <x v="5"/>
    <x v="2"/>
    <x v="0"/>
  </r>
  <r>
    <s v="MARCZEWSKI Stanisław"/>
    <x v="1"/>
    <s v="MKS Gdańsk"/>
    <n v="1"/>
    <x v="0"/>
    <x v="0"/>
    <x v="6"/>
  </r>
  <r>
    <s v="MARCZEWSKI Stanisław"/>
    <x v="1"/>
    <s v="MKS Gdańsk"/>
    <n v="1"/>
    <x v="0"/>
    <x v="1"/>
    <x v="4"/>
  </r>
  <r>
    <s v="MARCZEWSKI Stanisław"/>
    <x v="1"/>
    <s v="MKS Gdańsk"/>
    <n v="1"/>
    <x v="0"/>
    <x v="2"/>
    <x v="133"/>
  </r>
  <r>
    <s v="MARCZEWSKI Stanisław"/>
    <x v="1"/>
    <s v="MKS Gdańsk"/>
    <n v="1"/>
    <x v="1"/>
    <x v="0"/>
    <x v="0"/>
  </r>
  <r>
    <s v="MARCZEWSKI Stanisław"/>
    <x v="1"/>
    <s v="MKS Gdańsk"/>
    <n v="1"/>
    <x v="1"/>
    <x v="1"/>
    <x v="0"/>
  </r>
  <r>
    <s v="MARCZEWSKI Stanisław"/>
    <x v="1"/>
    <s v="MKS Gdańsk"/>
    <n v="1"/>
    <x v="1"/>
    <x v="2"/>
    <x v="0"/>
  </r>
  <r>
    <s v="MARCZEWSKI Stanisław"/>
    <x v="1"/>
    <s v="MKS Gdańsk"/>
    <n v="1"/>
    <x v="2"/>
    <x v="0"/>
    <x v="0"/>
  </r>
  <r>
    <s v="MARCZEWSKI Stanisław"/>
    <x v="1"/>
    <s v="MKS Gdańsk"/>
    <n v="1"/>
    <x v="2"/>
    <x v="1"/>
    <x v="0"/>
  </r>
  <r>
    <s v="MARCZEWSKI Stanisław"/>
    <x v="1"/>
    <s v="MKS Gdańsk"/>
    <n v="1"/>
    <x v="2"/>
    <x v="2"/>
    <x v="0"/>
  </r>
  <r>
    <s v="MARCZEWSKI Stanisław"/>
    <x v="1"/>
    <s v="MKS Gdańsk"/>
    <n v="1"/>
    <x v="3"/>
    <x v="0"/>
    <x v="0"/>
  </r>
  <r>
    <s v="MARCZEWSKI Stanisław"/>
    <x v="1"/>
    <s v="MKS Gdańsk"/>
    <n v="1"/>
    <x v="3"/>
    <x v="1"/>
    <x v="0"/>
  </r>
  <r>
    <s v="MARCZEWSKI Stanisław"/>
    <x v="1"/>
    <s v="MKS Gdańsk"/>
    <n v="1"/>
    <x v="3"/>
    <x v="2"/>
    <x v="0"/>
  </r>
  <r>
    <s v="MARCZEWSKI Stanisław"/>
    <x v="1"/>
    <s v="MKS Gdańsk"/>
    <n v="1"/>
    <x v="4"/>
    <x v="0"/>
    <x v="6"/>
  </r>
  <r>
    <s v="MARCZEWSKI Stanisław"/>
    <x v="1"/>
    <s v="MKS Gdańsk"/>
    <n v="1"/>
    <x v="4"/>
    <x v="1"/>
    <x v="4"/>
  </r>
  <r>
    <s v="MARCZEWSKI Stanisław"/>
    <x v="1"/>
    <s v="MKS Gdańsk"/>
    <n v="1"/>
    <x v="4"/>
    <x v="2"/>
    <x v="133"/>
  </r>
  <r>
    <s v="MARCZEWSKI Stanisław"/>
    <x v="1"/>
    <s v="MKS Gdańsk"/>
    <n v="1"/>
    <x v="5"/>
    <x v="0"/>
    <x v="0"/>
  </r>
  <r>
    <s v="MARCZEWSKI Stanisław"/>
    <x v="1"/>
    <s v="MKS Gdańsk"/>
    <n v="1"/>
    <x v="5"/>
    <x v="1"/>
    <x v="0"/>
  </r>
  <r>
    <s v="MARCZEWSKI Stanisław"/>
    <x v="1"/>
    <s v="MKS Gdańsk"/>
    <n v="1"/>
    <x v="5"/>
    <x v="2"/>
    <x v="0"/>
  </r>
  <r>
    <s v="NOWAK Maciej"/>
    <x v="0"/>
    <s v="KS AZS AWF Katowice"/>
    <n v="1"/>
    <x v="0"/>
    <x v="0"/>
    <x v="138"/>
  </r>
  <r>
    <s v="NOWAK Maciej"/>
    <x v="0"/>
    <s v="KS AZS AWF Katowice"/>
    <n v="1"/>
    <x v="0"/>
    <x v="1"/>
    <x v="23"/>
  </r>
  <r>
    <s v="NOWAK Maciej"/>
    <x v="0"/>
    <s v="KS AZS AWF Katowice"/>
    <n v="1"/>
    <x v="0"/>
    <x v="2"/>
    <x v="120"/>
  </r>
  <r>
    <s v="NOWAK Maciej"/>
    <x v="0"/>
    <s v="KS AZS AWF Katowice"/>
    <n v="1"/>
    <x v="1"/>
    <x v="0"/>
    <x v="0"/>
  </r>
  <r>
    <s v="NOWAK Maciej"/>
    <x v="0"/>
    <s v="KS AZS AWF Katowice"/>
    <n v="1"/>
    <x v="1"/>
    <x v="1"/>
    <x v="0"/>
  </r>
  <r>
    <s v="NOWAK Maciej"/>
    <x v="0"/>
    <s v="KS AZS AWF Katowice"/>
    <n v="1"/>
    <x v="1"/>
    <x v="2"/>
    <x v="0"/>
  </r>
  <r>
    <s v="NOWAK Maciej"/>
    <x v="0"/>
    <s v="KS AZS AWF Katowice"/>
    <n v="1"/>
    <x v="2"/>
    <x v="0"/>
    <x v="0"/>
  </r>
  <r>
    <s v="NOWAK Maciej"/>
    <x v="0"/>
    <s v="KS AZS AWF Katowice"/>
    <n v="1"/>
    <x v="2"/>
    <x v="1"/>
    <x v="0"/>
  </r>
  <r>
    <s v="NOWAK Maciej"/>
    <x v="0"/>
    <s v="KS AZS AWF Katowice"/>
    <n v="1"/>
    <x v="2"/>
    <x v="2"/>
    <x v="0"/>
  </r>
  <r>
    <s v="NOWAK Maciej"/>
    <x v="0"/>
    <s v="KS AZS AWF Katowice"/>
    <n v="1"/>
    <x v="3"/>
    <x v="0"/>
    <x v="0"/>
  </r>
  <r>
    <s v="NOWAK Maciej"/>
    <x v="0"/>
    <s v="KS AZS AWF Katowice"/>
    <n v="1"/>
    <x v="3"/>
    <x v="1"/>
    <x v="0"/>
  </r>
  <r>
    <s v="NOWAK Maciej"/>
    <x v="0"/>
    <s v="KS AZS AWF Katowice"/>
    <n v="1"/>
    <x v="3"/>
    <x v="2"/>
    <x v="0"/>
  </r>
  <r>
    <s v="NOWAK Maciej"/>
    <x v="0"/>
    <s v="KS AZS AWF Katowice"/>
    <n v="1"/>
    <x v="4"/>
    <x v="0"/>
    <x v="138"/>
  </r>
  <r>
    <s v="NOWAK Maciej"/>
    <x v="0"/>
    <s v="KS AZS AWF Katowice"/>
    <n v="1"/>
    <x v="4"/>
    <x v="1"/>
    <x v="23"/>
  </r>
  <r>
    <s v="NOWAK Maciej"/>
    <x v="0"/>
    <s v="KS AZS AWF Katowice"/>
    <n v="1"/>
    <x v="4"/>
    <x v="2"/>
    <x v="120"/>
  </r>
  <r>
    <s v="NOWAK Maciej"/>
    <x v="0"/>
    <s v="KS AZS AWF Katowice"/>
    <n v="1"/>
    <x v="5"/>
    <x v="0"/>
    <x v="0"/>
  </r>
  <r>
    <s v="NOWAK Maciej"/>
    <x v="0"/>
    <s v="KS AZS AWF Katowice"/>
    <n v="1"/>
    <x v="5"/>
    <x v="1"/>
    <x v="0"/>
  </r>
  <r>
    <s v="NOWAK Maciej"/>
    <x v="0"/>
    <s v="KS AZS AWF Katowice"/>
    <n v="1"/>
    <x v="5"/>
    <x v="2"/>
    <x v="0"/>
  </r>
  <r>
    <s v="PIETRUSZKIEWICZ Jakub"/>
    <x v="0"/>
    <s v="MKS Kusy Szczecin"/>
    <n v="1"/>
    <x v="0"/>
    <x v="0"/>
    <x v="0"/>
  </r>
  <r>
    <s v="PIETRUSZKIEWICZ Jakub"/>
    <x v="0"/>
    <s v="MKS Kusy Szczecin"/>
    <n v="1"/>
    <x v="0"/>
    <x v="1"/>
    <x v="0"/>
  </r>
  <r>
    <s v="PIETRUSZKIEWICZ Jakub"/>
    <x v="0"/>
    <s v="MKS Kusy Szczecin"/>
    <n v="1"/>
    <x v="0"/>
    <x v="2"/>
    <x v="0"/>
  </r>
  <r>
    <s v="PIETRUSZKIEWICZ Jakub"/>
    <x v="0"/>
    <s v="MKS Kusy Szczecin"/>
    <n v="1"/>
    <x v="1"/>
    <x v="0"/>
    <x v="68"/>
  </r>
  <r>
    <s v="PIETRUSZKIEWICZ Jakub"/>
    <x v="0"/>
    <s v="MKS Kusy Szczecin"/>
    <n v="1"/>
    <x v="1"/>
    <x v="1"/>
    <x v="129"/>
  </r>
  <r>
    <s v="PIETRUSZKIEWICZ Jakub"/>
    <x v="0"/>
    <s v="MKS Kusy Szczecin"/>
    <n v="1"/>
    <x v="1"/>
    <x v="2"/>
    <x v="125"/>
  </r>
  <r>
    <s v="PIETRUSZKIEWICZ Jakub"/>
    <x v="0"/>
    <s v="MKS Kusy Szczecin"/>
    <n v="1"/>
    <x v="2"/>
    <x v="0"/>
    <x v="0"/>
  </r>
  <r>
    <s v="PIETRUSZKIEWICZ Jakub"/>
    <x v="0"/>
    <s v="MKS Kusy Szczecin"/>
    <n v="1"/>
    <x v="2"/>
    <x v="1"/>
    <x v="0"/>
  </r>
  <r>
    <s v="PIETRUSZKIEWICZ Jakub"/>
    <x v="0"/>
    <s v="MKS Kusy Szczecin"/>
    <n v="1"/>
    <x v="2"/>
    <x v="2"/>
    <x v="0"/>
  </r>
  <r>
    <s v="PIETRUSZKIEWICZ Jakub"/>
    <x v="0"/>
    <s v="MKS Kusy Szczecin"/>
    <n v="1"/>
    <x v="3"/>
    <x v="0"/>
    <x v="0"/>
  </r>
  <r>
    <s v="PIETRUSZKIEWICZ Jakub"/>
    <x v="0"/>
    <s v="MKS Kusy Szczecin"/>
    <n v="1"/>
    <x v="3"/>
    <x v="1"/>
    <x v="0"/>
  </r>
  <r>
    <s v="PIETRUSZKIEWICZ Jakub"/>
    <x v="0"/>
    <s v="MKS Kusy Szczecin"/>
    <n v="1"/>
    <x v="3"/>
    <x v="2"/>
    <x v="0"/>
  </r>
  <r>
    <s v="PIETRUSZKIEWICZ Jakub"/>
    <x v="0"/>
    <s v="MKS Kusy Szczecin"/>
    <n v="1"/>
    <x v="4"/>
    <x v="0"/>
    <x v="68"/>
  </r>
  <r>
    <s v="PIETRUSZKIEWICZ Jakub"/>
    <x v="0"/>
    <s v="MKS Kusy Szczecin"/>
    <n v="1"/>
    <x v="4"/>
    <x v="1"/>
    <x v="129"/>
  </r>
  <r>
    <s v="PIETRUSZKIEWICZ Jakub"/>
    <x v="0"/>
    <s v="MKS Kusy Szczecin"/>
    <n v="1"/>
    <x v="4"/>
    <x v="2"/>
    <x v="125"/>
  </r>
  <r>
    <s v="PIETRUSZKIEWICZ Jakub"/>
    <x v="0"/>
    <s v="MKS Kusy Szczecin"/>
    <n v="1"/>
    <x v="5"/>
    <x v="0"/>
    <x v="0"/>
  </r>
  <r>
    <s v="PIETRUSZKIEWICZ Jakub"/>
    <x v="0"/>
    <s v="MKS Kusy Szczecin"/>
    <n v="1"/>
    <x v="5"/>
    <x v="1"/>
    <x v="0"/>
  </r>
  <r>
    <s v="PIETRUSZKIEWICZ Jakub"/>
    <x v="0"/>
    <s v="MKS Kusy Szczecin"/>
    <n v="1"/>
    <x v="5"/>
    <x v="2"/>
    <x v="0"/>
  </r>
  <r>
    <s v="SIEDZIAKO Igor"/>
    <x v="0"/>
    <s v="MKS Kusy Szczecin"/>
    <n v="1"/>
    <x v="0"/>
    <x v="0"/>
    <x v="121"/>
  </r>
  <r>
    <s v="SIEDZIAKO Igor"/>
    <x v="0"/>
    <s v="MKS Kusy Szczecin"/>
    <n v="1"/>
    <x v="0"/>
    <x v="1"/>
    <x v="216"/>
  </r>
  <r>
    <s v="SIEDZIAKO Igor"/>
    <x v="0"/>
    <s v="MKS Kusy Szczecin"/>
    <n v="1"/>
    <x v="0"/>
    <x v="2"/>
    <x v="142"/>
  </r>
  <r>
    <s v="SIEDZIAKO Igor"/>
    <x v="0"/>
    <s v="MKS Kusy Szczecin"/>
    <n v="1"/>
    <x v="1"/>
    <x v="0"/>
    <x v="0"/>
  </r>
  <r>
    <s v="SIEDZIAKO Igor"/>
    <x v="0"/>
    <s v="MKS Kusy Szczecin"/>
    <n v="1"/>
    <x v="1"/>
    <x v="1"/>
    <x v="0"/>
  </r>
  <r>
    <s v="SIEDZIAKO Igor"/>
    <x v="0"/>
    <s v="MKS Kusy Szczecin"/>
    <n v="1"/>
    <x v="1"/>
    <x v="2"/>
    <x v="0"/>
  </r>
  <r>
    <s v="SIEDZIAKO Igor"/>
    <x v="0"/>
    <s v="MKS Kusy Szczecin"/>
    <n v="1"/>
    <x v="2"/>
    <x v="0"/>
    <x v="0"/>
  </r>
  <r>
    <s v="SIEDZIAKO Igor"/>
    <x v="0"/>
    <s v="MKS Kusy Szczecin"/>
    <n v="1"/>
    <x v="2"/>
    <x v="1"/>
    <x v="0"/>
  </r>
  <r>
    <s v="SIEDZIAKO Igor"/>
    <x v="0"/>
    <s v="MKS Kusy Szczecin"/>
    <n v="1"/>
    <x v="2"/>
    <x v="2"/>
    <x v="0"/>
  </r>
  <r>
    <s v="SIEDZIAKO Igor"/>
    <x v="0"/>
    <s v="MKS Kusy Szczecin"/>
    <n v="1"/>
    <x v="3"/>
    <x v="0"/>
    <x v="0"/>
  </r>
  <r>
    <s v="SIEDZIAKO Igor"/>
    <x v="0"/>
    <s v="MKS Kusy Szczecin"/>
    <n v="1"/>
    <x v="3"/>
    <x v="1"/>
    <x v="0"/>
  </r>
  <r>
    <s v="SIEDZIAKO Igor"/>
    <x v="0"/>
    <s v="MKS Kusy Szczecin"/>
    <n v="1"/>
    <x v="3"/>
    <x v="2"/>
    <x v="0"/>
  </r>
  <r>
    <s v="SIEDZIAKO Igor"/>
    <x v="0"/>
    <s v="MKS Kusy Szczecin"/>
    <n v="1"/>
    <x v="4"/>
    <x v="0"/>
    <x v="121"/>
  </r>
  <r>
    <s v="SIEDZIAKO Igor"/>
    <x v="0"/>
    <s v="MKS Kusy Szczecin"/>
    <n v="1"/>
    <x v="4"/>
    <x v="1"/>
    <x v="216"/>
  </r>
  <r>
    <s v="SIEDZIAKO Igor"/>
    <x v="0"/>
    <s v="MKS Kusy Szczecin"/>
    <n v="1"/>
    <x v="4"/>
    <x v="2"/>
    <x v="142"/>
  </r>
  <r>
    <s v="SIEDZIAKO Igor"/>
    <x v="0"/>
    <s v="MKS Kusy Szczecin"/>
    <n v="1"/>
    <x v="5"/>
    <x v="0"/>
    <x v="0"/>
  </r>
  <r>
    <s v="SIEDZIAKO Igor"/>
    <x v="0"/>
    <s v="MKS Kusy Szczecin"/>
    <n v="1"/>
    <x v="5"/>
    <x v="1"/>
    <x v="0"/>
  </r>
  <r>
    <s v="SIEDZIAKO Igor"/>
    <x v="0"/>
    <s v="MKS Kusy Szczecin"/>
    <n v="1"/>
    <x v="5"/>
    <x v="2"/>
    <x v="0"/>
  </r>
  <r>
    <s v="KLIMCZUK Michał"/>
    <x v="1"/>
    <s v="MKS Gdańsk"/>
    <n v="1"/>
    <x v="0"/>
    <x v="0"/>
    <x v="0"/>
  </r>
  <r>
    <s v="KLIMCZUK Michał"/>
    <x v="1"/>
    <s v="MKS Gdańsk"/>
    <n v="1"/>
    <x v="0"/>
    <x v="1"/>
    <x v="0"/>
  </r>
  <r>
    <s v="KLIMCZUK Michał"/>
    <x v="1"/>
    <s v="MKS Gdańsk"/>
    <n v="1"/>
    <x v="0"/>
    <x v="2"/>
    <x v="0"/>
  </r>
  <r>
    <s v="KLIMCZUK Michał"/>
    <x v="1"/>
    <s v="MKS Gdańsk"/>
    <n v="1"/>
    <x v="1"/>
    <x v="0"/>
    <x v="0"/>
  </r>
  <r>
    <s v="KLIMCZUK Michał"/>
    <x v="1"/>
    <s v="MKS Gdańsk"/>
    <n v="1"/>
    <x v="1"/>
    <x v="1"/>
    <x v="0"/>
  </r>
  <r>
    <s v="KLIMCZUK Michał"/>
    <x v="1"/>
    <s v="MKS Gdańsk"/>
    <n v="1"/>
    <x v="1"/>
    <x v="2"/>
    <x v="0"/>
  </r>
  <r>
    <s v="KLIMCZUK Michał"/>
    <x v="1"/>
    <s v="MKS Gdańsk"/>
    <n v="1"/>
    <x v="2"/>
    <x v="0"/>
    <x v="178"/>
  </r>
  <r>
    <s v="KLIMCZUK Michał"/>
    <x v="1"/>
    <s v="MKS Gdańsk"/>
    <n v="1"/>
    <x v="2"/>
    <x v="1"/>
    <x v="20"/>
  </r>
  <r>
    <s v="KLIMCZUK Michał"/>
    <x v="1"/>
    <s v="MKS Gdańsk"/>
    <n v="1"/>
    <x v="2"/>
    <x v="2"/>
    <x v="235"/>
  </r>
  <r>
    <s v="KLIMCZUK Michał"/>
    <x v="1"/>
    <s v="MKS Gdańsk"/>
    <n v="1"/>
    <x v="3"/>
    <x v="0"/>
    <x v="0"/>
  </r>
  <r>
    <s v="KLIMCZUK Michał"/>
    <x v="1"/>
    <s v="MKS Gdańsk"/>
    <n v="1"/>
    <x v="3"/>
    <x v="1"/>
    <x v="0"/>
  </r>
  <r>
    <s v="KLIMCZUK Michał"/>
    <x v="1"/>
    <s v="MKS Gdańsk"/>
    <n v="1"/>
    <x v="3"/>
    <x v="2"/>
    <x v="0"/>
  </r>
  <r>
    <s v="KLIMCZUK Michał"/>
    <x v="1"/>
    <s v="MKS Gdańsk"/>
    <n v="1"/>
    <x v="4"/>
    <x v="0"/>
    <x v="178"/>
  </r>
  <r>
    <s v="KLIMCZUK Michał"/>
    <x v="1"/>
    <s v="MKS Gdańsk"/>
    <n v="1"/>
    <x v="4"/>
    <x v="1"/>
    <x v="20"/>
  </r>
  <r>
    <s v="KLIMCZUK Michał"/>
    <x v="1"/>
    <s v="MKS Gdańsk"/>
    <n v="1"/>
    <x v="4"/>
    <x v="2"/>
    <x v="235"/>
  </r>
  <r>
    <s v="KLIMCZUK Michał"/>
    <x v="1"/>
    <s v="MKS Gdańsk"/>
    <n v="1"/>
    <x v="5"/>
    <x v="0"/>
    <x v="0"/>
  </r>
  <r>
    <s v="KLIMCZUK Michał"/>
    <x v="1"/>
    <s v="MKS Gdańsk"/>
    <n v="1"/>
    <x v="5"/>
    <x v="1"/>
    <x v="0"/>
  </r>
  <r>
    <s v="KLIMCZUK Michał"/>
    <x v="1"/>
    <s v="MKS Gdańsk"/>
    <n v="1"/>
    <x v="5"/>
    <x v="2"/>
    <x v="0"/>
  </r>
  <r>
    <s v="SZCZUBIAŁ Bartłomiej"/>
    <x v="1"/>
    <s v="KS AZS AWF Kraków"/>
    <n v="1"/>
    <x v="0"/>
    <x v="0"/>
    <x v="131"/>
  </r>
  <r>
    <s v="SZCZUBIAŁ Bartłomiej"/>
    <x v="1"/>
    <s v="KS AZS AWF Kraków"/>
    <n v="1"/>
    <x v="0"/>
    <x v="1"/>
    <x v="236"/>
  </r>
  <r>
    <s v="SZCZUBIAŁ Bartłomiej"/>
    <x v="1"/>
    <s v="KS AZS AWF Kraków"/>
    <n v="1"/>
    <x v="0"/>
    <x v="2"/>
    <x v="237"/>
  </r>
  <r>
    <s v="SZCZUBIAŁ Bartłomiej"/>
    <x v="1"/>
    <s v="KS AZS AWF Kraków"/>
    <n v="1"/>
    <x v="1"/>
    <x v="0"/>
    <x v="0"/>
  </r>
  <r>
    <s v="SZCZUBIAŁ Bartłomiej"/>
    <x v="1"/>
    <s v="KS AZS AWF Kraków"/>
    <n v="1"/>
    <x v="1"/>
    <x v="1"/>
    <x v="0"/>
  </r>
  <r>
    <s v="SZCZUBIAŁ Bartłomiej"/>
    <x v="1"/>
    <s v="KS AZS AWF Kraków"/>
    <n v="1"/>
    <x v="1"/>
    <x v="2"/>
    <x v="0"/>
  </r>
  <r>
    <s v="SZCZUBIAŁ Bartłomiej"/>
    <x v="1"/>
    <s v="KS AZS AWF Kraków"/>
    <n v="1"/>
    <x v="2"/>
    <x v="0"/>
    <x v="0"/>
  </r>
  <r>
    <s v="SZCZUBIAŁ Bartłomiej"/>
    <x v="1"/>
    <s v="KS AZS AWF Kraków"/>
    <n v="1"/>
    <x v="2"/>
    <x v="1"/>
    <x v="0"/>
  </r>
  <r>
    <s v="SZCZUBIAŁ Bartłomiej"/>
    <x v="1"/>
    <s v="KS AZS AWF Kraków"/>
    <n v="1"/>
    <x v="2"/>
    <x v="2"/>
    <x v="0"/>
  </r>
  <r>
    <s v="SZCZUBIAŁ Bartłomiej"/>
    <x v="1"/>
    <s v="KS AZS AWF Kraków"/>
    <n v="1"/>
    <x v="3"/>
    <x v="0"/>
    <x v="0"/>
  </r>
  <r>
    <s v="SZCZUBIAŁ Bartłomiej"/>
    <x v="1"/>
    <s v="KS AZS AWF Kraków"/>
    <n v="1"/>
    <x v="3"/>
    <x v="1"/>
    <x v="0"/>
  </r>
  <r>
    <s v="SZCZUBIAŁ Bartłomiej"/>
    <x v="1"/>
    <s v="KS AZS AWF Kraków"/>
    <n v="1"/>
    <x v="3"/>
    <x v="2"/>
    <x v="0"/>
  </r>
  <r>
    <s v="SZCZUBIAŁ Bartłomiej"/>
    <x v="1"/>
    <s v="KS AZS AWF Kraków"/>
    <n v="1"/>
    <x v="4"/>
    <x v="0"/>
    <x v="131"/>
  </r>
  <r>
    <s v="SZCZUBIAŁ Bartłomiej"/>
    <x v="1"/>
    <s v="KS AZS AWF Kraków"/>
    <n v="1"/>
    <x v="4"/>
    <x v="1"/>
    <x v="236"/>
  </r>
  <r>
    <s v="SZCZUBIAŁ Bartłomiej"/>
    <x v="1"/>
    <s v="KS AZS AWF Kraków"/>
    <n v="1"/>
    <x v="4"/>
    <x v="2"/>
    <x v="237"/>
  </r>
  <r>
    <s v="SZCZUBIAŁ Bartłomiej"/>
    <x v="1"/>
    <s v="KS AZS AWF Kraków"/>
    <n v="1"/>
    <x v="5"/>
    <x v="0"/>
    <x v="0"/>
  </r>
  <r>
    <s v="SZCZUBIAŁ Bartłomiej"/>
    <x v="1"/>
    <s v="KS AZS AWF Kraków"/>
    <n v="1"/>
    <x v="5"/>
    <x v="1"/>
    <x v="0"/>
  </r>
  <r>
    <s v="SZCZUBIAŁ Bartłomiej"/>
    <x v="1"/>
    <s v="KS AZS AWF Kraków"/>
    <n v="1"/>
    <x v="5"/>
    <x v="2"/>
    <x v="0"/>
  </r>
  <r>
    <s v="ŁUCKI Miłosz"/>
    <x v="1"/>
    <s v="KG Radlin"/>
    <n v="1"/>
    <x v="0"/>
    <x v="0"/>
    <x v="0"/>
  </r>
  <r>
    <s v="ŁUCKI Miłosz"/>
    <x v="1"/>
    <s v="KG Radlin"/>
    <n v="1"/>
    <x v="0"/>
    <x v="1"/>
    <x v="0"/>
  </r>
  <r>
    <s v="ŁUCKI Miłosz"/>
    <x v="1"/>
    <s v="KG Radlin"/>
    <n v="1"/>
    <x v="0"/>
    <x v="2"/>
    <x v="0"/>
  </r>
  <r>
    <s v="ŁUCKI Miłosz"/>
    <x v="1"/>
    <s v="KG Radlin"/>
    <n v="1"/>
    <x v="1"/>
    <x v="0"/>
    <x v="0"/>
  </r>
  <r>
    <s v="ŁUCKI Miłosz"/>
    <x v="1"/>
    <s v="KG Radlin"/>
    <n v="1"/>
    <x v="1"/>
    <x v="1"/>
    <x v="0"/>
  </r>
  <r>
    <s v="ŁUCKI Miłosz"/>
    <x v="1"/>
    <s v="KG Radlin"/>
    <n v="1"/>
    <x v="1"/>
    <x v="2"/>
    <x v="0"/>
  </r>
  <r>
    <s v="ŁUCKI Miłosz"/>
    <x v="1"/>
    <s v="KG Radlin"/>
    <n v="1"/>
    <x v="2"/>
    <x v="0"/>
    <x v="148"/>
  </r>
  <r>
    <s v="ŁUCKI Miłosz"/>
    <x v="1"/>
    <s v="KG Radlin"/>
    <n v="1"/>
    <x v="2"/>
    <x v="1"/>
    <x v="238"/>
  </r>
  <r>
    <s v="ŁUCKI Miłosz"/>
    <x v="1"/>
    <s v="KG Radlin"/>
    <n v="1"/>
    <x v="2"/>
    <x v="2"/>
    <x v="218"/>
  </r>
  <r>
    <s v="ŁUCKI Miłosz"/>
    <x v="1"/>
    <s v="KG Radlin"/>
    <n v="1"/>
    <x v="3"/>
    <x v="0"/>
    <x v="0"/>
  </r>
  <r>
    <s v="ŁUCKI Miłosz"/>
    <x v="1"/>
    <s v="KG Radlin"/>
    <n v="1"/>
    <x v="3"/>
    <x v="1"/>
    <x v="0"/>
  </r>
  <r>
    <s v="ŁUCKI Miłosz"/>
    <x v="1"/>
    <s v="KG Radlin"/>
    <n v="1"/>
    <x v="3"/>
    <x v="2"/>
    <x v="0"/>
  </r>
  <r>
    <s v="ŁUCKI Miłosz"/>
    <x v="1"/>
    <s v="KG Radlin"/>
    <n v="1"/>
    <x v="4"/>
    <x v="0"/>
    <x v="148"/>
  </r>
  <r>
    <s v="ŁUCKI Miłosz"/>
    <x v="1"/>
    <s v="KG Radlin"/>
    <n v="1"/>
    <x v="4"/>
    <x v="1"/>
    <x v="238"/>
  </r>
  <r>
    <s v="ŁUCKI Miłosz"/>
    <x v="1"/>
    <s v="KG Radlin"/>
    <n v="1"/>
    <x v="4"/>
    <x v="2"/>
    <x v="218"/>
  </r>
  <r>
    <s v="ŁUCKI Miłosz"/>
    <x v="1"/>
    <s v="KG Radlin"/>
    <n v="1"/>
    <x v="5"/>
    <x v="0"/>
    <x v="0"/>
  </r>
  <r>
    <s v="ŁUCKI Miłosz"/>
    <x v="1"/>
    <s v="KG Radlin"/>
    <n v="1"/>
    <x v="5"/>
    <x v="1"/>
    <x v="0"/>
  </r>
  <r>
    <s v="ŁUCKI Miłosz"/>
    <x v="1"/>
    <s v="KG Radlin"/>
    <n v="1"/>
    <x v="5"/>
    <x v="2"/>
    <x v="0"/>
  </r>
  <r>
    <s v="MYSZI Dominik"/>
    <x v="1"/>
    <s v="KG Radlin"/>
    <n v="1"/>
    <x v="0"/>
    <x v="0"/>
    <x v="162"/>
  </r>
  <r>
    <s v="MYSZI Dominik"/>
    <x v="1"/>
    <s v="KG Radlin"/>
    <n v="1"/>
    <x v="0"/>
    <x v="1"/>
    <x v="169"/>
  </r>
  <r>
    <s v="MYSZI Dominik"/>
    <x v="1"/>
    <s v="KG Radlin"/>
    <n v="1"/>
    <x v="0"/>
    <x v="2"/>
    <x v="132"/>
  </r>
  <r>
    <s v="MYSZI Dominik"/>
    <x v="1"/>
    <s v="KG Radlin"/>
    <n v="1"/>
    <x v="1"/>
    <x v="0"/>
    <x v="0"/>
  </r>
  <r>
    <s v="MYSZI Dominik"/>
    <x v="1"/>
    <s v="KG Radlin"/>
    <n v="1"/>
    <x v="1"/>
    <x v="1"/>
    <x v="0"/>
  </r>
  <r>
    <s v="MYSZI Dominik"/>
    <x v="1"/>
    <s v="KG Radlin"/>
    <n v="1"/>
    <x v="1"/>
    <x v="2"/>
    <x v="0"/>
  </r>
  <r>
    <s v="MYSZI Dominik"/>
    <x v="1"/>
    <s v="KG Radlin"/>
    <n v="1"/>
    <x v="2"/>
    <x v="0"/>
    <x v="0"/>
  </r>
  <r>
    <s v="MYSZI Dominik"/>
    <x v="1"/>
    <s v="KG Radlin"/>
    <n v="1"/>
    <x v="2"/>
    <x v="1"/>
    <x v="0"/>
  </r>
  <r>
    <s v="MYSZI Dominik"/>
    <x v="1"/>
    <s v="KG Radlin"/>
    <n v="1"/>
    <x v="2"/>
    <x v="2"/>
    <x v="0"/>
  </r>
  <r>
    <s v="MYSZI Dominik"/>
    <x v="1"/>
    <s v="KG Radlin"/>
    <n v="1"/>
    <x v="3"/>
    <x v="0"/>
    <x v="0"/>
  </r>
  <r>
    <s v="MYSZI Dominik"/>
    <x v="1"/>
    <s v="KG Radlin"/>
    <n v="1"/>
    <x v="3"/>
    <x v="1"/>
    <x v="0"/>
  </r>
  <r>
    <s v="MYSZI Dominik"/>
    <x v="1"/>
    <s v="KG Radlin"/>
    <n v="1"/>
    <x v="3"/>
    <x v="2"/>
    <x v="0"/>
  </r>
  <r>
    <s v="MYSZI Dominik"/>
    <x v="1"/>
    <s v="KG Radlin"/>
    <n v="1"/>
    <x v="4"/>
    <x v="0"/>
    <x v="162"/>
  </r>
  <r>
    <s v="MYSZI Dominik"/>
    <x v="1"/>
    <s v="KG Radlin"/>
    <n v="1"/>
    <x v="4"/>
    <x v="1"/>
    <x v="169"/>
  </r>
  <r>
    <s v="MYSZI Dominik"/>
    <x v="1"/>
    <s v="KG Radlin"/>
    <n v="1"/>
    <x v="4"/>
    <x v="2"/>
    <x v="132"/>
  </r>
  <r>
    <s v="MYSZI Dominik"/>
    <x v="1"/>
    <s v="KG Radlin"/>
    <n v="1"/>
    <x v="5"/>
    <x v="0"/>
    <x v="0"/>
  </r>
  <r>
    <s v="MYSZI Dominik"/>
    <x v="1"/>
    <s v="KG Radlin"/>
    <n v="1"/>
    <x v="5"/>
    <x v="1"/>
    <x v="0"/>
  </r>
  <r>
    <s v="MYSZI Dominik"/>
    <x v="1"/>
    <s v="KG Radlin"/>
    <n v="1"/>
    <x v="5"/>
    <x v="2"/>
    <x v="0"/>
  </r>
  <r>
    <s v="KOLORZ Maks"/>
    <x v="1"/>
    <s v="KG Radlin"/>
    <n v="1"/>
    <x v="0"/>
    <x v="0"/>
    <x v="162"/>
  </r>
  <r>
    <s v="KOLORZ Maks"/>
    <x v="1"/>
    <s v="KG Radlin"/>
    <n v="1"/>
    <x v="0"/>
    <x v="1"/>
    <x v="239"/>
  </r>
  <r>
    <s v="KOLORZ Maks"/>
    <x v="1"/>
    <s v="KG Radlin"/>
    <n v="1"/>
    <x v="0"/>
    <x v="2"/>
    <x v="56"/>
  </r>
  <r>
    <s v="KOLORZ Maks"/>
    <x v="1"/>
    <s v="KG Radlin"/>
    <n v="1"/>
    <x v="1"/>
    <x v="0"/>
    <x v="0"/>
  </r>
  <r>
    <s v="KOLORZ Maks"/>
    <x v="1"/>
    <s v="KG Radlin"/>
    <n v="1"/>
    <x v="1"/>
    <x v="1"/>
    <x v="0"/>
  </r>
  <r>
    <s v="KOLORZ Maks"/>
    <x v="1"/>
    <s v="KG Radlin"/>
    <n v="1"/>
    <x v="1"/>
    <x v="2"/>
    <x v="0"/>
  </r>
  <r>
    <s v="KOLORZ Maks"/>
    <x v="1"/>
    <s v="KG Radlin"/>
    <n v="1"/>
    <x v="2"/>
    <x v="0"/>
    <x v="0"/>
  </r>
  <r>
    <s v="KOLORZ Maks"/>
    <x v="1"/>
    <s v="KG Radlin"/>
    <n v="1"/>
    <x v="2"/>
    <x v="1"/>
    <x v="0"/>
  </r>
  <r>
    <s v="KOLORZ Maks"/>
    <x v="1"/>
    <s v="KG Radlin"/>
    <n v="1"/>
    <x v="2"/>
    <x v="2"/>
    <x v="0"/>
  </r>
  <r>
    <s v="KOLORZ Maks"/>
    <x v="1"/>
    <s v="KG Radlin"/>
    <n v="1"/>
    <x v="3"/>
    <x v="0"/>
    <x v="0"/>
  </r>
  <r>
    <s v="KOLORZ Maks"/>
    <x v="1"/>
    <s v="KG Radlin"/>
    <n v="1"/>
    <x v="3"/>
    <x v="1"/>
    <x v="0"/>
  </r>
  <r>
    <s v="KOLORZ Maks"/>
    <x v="1"/>
    <s v="KG Radlin"/>
    <n v="1"/>
    <x v="3"/>
    <x v="2"/>
    <x v="0"/>
  </r>
  <r>
    <s v="KOLORZ Maks"/>
    <x v="1"/>
    <s v="KG Radlin"/>
    <n v="1"/>
    <x v="4"/>
    <x v="0"/>
    <x v="162"/>
  </r>
  <r>
    <s v="KOLORZ Maks"/>
    <x v="1"/>
    <s v="KG Radlin"/>
    <n v="1"/>
    <x v="4"/>
    <x v="1"/>
    <x v="239"/>
  </r>
  <r>
    <s v="KOLORZ Maks"/>
    <x v="1"/>
    <s v="KG Radlin"/>
    <n v="1"/>
    <x v="4"/>
    <x v="2"/>
    <x v="56"/>
  </r>
  <r>
    <s v="KOLORZ Maks"/>
    <x v="1"/>
    <s v="KG Radlin"/>
    <n v="1"/>
    <x v="5"/>
    <x v="0"/>
    <x v="0"/>
  </r>
  <r>
    <s v="KOLORZ Maks"/>
    <x v="1"/>
    <s v="KG Radlin"/>
    <n v="1"/>
    <x v="5"/>
    <x v="1"/>
    <x v="0"/>
  </r>
  <r>
    <s v="KOLORZ Maks"/>
    <x v="1"/>
    <s v="KG Radlin"/>
    <n v="1"/>
    <x v="5"/>
    <x v="2"/>
    <x v="0"/>
  </r>
  <r>
    <s v="RUS Gracjan"/>
    <x v="1"/>
    <s v="KG Radlin"/>
    <n v="1"/>
    <x v="0"/>
    <x v="0"/>
    <x v="240"/>
  </r>
  <r>
    <s v="RUS Gracjan"/>
    <x v="1"/>
    <s v="KG Radlin"/>
    <n v="1"/>
    <x v="0"/>
    <x v="1"/>
    <x v="104"/>
  </r>
  <r>
    <s v="RUS Gracjan"/>
    <x v="1"/>
    <s v="KG Radlin"/>
    <n v="1"/>
    <x v="0"/>
    <x v="2"/>
    <x v="241"/>
  </r>
  <r>
    <s v="RUS Gracjan"/>
    <x v="1"/>
    <s v="KG Radlin"/>
    <n v="1"/>
    <x v="1"/>
    <x v="0"/>
    <x v="0"/>
  </r>
  <r>
    <s v="RUS Gracjan"/>
    <x v="1"/>
    <s v="KG Radlin"/>
    <n v="1"/>
    <x v="1"/>
    <x v="1"/>
    <x v="0"/>
  </r>
  <r>
    <s v="RUS Gracjan"/>
    <x v="1"/>
    <s v="KG Radlin"/>
    <n v="1"/>
    <x v="1"/>
    <x v="2"/>
    <x v="0"/>
  </r>
  <r>
    <s v="RUS Gracjan"/>
    <x v="1"/>
    <s v="KG Radlin"/>
    <n v="1"/>
    <x v="2"/>
    <x v="0"/>
    <x v="0"/>
  </r>
  <r>
    <s v="RUS Gracjan"/>
    <x v="1"/>
    <s v="KG Radlin"/>
    <n v="1"/>
    <x v="2"/>
    <x v="1"/>
    <x v="0"/>
  </r>
  <r>
    <s v="RUS Gracjan"/>
    <x v="1"/>
    <s v="KG Radlin"/>
    <n v="1"/>
    <x v="2"/>
    <x v="2"/>
    <x v="0"/>
  </r>
  <r>
    <s v="RUS Gracjan"/>
    <x v="1"/>
    <s v="KG Radlin"/>
    <n v="1"/>
    <x v="3"/>
    <x v="0"/>
    <x v="0"/>
  </r>
  <r>
    <s v="RUS Gracjan"/>
    <x v="1"/>
    <s v="KG Radlin"/>
    <n v="1"/>
    <x v="3"/>
    <x v="1"/>
    <x v="0"/>
  </r>
  <r>
    <s v="RUS Gracjan"/>
    <x v="1"/>
    <s v="KG Radlin"/>
    <n v="1"/>
    <x v="3"/>
    <x v="2"/>
    <x v="0"/>
  </r>
  <r>
    <s v="RUS Gracjan"/>
    <x v="1"/>
    <s v="KG Radlin"/>
    <n v="1"/>
    <x v="4"/>
    <x v="0"/>
    <x v="240"/>
  </r>
  <r>
    <s v="RUS Gracjan"/>
    <x v="1"/>
    <s v="KG Radlin"/>
    <n v="1"/>
    <x v="4"/>
    <x v="1"/>
    <x v="104"/>
  </r>
  <r>
    <s v="RUS Gracjan"/>
    <x v="1"/>
    <s v="KG Radlin"/>
    <n v="1"/>
    <x v="4"/>
    <x v="2"/>
    <x v="241"/>
  </r>
  <r>
    <s v="RUS Gracjan"/>
    <x v="1"/>
    <s v="KG Radlin"/>
    <n v="1"/>
    <x v="5"/>
    <x v="0"/>
    <x v="0"/>
  </r>
  <r>
    <s v="RUS Gracjan"/>
    <x v="1"/>
    <s v="KG Radlin"/>
    <n v="1"/>
    <x v="5"/>
    <x v="1"/>
    <x v="0"/>
  </r>
  <r>
    <s v="RUS Gracjan"/>
    <x v="1"/>
    <s v="KG Radlin"/>
    <n v="1"/>
    <x v="5"/>
    <x v="2"/>
    <x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8">
  <r>
    <s v="SASNAL Filip"/>
    <x v="0"/>
    <s v="KS AZS AWF Kraków"/>
    <n v="4"/>
    <x v="0"/>
    <x v="0"/>
    <x v="0"/>
  </r>
  <r>
    <s v="SASNAL Filip"/>
    <x v="0"/>
    <s v="KS AZS AWF Kraków"/>
    <n v="4"/>
    <x v="0"/>
    <x v="1"/>
    <x v="1"/>
  </r>
  <r>
    <s v="SASNAL Filip"/>
    <x v="0"/>
    <s v="KS AZS AWF Kraków"/>
    <n v="4"/>
    <x v="0"/>
    <x v="2"/>
    <x v="2"/>
  </r>
  <r>
    <s v="SASNAL Filip"/>
    <x v="0"/>
    <s v="KS AZS AWF Kraków"/>
    <n v="4"/>
    <x v="1"/>
    <x v="0"/>
    <x v="3"/>
  </r>
  <r>
    <s v="SASNAL Filip"/>
    <x v="0"/>
    <s v="KS AZS AWF Kraków"/>
    <n v="4"/>
    <x v="1"/>
    <x v="1"/>
    <x v="4"/>
  </r>
  <r>
    <s v="SASNAL Filip"/>
    <x v="0"/>
    <s v="KS AZS AWF Kraków"/>
    <n v="4"/>
    <x v="1"/>
    <x v="2"/>
    <x v="5"/>
  </r>
  <r>
    <s v="SASNAL Filip"/>
    <x v="0"/>
    <s v="KS AZS AWF Kraków"/>
    <n v="4"/>
    <x v="2"/>
    <x v="0"/>
    <x v="3"/>
  </r>
  <r>
    <s v="SASNAL Filip"/>
    <x v="0"/>
    <s v="KS AZS AWF Kraków"/>
    <n v="4"/>
    <x v="2"/>
    <x v="1"/>
    <x v="6"/>
  </r>
  <r>
    <s v="SASNAL Filip"/>
    <x v="0"/>
    <s v="KS AZS AWF Kraków"/>
    <n v="4"/>
    <x v="2"/>
    <x v="2"/>
    <x v="7"/>
  </r>
  <r>
    <s v="SASNAL Filip"/>
    <x v="0"/>
    <s v="KS AZS AWF Kraków"/>
    <n v="4"/>
    <x v="3"/>
    <x v="0"/>
    <x v="0"/>
  </r>
  <r>
    <s v="SASNAL Filip"/>
    <x v="0"/>
    <s v="KS AZS AWF Kraków"/>
    <n v="4"/>
    <x v="3"/>
    <x v="1"/>
    <x v="8"/>
  </r>
  <r>
    <s v="SASNAL Filip"/>
    <x v="0"/>
    <s v="KS AZS AWF Kraków"/>
    <n v="4"/>
    <x v="3"/>
    <x v="2"/>
    <x v="9"/>
  </r>
  <r>
    <s v="SASNAL Filip"/>
    <x v="0"/>
    <s v="KS AZS AWF Kraków"/>
    <n v="4"/>
    <x v="4"/>
    <x v="0"/>
    <x v="10"/>
  </r>
  <r>
    <s v="SASNAL Filip"/>
    <x v="0"/>
    <s v="KS AZS AWF Kraków"/>
    <n v="4"/>
    <x v="4"/>
    <x v="1"/>
    <x v="11"/>
  </r>
  <r>
    <s v="SASNAL Filip"/>
    <x v="0"/>
    <s v="KS AZS AWF Kraków"/>
    <n v="4"/>
    <x v="4"/>
    <x v="2"/>
    <x v="12"/>
  </r>
  <r>
    <s v="SASNAL Filip"/>
    <x v="0"/>
    <s v="KS AZS AWF Kraków"/>
    <n v="4"/>
    <x v="5"/>
    <x v="0"/>
    <x v="13"/>
  </r>
  <r>
    <s v="SASNAL Filip"/>
    <x v="0"/>
    <s v="KS AZS AWF Kraków"/>
    <n v="4"/>
    <x v="5"/>
    <x v="1"/>
    <x v="14"/>
  </r>
  <r>
    <s v="SASNAL Filip"/>
    <x v="0"/>
    <s v="KS AZS AWF Kraków"/>
    <n v="4"/>
    <x v="5"/>
    <x v="2"/>
    <x v="15"/>
  </r>
  <r>
    <s v="KUROWSKI Jakub"/>
    <x v="0"/>
    <s v="MKS Kusy Szczecin"/>
    <n v="3"/>
    <x v="0"/>
    <x v="0"/>
    <x v="16"/>
  </r>
  <r>
    <s v="KUROWSKI Jakub"/>
    <x v="0"/>
    <s v="MKS Kusy Szczecin"/>
    <n v="3"/>
    <x v="0"/>
    <x v="1"/>
    <x v="16"/>
  </r>
  <r>
    <s v="KUROWSKI Jakub"/>
    <x v="0"/>
    <s v="MKS Kusy Szczecin"/>
    <n v="3"/>
    <x v="0"/>
    <x v="2"/>
    <x v="16"/>
  </r>
  <r>
    <s v="KUROWSKI Jakub"/>
    <x v="0"/>
    <s v="MKS Kusy Szczecin"/>
    <n v="3"/>
    <x v="1"/>
    <x v="0"/>
    <x v="17"/>
  </r>
  <r>
    <s v="KUROWSKI Jakub"/>
    <x v="0"/>
    <s v="MKS Kusy Szczecin"/>
    <n v="3"/>
    <x v="1"/>
    <x v="1"/>
    <x v="4"/>
  </r>
  <r>
    <s v="KUROWSKI Jakub"/>
    <x v="0"/>
    <s v="MKS Kusy Szczecin"/>
    <n v="3"/>
    <x v="1"/>
    <x v="2"/>
    <x v="18"/>
  </r>
  <r>
    <s v="KUROWSKI Jakub"/>
    <x v="0"/>
    <s v="MKS Kusy Szczecin"/>
    <n v="3"/>
    <x v="2"/>
    <x v="0"/>
    <x v="17"/>
  </r>
  <r>
    <s v="KUROWSKI Jakub"/>
    <x v="0"/>
    <s v="MKS Kusy Szczecin"/>
    <n v="3"/>
    <x v="2"/>
    <x v="1"/>
    <x v="19"/>
  </r>
  <r>
    <s v="KUROWSKI Jakub"/>
    <x v="0"/>
    <s v="MKS Kusy Szczecin"/>
    <n v="3"/>
    <x v="2"/>
    <x v="2"/>
    <x v="20"/>
  </r>
  <r>
    <s v="KUROWSKI Jakub"/>
    <x v="0"/>
    <s v="MKS Kusy Szczecin"/>
    <n v="3"/>
    <x v="3"/>
    <x v="0"/>
    <x v="17"/>
  </r>
  <r>
    <s v="KUROWSKI Jakub"/>
    <x v="0"/>
    <s v="MKS Kusy Szczecin"/>
    <n v="3"/>
    <x v="3"/>
    <x v="1"/>
    <x v="21"/>
  </r>
  <r>
    <s v="KUROWSKI Jakub"/>
    <x v="0"/>
    <s v="MKS Kusy Szczecin"/>
    <n v="3"/>
    <x v="3"/>
    <x v="2"/>
    <x v="22"/>
  </r>
  <r>
    <s v="KUROWSKI Jakub"/>
    <x v="0"/>
    <s v="MKS Kusy Szczecin"/>
    <n v="3"/>
    <x v="4"/>
    <x v="0"/>
    <x v="23"/>
  </r>
  <r>
    <s v="KUROWSKI Jakub"/>
    <x v="0"/>
    <s v="MKS Kusy Szczecin"/>
    <n v="3"/>
    <x v="4"/>
    <x v="1"/>
    <x v="24"/>
  </r>
  <r>
    <s v="KUROWSKI Jakub"/>
    <x v="0"/>
    <s v="MKS Kusy Szczecin"/>
    <n v="3"/>
    <x v="4"/>
    <x v="2"/>
    <x v="25"/>
  </r>
  <r>
    <s v="KUROWSKI Jakub"/>
    <x v="0"/>
    <s v="MKS Kusy Szczecin"/>
    <n v="3"/>
    <x v="5"/>
    <x v="0"/>
    <x v="17"/>
  </r>
  <r>
    <s v="KUROWSKI Jakub"/>
    <x v="0"/>
    <s v="MKS Kusy Szczecin"/>
    <n v="3"/>
    <x v="5"/>
    <x v="1"/>
    <x v="26"/>
  </r>
  <r>
    <s v="KUROWSKI Jakub"/>
    <x v="0"/>
    <s v="MKS Kusy Szczecin"/>
    <n v="3"/>
    <x v="5"/>
    <x v="2"/>
    <x v="7"/>
  </r>
  <r>
    <s v="GARNCZAREK Kacper"/>
    <x v="0"/>
    <s v="KS AZS AWF Katowice"/>
    <n v="3"/>
    <x v="0"/>
    <x v="0"/>
    <x v="16"/>
  </r>
  <r>
    <s v="GARNCZAREK Kacper"/>
    <x v="0"/>
    <s v="KS AZS AWF Katowice"/>
    <n v="3"/>
    <x v="0"/>
    <x v="1"/>
    <x v="16"/>
  </r>
  <r>
    <s v="GARNCZAREK Kacper"/>
    <x v="0"/>
    <s v="KS AZS AWF Katowice"/>
    <n v="3"/>
    <x v="0"/>
    <x v="2"/>
    <x v="16"/>
  </r>
  <r>
    <s v="GARNCZAREK Kacper"/>
    <x v="0"/>
    <s v="KS AZS AWF Katowice"/>
    <n v="3"/>
    <x v="1"/>
    <x v="0"/>
    <x v="27"/>
  </r>
  <r>
    <s v="GARNCZAREK Kacper"/>
    <x v="0"/>
    <s v="KS AZS AWF Katowice"/>
    <n v="3"/>
    <x v="1"/>
    <x v="1"/>
    <x v="28"/>
  </r>
  <r>
    <s v="GARNCZAREK Kacper"/>
    <x v="0"/>
    <s v="KS AZS AWF Katowice"/>
    <n v="3"/>
    <x v="1"/>
    <x v="2"/>
    <x v="2"/>
  </r>
  <r>
    <s v="GARNCZAREK Kacper"/>
    <x v="0"/>
    <s v="KS AZS AWF Katowice"/>
    <n v="3"/>
    <x v="2"/>
    <x v="0"/>
    <x v="27"/>
  </r>
  <r>
    <s v="GARNCZAREK Kacper"/>
    <x v="0"/>
    <s v="KS AZS AWF Katowice"/>
    <n v="3"/>
    <x v="2"/>
    <x v="1"/>
    <x v="29"/>
  </r>
  <r>
    <s v="GARNCZAREK Kacper"/>
    <x v="0"/>
    <s v="KS AZS AWF Katowice"/>
    <n v="3"/>
    <x v="2"/>
    <x v="2"/>
    <x v="30"/>
  </r>
  <r>
    <s v="GARNCZAREK Kacper"/>
    <x v="0"/>
    <s v="KS AZS AWF Katowice"/>
    <n v="3"/>
    <x v="3"/>
    <x v="0"/>
    <x v="27"/>
  </r>
  <r>
    <s v="GARNCZAREK Kacper"/>
    <x v="0"/>
    <s v="KS AZS AWF Katowice"/>
    <n v="3"/>
    <x v="3"/>
    <x v="1"/>
    <x v="8"/>
  </r>
  <r>
    <s v="GARNCZAREK Kacper"/>
    <x v="0"/>
    <s v="KS AZS AWF Katowice"/>
    <n v="3"/>
    <x v="3"/>
    <x v="2"/>
    <x v="31"/>
  </r>
  <r>
    <s v="GARNCZAREK Kacper"/>
    <x v="0"/>
    <s v="KS AZS AWF Katowice"/>
    <n v="3"/>
    <x v="4"/>
    <x v="0"/>
    <x v="32"/>
  </r>
  <r>
    <s v="GARNCZAREK Kacper"/>
    <x v="0"/>
    <s v="KS AZS AWF Katowice"/>
    <n v="3"/>
    <x v="4"/>
    <x v="1"/>
    <x v="33"/>
  </r>
  <r>
    <s v="GARNCZAREK Kacper"/>
    <x v="0"/>
    <s v="KS AZS AWF Katowice"/>
    <n v="3"/>
    <x v="4"/>
    <x v="2"/>
    <x v="25"/>
  </r>
  <r>
    <s v="GARNCZAREK Kacper"/>
    <x v="0"/>
    <s v="KS AZS AWF Katowice"/>
    <n v="3"/>
    <x v="5"/>
    <x v="0"/>
    <x v="27"/>
  </r>
  <r>
    <s v="GARNCZAREK Kacper"/>
    <x v="0"/>
    <s v="KS AZS AWF Katowice"/>
    <n v="3"/>
    <x v="5"/>
    <x v="1"/>
    <x v="34"/>
  </r>
  <r>
    <s v="GARNCZAREK Kacper"/>
    <x v="0"/>
    <s v="KS AZS AWF Katowice"/>
    <n v="3"/>
    <x v="5"/>
    <x v="2"/>
    <x v="7"/>
  </r>
  <r>
    <s v="WIERZBA Kacper"/>
    <x v="0"/>
    <s v="MKS Gdańsk"/>
    <n v="3"/>
    <x v="0"/>
    <x v="0"/>
    <x v="16"/>
  </r>
  <r>
    <s v="WIERZBA Kacper"/>
    <x v="0"/>
    <s v="MKS Gdańsk"/>
    <n v="3"/>
    <x v="0"/>
    <x v="1"/>
    <x v="16"/>
  </r>
  <r>
    <s v="WIERZBA Kacper"/>
    <x v="0"/>
    <s v="MKS Gdańsk"/>
    <n v="3"/>
    <x v="0"/>
    <x v="2"/>
    <x v="16"/>
  </r>
  <r>
    <s v="WIERZBA Kacper"/>
    <x v="0"/>
    <s v="MKS Gdańsk"/>
    <n v="3"/>
    <x v="1"/>
    <x v="0"/>
    <x v="17"/>
  </r>
  <r>
    <s v="WIERZBA Kacper"/>
    <x v="0"/>
    <s v="MKS Gdańsk"/>
    <n v="3"/>
    <x v="1"/>
    <x v="1"/>
    <x v="35"/>
  </r>
  <r>
    <s v="WIERZBA Kacper"/>
    <x v="0"/>
    <s v="MKS Gdańsk"/>
    <n v="3"/>
    <x v="1"/>
    <x v="2"/>
    <x v="36"/>
  </r>
  <r>
    <s v="WIERZBA Kacper"/>
    <x v="0"/>
    <s v="MKS Gdańsk"/>
    <n v="3"/>
    <x v="2"/>
    <x v="0"/>
    <x v="17"/>
  </r>
  <r>
    <s v="WIERZBA Kacper"/>
    <x v="0"/>
    <s v="MKS Gdańsk"/>
    <n v="3"/>
    <x v="2"/>
    <x v="1"/>
    <x v="28"/>
  </r>
  <r>
    <s v="WIERZBA Kacper"/>
    <x v="0"/>
    <s v="MKS Gdańsk"/>
    <n v="3"/>
    <x v="2"/>
    <x v="2"/>
    <x v="9"/>
  </r>
  <r>
    <s v="WIERZBA Kacper"/>
    <x v="0"/>
    <s v="MKS Gdańsk"/>
    <n v="3"/>
    <x v="3"/>
    <x v="0"/>
    <x v="17"/>
  </r>
  <r>
    <s v="WIERZBA Kacper"/>
    <x v="0"/>
    <s v="MKS Gdańsk"/>
    <n v="3"/>
    <x v="3"/>
    <x v="1"/>
    <x v="37"/>
  </r>
  <r>
    <s v="WIERZBA Kacper"/>
    <x v="0"/>
    <s v="MKS Gdańsk"/>
    <n v="3"/>
    <x v="3"/>
    <x v="2"/>
    <x v="38"/>
  </r>
  <r>
    <s v="WIERZBA Kacper"/>
    <x v="0"/>
    <s v="MKS Gdańsk"/>
    <n v="3"/>
    <x v="4"/>
    <x v="0"/>
    <x v="23"/>
  </r>
  <r>
    <s v="WIERZBA Kacper"/>
    <x v="0"/>
    <s v="MKS Gdańsk"/>
    <n v="3"/>
    <x v="4"/>
    <x v="1"/>
    <x v="39"/>
  </r>
  <r>
    <s v="WIERZBA Kacper"/>
    <x v="0"/>
    <s v="MKS Gdańsk"/>
    <n v="3"/>
    <x v="4"/>
    <x v="2"/>
    <x v="40"/>
  </r>
  <r>
    <s v="WIERZBA Kacper"/>
    <x v="0"/>
    <s v="MKS Gdańsk"/>
    <n v="3"/>
    <x v="5"/>
    <x v="0"/>
    <x v="17"/>
  </r>
  <r>
    <s v="WIERZBA Kacper"/>
    <x v="0"/>
    <s v="MKS Gdańsk"/>
    <n v="3"/>
    <x v="5"/>
    <x v="1"/>
    <x v="41"/>
  </r>
  <r>
    <s v="WIERZBA Kacper"/>
    <x v="0"/>
    <s v="MKS Gdańsk"/>
    <n v="3"/>
    <x v="5"/>
    <x v="2"/>
    <x v="42"/>
  </r>
  <r>
    <s v="LUDYNIA Marceli"/>
    <x v="0"/>
    <s v="KS AZS AWF Katowice"/>
    <n v="4"/>
    <x v="0"/>
    <x v="0"/>
    <x v="17"/>
  </r>
  <r>
    <s v="LUDYNIA Marceli"/>
    <x v="0"/>
    <s v="KS AZS AWF Katowice"/>
    <n v="4"/>
    <x v="0"/>
    <x v="1"/>
    <x v="43"/>
  </r>
  <r>
    <s v="LUDYNIA Marceli"/>
    <x v="0"/>
    <s v="KS AZS AWF Katowice"/>
    <n v="4"/>
    <x v="0"/>
    <x v="2"/>
    <x v="44"/>
  </r>
  <r>
    <s v="LUDYNIA Marceli"/>
    <x v="0"/>
    <s v="KS AZS AWF Katowice"/>
    <n v="4"/>
    <x v="1"/>
    <x v="0"/>
    <x v="17"/>
  </r>
  <r>
    <s v="LUDYNIA Marceli"/>
    <x v="0"/>
    <s v="KS AZS AWF Katowice"/>
    <n v="4"/>
    <x v="1"/>
    <x v="1"/>
    <x v="28"/>
  </r>
  <r>
    <s v="LUDYNIA Marceli"/>
    <x v="0"/>
    <s v="KS AZS AWF Katowice"/>
    <n v="4"/>
    <x v="1"/>
    <x v="2"/>
    <x v="9"/>
  </r>
  <r>
    <s v="LUDYNIA Marceli"/>
    <x v="0"/>
    <s v="KS AZS AWF Katowice"/>
    <n v="4"/>
    <x v="2"/>
    <x v="0"/>
    <x v="17"/>
  </r>
  <r>
    <s v="LUDYNIA Marceli"/>
    <x v="0"/>
    <s v="KS AZS AWF Katowice"/>
    <n v="4"/>
    <x v="2"/>
    <x v="1"/>
    <x v="19"/>
  </r>
  <r>
    <s v="LUDYNIA Marceli"/>
    <x v="0"/>
    <s v="KS AZS AWF Katowice"/>
    <n v="4"/>
    <x v="2"/>
    <x v="2"/>
    <x v="20"/>
  </r>
  <r>
    <s v="LUDYNIA Marceli"/>
    <x v="0"/>
    <s v="KS AZS AWF Katowice"/>
    <n v="4"/>
    <x v="3"/>
    <x v="0"/>
    <x v="17"/>
  </r>
  <r>
    <s v="LUDYNIA Marceli"/>
    <x v="0"/>
    <s v="KS AZS AWF Katowice"/>
    <n v="4"/>
    <x v="3"/>
    <x v="1"/>
    <x v="1"/>
  </r>
  <r>
    <s v="LUDYNIA Marceli"/>
    <x v="0"/>
    <s v="KS AZS AWF Katowice"/>
    <n v="4"/>
    <x v="3"/>
    <x v="2"/>
    <x v="31"/>
  </r>
  <r>
    <s v="LUDYNIA Marceli"/>
    <x v="0"/>
    <s v="KS AZS AWF Katowice"/>
    <n v="4"/>
    <x v="4"/>
    <x v="0"/>
    <x v="23"/>
  </r>
  <r>
    <s v="LUDYNIA Marceli"/>
    <x v="0"/>
    <s v="KS AZS AWF Katowice"/>
    <n v="4"/>
    <x v="4"/>
    <x v="1"/>
    <x v="45"/>
  </r>
  <r>
    <s v="LUDYNIA Marceli"/>
    <x v="0"/>
    <s v="KS AZS AWF Katowice"/>
    <n v="4"/>
    <x v="4"/>
    <x v="2"/>
    <x v="46"/>
  </r>
  <r>
    <s v="LUDYNIA Marceli"/>
    <x v="0"/>
    <s v="KS AZS AWF Katowice"/>
    <n v="4"/>
    <x v="5"/>
    <x v="0"/>
    <x v="17"/>
  </r>
  <r>
    <s v="LUDYNIA Marceli"/>
    <x v="0"/>
    <s v="KS AZS AWF Katowice"/>
    <n v="4"/>
    <x v="5"/>
    <x v="1"/>
    <x v="47"/>
  </r>
  <r>
    <s v="LUDYNIA Marceli"/>
    <x v="0"/>
    <s v="KS AZS AWF Katowice"/>
    <n v="4"/>
    <x v="5"/>
    <x v="2"/>
    <x v="48"/>
  </r>
  <r>
    <s v="PAWŁOWSKI Jakub"/>
    <x v="0"/>
    <s v="MKS Gdańsk"/>
    <n v="3"/>
    <x v="0"/>
    <x v="0"/>
    <x v="16"/>
  </r>
  <r>
    <s v="PAWŁOWSKI Jakub"/>
    <x v="0"/>
    <s v="MKS Gdańsk"/>
    <n v="3"/>
    <x v="0"/>
    <x v="1"/>
    <x v="16"/>
  </r>
  <r>
    <s v="PAWŁOWSKI Jakub"/>
    <x v="0"/>
    <s v="MKS Gdańsk"/>
    <n v="3"/>
    <x v="0"/>
    <x v="2"/>
    <x v="16"/>
  </r>
  <r>
    <s v="PAWŁOWSKI Jakub"/>
    <x v="0"/>
    <s v="MKS Gdańsk"/>
    <n v="3"/>
    <x v="1"/>
    <x v="0"/>
    <x v="17"/>
  </r>
  <r>
    <s v="PAWŁOWSKI Jakub"/>
    <x v="0"/>
    <s v="MKS Gdańsk"/>
    <n v="3"/>
    <x v="1"/>
    <x v="1"/>
    <x v="49"/>
  </r>
  <r>
    <s v="PAWŁOWSKI Jakub"/>
    <x v="0"/>
    <s v="MKS Gdańsk"/>
    <n v="3"/>
    <x v="1"/>
    <x v="2"/>
    <x v="50"/>
  </r>
  <r>
    <s v="PAWŁOWSKI Jakub"/>
    <x v="0"/>
    <s v="MKS Gdańsk"/>
    <n v="3"/>
    <x v="2"/>
    <x v="0"/>
    <x v="17"/>
  </r>
  <r>
    <s v="PAWŁOWSKI Jakub"/>
    <x v="0"/>
    <s v="MKS Gdańsk"/>
    <n v="3"/>
    <x v="2"/>
    <x v="1"/>
    <x v="26"/>
  </r>
  <r>
    <s v="PAWŁOWSKI Jakub"/>
    <x v="0"/>
    <s v="MKS Gdańsk"/>
    <n v="3"/>
    <x v="2"/>
    <x v="2"/>
    <x v="7"/>
  </r>
  <r>
    <s v="PAWŁOWSKI Jakub"/>
    <x v="0"/>
    <s v="MKS Gdańsk"/>
    <n v="3"/>
    <x v="3"/>
    <x v="0"/>
    <x v="17"/>
  </r>
  <r>
    <s v="PAWŁOWSKI Jakub"/>
    <x v="0"/>
    <s v="MKS Gdańsk"/>
    <n v="3"/>
    <x v="3"/>
    <x v="1"/>
    <x v="51"/>
  </r>
  <r>
    <s v="PAWŁOWSKI Jakub"/>
    <x v="0"/>
    <s v="MKS Gdańsk"/>
    <n v="3"/>
    <x v="3"/>
    <x v="2"/>
    <x v="52"/>
  </r>
  <r>
    <s v="PAWŁOWSKI Jakub"/>
    <x v="0"/>
    <s v="MKS Gdańsk"/>
    <n v="3"/>
    <x v="4"/>
    <x v="0"/>
    <x v="23"/>
  </r>
  <r>
    <s v="PAWŁOWSKI Jakub"/>
    <x v="0"/>
    <s v="MKS Gdańsk"/>
    <n v="3"/>
    <x v="4"/>
    <x v="1"/>
    <x v="53"/>
  </r>
  <r>
    <s v="PAWŁOWSKI Jakub"/>
    <x v="0"/>
    <s v="MKS Gdańsk"/>
    <n v="3"/>
    <x v="4"/>
    <x v="2"/>
    <x v="54"/>
  </r>
  <r>
    <s v="PAWŁOWSKI Jakub"/>
    <x v="0"/>
    <s v="MKS Gdańsk"/>
    <n v="3"/>
    <x v="5"/>
    <x v="0"/>
    <x v="17"/>
  </r>
  <r>
    <s v="PAWŁOWSKI Jakub"/>
    <x v="0"/>
    <s v="MKS Gdańsk"/>
    <n v="3"/>
    <x v="5"/>
    <x v="1"/>
    <x v="34"/>
  </r>
  <r>
    <s v="PAWŁOWSKI Jakub"/>
    <x v="0"/>
    <s v="MKS Gdańsk"/>
    <n v="3"/>
    <x v="5"/>
    <x v="2"/>
    <x v="55"/>
  </r>
  <r>
    <s v="KWIATKOWSKI Michał"/>
    <x v="1"/>
    <s v="MKS Kusy Szczecin"/>
    <n v="4"/>
    <x v="0"/>
    <x v="0"/>
    <x v="56"/>
  </r>
  <r>
    <s v="KWIATKOWSKI Michał"/>
    <x v="1"/>
    <s v="MKS Kusy Szczecin"/>
    <n v="4"/>
    <x v="0"/>
    <x v="1"/>
    <x v="37"/>
  </r>
  <r>
    <s v="KWIATKOWSKI Michał"/>
    <x v="1"/>
    <s v="MKS Kusy Szczecin"/>
    <n v="4"/>
    <x v="0"/>
    <x v="2"/>
    <x v="57"/>
  </r>
  <r>
    <s v="KWIATKOWSKI Michał"/>
    <x v="1"/>
    <s v="MKS Kusy Szczecin"/>
    <n v="4"/>
    <x v="1"/>
    <x v="0"/>
    <x v="56"/>
  </r>
  <r>
    <s v="KWIATKOWSKI Michał"/>
    <x v="1"/>
    <s v="MKS Kusy Szczecin"/>
    <n v="4"/>
    <x v="1"/>
    <x v="1"/>
    <x v="58"/>
  </r>
  <r>
    <s v="KWIATKOWSKI Michał"/>
    <x v="1"/>
    <s v="MKS Kusy Szczecin"/>
    <n v="4"/>
    <x v="1"/>
    <x v="2"/>
    <x v="59"/>
  </r>
  <r>
    <s v="KWIATKOWSKI Michał"/>
    <x v="1"/>
    <s v="MKS Kusy Szczecin"/>
    <n v="4"/>
    <x v="2"/>
    <x v="0"/>
    <x v="56"/>
  </r>
  <r>
    <s v="KWIATKOWSKI Michał"/>
    <x v="1"/>
    <s v="MKS Kusy Szczecin"/>
    <n v="4"/>
    <x v="2"/>
    <x v="1"/>
    <x v="60"/>
  </r>
  <r>
    <s v="KWIATKOWSKI Michał"/>
    <x v="1"/>
    <s v="MKS Kusy Szczecin"/>
    <n v="4"/>
    <x v="2"/>
    <x v="2"/>
    <x v="50"/>
  </r>
  <r>
    <s v="KWIATKOWSKI Michał"/>
    <x v="1"/>
    <s v="MKS Kusy Szczecin"/>
    <n v="4"/>
    <x v="3"/>
    <x v="0"/>
    <x v="61"/>
  </r>
  <r>
    <s v="KWIATKOWSKI Michał"/>
    <x v="1"/>
    <s v="MKS Kusy Szczecin"/>
    <n v="4"/>
    <x v="3"/>
    <x v="1"/>
    <x v="21"/>
  </r>
  <r>
    <s v="KWIATKOWSKI Michał"/>
    <x v="1"/>
    <s v="MKS Kusy Szczecin"/>
    <n v="4"/>
    <x v="3"/>
    <x v="2"/>
    <x v="62"/>
  </r>
  <r>
    <s v="KWIATKOWSKI Michał"/>
    <x v="1"/>
    <s v="MKS Kusy Szczecin"/>
    <n v="4"/>
    <x v="4"/>
    <x v="0"/>
    <x v="63"/>
  </r>
  <r>
    <s v="KWIATKOWSKI Michał"/>
    <x v="1"/>
    <s v="MKS Kusy Szczecin"/>
    <n v="4"/>
    <x v="4"/>
    <x v="1"/>
    <x v="64"/>
  </r>
  <r>
    <s v="KWIATKOWSKI Michał"/>
    <x v="1"/>
    <s v="MKS Kusy Szczecin"/>
    <n v="4"/>
    <x v="4"/>
    <x v="2"/>
    <x v="65"/>
  </r>
  <r>
    <s v="KWIATKOWSKI Michał"/>
    <x v="1"/>
    <s v="MKS Kusy Szczecin"/>
    <n v="4"/>
    <x v="5"/>
    <x v="0"/>
    <x v="66"/>
  </r>
  <r>
    <s v="KWIATKOWSKI Michał"/>
    <x v="1"/>
    <s v="MKS Kusy Szczecin"/>
    <n v="4"/>
    <x v="5"/>
    <x v="1"/>
    <x v="67"/>
  </r>
  <r>
    <s v="KWIATKOWSKI Michał"/>
    <x v="1"/>
    <s v="MKS Kusy Szczecin"/>
    <n v="4"/>
    <x v="5"/>
    <x v="2"/>
    <x v="68"/>
  </r>
  <r>
    <s v="CHRUŚCIEL Szymon"/>
    <x v="0"/>
    <s v="KS AZS AWF Kraków"/>
    <n v="4"/>
    <x v="0"/>
    <x v="0"/>
    <x v="69"/>
  </r>
  <r>
    <s v="CHRUŚCIEL Szymon"/>
    <x v="0"/>
    <s v="KS AZS AWF Kraków"/>
    <n v="4"/>
    <x v="0"/>
    <x v="1"/>
    <x v="35"/>
  </r>
  <r>
    <s v="CHRUŚCIEL Szymon"/>
    <x v="0"/>
    <s v="KS AZS AWF Kraków"/>
    <n v="4"/>
    <x v="0"/>
    <x v="2"/>
    <x v="70"/>
  </r>
  <r>
    <s v="CHRUŚCIEL Szymon"/>
    <x v="0"/>
    <s v="KS AZS AWF Kraków"/>
    <n v="4"/>
    <x v="1"/>
    <x v="0"/>
    <x v="56"/>
  </r>
  <r>
    <s v="CHRUŚCIEL Szymon"/>
    <x v="0"/>
    <s v="KS AZS AWF Kraków"/>
    <n v="4"/>
    <x v="1"/>
    <x v="1"/>
    <x v="26"/>
  </r>
  <r>
    <s v="CHRUŚCIEL Szymon"/>
    <x v="0"/>
    <s v="KS AZS AWF Kraków"/>
    <n v="4"/>
    <x v="1"/>
    <x v="2"/>
    <x v="71"/>
  </r>
  <r>
    <s v="CHRUŚCIEL Szymon"/>
    <x v="0"/>
    <s v="KS AZS AWF Kraków"/>
    <n v="4"/>
    <x v="2"/>
    <x v="0"/>
    <x v="56"/>
  </r>
  <r>
    <s v="CHRUŚCIEL Szymon"/>
    <x v="0"/>
    <s v="KS AZS AWF Kraków"/>
    <n v="4"/>
    <x v="2"/>
    <x v="1"/>
    <x v="35"/>
  </r>
  <r>
    <s v="CHRUŚCIEL Szymon"/>
    <x v="0"/>
    <s v="KS AZS AWF Kraków"/>
    <n v="4"/>
    <x v="2"/>
    <x v="2"/>
    <x v="72"/>
  </r>
  <r>
    <s v="CHRUŚCIEL Szymon"/>
    <x v="0"/>
    <s v="KS AZS AWF Kraków"/>
    <n v="4"/>
    <x v="3"/>
    <x v="0"/>
    <x v="56"/>
  </r>
  <r>
    <s v="CHRUŚCIEL Szymon"/>
    <x v="0"/>
    <s v="KS AZS AWF Kraków"/>
    <n v="4"/>
    <x v="3"/>
    <x v="1"/>
    <x v="8"/>
  </r>
  <r>
    <s v="CHRUŚCIEL Szymon"/>
    <x v="0"/>
    <s v="KS AZS AWF Kraków"/>
    <n v="4"/>
    <x v="3"/>
    <x v="2"/>
    <x v="73"/>
  </r>
  <r>
    <s v="CHRUŚCIEL Szymon"/>
    <x v="0"/>
    <s v="KS AZS AWF Kraków"/>
    <n v="4"/>
    <x v="4"/>
    <x v="0"/>
    <x v="63"/>
  </r>
  <r>
    <s v="CHRUŚCIEL Szymon"/>
    <x v="0"/>
    <s v="KS AZS AWF Kraków"/>
    <n v="4"/>
    <x v="4"/>
    <x v="1"/>
    <x v="74"/>
  </r>
  <r>
    <s v="CHRUŚCIEL Szymon"/>
    <x v="0"/>
    <s v="KS AZS AWF Kraków"/>
    <n v="4"/>
    <x v="4"/>
    <x v="2"/>
    <x v="65"/>
  </r>
  <r>
    <s v="CHRUŚCIEL Szymon"/>
    <x v="0"/>
    <s v="KS AZS AWF Kraków"/>
    <n v="4"/>
    <x v="5"/>
    <x v="0"/>
    <x v="66"/>
  </r>
  <r>
    <s v="CHRUŚCIEL Szymon"/>
    <x v="0"/>
    <s v="KS AZS AWF Kraków"/>
    <n v="4"/>
    <x v="5"/>
    <x v="1"/>
    <x v="75"/>
  </r>
  <r>
    <s v="CHRUŚCIEL Szymon"/>
    <x v="0"/>
    <s v="KS AZS AWF Kraków"/>
    <n v="4"/>
    <x v="5"/>
    <x v="2"/>
    <x v="68"/>
  </r>
  <r>
    <s v="CZARNECKI Aleksander"/>
    <x v="1"/>
    <s v="MKS Kusy Szczecin"/>
    <n v="3"/>
    <x v="0"/>
    <x v="0"/>
    <x v="61"/>
  </r>
  <r>
    <s v="CZARNECKI Aleksander"/>
    <x v="1"/>
    <s v="MKS Kusy Szczecin"/>
    <n v="3"/>
    <x v="0"/>
    <x v="1"/>
    <x v="43"/>
  </r>
  <r>
    <s v="CZARNECKI Aleksander"/>
    <x v="1"/>
    <s v="MKS Kusy Szczecin"/>
    <n v="3"/>
    <x v="0"/>
    <x v="2"/>
    <x v="76"/>
  </r>
  <r>
    <s v="CZARNECKI Aleksander"/>
    <x v="1"/>
    <s v="MKS Kusy Szczecin"/>
    <n v="3"/>
    <x v="1"/>
    <x v="0"/>
    <x v="17"/>
  </r>
  <r>
    <s v="CZARNECKI Aleksander"/>
    <x v="1"/>
    <s v="MKS Kusy Szczecin"/>
    <n v="3"/>
    <x v="1"/>
    <x v="1"/>
    <x v="77"/>
  </r>
  <r>
    <s v="CZARNECKI Aleksander"/>
    <x v="1"/>
    <s v="MKS Kusy Szczecin"/>
    <n v="3"/>
    <x v="1"/>
    <x v="2"/>
    <x v="78"/>
  </r>
  <r>
    <s v="CZARNECKI Aleksander"/>
    <x v="1"/>
    <s v="MKS Kusy Szczecin"/>
    <n v="3"/>
    <x v="2"/>
    <x v="0"/>
    <x v="16"/>
  </r>
  <r>
    <s v="CZARNECKI Aleksander"/>
    <x v="1"/>
    <s v="MKS Kusy Szczecin"/>
    <n v="3"/>
    <x v="2"/>
    <x v="1"/>
    <x v="16"/>
  </r>
  <r>
    <s v="CZARNECKI Aleksander"/>
    <x v="1"/>
    <s v="MKS Kusy Szczecin"/>
    <n v="3"/>
    <x v="2"/>
    <x v="2"/>
    <x v="16"/>
  </r>
  <r>
    <s v="CZARNECKI Aleksander"/>
    <x v="1"/>
    <s v="MKS Kusy Szczecin"/>
    <n v="3"/>
    <x v="3"/>
    <x v="0"/>
    <x v="17"/>
  </r>
  <r>
    <s v="CZARNECKI Aleksander"/>
    <x v="1"/>
    <s v="MKS Kusy Szczecin"/>
    <n v="3"/>
    <x v="3"/>
    <x v="1"/>
    <x v="43"/>
  </r>
  <r>
    <s v="CZARNECKI Aleksander"/>
    <x v="1"/>
    <s v="MKS Kusy Szczecin"/>
    <n v="3"/>
    <x v="3"/>
    <x v="2"/>
    <x v="44"/>
  </r>
  <r>
    <s v="CZARNECKI Aleksander"/>
    <x v="1"/>
    <s v="MKS Kusy Szczecin"/>
    <n v="3"/>
    <x v="4"/>
    <x v="0"/>
    <x v="79"/>
  </r>
  <r>
    <s v="CZARNECKI Aleksander"/>
    <x v="1"/>
    <s v="MKS Kusy Szczecin"/>
    <n v="3"/>
    <x v="4"/>
    <x v="1"/>
    <x v="80"/>
  </r>
  <r>
    <s v="CZARNECKI Aleksander"/>
    <x v="1"/>
    <s v="MKS Kusy Szczecin"/>
    <n v="3"/>
    <x v="4"/>
    <x v="2"/>
    <x v="81"/>
  </r>
  <r>
    <s v="CZARNECKI Aleksander"/>
    <x v="1"/>
    <s v="MKS Kusy Szczecin"/>
    <n v="3"/>
    <x v="5"/>
    <x v="0"/>
    <x v="82"/>
  </r>
  <r>
    <s v="CZARNECKI Aleksander"/>
    <x v="1"/>
    <s v="MKS Kusy Szczecin"/>
    <n v="3"/>
    <x v="5"/>
    <x v="1"/>
    <x v="83"/>
  </r>
  <r>
    <s v="CZARNECKI Aleksander"/>
    <x v="1"/>
    <s v="MKS Kusy Szczecin"/>
    <n v="3"/>
    <x v="5"/>
    <x v="2"/>
    <x v="84"/>
  </r>
  <r>
    <s v="BRACKI Borys"/>
    <x v="0"/>
    <s v="KS AZS AWF Katowice"/>
    <n v="4"/>
    <x v="0"/>
    <x v="0"/>
    <x v="82"/>
  </r>
  <r>
    <s v="BRACKI Borys"/>
    <x v="0"/>
    <s v="KS AZS AWF Katowice"/>
    <n v="4"/>
    <x v="0"/>
    <x v="1"/>
    <x v="49"/>
  </r>
  <r>
    <s v="BRACKI Borys"/>
    <x v="0"/>
    <s v="KS AZS AWF Katowice"/>
    <n v="4"/>
    <x v="0"/>
    <x v="2"/>
    <x v="23"/>
  </r>
  <r>
    <s v="BRACKI Borys"/>
    <x v="0"/>
    <s v="KS AZS AWF Katowice"/>
    <n v="4"/>
    <x v="1"/>
    <x v="0"/>
    <x v="82"/>
  </r>
  <r>
    <s v="BRACKI Borys"/>
    <x v="0"/>
    <s v="KS AZS AWF Katowice"/>
    <n v="4"/>
    <x v="1"/>
    <x v="1"/>
    <x v="85"/>
  </r>
  <r>
    <s v="BRACKI Borys"/>
    <x v="0"/>
    <s v="KS AZS AWF Katowice"/>
    <n v="4"/>
    <x v="1"/>
    <x v="2"/>
    <x v="86"/>
  </r>
  <r>
    <s v="BRACKI Borys"/>
    <x v="0"/>
    <s v="KS AZS AWF Katowice"/>
    <n v="4"/>
    <x v="2"/>
    <x v="0"/>
    <x v="17"/>
  </r>
  <r>
    <s v="BRACKI Borys"/>
    <x v="0"/>
    <s v="KS AZS AWF Katowice"/>
    <n v="4"/>
    <x v="2"/>
    <x v="1"/>
    <x v="87"/>
  </r>
  <r>
    <s v="BRACKI Borys"/>
    <x v="0"/>
    <s v="KS AZS AWF Katowice"/>
    <n v="4"/>
    <x v="2"/>
    <x v="2"/>
    <x v="59"/>
  </r>
  <r>
    <s v="BRACKI Borys"/>
    <x v="0"/>
    <s v="KS AZS AWF Katowice"/>
    <n v="4"/>
    <x v="3"/>
    <x v="0"/>
    <x v="88"/>
  </r>
  <r>
    <s v="BRACKI Borys"/>
    <x v="0"/>
    <s v="KS AZS AWF Katowice"/>
    <n v="4"/>
    <x v="3"/>
    <x v="1"/>
    <x v="8"/>
  </r>
  <r>
    <s v="BRACKI Borys"/>
    <x v="0"/>
    <s v="KS AZS AWF Katowice"/>
    <n v="4"/>
    <x v="3"/>
    <x v="2"/>
    <x v="89"/>
  </r>
  <r>
    <s v="BRACKI Borys"/>
    <x v="0"/>
    <s v="KS AZS AWF Katowice"/>
    <n v="4"/>
    <x v="4"/>
    <x v="0"/>
    <x v="90"/>
  </r>
  <r>
    <s v="BRACKI Borys"/>
    <x v="0"/>
    <s v="KS AZS AWF Katowice"/>
    <n v="4"/>
    <x v="4"/>
    <x v="1"/>
    <x v="91"/>
  </r>
  <r>
    <s v="BRACKI Borys"/>
    <x v="0"/>
    <s v="KS AZS AWF Katowice"/>
    <n v="4"/>
    <x v="4"/>
    <x v="2"/>
    <x v="92"/>
  </r>
  <r>
    <s v="BRACKI Borys"/>
    <x v="0"/>
    <s v="KS AZS AWF Katowice"/>
    <n v="4"/>
    <x v="5"/>
    <x v="0"/>
    <x v="93"/>
  </r>
  <r>
    <s v="BRACKI Borys"/>
    <x v="0"/>
    <s v="KS AZS AWF Katowice"/>
    <n v="4"/>
    <x v="5"/>
    <x v="1"/>
    <x v="94"/>
  </r>
  <r>
    <s v="BRACKI Borys"/>
    <x v="0"/>
    <s v="KS AZS AWF Katowice"/>
    <n v="4"/>
    <x v="5"/>
    <x v="2"/>
    <x v="95"/>
  </r>
  <r>
    <s v="KOPERSKI Filip"/>
    <x v="1"/>
    <s v="KS AZS AWF Kraków"/>
    <n v="3"/>
    <x v="0"/>
    <x v="0"/>
    <x v="16"/>
  </r>
  <r>
    <s v="KOPERSKI Filip"/>
    <x v="1"/>
    <s v="KS AZS AWF Kraków"/>
    <n v="3"/>
    <x v="0"/>
    <x v="1"/>
    <x v="16"/>
  </r>
  <r>
    <s v="KOPERSKI Filip"/>
    <x v="1"/>
    <s v="KS AZS AWF Kraków"/>
    <n v="3"/>
    <x v="0"/>
    <x v="2"/>
    <x v="16"/>
  </r>
  <r>
    <s v="KOPERSKI Filip"/>
    <x v="1"/>
    <s v="KS AZS AWF Kraków"/>
    <n v="3"/>
    <x v="1"/>
    <x v="0"/>
    <x v="17"/>
  </r>
  <r>
    <s v="KOPERSKI Filip"/>
    <x v="1"/>
    <s v="KS AZS AWF Kraków"/>
    <n v="3"/>
    <x v="1"/>
    <x v="1"/>
    <x v="96"/>
  </r>
  <r>
    <s v="KOPERSKI Filip"/>
    <x v="1"/>
    <s v="KS AZS AWF Kraków"/>
    <n v="3"/>
    <x v="1"/>
    <x v="2"/>
    <x v="97"/>
  </r>
  <r>
    <s v="KOPERSKI Filip"/>
    <x v="1"/>
    <s v="KS AZS AWF Kraków"/>
    <n v="3"/>
    <x v="2"/>
    <x v="0"/>
    <x v="17"/>
  </r>
  <r>
    <s v="KOPERSKI Filip"/>
    <x v="1"/>
    <s v="KS AZS AWF Kraków"/>
    <n v="3"/>
    <x v="2"/>
    <x v="1"/>
    <x v="21"/>
  </r>
  <r>
    <s v="KOPERSKI Filip"/>
    <x v="1"/>
    <s v="KS AZS AWF Kraków"/>
    <n v="3"/>
    <x v="2"/>
    <x v="2"/>
    <x v="22"/>
  </r>
  <r>
    <s v="KOPERSKI Filip"/>
    <x v="1"/>
    <s v="KS AZS AWF Kraków"/>
    <n v="3"/>
    <x v="3"/>
    <x v="0"/>
    <x v="61"/>
  </r>
  <r>
    <s v="KOPERSKI Filip"/>
    <x v="1"/>
    <s v="KS AZS AWF Kraków"/>
    <n v="3"/>
    <x v="3"/>
    <x v="1"/>
    <x v="43"/>
  </r>
  <r>
    <s v="KOPERSKI Filip"/>
    <x v="1"/>
    <s v="KS AZS AWF Kraków"/>
    <n v="3"/>
    <x v="3"/>
    <x v="2"/>
    <x v="76"/>
  </r>
  <r>
    <s v="KOPERSKI Filip"/>
    <x v="1"/>
    <s v="KS AZS AWF Kraków"/>
    <n v="3"/>
    <x v="4"/>
    <x v="0"/>
    <x v="79"/>
  </r>
  <r>
    <s v="KOPERSKI Filip"/>
    <x v="1"/>
    <s v="KS AZS AWF Kraków"/>
    <n v="3"/>
    <x v="4"/>
    <x v="1"/>
    <x v="98"/>
  </r>
  <r>
    <s v="KOPERSKI Filip"/>
    <x v="1"/>
    <s v="KS AZS AWF Kraków"/>
    <n v="3"/>
    <x v="4"/>
    <x v="2"/>
    <x v="99"/>
  </r>
  <r>
    <s v="KOPERSKI Filip"/>
    <x v="1"/>
    <s v="KS AZS AWF Kraków"/>
    <n v="3"/>
    <x v="5"/>
    <x v="0"/>
    <x v="82"/>
  </r>
  <r>
    <s v="KOPERSKI Filip"/>
    <x v="1"/>
    <s v="KS AZS AWF Kraków"/>
    <n v="3"/>
    <x v="5"/>
    <x v="1"/>
    <x v="100"/>
  </r>
  <r>
    <s v="KOPERSKI Filip"/>
    <x v="1"/>
    <s v="KS AZS AWF Kraków"/>
    <n v="3"/>
    <x v="5"/>
    <x v="2"/>
    <x v="101"/>
  </r>
  <r>
    <s v="BOBER Michał"/>
    <x v="0"/>
    <s v="UKS SP7 Łódź"/>
    <n v="4"/>
    <x v="0"/>
    <x v="0"/>
    <x v="82"/>
  </r>
  <r>
    <s v="BOBER Michał"/>
    <x v="0"/>
    <s v="UKS SP7 Łódź"/>
    <n v="4"/>
    <x v="0"/>
    <x v="1"/>
    <x v="102"/>
  </r>
  <r>
    <s v="BOBER Michał"/>
    <x v="0"/>
    <s v="UKS SP7 Łódź"/>
    <n v="4"/>
    <x v="0"/>
    <x v="2"/>
    <x v="76"/>
  </r>
  <r>
    <s v="BOBER Michał"/>
    <x v="0"/>
    <s v="UKS SP7 Łódź"/>
    <n v="4"/>
    <x v="1"/>
    <x v="0"/>
    <x v="56"/>
  </r>
  <r>
    <s v="BOBER Michał"/>
    <x v="0"/>
    <s v="UKS SP7 Łódź"/>
    <n v="4"/>
    <x v="1"/>
    <x v="1"/>
    <x v="29"/>
  </r>
  <r>
    <s v="BOBER Michał"/>
    <x v="0"/>
    <s v="UKS SP7 Łódź"/>
    <n v="4"/>
    <x v="1"/>
    <x v="2"/>
    <x v="103"/>
  </r>
  <r>
    <s v="BOBER Michał"/>
    <x v="0"/>
    <s v="UKS SP7 Łódź"/>
    <n v="4"/>
    <x v="2"/>
    <x v="0"/>
    <x v="56"/>
  </r>
  <r>
    <s v="BOBER Michał"/>
    <x v="0"/>
    <s v="UKS SP7 Łódź"/>
    <n v="4"/>
    <x v="2"/>
    <x v="1"/>
    <x v="104"/>
  </r>
  <r>
    <s v="BOBER Michał"/>
    <x v="0"/>
    <s v="UKS SP7 Łódź"/>
    <n v="4"/>
    <x v="2"/>
    <x v="2"/>
    <x v="105"/>
  </r>
  <r>
    <s v="BOBER Michał"/>
    <x v="0"/>
    <s v="UKS SP7 Łódź"/>
    <n v="4"/>
    <x v="3"/>
    <x v="0"/>
    <x v="56"/>
  </r>
  <r>
    <s v="BOBER Michał"/>
    <x v="0"/>
    <s v="UKS SP7 Łódź"/>
    <n v="4"/>
    <x v="3"/>
    <x v="1"/>
    <x v="8"/>
  </r>
  <r>
    <s v="BOBER Michał"/>
    <x v="0"/>
    <s v="UKS SP7 Łódź"/>
    <n v="4"/>
    <x v="3"/>
    <x v="2"/>
    <x v="73"/>
  </r>
  <r>
    <s v="BOBER Michał"/>
    <x v="0"/>
    <s v="UKS SP7 Łódź"/>
    <n v="4"/>
    <x v="4"/>
    <x v="0"/>
    <x v="106"/>
  </r>
  <r>
    <s v="BOBER Michał"/>
    <x v="0"/>
    <s v="UKS SP7 Łódź"/>
    <n v="4"/>
    <x v="4"/>
    <x v="1"/>
    <x v="107"/>
  </r>
  <r>
    <s v="BOBER Michał"/>
    <x v="0"/>
    <s v="UKS SP7 Łódź"/>
    <n v="4"/>
    <x v="4"/>
    <x v="2"/>
    <x v="108"/>
  </r>
  <r>
    <s v="BOBER Michał"/>
    <x v="0"/>
    <s v="UKS SP7 Łódź"/>
    <n v="4"/>
    <x v="5"/>
    <x v="0"/>
    <x v="109"/>
  </r>
  <r>
    <s v="BOBER Michał"/>
    <x v="0"/>
    <s v="UKS SP7 Łódź"/>
    <n v="4"/>
    <x v="5"/>
    <x v="1"/>
    <x v="110"/>
  </r>
  <r>
    <s v="BOBER Michał"/>
    <x v="0"/>
    <s v="UKS SP7 Łódź"/>
    <n v="4"/>
    <x v="5"/>
    <x v="2"/>
    <x v="111"/>
  </r>
  <r>
    <s v="JANKOWSKI Dominik"/>
    <x v="1"/>
    <s v="MKS Gdańsk"/>
    <n v="4"/>
    <x v="0"/>
    <x v="0"/>
    <x v="17"/>
  </r>
  <r>
    <s v="JANKOWSKI Dominik"/>
    <x v="1"/>
    <s v="MKS Gdańsk"/>
    <n v="4"/>
    <x v="0"/>
    <x v="1"/>
    <x v="112"/>
  </r>
  <r>
    <s v="JANKOWSKI Dominik"/>
    <x v="1"/>
    <s v="MKS Gdańsk"/>
    <n v="4"/>
    <x v="0"/>
    <x v="2"/>
    <x v="113"/>
  </r>
  <r>
    <s v="JANKOWSKI Dominik"/>
    <x v="1"/>
    <s v="MKS Gdańsk"/>
    <n v="4"/>
    <x v="1"/>
    <x v="0"/>
    <x v="61"/>
  </r>
  <r>
    <s v="JANKOWSKI Dominik"/>
    <x v="1"/>
    <s v="MKS Gdańsk"/>
    <n v="4"/>
    <x v="1"/>
    <x v="1"/>
    <x v="104"/>
  </r>
  <r>
    <s v="JANKOWSKI Dominik"/>
    <x v="1"/>
    <s v="MKS Gdańsk"/>
    <n v="4"/>
    <x v="1"/>
    <x v="2"/>
    <x v="114"/>
  </r>
  <r>
    <s v="JANKOWSKI Dominik"/>
    <x v="1"/>
    <s v="MKS Gdańsk"/>
    <n v="4"/>
    <x v="2"/>
    <x v="0"/>
    <x v="61"/>
  </r>
  <r>
    <s v="JANKOWSKI Dominik"/>
    <x v="1"/>
    <s v="MKS Gdańsk"/>
    <n v="4"/>
    <x v="2"/>
    <x v="1"/>
    <x v="60"/>
  </r>
  <r>
    <s v="JANKOWSKI Dominik"/>
    <x v="1"/>
    <s v="MKS Gdańsk"/>
    <n v="4"/>
    <x v="2"/>
    <x v="2"/>
    <x v="23"/>
  </r>
  <r>
    <s v="JANKOWSKI Dominik"/>
    <x v="1"/>
    <s v="MKS Gdańsk"/>
    <n v="4"/>
    <x v="3"/>
    <x v="0"/>
    <x v="61"/>
  </r>
  <r>
    <s v="JANKOWSKI Dominik"/>
    <x v="1"/>
    <s v="MKS Gdańsk"/>
    <n v="4"/>
    <x v="3"/>
    <x v="1"/>
    <x v="49"/>
  </r>
  <r>
    <s v="JANKOWSKI Dominik"/>
    <x v="1"/>
    <s v="MKS Gdańsk"/>
    <n v="4"/>
    <x v="3"/>
    <x v="2"/>
    <x v="90"/>
  </r>
  <r>
    <s v="JANKOWSKI Dominik"/>
    <x v="1"/>
    <s v="MKS Gdańsk"/>
    <n v="4"/>
    <x v="4"/>
    <x v="0"/>
    <x v="4"/>
  </r>
  <r>
    <s v="JANKOWSKI Dominik"/>
    <x v="1"/>
    <s v="MKS Gdańsk"/>
    <n v="4"/>
    <x v="4"/>
    <x v="1"/>
    <x v="115"/>
  </r>
  <r>
    <s v="JANKOWSKI Dominik"/>
    <x v="1"/>
    <s v="MKS Gdańsk"/>
    <n v="4"/>
    <x v="4"/>
    <x v="2"/>
    <x v="116"/>
  </r>
  <r>
    <s v="JANKOWSKI Dominik"/>
    <x v="1"/>
    <s v="MKS Gdańsk"/>
    <n v="4"/>
    <x v="5"/>
    <x v="0"/>
    <x v="117"/>
  </r>
  <r>
    <s v="JANKOWSKI Dominik"/>
    <x v="1"/>
    <s v="MKS Gdańsk"/>
    <n v="4"/>
    <x v="5"/>
    <x v="1"/>
    <x v="118"/>
  </r>
  <r>
    <s v="JANKOWSKI Dominik"/>
    <x v="1"/>
    <s v="MKS Gdańsk"/>
    <n v="4"/>
    <x v="5"/>
    <x v="2"/>
    <x v="119"/>
  </r>
  <r>
    <s v="KOŁODZIEJCZYK Karol"/>
    <x v="1"/>
    <s v="KS AZS AWF Kraków"/>
    <n v="4"/>
    <x v="0"/>
    <x v="0"/>
    <x v="61"/>
  </r>
  <r>
    <s v="KOŁODZIEJCZYK Karol"/>
    <x v="1"/>
    <s v="KS AZS AWF Kraków"/>
    <n v="4"/>
    <x v="0"/>
    <x v="1"/>
    <x v="120"/>
  </r>
  <r>
    <s v="KOŁODZIEJCZYK Karol"/>
    <x v="1"/>
    <s v="KS AZS AWF Kraków"/>
    <n v="4"/>
    <x v="0"/>
    <x v="2"/>
    <x v="121"/>
  </r>
  <r>
    <s v="KOŁODZIEJCZYK Karol"/>
    <x v="1"/>
    <s v="KS AZS AWF Kraków"/>
    <n v="4"/>
    <x v="1"/>
    <x v="0"/>
    <x v="88"/>
  </r>
  <r>
    <s v="KOŁODZIEJCZYK Karol"/>
    <x v="1"/>
    <s v="KS AZS AWF Kraków"/>
    <n v="4"/>
    <x v="1"/>
    <x v="1"/>
    <x v="51"/>
  </r>
  <r>
    <s v="KOŁODZIEJCZYK Karol"/>
    <x v="1"/>
    <s v="KS AZS AWF Kraków"/>
    <n v="4"/>
    <x v="1"/>
    <x v="2"/>
    <x v="121"/>
  </r>
  <r>
    <s v="KOŁODZIEJCZYK Karol"/>
    <x v="1"/>
    <s v="KS AZS AWF Kraków"/>
    <n v="4"/>
    <x v="2"/>
    <x v="0"/>
    <x v="61"/>
  </r>
  <r>
    <s v="KOŁODZIEJCZYK Karol"/>
    <x v="1"/>
    <s v="KS AZS AWF Kraków"/>
    <n v="4"/>
    <x v="2"/>
    <x v="1"/>
    <x v="122"/>
  </r>
  <r>
    <s v="KOŁODZIEJCZYK Karol"/>
    <x v="1"/>
    <s v="KS AZS AWF Kraków"/>
    <n v="4"/>
    <x v="2"/>
    <x v="2"/>
    <x v="123"/>
  </r>
  <r>
    <s v="KOŁODZIEJCZYK Karol"/>
    <x v="1"/>
    <s v="KS AZS AWF Kraków"/>
    <n v="4"/>
    <x v="3"/>
    <x v="0"/>
    <x v="88"/>
  </r>
  <r>
    <s v="KOŁODZIEJCZYK Karol"/>
    <x v="1"/>
    <s v="KS AZS AWF Kraków"/>
    <n v="4"/>
    <x v="3"/>
    <x v="1"/>
    <x v="49"/>
  </r>
  <r>
    <s v="KOŁODZIEJCZYK Karol"/>
    <x v="1"/>
    <s v="KS AZS AWF Kraków"/>
    <n v="4"/>
    <x v="3"/>
    <x v="2"/>
    <x v="79"/>
  </r>
  <r>
    <s v="KOŁODZIEJCZYK Karol"/>
    <x v="1"/>
    <s v="KS AZS AWF Kraków"/>
    <n v="4"/>
    <x v="4"/>
    <x v="0"/>
    <x v="124"/>
  </r>
  <r>
    <s v="KOŁODZIEJCZYK Karol"/>
    <x v="1"/>
    <s v="KS AZS AWF Kraków"/>
    <n v="4"/>
    <x v="4"/>
    <x v="1"/>
    <x v="80"/>
  </r>
  <r>
    <s v="KOŁODZIEJCZYK Karol"/>
    <x v="1"/>
    <s v="KS AZS AWF Kraków"/>
    <n v="4"/>
    <x v="4"/>
    <x v="2"/>
    <x v="125"/>
  </r>
  <r>
    <s v="KOŁODZIEJCZYK Karol"/>
    <x v="1"/>
    <s v="KS AZS AWF Kraków"/>
    <n v="4"/>
    <x v="5"/>
    <x v="0"/>
    <x v="126"/>
  </r>
  <r>
    <s v="KOŁODZIEJCZYK Karol"/>
    <x v="1"/>
    <s v="KS AZS AWF Kraków"/>
    <n v="4"/>
    <x v="5"/>
    <x v="1"/>
    <x v="83"/>
  </r>
  <r>
    <s v="KOŁODZIEJCZYK Karol"/>
    <x v="1"/>
    <s v="KS AZS AWF Kraków"/>
    <n v="4"/>
    <x v="5"/>
    <x v="2"/>
    <x v="127"/>
  </r>
  <r>
    <s v="LEKHAC Tomasz"/>
    <x v="1"/>
    <s v="CWZS Zawisza KG Bydgoszcz"/>
    <n v="4"/>
    <x v="0"/>
    <x v="0"/>
    <x v="128"/>
  </r>
  <r>
    <s v="LEKHAC Tomasz"/>
    <x v="1"/>
    <s v="CWZS Zawisza KG Bydgoszcz"/>
    <n v="4"/>
    <x v="0"/>
    <x v="1"/>
    <x v="129"/>
  </r>
  <r>
    <s v="LEKHAC Tomasz"/>
    <x v="1"/>
    <s v="CWZS Zawisza KG Bydgoszcz"/>
    <n v="4"/>
    <x v="0"/>
    <x v="2"/>
    <x v="62"/>
  </r>
  <r>
    <s v="LEKHAC Tomasz"/>
    <x v="1"/>
    <s v="CWZS Zawisza KG Bydgoszcz"/>
    <n v="4"/>
    <x v="1"/>
    <x v="0"/>
    <x v="128"/>
  </r>
  <r>
    <s v="LEKHAC Tomasz"/>
    <x v="1"/>
    <s v="CWZS Zawisza KG Bydgoszcz"/>
    <n v="4"/>
    <x v="1"/>
    <x v="1"/>
    <x v="104"/>
  </r>
  <r>
    <s v="LEKHAC Tomasz"/>
    <x v="1"/>
    <s v="CWZS Zawisza KG Bydgoszcz"/>
    <n v="4"/>
    <x v="1"/>
    <x v="2"/>
    <x v="130"/>
  </r>
  <r>
    <s v="LEKHAC Tomasz"/>
    <x v="1"/>
    <s v="CWZS Zawisza KG Bydgoszcz"/>
    <n v="4"/>
    <x v="2"/>
    <x v="0"/>
    <x v="128"/>
  </r>
  <r>
    <s v="LEKHAC Tomasz"/>
    <x v="1"/>
    <s v="CWZS Zawisza KG Bydgoszcz"/>
    <n v="4"/>
    <x v="2"/>
    <x v="1"/>
    <x v="104"/>
  </r>
  <r>
    <s v="LEKHAC Tomasz"/>
    <x v="1"/>
    <s v="CWZS Zawisza KG Bydgoszcz"/>
    <n v="4"/>
    <x v="2"/>
    <x v="2"/>
    <x v="130"/>
  </r>
  <r>
    <s v="LEKHAC Tomasz"/>
    <x v="1"/>
    <s v="CWZS Zawisza KG Bydgoszcz"/>
    <n v="4"/>
    <x v="3"/>
    <x v="0"/>
    <x v="128"/>
  </r>
  <r>
    <s v="LEKHAC Tomasz"/>
    <x v="1"/>
    <s v="CWZS Zawisza KG Bydgoszcz"/>
    <n v="4"/>
    <x v="3"/>
    <x v="1"/>
    <x v="8"/>
  </r>
  <r>
    <s v="LEKHAC Tomasz"/>
    <x v="1"/>
    <s v="CWZS Zawisza KG Bydgoszcz"/>
    <n v="4"/>
    <x v="3"/>
    <x v="2"/>
    <x v="131"/>
  </r>
  <r>
    <s v="LEKHAC Tomasz"/>
    <x v="1"/>
    <s v="CWZS Zawisza KG Bydgoszcz"/>
    <n v="4"/>
    <x v="4"/>
    <x v="0"/>
    <x v="132"/>
  </r>
  <r>
    <s v="LEKHAC Tomasz"/>
    <x v="1"/>
    <s v="CWZS Zawisza KG Bydgoszcz"/>
    <n v="4"/>
    <x v="4"/>
    <x v="1"/>
    <x v="133"/>
  </r>
  <r>
    <s v="LEKHAC Tomasz"/>
    <x v="1"/>
    <s v="CWZS Zawisza KG Bydgoszcz"/>
    <n v="4"/>
    <x v="4"/>
    <x v="2"/>
    <x v="134"/>
  </r>
  <r>
    <s v="LEKHAC Tomasz"/>
    <x v="1"/>
    <s v="CWZS Zawisza KG Bydgoszcz"/>
    <n v="4"/>
    <x v="5"/>
    <x v="0"/>
    <x v="128"/>
  </r>
  <r>
    <s v="LEKHAC Tomasz"/>
    <x v="1"/>
    <s v="CWZS Zawisza KG Bydgoszcz"/>
    <n v="4"/>
    <x v="5"/>
    <x v="1"/>
    <x v="135"/>
  </r>
  <r>
    <s v="LEKHAC Tomasz"/>
    <x v="1"/>
    <s v="CWZS Zawisza KG Bydgoszcz"/>
    <n v="4"/>
    <x v="5"/>
    <x v="2"/>
    <x v="136"/>
  </r>
  <r>
    <s v="KORBIEL Franciszek"/>
    <x v="1"/>
    <s v="KS AZS AWF Kraków"/>
    <n v="4"/>
    <x v="0"/>
    <x v="0"/>
    <x v="88"/>
  </r>
  <r>
    <s v="KORBIEL Franciszek"/>
    <x v="1"/>
    <s v="KS AZS AWF Kraków"/>
    <n v="4"/>
    <x v="0"/>
    <x v="1"/>
    <x v="34"/>
  </r>
  <r>
    <s v="KORBIEL Franciszek"/>
    <x v="1"/>
    <s v="KS AZS AWF Kraków"/>
    <n v="4"/>
    <x v="0"/>
    <x v="2"/>
    <x v="130"/>
  </r>
  <r>
    <s v="KORBIEL Franciszek"/>
    <x v="1"/>
    <s v="KS AZS AWF Kraków"/>
    <n v="4"/>
    <x v="1"/>
    <x v="0"/>
    <x v="56"/>
  </r>
  <r>
    <s v="KORBIEL Franciszek"/>
    <x v="1"/>
    <s v="KS AZS AWF Kraków"/>
    <n v="4"/>
    <x v="1"/>
    <x v="1"/>
    <x v="43"/>
  </r>
  <r>
    <s v="KORBIEL Franciszek"/>
    <x v="1"/>
    <s v="KS AZS AWF Kraków"/>
    <n v="4"/>
    <x v="1"/>
    <x v="2"/>
    <x v="137"/>
  </r>
  <r>
    <s v="KORBIEL Franciszek"/>
    <x v="1"/>
    <s v="KS AZS AWF Kraków"/>
    <n v="4"/>
    <x v="2"/>
    <x v="0"/>
    <x v="88"/>
  </r>
  <r>
    <s v="KORBIEL Franciszek"/>
    <x v="1"/>
    <s v="KS AZS AWF Kraków"/>
    <n v="4"/>
    <x v="2"/>
    <x v="1"/>
    <x v="8"/>
  </r>
  <r>
    <s v="KORBIEL Franciszek"/>
    <x v="1"/>
    <s v="KS AZS AWF Kraków"/>
    <n v="4"/>
    <x v="2"/>
    <x v="2"/>
    <x v="89"/>
  </r>
  <r>
    <s v="KORBIEL Franciszek"/>
    <x v="1"/>
    <s v="KS AZS AWF Kraków"/>
    <n v="4"/>
    <x v="3"/>
    <x v="0"/>
    <x v="88"/>
  </r>
  <r>
    <s v="KORBIEL Franciszek"/>
    <x v="1"/>
    <s v="KS AZS AWF Kraków"/>
    <n v="4"/>
    <x v="3"/>
    <x v="1"/>
    <x v="138"/>
  </r>
  <r>
    <s v="KORBIEL Franciszek"/>
    <x v="1"/>
    <s v="KS AZS AWF Kraków"/>
    <n v="4"/>
    <x v="3"/>
    <x v="2"/>
    <x v="139"/>
  </r>
  <r>
    <s v="KORBIEL Franciszek"/>
    <x v="1"/>
    <s v="KS AZS AWF Kraków"/>
    <n v="4"/>
    <x v="4"/>
    <x v="0"/>
    <x v="124"/>
  </r>
  <r>
    <s v="KORBIEL Franciszek"/>
    <x v="1"/>
    <s v="KS AZS AWF Kraków"/>
    <n v="4"/>
    <x v="4"/>
    <x v="1"/>
    <x v="140"/>
  </r>
  <r>
    <s v="KORBIEL Franciszek"/>
    <x v="1"/>
    <s v="KS AZS AWF Kraków"/>
    <n v="4"/>
    <x v="4"/>
    <x v="2"/>
    <x v="141"/>
  </r>
  <r>
    <s v="KORBIEL Franciszek"/>
    <x v="1"/>
    <s v="KS AZS AWF Kraków"/>
    <n v="4"/>
    <x v="5"/>
    <x v="0"/>
    <x v="126"/>
  </r>
  <r>
    <s v="KORBIEL Franciszek"/>
    <x v="1"/>
    <s v="KS AZS AWF Kraków"/>
    <n v="4"/>
    <x v="5"/>
    <x v="1"/>
    <x v="142"/>
  </r>
  <r>
    <s v="KORBIEL Franciszek"/>
    <x v="1"/>
    <s v="KS AZS AWF Kraków"/>
    <n v="4"/>
    <x v="5"/>
    <x v="2"/>
    <x v="130"/>
  </r>
  <r>
    <s v="KUZDRA Christian"/>
    <x v="1"/>
    <s v="MKS Gdańsk"/>
    <n v="4"/>
    <x v="0"/>
    <x v="0"/>
    <x v="143"/>
  </r>
  <r>
    <s v="KUZDRA Christian"/>
    <x v="1"/>
    <s v="MKS Gdańsk"/>
    <n v="4"/>
    <x v="0"/>
    <x v="1"/>
    <x v="21"/>
  </r>
  <r>
    <s v="KUZDRA Christian"/>
    <x v="1"/>
    <s v="MKS Gdańsk"/>
    <n v="4"/>
    <x v="0"/>
    <x v="2"/>
    <x v="144"/>
  </r>
  <r>
    <s v="KUZDRA Christian"/>
    <x v="1"/>
    <s v="MKS Gdańsk"/>
    <n v="4"/>
    <x v="1"/>
    <x v="0"/>
    <x v="88"/>
  </r>
  <r>
    <s v="KUZDRA Christian"/>
    <x v="1"/>
    <s v="MKS Gdańsk"/>
    <n v="4"/>
    <x v="1"/>
    <x v="1"/>
    <x v="51"/>
  </r>
  <r>
    <s v="KUZDRA Christian"/>
    <x v="1"/>
    <s v="MKS Gdańsk"/>
    <n v="4"/>
    <x v="1"/>
    <x v="2"/>
    <x v="121"/>
  </r>
  <r>
    <s v="KUZDRA Christian"/>
    <x v="1"/>
    <s v="MKS Gdańsk"/>
    <n v="4"/>
    <x v="2"/>
    <x v="0"/>
    <x v="56"/>
  </r>
  <r>
    <s v="KUZDRA Christian"/>
    <x v="1"/>
    <s v="MKS Gdańsk"/>
    <n v="4"/>
    <x v="2"/>
    <x v="1"/>
    <x v="1"/>
  </r>
  <r>
    <s v="KUZDRA Christian"/>
    <x v="1"/>
    <s v="MKS Gdańsk"/>
    <n v="4"/>
    <x v="2"/>
    <x v="2"/>
    <x v="113"/>
  </r>
  <r>
    <s v="KUZDRA Christian"/>
    <x v="1"/>
    <s v="MKS Gdańsk"/>
    <n v="4"/>
    <x v="3"/>
    <x v="0"/>
    <x v="88"/>
  </r>
  <r>
    <s v="KUZDRA Christian"/>
    <x v="1"/>
    <s v="MKS Gdańsk"/>
    <n v="4"/>
    <x v="3"/>
    <x v="1"/>
    <x v="145"/>
  </r>
  <r>
    <s v="KUZDRA Christian"/>
    <x v="1"/>
    <s v="MKS Gdańsk"/>
    <n v="4"/>
    <x v="3"/>
    <x v="2"/>
    <x v="4"/>
  </r>
  <r>
    <s v="KUZDRA Christian"/>
    <x v="1"/>
    <s v="MKS Gdańsk"/>
    <n v="4"/>
    <x v="4"/>
    <x v="0"/>
    <x v="124"/>
  </r>
  <r>
    <s v="KUZDRA Christian"/>
    <x v="1"/>
    <s v="MKS Gdańsk"/>
    <n v="4"/>
    <x v="4"/>
    <x v="1"/>
    <x v="146"/>
  </r>
  <r>
    <s v="KUZDRA Christian"/>
    <x v="1"/>
    <s v="MKS Gdańsk"/>
    <n v="4"/>
    <x v="4"/>
    <x v="2"/>
    <x v="147"/>
  </r>
  <r>
    <s v="KUZDRA Christian"/>
    <x v="1"/>
    <s v="MKS Gdańsk"/>
    <n v="4"/>
    <x v="5"/>
    <x v="0"/>
    <x v="126"/>
  </r>
  <r>
    <s v="KUZDRA Christian"/>
    <x v="1"/>
    <s v="MKS Gdańsk"/>
    <n v="4"/>
    <x v="5"/>
    <x v="1"/>
    <x v="21"/>
  </r>
  <r>
    <s v="KUZDRA Christian"/>
    <x v="1"/>
    <s v="MKS Gdańsk"/>
    <n v="4"/>
    <x v="5"/>
    <x v="2"/>
    <x v="148"/>
  </r>
  <r>
    <s v="MOSKAL Błażej"/>
    <x v="1"/>
    <s v="MKS Gdańsk"/>
    <n v="4"/>
    <x v="0"/>
    <x v="0"/>
    <x v="88"/>
  </r>
  <r>
    <s v="MOSKAL Błażej"/>
    <x v="1"/>
    <s v="MKS Gdańsk"/>
    <n v="4"/>
    <x v="0"/>
    <x v="1"/>
    <x v="102"/>
  </r>
  <r>
    <s v="MOSKAL Błażej"/>
    <x v="1"/>
    <s v="MKS Gdańsk"/>
    <n v="4"/>
    <x v="0"/>
    <x v="2"/>
    <x v="149"/>
  </r>
  <r>
    <s v="MOSKAL Błażej"/>
    <x v="1"/>
    <s v="MKS Gdańsk"/>
    <n v="4"/>
    <x v="1"/>
    <x v="0"/>
    <x v="143"/>
  </r>
  <r>
    <s v="MOSKAL Błażej"/>
    <x v="1"/>
    <s v="MKS Gdańsk"/>
    <n v="4"/>
    <x v="1"/>
    <x v="1"/>
    <x v="150"/>
  </r>
  <r>
    <s v="MOSKAL Błażej"/>
    <x v="1"/>
    <s v="MKS Gdańsk"/>
    <n v="4"/>
    <x v="1"/>
    <x v="2"/>
    <x v="151"/>
  </r>
  <r>
    <s v="MOSKAL Błażej"/>
    <x v="1"/>
    <s v="MKS Gdańsk"/>
    <n v="4"/>
    <x v="2"/>
    <x v="0"/>
    <x v="88"/>
  </r>
  <r>
    <s v="MOSKAL Błażej"/>
    <x v="1"/>
    <s v="MKS Gdańsk"/>
    <n v="4"/>
    <x v="2"/>
    <x v="1"/>
    <x v="34"/>
  </r>
  <r>
    <s v="MOSKAL Błażej"/>
    <x v="1"/>
    <s v="MKS Gdańsk"/>
    <n v="4"/>
    <x v="2"/>
    <x v="2"/>
    <x v="130"/>
  </r>
  <r>
    <s v="MOSKAL Błażej"/>
    <x v="1"/>
    <s v="MKS Gdańsk"/>
    <n v="4"/>
    <x v="3"/>
    <x v="0"/>
    <x v="143"/>
  </r>
  <r>
    <s v="MOSKAL Błażej"/>
    <x v="1"/>
    <s v="MKS Gdańsk"/>
    <n v="4"/>
    <x v="3"/>
    <x v="1"/>
    <x v="120"/>
  </r>
  <r>
    <s v="MOSKAL Błażej"/>
    <x v="1"/>
    <s v="MKS Gdańsk"/>
    <n v="4"/>
    <x v="3"/>
    <x v="2"/>
    <x v="152"/>
  </r>
  <r>
    <s v="MOSKAL Błażej"/>
    <x v="1"/>
    <s v="MKS Gdańsk"/>
    <n v="4"/>
    <x v="4"/>
    <x v="0"/>
    <x v="153"/>
  </r>
  <r>
    <s v="MOSKAL Błażej"/>
    <x v="1"/>
    <s v="MKS Gdańsk"/>
    <n v="4"/>
    <x v="4"/>
    <x v="1"/>
    <x v="154"/>
  </r>
  <r>
    <s v="MOSKAL Błażej"/>
    <x v="1"/>
    <s v="MKS Gdańsk"/>
    <n v="4"/>
    <x v="4"/>
    <x v="2"/>
    <x v="155"/>
  </r>
  <r>
    <s v="MOSKAL Błażej"/>
    <x v="1"/>
    <s v="MKS Gdańsk"/>
    <n v="4"/>
    <x v="5"/>
    <x v="0"/>
    <x v="156"/>
  </r>
  <r>
    <s v="MOSKAL Błażej"/>
    <x v="1"/>
    <s v="MKS Gdańsk"/>
    <n v="4"/>
    <x v="5"/>
    <x v="1"/>
    <x v="157"/>
  </r>
  <r>
    <s v="MOSKAL Błażej"/>
    <x v="1"/>
    <s v="MKS Gdańsk"/>
    <n v="4"/>
    <x v="5"/>
    <x v="2"/>
    <x v="158"/>
  </r>
  <r>
    <s v="KLIMCZUK Michał"/>
    <x v="1"/>
    <s v="MKS Gdańsk"/>
    <n v="3"/>
    <x v="0"/>
    <x v="0"/>
    <x v="88"/>
  </r>
  <r>
    <s v="KLIMCZUK Michał"/>
    <x v="1"/>
    <s v="MKS Gdańsk"/>
    <n v="3"/>
    <x v="0"/>
    <x v="1"/>
    <x v="21"/>
  </r>
  <r>
    <s v="KLIMCZUK Michał"/>
    <x v="1"/>
    <s v="MKS Gdańsk"/>
    <n v="3"/>
    <x v="0"/>
    <x v="2"/>
    <x v="90"/>
  </r>
  <r>
    <s v="KLIMCZUK Michał"/>
    <x v="1"/>
    <s v="MKS Gdańsk"/>
    <n v="3"/>
    <x v="1"/>
    <x v="0"/>
    <x v="16"/>
  </r>
  <r>
    <s v="KLIMCZUK Michał"/>
    <x v="1"/>
    <s v="MKS Gdańsk"/>
    <n v="3"/>
    <x v="1"/>
    <x v="1"/>
    <x v="16"/>
  </r>
  <r>
    <s v="KLIMCZUK Michał"/>
    <x v="1"/>
    <s v="MKS Gdańsk"/>
    <n v="3"/>
    <x v="1"/>
    <x v="2"/>
    <x v="16"/>
  </r>
  <r>
    <s v="KLIMCZUK Michał"/>
    <x v="1"/>
    <s v="MKS Gdańsk"/>
    <n v="3"/>
    <x v="2"/>
    <x v="0"/>
    <x v="143"/>
  </r>
  <r>
    <s v="KLIMCZUK Michał"/>
    <x v="1"/>
    <s v="MKS Gdańsk"/>
    <n v="3"/>
    <x v="2"/>
    <x v="1"/>
    <x v="21"/>
  </r>
  <r>
    <s v="KLIMCZUK Michał"/>
    <x v="1"/>
    <s v="MKS Gdańsk"/>
    <n v="3"/>
    <x v="2"/>
    <x v="2"/>
    <x v="144"/>
  </r>
  <r>
    <s v="KLIMCZUK Michał"/>
    <x v="1"/>
    <s v="MKS Gdańsk"/>
    <n v="3"/>
    <x v="3"/>
    <x v="0"/>
    <x v="143"/>
  </r>
  <r>
    <s v="KLIMCZUK Michał"/>
    <x v="1"/>
    <s v="MKS Gdańsk"/>
    <n v="3"/>
    <x v="3"/>
    <x v="1"/>
    <x v="21"/>
  </r>
  <r>
    <s v="KLIMCZUK Michał"/>
    <x v="1"/>
    <s v="MKS Gdańsk"/>
    <n v="3"/>
    <x v="3"/>
    <x v="2"/>
    <x v="144"/>
  </r>
  <r>
    <s v="KLIMCZUK Michał"/>
    <x v="1"/>
    <s v="MKS Gdańsk"/>
    <n v="3"/>
    <x v="4"/>
    <x v="0"/>
    <x v="159"/>
  </r>
  <r>
    <s v="KLIMCZUK Michał"/>
    <x v="1"/>
    <s v="MKS Gdańsk"/>
    <n v="3"/>
    <x v="4"/>
    <x v="1"/>
    <x v="146"/>
  </r>
  <r>
    <s v="KLIMCZUK Michał"/>
    <x v="1"/>
    <s v="MKS Gdańsk"/>
    <n v="3"/>
    <x v="4"/>
    <x v="2"/>
    <x v="160"/>
  </r>
  <r>
    <s v="KLIMCZUK Michał"/>
    <x v="1"/>
    <s v="MKS Gdańsk"/>
    <n v="3"/>
    <x v="5"/>
    <x v="0"/>
    <x v="161"/>
  </r>
  <r>
    <s v="KLIMCZUK Michał"/>
    <x v="1"/>
    <s v="MKS Gdańsk"/>
    <n v="3"/>
    <x v="5"/>
    <x v="1"/>
    <x v="21"/>
  </r>
  <r>
    <s v="KLIMCZUK Michał"/>
    <x v="1"/>
    <s v="MKS Gdańsk"/>
    <n v="3"/>
    <x v="5"/>
    <x v="2"/>
    <x v="162"/>
  </r>
  <r>
    <s v="KUBALA Kacper"/>
    <x v="1"/>
    <s v="MKS Gdańsk"/>
    <n v="3"/>
    <x v="0"/>
    <x v="0"/>
    <x v="88"/>
  </r>
  <r>
    <s v="KUBALA Kacper"/>
    <x v="1"/>
    <s v="MKS Gdańsk"/>
    <n v="3"/>
    <x v="0"/>
    <x v="1"/>
    <x v="163"/>
  </r>
  <r>
    <s v="KUBALA Kacper"/>
    <x v="1"/>
    <s v="MKS Gdańsk"/>
    <n v="3"/>
    <x v="0"/>
    <x v="2"/>
    <x v="152"/>
  </r>
  <r>
    <s v="KUBALA Kacper"/>
    <x v="1"/>
    <s v="MKS Gdańsk"/>
    <n v="3"/>
    <x v="1"/>
    <x v="0"/>
    <x v="16"/>
  </r>
  <r>
    <s v="KUBALA Kacper"/>
    <x v="1"/>
    <s v="MKS Gdańsk"/>
    <n v="3"/>
    <x v="1"/>
    <x v="1"/>
    <x v="16"/>
  </r>
  <r>
    <s v="KUBALA Kacper"/>
    <x v="1"/>
    <s v="MKS Gdańsk"/>
    <n v="3"/>
    <x v="1"/>
    <x v="2"/>
    <x v="16"/>
  </r>
  <r>
    <s v="KUBALA Kacper"/>
    <x v="1"/>
    <s v="MKS Gdańsk"/>
    <n v="3"/>
    <x v="2"/>
    <x v="0"/>
    <x v="143"/>
  </r>
  <r>
    <s v="KUBALA Kacper"/>
    <x v="1"/>
    <s v="MKS Gdańsk"/>
    <n v="3"/>
    <x v="2"/>
    <x v="1"/>
    <x v="58"/>
  </r>
  <r>
    <s v="KUBALA Kacper"/>
    <x v="1"/>
    <s v="MKS Gdańsk"/>
    <n v="3"/>
    <x v="2"/>
    <x v="2"/>
    <x v="164"/>
  </r>
  <r>
    <s v="KUBALA Kacper"/>
    <x v="1"/>
    <s v="MKS Gdańsk"/>
    <n v="3"/>
    <x v="3"/>
    <x v="0"/>
    <x v="88"/>
  </r>
  <r>
    <s v="KUBALA Kacper"/>
    <x v="1"/>
    <s v="MKS Gdańsk"/>
    <n v="3"/>
    <x v="3"/>
    <x v="1"/>
    <x v="138"/>
  </r>
  <r>
    <s v="KUBALA Kacper"/>
    <x v="1"/>
    <s v="MKS Gdańsk"/>
    <n v="3"/>
    <x v="3"/>
    <x v="2"/>
    <x v="139"/>
  </r>
  <r>
    <s v="KUBALA Kacper"/>
    <x v="1"/>
    <s v="MKS Gdańsk"/>
    <n v="3"/>
    <x v="4"/>
    <x v="0"/>
    <x v="153"/>
  </r>
  <r>
    <s v="KUBALA Kacper"/>
    <x v="1"/>
    <s v="MKS Gdańsk"/>
    <n v="3"/>
    <x v="4"/>
    <x v="1"/>
    <x v="98"/>
  </r>
  <r>
    <s v="KUBALA Kacper"/>
    <x v="1"/>
    <s v="MKS Gdańsk"/>
    <n v="3"/>
    <x v="4"/>
    <x v="2"/>
    <x v="165"/>
  </r>
  <r>
    <s v="KUBALA Kacper"/>
    <x v="1"/>
    <s v="MKS Gdańsk"/>
    <n v="3"/>
    <x v="5"/>
    <x v="0"/>
    <x v="156"/>
  </r>
  <r>
    <s v="KUBALA Kacper"/>
    <x v="1"/>
    <s v="MKS Gdańsk"/>
    <n v="3"/>
    <x v="5"/>
    <x v="1"/>
    <x v="100"/>
  </r>
  <r>
    <s v="KUBALA Kacper"/>
    <x v="1"/>
    <s v="MKS Gdańsk"/>
    <n v="3"/>
    <x v="5"/>
    <x v="2"/>
    <x v="166"/>
  </r>
  <r>
    <s v="ŻEMEŁKA Dawid"/>
    <x v="1"/>
    <s v="MKS Gdańsk"/>
    <n v="3"/>
    <x v="0"/>
    <x v="0"/>
    <x v="16"/>
  </r>
  <r>
    <s v="ŻEMEŁKA Dawid"/>
    <x v="1"/>
    <s v="MKS Gdańsk"/>
    <n v="3"/>
    <x v="0"/>
    <x v="1"/>
    <x v="16"/>
  </r>
  <r>
    <s v="ŻEMEŁKA Dawid"/>
    <x v="1"/>
    <s v="MKS Gdańsk"/>
    <n v="3"/>
    <x v="0"/>
    <x v="2"/>
    <x v="16"/>
  </r>
  <r>
    <s v="ŻEMEŁKA Dawid"/>
    <x v="1"/>
    <s v="MKS Gdańsk"/>
    <n v="3"/>
    <x v="1"/>
    <x v="0"/>
    <x v="143"/>
  </r>
  <r>
    <s v="ŻEMEŁKA Dawid"/>
    <x v="1"/>
    <s v="MKS Gdańsk"/>
    <n v="3"/>
    <x v="1"/>
    <x v="1"/>
    <x v="37"/>
  </r>
  <r>
    <s v="ŻEMEŁKA Dawid"/>
    <x v="1"/>
    <s v="MKS Gdańsk"/>
    <n v="3"/>
    <x v="1"/>
    <x v="2"/>
    <x v="139"/>
  </r>
  <r>
    <s v="ŻEMEŁKA Dawid"/>
    <x v="1"/>
    <s v="MKS Gdańsk"/>
    <n v="3"/>
    <x v="2"/>
    <x v="0"/>
    <x v="143"/>
  </r>
  <r>
    <s v="ŻEMEŁKA Dawid"/>
    <x v="1"/>
    <s v="MKS Gdańsk"/>
    <n v="3"/>
    <x v="2"/>
    <x v="1"/>
    <x v="37"/>
  </r>
  <r>
    <s v="ŻEMEŁKA Dawid"/>
    <x v="1"/>
    <s v="MKS Gdańsk"/>
    <n v="3"/>
    <x v="2"/>
    <x v="2"/>
    <x v="139"/>
  </r>
  <r>
    <s v="ŻEMEŁKA Dawid"/>
    <x v="1"/>
    <s v="MKS Gdańsk"/>
    <n v="3"/>
    <x v="3"/>
    <x v="0"/>
    <x v="143"/>
  </r>
  <r>
    <s v="ŻEMEŁKA Dawid"/>
    <x v="1"/>
    <s v="MKS Gdańsk"/>
    <n v="3"/>
    <x v="3"/>
    <x v="1"/>
    <x v="21"/>
  </r>
  <r>
    <s v="ŻEMEŁKA Dawid"/>
    <x v="1"/>
    <s v="MKS Gdańsk"/>
    <n v="3"/>
    <x v="3"/>
    <x v="2"/>
    <x v="144"/>
  </r>
  <r>
    <s v="ŻEMEŁKA Dawid"/>
    <x v="1"/>
    <s v="MKS Gdańsk"/>
    <n v="3"/>
    <x v="4"/>
    <x v="0"/>
    <x v="167"/>
  </r>
  <r>
    <s v="ŻEMEŁKA Dawid"/>
    <x v="1"/>
    <s v="MKS Gdańsk"/>
    <n v="3"/>
    <x v="4"/>
    <x v="1"/>
    <x v="168"/>
  </r>
  <r>
    <s v="ŻEMEŁKA Dawid"/>
    <x v="1"/>
    <s v="MKS Gdańsk"/>
    <n v="3"/>
    <x v="4"/>
    <x v="2"/>
    <x v="169"/>
  </r>
  <r>
    <s v="ŻEMEŁKA Dawid"/>
    <x v="1"/>
    <s v="MKS Gdańsk"/>
    <n v="3"/>
    <x v="5"/>
    <x v="0"/>
    <x v="170"/>
  </r>
  <r>
    <s v="ŻEMEŁKA Dawid"/>
    <x v="1"/>
    <s v="MKS Gdańsk"/>
    <n v="3"/>
    <x v="5"/>
    <x v="1"/>
    <x v="171"/>
  </r>
  <r>
    <s v="ŻEMEŁKA Dawid"/>
    <x v="1"/>
    <s v="MKS Gdańsk"/>
    <n v="3"/>
    <x v="5"/>
    <x v="2"/>
    <x v="172"/>
  </r>
  <r>
    <s v="SZYMCZYK Radosław"/>
    <x v="0"/>
    <s v="KS AZS AWF Kraków"/>
    <n v="2"/>
    <x v="0"/>
    <x v="0"/>
    <x v="16"/>
  </r>
  <r>
    <s v="SZYMCZYK Radosław"/>
    <x v="0"/>
    <s v="KS AZS AWF Kraków"/>
    <n v="2"/>
    <x v="0"/>
    <x v="1"/>
    <x v="16"/>
  </r>
  <r>
    <s v="SZYMCZYK Radosław"/>
    <x v="0"/>
    <s v="KS AZS AWF Kraków"/>
    <n v="2"/>
    <x v="0"/>
    <x v="2"/>
    <x v="16"/>
  </r>
  <r>
    <s v="SZYMCZYK Radosław"/>
    <x v="0"/>
    <s v="KS AZS AWF Kraków"/>
    <n v="2"/>
    <x v="1"/>
    <x v="0"/>
    <x v="17"/>
  </r>
  <r>
    <s v="SZYMCZYK Radosław"/>
    <x v="0"/>
    <s v="KS AZS AWF Kraków"/>
    <n v="2"/>
    <x v="1"/>
    <x v="1"/>
    <x v="51"/>
  </r>
  <r>
    <s v="SZYMCZYK Radosław"/>
    <x v="0"/>
    <s v="KS AZS AWF Kraków"/>
    <n v="2"/>
    <x v="1"/>
    <x v="2"/>
    <x v="52"/>
  </r>
  <r>
    <s v="SZYMCZYK Radosław"/>
    <x v="0"/>
    <s v="KS AZS AWF Kraków"/>
    <n v="2"/>
    <x v="2"/>
    <x v="0"/>
    <x v="27"/>
  </r>
  <r>
    <s v="SZYMCZYK Radosław"/>
    <x v="0"/>
    <s v="KS AZS AWF Kraków"/>
    <n v="2"/>
    <x v="2"/>
    <x v="1"/>
    <x v="19"/>
  </r>
  <r>
    <s v="SZYMCZYK Radosław"/>
    <x v="0"/>
    <s v="KS AZS AWF Kraków"/>
    <n v="2"/>
    <x v="2"/>
    <x v="2"/>
    <x v="173"/>
  </r>
  <r>
    <s v="SZYMCZYK Radosław"/>
    <x v="0"/>
    <s v="KS AZS AWF Kraków"/>
    <n v="2"/>
    <x v="3"/>
    <x v="0"/>
    <x v="16"/>
  </r>
  <r>
    <s v="SZYMCZYK Radosław"/>
    <x v="0"/>
    <s v="KS AZS AWF Kraków"/>
    <n v="2"/>
    <x v="3"/>
    <x v="1"/>
    <x v="16"/>
  </r>
  <r>
    <s v="SZYMCZYK Radosław"/>
    <x v="0"/>
    <s v="KS AZS AWF Kraków"/>
    <n v="2"/>
    <x v="3"/>
    <x v="2"/>
    <x v="16"/>
  </r>
  <r>
    <s v="SZYMCZYK Radosław"/>
    <x v="0"/>
    <s v="KS AZS AWF Kraków"/>
    <n v="2"/>
    <x v="4"/>
    <x v="0"/>
    <x v="49"/>
  </r>
  <r>
    <s v="SZYMCZYK Radosław"/>
    <x v="0"/>
    <s v="KS AZS AWF Kraków"/>
    <n v="2"/>
    <x v="4"/>
    <x v="1"/>
    <x v="174"/>
  </r>
  <r>
    <s v="SZYMCZYK Radosław"/>
    <x v="0"/>
    <s v="KS AZS AWF Kraków"/>
    <n v="2"/>
    <x v="4"/>
    <x v="2"/>
    <x v="115"/>
  </r>
  <r>
    <s v="SZYMCZYK Radosław"/>
    <x v="0"/>
    <s v="KS AZS AWF Kraków"/>
    <n v="2"/>
    <x v="5"/>
    <x v="0"/>
    <x v="16"/>
  </r>
  <r>
    <s v="SZYMCZYK Radosław"/>
    <x v="0"/>
    <s v="KS AZS AWF Kraków"/>
    <n v="2"/>
    <x v="5"/>
    <x v="1"/>
    <x v="16"/>
  </r>
  <r>
    <s v="SZYMCZYK Radosław"/>
    <x v="0"/>
    <s v="KS AZS AWF Kraków"/>
    <n v="2"/>
    <x v="5"/>
    <x v="2"/>
    <x v="16"/>
  </r>
  <r>
    <s v="GAWROŃSKI Sebastian"/>
    <x v="0"/>
    <s v="KS AZS AWF Katowice"/>
    <n v="2"/>
    <x v="0"/>
    <x v="0"/>
    <x v="16"/>
  </r>
  <r>
    <s v="GAWROŃSKI Sebastian"/>
    <x v="0"/>
    <s v="KS AZS AWF Katowice"/>
    <n v="2"/>
    <x v="0"/>
    <x v="1"/>
    <x v="16"/>
  </r>
  <r>
    <s v="GAWROŃSKI Sebastian"/>
    <x v="0"/>
    <s v="KS AZS AWF Katowice"/>
    <n v="2"/>
    <x v="0"/>
    <x v="2"/>
    <x v="16"/>
  </r>
  <r>
    <s v="GAWROŃSKI Sebastian"/>
    <x v="0"/>
    <s v="KS AZS AWF Katowice"/>
    <n v="2"/>
    <x v="1"/>
    <x v="0"/>
    <x v="16"/>
  </r>
  <r>
    <s v="GAWROŃSKI Sebastian"/>
    <x v="0"/>
    <s v="KS AZS AWF Katowice"/>
    <n v="2"/>
    <x v="1"/>
    <x v="1"/>
    <x v="16"/>
  </r>
  <r>
    <s v="GAWROŃSKI Sebastian"/>
    <x v="0"/>
    <s v="KS AZS AWF Katowice"/>
    <n v="2"/>
    <x v="1"/>
    <x v="2"/>
    <x v="16"/>
  </r>
  <r>
    <s v="GAWROŃSKI Sebastian"/>
    <x v="0"/>
    <s v="KS AZS AWF Katowice"/>
    <n v="2"/>
    <x v="2"/>
    <x v="0"/>
    <x v="3"/>
  </r>
  <r>
    <s v="GAWROŃSKI Sebastian"/>
    <x v="0"/>
    <s v="KS AZS AWF Katowice"/>
    <n v="2"/>
    <x v="2"/>
    <x v="1"/>
    <x v="175"/>
  </r>
  <r>
    <s v="GAWROŃSKI Sebastian"/>
    <x v="0"/>
    <s v="KS AZS AWF Katowice"/>
    <n v="2"/>
    <x v="2"/>
    <x v="2"/>
    <x v="36"/>
  </r>
  <r>
    <s v="GAWROŃSKI Sebastian"/>
    <x v="0"/>
    <s v="KS AZS AWF Katowice"/>
    <n v="2"/>
    <x v="3"/>
    <x v="0"/>
    <x v="3"/>
  </r>
  <r>
    <s v="GAWROŃSKI Sebastian"/>
    <x v="0"/>
    <s v="KS AZS AWF Katowice"/>
    <n v="2"/>
    <x v="3"/>
    <x v="1"/>
    <x v="124"/>
  </r>
  <r>
    <s v="GAWROŃSKI Sebastian"/>
    <x v="0"/>
    <s v="KS AZS AWF Katowice"/>
    <n v="2"/>
    <x v="3"/>
    <x v="2"/>
    <x v="176"/>
  </r>
  <r>
    <s v="GAWROŃSKI Sebastian"/>
    <x v="0"/>
    <s v="KS AZS AWF Katowice"/>
    <n v="2"/>
    <x v="4"/>
    <x v="0"/>
    <x v="144"/>
  </r>
  <r>
    <s v="GAWROŃSKI Sebastian"/>
    <x v="0"/>
    <s v="KS AZS AWF Katowice"/>
    <n v="2"/>
    <x v="4"/>
    <x v="1"/>
    <x v="177"/>
  </r>
  <r>
    <s v="GAWROŃSKI Sebastian"/>
    <x v="0"/>
    <s v="KS AZS AWF Katowice"/>
    <n v="2"/>
    <x v="4"/>
    <x v="2"/>
    <x v="178"/>
  </r>
  <r>
    <s v="GAWROŃSKI Sebastian"/>
    <x v="0"/>
    <s v="KS AZS AWF Katowice"/>
    <n v="2"/>
    <x v="5"/>
    <x v="0"/>
    <x v="16"/>
  </r>
  <r>
    <s v="GAWROŃSKI Sebastian"/>
    <x v="0"/>
    <s v="KS AZS AWF Katowice"/>
    <n v="2"/>
    <x v="5"/>
    <x v="1"/>
    <x v="16"/>
  </r>
  <r>
    <s v="GAWROŃSKI Sebastian"/>
    <x v="0"/>
    <s v="KS AZS AWF Katowice"/>
    <n v="2"/>
    <x v="5"/>
    <x v="2"/>
    <x v="16"/>
  </r>
  <r>
    <s v="KORNIICHUK Yehor"/>
    <x v="0"/>
    <s v="KS AZS AWFiS Gdańsk"/>
    <n v="2"/>
    <x v="0"/>
    <x v="0"/>
    <x v="16"/>
  </r>
  <r>
    <s v="KORNIICHUK Yehor"/>
    <x v="0"/>
    <s v="KS AZS AWFiS Gdańsk"/>
    <n v="2"/>
    <x v="0"/>
    <x v="1"/>
    <x v="16"/>
  </r>
  <r>
    <s v="KORNIICHUK Yehor"/>
    <x v="0"/>
    <s v="KS AZS AWFiS Gdańsk"/>
    <n v="2"/>
    <x v="0"/>
    <x v="2"/>
    <x v="16"/>
  </r>
  <r>
    <s v="KORNIICHUK Yehor"/>
    <x v="0"/>
    <s v="KS AZS AWFiS Gdańsk"/>
    <n v="2"/>
    <x v="1"/>
    <x v="0"/>
    <x v="3"/>
  </r>
  <r>
    <s v="KORNIICHUK Yehor"/>
    <x v="0"/>
    <s v="KS AZS AWFiS Gdańsk"/>
    <n v="2"/>
    <x v="1"/>
    <x v="1"/>
    <x v="179"/>
  </r>
  <r>
    <s v="KORNIICHUK Yehor"/>
    <x v="0"/>
    <s v="KS AZS AWFiS Gdańsk"/>
    <n v="2"/>
    <x v="1"/>
    <x v="2"/>
    <x v="180"/>
  </r>
  <r>
    <s v="KORNIICHUK Yehor"/>
    <x v="0"/>
    <s v="KS AZS AWFiS Gdańsk"/>
    <n v="2"/>
    <x v="2"/>
    <x v="0"/>
    <x v="3"/>
  </r>
  <r>
    <s v="KORNIICHUK Yehor"/>
    <x v="0"/>
    <s v="KS AZS AWFiS Gdańsk"/>
    <n v="2"/>
    <x v="2"/>
    <x v="1"/>
    <x v="181"/>
  </r>
  <r>
    <s v="KORNIICHUK Yehor"/>
    <x v="0"/>
    <s v="KS AZS AWFiS Gdańsk"/>
    <n v="2"/>
    <x v="2"/>
    <x v="2"/>
    <x v="55"/>
  </r>
  <r>
    <s v="KORNIICHUK Yehor"/>
    <x v="0"/>
    <s v="KS AZS AWFiS Gdańsk"/>
    <n v="2"/>
    <x v="3"/>
    <x v="0"/>
    <x v="16"/>
  </r>
  <r>
    <s v="KORNIICHUK Yehor"/>
    <x v="0"/>
    <s v="KS AZS AWFiS Gdańsk"/>
    <n v="2"/>
    <x v="3"/>
    <x v="1"/>
    <x v="16"/>
  </r>
  <r>
    <s v="KORNIICHUK Yehor"/>
    <x v="0"/>
    <s v="KS AZS AWFiS Gdańsk"/>
    <n v="2"/>
    <x v="3"/>
    <x v="2"/>
    <x v="16"/>
  </r>
  <r>
    <s v="KORNIICHUK Yehor"/>
    <x v="0"/>
    <s v="KS AZS AWFiS Gdańsk"/>
    <n v="2"/>
    <x v="4"/>
    <x v="0"/>
    <x v="144"/>
  </r>
  <r>
    <s v="KORNIICHUK Yehor"/>
    <x v="0"/>
    <s v="KS AZS AWFiS Gdańsk"/>
    <n v="2"/>
    <x v="4"/>
    <x v="1"/>
    <x v="182"/>
  </r>
  <r>
    <s v="KORNIICHUK Yehor"/>
    <x v="0"/>
    <s v="KS AZS AWFiS Gdańsk"/>
    <n v="2"/>
    <x v="4"/>
    <x v="2"/>
    <x v="183"/>
  </r>
  <r>
    <s v="KORNIICHUK Yehor"/>
    <x v="0"/>
    <s v="KS AZS AWFiS Gdańsk"/>
    <n v="2"/>
    <x v="5"/>
    <x v="0"/>
    <x v="16"/>
  </r>
  <r>
    <s v="KORNIICHUK Yehor"/>
    <x v="0"/>
    <s v="KS AZS AWFiS Gdańsk"/>
    <n v="2"/>
    <x v="5"/>
    <x v="1"/>
    <x v="16"/>
  </r>
  <r>
    <s v="KORNIICHUK Yehor"/>
    <x v="0"/>
    <s v="KS AZS AWFiS Gdańsk"/>
    <n v="2"/>
    <x v="5"/>
    <x v="2"/>
    <x v="16"/>
  </r>
  <r>
    <s v="KAŚKÓW Paweł"/>
    <x v="0"/>
    <s v="KS AZS AWFiS Gdańsk"/>
    <n v="2"/>
    <x v="0"/>
    <x v="0"/>
    <x v="17"/>
  </r>
  <r>
    <s v="KAŚKÓW Paweł"/>
    <x v="0"/>
    <s v="KS AZS AWFiS Gdańsk"/>
    <n v="2"/>
    <x v="0"/>
    <x v="1"/>
    <x v="37"/>
  </r>
  <r>
    <s v="KAŚKÓW Paweł"/>
    <x v="0"/>
    <s v="KS AZS AWFiS Gdańsk"/>
    <n v="2"/>
    <x v="0"/>
    <x v="2"/>
    <x v="38"/>
  </r>
  <r>
    <s v="KAŚKÓW Paweł"/>
    <x v="0"/>
    <s v="KS AZS AWFiS Gdańsk"/>
    <n v="2"/>
    <x v="1"/>
    <x v="0"/>
    <x v="16"/>
  </r>
  <r>
    <s v="KAŚKÓW Paweł"/>
    <x v="0"/>
    <s v="KS AZS AWFiS Gdańsk"/>
    <n v="2"/>
    <x v="1"/>
    <x v="1"/>
    <x v="16"/>
  </r>
  <r>
    <s v="KAŚKÓW Paweł"/>
    <x v="0"/>
    <s v="KS AZS AWFiS Gdańsk"/>
    <n v="2"/>
    <x v="1"/>
    <x v="2"/>
    <x v="16"/>
  </r>
  <r>
    <s v="KAŚKÓW Paweł"/>
    <x v="0"/>
    <s v="KS AZS AWFiS Gdańsk"/>
    <n v="2"/>
    <x v="2"/>
    <x v="0"/>
    <x v="17"/>
  </r>
  <r>
    <s v="KAŚKÓW Paweł"/>
    <x v="0"/>
    <s v="KS AZS AWFiS Gdańsk"/>
    <n v="2"/>
    <x v="2"/>
    <x v="1"/>
    <x v="29"/>
  </r>
  <r>
    <s v="KAŚKÓW Paweł"/>
    <x v="0"/>
    <s v="KS AZS AWFiS Gdańsk"/>
    <n v="2"/>
    <x v="2"/>
    <x v="2"/>
    <x v="184"/>
  </r>
  <r>
    <s v="KAŚKÓW Paweł"/>
    <x v="0"/>
    <s v="KS AZS AWFiS Gdańsk"/>
    <n v="2"/>
    <x v="3"/>
    <x v="0"/>
    <x v="16"/>
  </r>
  <r>
    <s v="KAŚKÓW Paweł"/>
    <x v="0"/>
    <s v="KS AZS AWFiS Gdańsk"/>
    <n v="2"/>
    <x v="3"/>
    <x v="1"/>
    <x v="16"/>
  </r>
  <r>
    <s v="KAŚKÓW Paweł"/>
    <x v="0"/>
    <s v="KS AZS AWFiS Gdańsk"/>
    <n v="2"/>
    <x v="3"/>
    <x v="2"/>
    <x v="16"/>
  </r>
  <r>
    <s v="KAŚKÓW Paweł"/>
    <x v="0"/>
    <s v="KS AZS AWFiS Gdańsk"/>
    <n v="2"/>
    <x v="4"/>
    <x v="0"/>
    <x v="124"/>
  </r>
  <r>
    <s v="KAŚKÓW Paweł"/>
    <x v="0"/>
    <s v="KS AZS AWFiS Gdańsk"/>
    <n v="2"/>
    <x v="4"/>
    <x v="1"/>
    <x v="185"/>
  </r>
  <r>
    <s v="KAŚKÓW Paweł"/>
    <x v="0"/>
    <s v="KS AZS AWFiS Gdańsk"/>
    <n v="2"/>
    <x v="4"/>
    <x v="2"/>
    <x v="80"/>
  </r>
  <r>
    <s v="KAŚKÓW Paweł"/>
    <x v="0"/>
    <s v="KS AZS AWFiS Gdańsk"/>
    <n v="2"/>
    <x v="5"/>
    <x v="0"/>
    <x v="16"/>
  </r>
  <r>
    <s v="KAŚKÓW Paweł"/>
    <x v="0"/>
    <s v="KS AZS AWFiS Gdańsk"/>
    <n v="2"/>
    <x v="5"/>
    <x v="1"/>
    <x v="16"/>
  </r>
  <r>
    <s v="KAŚKÓW Paweł"/>
    <x v="0"/>
    <s v="KS AZS AWFiS Gdańsk"/>
    <n v="2"/>
    <x v="5"/>
    <x v="2"/>
    <x v="16"/>
  </r>
  <r>
    <s v="WROŃSKI Filip"/>
    <x v="0"/>
    <s v="NTG Nysa"/>
    <n v="2"/>
    <x v="0"/>
    <x v="0"/>
    <x v="16"/>
  </r>
  <r>
    <s v="WROŃSKI Filip"/>
    <x v="0"/>
    <s v="NTG Nysa"/>
    <n v="2"/>
    <x v="0"/>
    <x v="1"/>
    <x v="16"/>
  </r>
  <r>
    <s v="WROŃSKI Filip"/>
    <x v="0"/>
    <s v="NTG Nysa"/>
    <n v="2"/>
    <x v="0"/>
    <x v="2"/>
    <x v="16"/>
  </r>
  <r>
    <s v="WROŃSKI Filip"/>
    <x v="0"/>
    <s v="NTG Nysa"/>
    <n v="2"/>
    <x v="1"/>
    <x v="0"/>
    <x v="17"/>
  </r>
  <r>
    <s v="WROŃSKI Filip"/>
    <x v="0"/>
    <s v="NTG Nysa"/>
    <n v="2"/>
    <x v="1"/>
    <x v="1"/>
    <x v="28"/>
  </r>
  <r>
    <s v="WROŃSKI Filip"/>
    <x v="0"/>
    <s v="NTG Nysa"/>
    <n v="2"/>
    <x v="1"/>
    <x v="2"/>
    <x v="9"/>
  </r>
  <r>
    <s v="WROŃSKI Filip"/>
    <x v="0"/>
    <s v="NTG Nysa"/>
    <n v="2"/>
    <x v="2"/>
    <x v="0"/>
    <x v="16"/>
  </r>
  <r>
    <s v="WROŃSKI Filip"/>
    <x v="0"/>
    <s v="NTG Nysa"/>
    <n v="2"/>
    <x v="2"/>
    <x v="1"/>
    <x v="16"/>
  </r>
  <r>
    <s v="WROŃSKI Filip"/>
    <x v="0"/>
    <s v="NTG Nysa"/>
    <n v="2"/>
    <x v="2"/>
    <x v="2"/>
    <x v="16"/>
  </r>
  <r>
    <s v="WROŃSKI Filip"/>
    <x v="0"/>
    <s v="NTG Nysa"/>
    <n v="2"/>
    <x v="3"/>
    <x v="0"/>
    <x v="17"/>
  </r>
  <r>
    <s v="WROŃSKI Filip"/>
    <x v="0"/>
    <s v="NTG Nysa"/>
    <n v="2"/>
    <x v="3"/>
    <x v="1"/>
    <x v="1"/>
  </r>
  <r>
    <s v="WROŃSKI Filip"/>
    <x v="0"/>
    <s v="NTG Nysa"/>
    <n v="2"/>
    <x v="3"/>
    <x v="2"/>
    <x v="31"/>
  </r>
  <r>
    <s v="WROŃSKI Filip"/>
    <x v="0"/>
    <s v="NTG Nysa"/>
    <n v="2"/>
    <x v="4"/>
    <x v="0"/>
    <x v="124"/>
  </r>
  <r>
    <s v="WROŃSKI Filip"/>
    <x v="0"/>
    <s v="NTG Nysa"/>
    <n v="2"/>
    <x v="4"/>
    <x v="1"/>
    <x v="186"/>
  </r>
  <r>
    <s v="WROŃSKI Filip"/>
    <x v="0"/>
    <s v="NTG Nysa"/>
    <n v="2"/>
    <x v="4"/>
    <x v="2"/>
    <x v="187"/>
  </r>
  <r>
    <s v="WROŃSKI Filip"/>
    <x v="0"/>
    <s v="NTG Nysa"/>
    <n v="2"/>
    <x v="5"/>
    <x v="0"/>
    <x v="16"/>
  </r>
  <r>
    <s v="WROŃSKI Filip"/>
    <x v="0"/>
    <s v="NTG Nysa"/>
    <n v="2"/>
    <x v="5"/>
    <x v="1"/>
    <x v="16"/>
  </r>
  <r>
    <s v="WROŃSKI Filip"/>
    <x v="0"/>
    <s v="NTG Nysa"/>
    <n v="2"/>
    <x v="5"/>
    <x v="2"/>
    <x v="16"/>
  </r>
  <r>
    <s v="MISHCHENKO Oleksandr"/>
    <x v="1"/>
    <s v="MKS Kusy Szczecin"/>
    <n v="2"/>
    <x v="0"/>
    <x v="0"/>
    <x v="17"/>
  </r>
  <r>
    <s v="MISHCHENKO Oleksandr"/>
    <x v="1"/>
    <s v="MKS Kusy Szczecin"/>
    <n v="2"/>
    <x v="0"/>
    <x v="1"/>
    <x v="120"/>
  </r>
  <r>
    <s v="MISHCHENKO Oleksandr"/>
    <x v="1"/>
    <s v="MKS Kusy Szczecin"/>
    <n v="2"/>
    <x v="0"/>
    <x v="2"/>
    <x v="72"/>
  </r>
  <r>
    <s v="MISHCHENKO Oleksandr"/>
    <x v="1"/>
    <s v="MKS Kusy Szczecin"/>
    <n v="2"/>
    <x v="1"/>
    <x v="0"/>
    <x v="16"/>
  </r>
  <r>
    <s v="MISHCHENKO Oleksandr"/>
    <x v="1"/>
    <s v="MKS Kusy Szczecin"/>
    <n v="2"/>
    <x v="1"/>
    <x v="1"/>
    <x v="16"/>
  </r>
  <r>
    <s v="MISHCHENKO Oleksandr"/>
    <x v="1"/>
    <s v="MKS Kusy Szczecin"/>
    <n v="2"/>
    <x v="1"/>
    <x v="2"/>
    <x v="16"/>
  </r>
  <r>
    <s v="MISHCHENKO Oleksandr"/>
    <x v="1"/>
    <s v="MKS Kusy Szczecin"/>
    <n v="2"/>
    <x v="2"/>
    <x v="0"/>
    <x v="16"/>
  </r>
  <r>
    <s v="MISHCHENKO Oleksandr"/>
    <x v="1"/>
    <s v="MKS Kusy Szczecin"/>
    <n v="2"/>
    <x v="2"/>
    <x v="1"/>
    <x v="16"/>
  </r>
  <r>
    <s v="MISHCHENKO Oleksandr"/>
    <x v="1"/>
    <s v="MKS Kusy Szczecin"/>
    <n v="2"/>
    <x v="2"/>
    <x v="2"/>
    <x v="16"/>
  </r>
  <r>
    <s v="MISHCHENKO Oleksandr"/>
    <x v="1"/>
    <s v="MKS Kusy Szczecin"/>
    <n v="2"/>
    <x v="3"/>
    <x v="0"/>
    <x v="17"/>
  </r>
  <r>
    <s v="MISHCHENKO Oleksandr"/>
    <x v="1"/>
    <s v="MKS Kusy Szczecin"/>
    <n v="2"/>
    <x v="3"/>
    <x v="1"/>
    <x v="51"/>
  </r>
  <r>
    <s v="MISHCHENKO Oleksandr"/>
    <x v="1"/>
    <s v="MKS Kusy Szczecin"/>
    <n v="2"/>
    <x v="3"/>
    <x v="2"/>
    <x v="52"/>
  </r>
  <r>
    <s v="MISHCHENKO Oleksandr"/>
    <x v="1"/>
    <s v="MKS Kusy Szczecin"/>
    <n v="2"/>
    <x v="4"/>
    <x v="0"/>
    <x v="124"/>
  </r>
  <r>
    <s v="MISHCHENKO Oleksandr"/>
    <x v="1"/>
    <s v="MKS Kusy Szczecin"/>
    <n v="2"/>
    <x v="4"/>
    <x v="1"/>
    <x v="188"/>
  </r>
  <r>
    <s v="MISHCHENKO Oleksandr"/>
    <x v="1"/>
    <s v="MKS Kusy Szczecin"/>
    <n v="2"/>
    <x v="4"/>
    <x v="2"/>
    <x v="189"/>
  </r>
  <r>
    <s v="MISHCHENKO Oleksandr"/>
    <x v="1"/>
    <s v="MKS Kusy Szczecin"/>
    <n v="2"/>
    <x v="5"/>
    <x v="0"/>
    <x v="16"/>
  </r>
  <r>
    <s v="MISHCHENKO Oleksandr"/>
    <x v="1"/>
    <s v="MKS Kusy Szczecin"/>
    <n v="2"/>
    <x v="5"/>
    <x v="1"/>
    <x v="16"/>
  </r>
  <r>
    <s v="MISHCHENKO Oleksandr"/>
    <x v="1"/>
    <s v="MKS Kusy Szczecin"/>
    <n v="2"/>
    <x v="5"/>
    <x v="2"/>
    <x v="16"/>
  </r>
  <r>
    <s v="LAKHIN Yaroslav"/>
    <x v="0"/>
    <s v="CWZS Zawisza KG Bydgoszcz"/>
    <n v="2"/>
    <x v="0"/>
    <x v="0"/>
    <x v="16"/>
  </r>
  <r>
    <s v="LAKHIN Yaroslav"/>
    <x v="0"/>
    <s v="CWZS Zawisza KG Bydgoszcz"/>
    <n v="2"/>
    <x v="0"/>
    <x v="1"/>
    <x v="16"/>
  </r>
  <r>
    <s v="LAKHIN Yaroslav"/>
    <x v="0"/>
    <s v="CWZS Zawisza KG Bydgoszcz"/>
    <n v="2"/>
    <x v="0"/>
    <x v="2"/>
    <x v="16"/>
  </r>
  <r>
    <s v="LAKHIN Yaroslav"/>
    <x v="0"/>
    <s v="CWZS Zawisza KG Bydgoszcz"/>
    <n v="2"/>
    <x v="1"/>
    <x v="0"/>
    <x v="56"/>
  </r>
  <r>
    <s v="LAKHIN Yaroslav"/>
    <x v="0"/>
    <s v="CWZS Zawisza KG Bydgoszcz"/>
    <n v="2"/>
    <x v="1"/>
    <x v="1"/>
    <x v="58"/>
  </r>
  <r>
    <s v="LAKHIN Yaroslav"/>
    <x v="0"/>
    <s v="CWZS Zawisza KG Bydgoszcz"/>
    <n v="2"/>
    <x v="1"/>
    <x v="2"/>
    <x v="59"/>
  </r>
  <r>
    <s v="LAKHIN Yaroslav"/>
    <x v="0"/>
    <s v="CWZS Zawisza KG Bydgoszcz"/>
    <n v="2"/>
    <x v="2"/>
    <x v="0"/>
    <x v="56"/>
  </r>
  <r>
    <s v="LAKHIN Yaroslav"/>
    <x v="0"/>
    <s v="CWZS Zawisza KG Bydgoszcz"/>
    <n v="2"/>
    <x v="2"/>
    <x v="1"/>
    <x v="104"/>
  </r>
  <r>
    <s v="LAKHIN Yaroslav"/>
    <x v="0"/>
    <s v="CWZS Zawisza KG Bydgoszcz"/>
    <n v="2"/>
    <x v="2"/>
    <x v="2"/>
    <x v="105"/>
  </r>
  <r>
    <s v="LAKHIN Yaroslav"/>
    <x v="0"/>
    <s v="CWZS Zawisza KG Bydgoszcz"/>
    <n v="2"/>
    <x v="3"/>
    <x v="0"/>
    <x v="16"/>
  </r>
  <r>
    <s v="LAKHIN Yaroslav"/>
    <x v="0"/>
    <s v="CWZS Zawisza KG Bydgoszcz"/>
    <n v="2"/>
    <x v="3"/>
    <x v="1"/>
    <x v="16"/>
  </r>
  <r>
    <s v="LAKHIN Yaroslav"/>
    <x v="0"/>
    <s v="CWZS Zawisza KG Bydgoszcz"/>
    <n v="2"/>
    <x v="3"/>
    <x v="2"/>
    <x v="16"/>
  </r>
  <r>
    <s v="LAKHIN Yaroslav"/>
    <x v="0"/>
    <s v="CWZS Zawisza KG Bydgoszcz"/>
    <n v="2"/>
    <x v="4"/>
    <x v="0"/>
    <x v="153"/>
  </r>
  <r>
    <s v="LAKHIN Yaroslav"/>
    <x v="0"/>
    <s v="CWZS Zawisza KG Bydgoszcz"/>
    <n v="2"/>
    <x v="4"/>
    <x v="1"/>
    <x v="190"/>
  </r>
  <r>
    <s v="LAKHIN Yaroslav"/>
    <x v="0"/>
    <s v="CWZS Zawisza KG Bydgoszcz"/>
    <n v="2"/>
    <x v="4"/>
    <x v="2"/>
    <x v="191"/>
  </r>
  <r>
    <s v="LAKHIN Yaroslav"/>
    <x v="0"/>
    <s v="CWZS Zawisza KG Bydgoszcz"/>
    <n v="2"/>
    <x v="5"/>
    <x v="0"/>
    <x v="16"/>
  </r>
  <r>
    <s v="LAKHIN Yaroslav"/>
    <x v="0"/>
    <s v="CWZS Zawisza KG Bydgoszcz"/>
    <n v="2"/>
    <x v="5"/>
    <x v="1"/>
    <x v="16"/>
  </r>
  <r>
    <s v="LAKHIN Yaroslav"/>
    <x v="0"/>
    <s v="CWZS Zawisza KG Bydgoszcz"/>
    <n v="2"/>
    <x v="5"/>
    <x v="2"/>
    <x v="16"/>
  </r>
  <r>
    <s v="FRONT Filip"/>
    <x v="0"/>
    <s v="KS AZS AWFiS Gdańsk"/>
    <n v="2"/>
    <x v="0"/>
    <x v="0"/>
    <x v="16"/>
  </r>
  <r>
    <s v="FRONT Filip"/>
    <x v="0"/>
    <s v="KS AZS AWFiS Gdańsk"/>
    <n v="2"/>
    <x v="0"/>
    <x v="1"/>
    <x v="16"/>
  </r>
  <r>
    <s v="FRONT Filip"/>
    <x v="0"/>
    <s v="KS AZS AWFiS Gdańsk"/>
    <n v="2"/>
    <x v="0"/>
    <x v="2"/>
    <x v="16"/>
  </r>
  <r>
    <s v="FRONT Filip"/>
    <x v="0"/>
    <s v="KS AZS AWFiS Gdańsk"/>
    <n v="2"/>
    <x v="1"/>
    <x v="0"/>
    <x v="61"/>
  </r>
  <r>
    <s v="FRONT Filip"/>
    <x v="0"/>
    <s v="KS AZS AWFiS Gdańsk"/>
    <n v="2"/>
    <x v="1"/>
    <x v="1"/>
    <x v="129"/>
  </r>
  <r>
    <s v="FRONT Filip"/>
    <x v="0"/>
    <s v="KS AZS AWFiS Gdańsk"/>
    <n v="2"/>
    <x v="1"/>
    <x v="2"/>
    <x v="57"/>
  </r>
  <r>
    <s v="FRONT Filip"/>
    <x v="0"/>
    <s v="KS AZS AWFiS Gdańsk"/>
    <n v="2"/>
    <x v="2"/>
    <x v="0"/>
    <x v="61"/>
  </r>
  <r>
    <s v="FRONT Filip"/>
    <x v="0"/>
    <s v="KS AZS AWFiS Gdańsk"/>
    <n v="2"/>
    <x v="2"/>
    <x v="1"/>
    <x v="28"/>
  </r>
  <r>
    <s v="FRONT Filip"/>
    <x v="0"/>
    <s v="KS AZS AWFiS Gdańsk"/>
    <n v="2"/>
    <x v="2"/>
    <x v="2"/>
    <x v="113"/>
  </r>
  <r>
    <s v="FRONT Filip"/>
    <x v="0"/>
    <s v="KS AZS AWFiS Gdańsk"/>
    <n v="2"/>
    <x v="3"/>
    <x v="0"/>
    <x v="16"/>
  </r>
  <r>
    <s v="FRONT Filip"/>
    <x v="0"/>
    <s v="KS AZS AWFiS Gdańsk"/>
    <n v="2"/>
    <x v="3"/>
    <x v="1"/>
    <x v="16"/>
  </r>
  <r>
    <s v="FRONT Filip"/>
    <x v="0"/>
    <s v="KS AZS AWFiS Gdańsk"/>
    <n v="2"/>
    <x v="3"/>
    <x v="2"/>
    <x v="16"/>
  </r>
  <r>
    <s v="FRONT Filip"/>
    <x v="0"/>
    <s v="KS AZS AWFiS Gdańsk"/>
    <n v="2"/>
    <x v="4"/>
    <x v="0"/>
    <x v="159"/>
  </r>
  <r>
    <s v="FRONT Filip"/>
    <x v="0"/>
    <s v="KS AZS AWFiS Gdańsk"/>
    <n v="2"/>
    <x v="4"/>
    <x v="1"/>
    <x v="190"/>
  </r>
  <r>
    <s v="FRONT Filip"/>
    <x v="0"/>
    <s v="KS AZS AWFiS Gdańsk"/>
    <n v="2"/>
    <x v="4"/>
    <x v="2"/>
    <x v="192"/>
  </r>
  <r>
    <s v="FRONT Filip"/>
    <x v="0"/>
    <s v="KS AZS AWFiS Gdańsk"/>
    <n v="2"/>
    <x v="5"/>
    <x v="0"/>
    <x v="16"/>
  </r>
  <r>
    <s v="FRONT Filip"/>
    <x v="0"/>
    <s v="KS AZS AWFiS Gdańsk"/>
    <n v="2"/>
    <x v="5"/>
    <x v="1"/>
    <x v="16"/>
  </r>
  <r>
    <s v="FRONT Filip"/>
    <x v="0"/>
    <s v="KS AZS AWFiS Gdańsk"/>
    <n v="2"/>
    <x v="5"/>
    <x v="2"/>
    <x v="16"/>
  </r>
  <r>
    <s v="JAKUBOWSKI Jakub"/>
    <x v="0"/>
    <s v="KS AZS AWFiS Gdańsk"/>
    <n v="2"/>
    <x v="0"/>
    <x v="0"/>
    <x v="61"/>
  </r>
  <r>
    <s v="JAKUBOWSKI Jakub"/>
    <x v="0"/>
    <s v="KS AZS AWFiS Gdańsk"/>
    <n v="2"/>
    <x v="0"/>
    <x v="1"/>
    <x v="60"/>
  </r>
  <r>
    <s v="JAKUBOWSKI Jakub"/>
    <x v="0"/>
    <s v="KS AZS AWFiS Gdańsk"/>
    <n v="2"/>
    <x v="0"/>
    <x v="2"/>
    <x v="23"/>
  </r>
  <r>
    <s v="JAKUBOWSKI Jakub"/>
    <x v="0"/>
    <s v="KS AZS AWFiS Gdańsk"/>
    <n v="2"/>
    <x v="1"/>
    <x v="0"/>
    <x v="16"/>
  </r>
  <r>
    <s v="JAKUBOWSKI Jakub"/>
    <x v="0"/>
    <s v="KS AZS AWFiS Gdańsk"/>
    <n v="2"/>
    <x v="1"/>
    <x v="1"/>
    <x v="16"/>
  </r>
  <r>
    <s v="JAKUBOWSKI Jakub"/>
    <x v="0"/>
    <s v="KS AZS AWFiS Gdańsk"/>
    <n v="2"/>
    <x v="1"/>
    <x v="2"/>
    <x v="16"/>
  </r>
  <r>
    <s v="JAKUBOWSKI Jakub"/>
    <x v="0"/>
    <s v="KS AZS AWFiS Gdańsk"/>
    <n v="2"/>
    <x v="2"/>
    <x v="0"/>
    <x v="16"/>
  </r>
  <r>
    <s v="JAKUBOWSKI Jakub"/>
    <x v="0"/>
    <s v="KS AZS AWFiS Gdańsk"/>
    <n v="2"/>
    <x v="2"/>
    <x v="1"/>
    <x v="16"/>
  </r>
  <r>
    <s v="JAKUBOWSKI Jakub"/>
    <x v="0"/>
    <s v="KS AZS AWFiS Gdańsk"/>
    <n v="2"/>
    <x v="2"/>
    <x v="2"/>
    <x v="16"/>
  </r>
  <r>
    <s v="JAKUBOWSKI Jakub"/>
    <x v="0"/>
    <s v="KS AZS AWFiS Gdańsk"/>
    <n v="2"/>
    <x v="3"/>
    <x v="0"/>
    <x v="61"/>
  </r>
  <r>
    <s v="JAKUBOWSKI Jakub"/>
    <x v="0"/>
    <s v="KS AZS AWFiS Gdańsk"/>
    <n v="2"/>
    <x v="3"/>
    <x v="1"/>
    <x v="8"/>
  </r>
  <r>
    <s v="JAKUBOWSKI Jakub"/>
    <x v="0"/>
    <s v="KS AZS AWFiS Gdańsk"/>
    <n v="2"/>
    <x v="3"/>
    <x v="2"/>
    <x v="151"/>
  </r>
  <r>
    <s v="JAKUBOWSKI Jakub"/>
    <x v="0"/>
    <s v="KS AZS AWFiS Gdańsk"/>
    <n v="2"/>
    <x v="4"/>
    <x v="0"/>
    <x v="159"/>
  </r>
  <r>
    <s v="JAKUBOWSKI Jakub"/>
    <x v="0"/>
    <s v="KS AZS AWFiS Gdańsk"/>
    <n v="2"/>
    <x v="4"/>
    <x v="1"/>
    <x v="193"/>
  </r>
  <r>
    <s v="JAKUBOWSKI Jakub"/>
    <x v="0"/>
    <s v="KS AZS AWFiS Gdańsk"/>
    <n v="2"/>
    <x v="4"/>
    <x v="2"/>
    <x v="194"/>
  </r>
  <r>
    <s v="JAKUBOWSKI Jakub"/>
    <x v="0"/>
    <s v="KS AZS AWFiS Gdańsk"/>
    <n v="2"/>
    <x v="5"/>
    <x v="0"/>
    <x v="16"/>
  </r>
  <r>
    <s v="JAKUBOWSKI Jakub"/>
    <x v="0"/>
    <s v="KS AZS AWFiS Gdańsk"/>
    <n v="2"/>
    <x v="5"/>
    <x v="1"/>
    <x v="16"/>
  </r>
  <r>
    <s v="JAKUBOWSKI Jakub"/>
    <x v="0"/>
    <s v="KS AZS AWFiS Gdańsk"/>
    <n v="2"/>
    <x v="5"/>
    <x v="2"/>
    <x v="16"/>
  </r>
  <r>
    <s v="KUŹMIŃSKI Bartosz"/>
    <x v="0"/>
    <s v="MKS Kusy Szczecin"/>
    <n v="2"/>
    <x v="0"/>
    <x v="0"/>
    <x v="16"/>
  </r>
  <r>
    <s v="KUŹMIŃSKI Bartosz"/>
    <x v="0"/>
    <s v="MKS Kusy Szczecin"/>
    <n v="2"/>
    <x v="0"/>
    <x v="1"/>
    <x v="16"/>
  </r>
  <r>
    <s v="KUŹMIŃSKI Bartosz"/>
    <x v="0"/>
    <s v="MKS Kusy Szczecin"/>
    <n v="2"/>
    <x v="0"/>
    <x v="2"/>
    <x v="16"/>
  </r>
  <r>
    <s v="KUŹMIŃSKI Bartosz"/>
    <x v="0"/>
    <s v="MKS Kusy Szczecin"/>
    <n v="2"/>
    <x v="1"/>
    <x v="0"/>
    <x v="56"/>
  </r>
  <r>
    <s v="KUŹMIŃSKI Bartosz"/>
    <x v="0"/>
    <s v="MKS Kusy Szczecin"/>
    <n v="2"/>
    <x v="1"/>
    <x v="1"/>
    <x v="104"/>
  </r>
  <r>
    <s v="KUŹMIŃSKI Bartosz"/>
    <x v="0"/>
    <s v="MKS Kusy Szczecin"/>
    <n v="2"/>
    <x v="1"/>
    <x v="2"/>
    <x v="105"/>
  </r>
  <r>
    <s v="KUŹMIŃSKI Bartosz"/>
    <x v="0"/>
    <s v="MKS Kusy Szczecin"/>
    <n v="2"/>
    <x v="2"/>
    <x v="0"/>
    <x v="56"/>
  </r>
  <r>
    <s v="KUŹMIŃSKI Bartosz"/>
    <x v="0"/>
    <s v="MKS Kusy Szczecin"/>
    <n v="2"/>
    <x v="2"/>
    <x v="1"/>
    <x v="195"/>
  </r>
  <r>
    <s v="KUŹMIŃSKI Bartosz"/>
    <x v="0"/>
    <s v="MKS Kusy Szczecin"/>
    <n v="2"/>
    <x v="2"/>
    <x v="2"/>
    <x v="139"/>
  </r>
  <r>
    <s v="KUŹMIŃSKI Bartosz"/>
    <x v="0"/>
    <s v="MKS Kusy Szczecin"/>
    <n v="2"/>
    <x v="3"/>
    <x v="0"/>
    <x v="16"/>
  </r>
  <r>
    <s v="KUŹMIŃSKI Bartosz"/>
    <x v="0"/>
    <s v="MKS Kusy Szczecin"/>
    <n v="2"/>
    <x v="3"/>
    <x v="1"/>
    <x v="16"/>
  </r>
  <r>
    <s v="KUŹMIŃSKI Bartosz"/>
    <x v="0"/>
    <s v="MKS Kusy Szczecin"/>
    <n v="2"/>
    <x v="3"/>
    <x v="2"/>
    <x v="16"/>
  </r>
  <r>
    <s v="KUŹMIŃSKI Bartosz"/>
    <x v="0"/>
    <s v="MKS Kusy Szczecin"/>
    <n v="2"/>
    <x v="4"/>
    <x v="0"/>
    <x v="153"/>
  </r>
  <r>
    <s v="KUŹMIŃSKI Bartosz"/>
    <x v="0"/>
    <s v="MKS Kusy Szczecin"/>
    <n v="2"/>
    <x v="4"/>
    <x v="1"/>
    <x v="196"/>
  </r>
  <r>
    <s v="KUŹMIŃSKI Bartosz"/>
    <x v="0"/>
    <s v="MKS Kusy Szczecin"/>
    <n v="2"/>
    <x v="4"/>
    <x v="2"/>
    <x v="197"/>
  </r>
  <r>
    <s v="KUŹMIŃSKI Bartosz"/>
    <x v="0"/>
    <s v="MKS Kusy Szczecin"/>
    <n v="2"/>
    <x v="5"/>
    <x v="0"/>
    <x v="16"/>
  </r>
  <r>
    <s v="KUŹMIŃSKI Bartosz"/>
    <x v="0"/>
    <s v="MKS Kusy Szczecin"/>
    <n v="2"/>
    <x v="5"/>
    <x v="1"/>
    <x v="16"/>
  </r>
  <r>
    <s v="KUŹMIŃSKI Bartosz"/>
    <x v="0"/>
    <s v="MKS Kusy Szczecin"/>
    <n v="2"/>
    <x v="5"/>
    <x v="2"/>
    <x v="16"/>
  </r>
  <r>
    <s v="ĆWIEK Tymoteusz"/>
    <x v="1"/>
    <s v="KS AZS AWF Kraków"/>
    <n v="2"/>
    <x v="0"/>
    <x v="0"/>
    <x v="56"/>
  </r>
  <r>
    <s v="ĆWIEK Tymoteusz"/>
    <x v="1"/>
    <s v="KS AZS AWF Kraków"/>
    <n v="2"/>
    <x v="0"/>
    <x v="1"/>
    <x v="37"/>
  </r>
  <r>
    <s v="ĆWIEK Tymoteusz"/>
    <x v="1"/>
    <s v="KS AZS AWF Kraków"/>
    <n v="2"/>
    <x v="0"/>
    <x v="2"/>
    <x v="57"/>
  </r>
  <r>
    <s v="ĆWIEK Tymoteusz"/>
    <x v="1"/>
    <s v="KS AZS AWF Kraków"/>
    <n v="2"/>
    <x v="1"/>
    <x v="0"/>
    <x v="16"/>
  </r>
  <r>
    <s v="ĆWIEK Tymoteusz"/>
    <x v="1"/>
    <s v="KS AZS AWF Kraków"/>
    <n v="2"/>
    <x v="1"/>
    <x v="1"/>
    <x v="16"/>
  </r>
  <r>
    <s v="ĆWIEK Tymoteusz"/>
    <x v="1"/>
    <s v="KS AZS AWF Kraków"/>
    <n v="2"/>
    <x v="1"/>
    <x v="2"/>
    <x v="16"/>
  </r>
  <r>
    <s v="ĆWIEK Tymoteusz"/>
    <x v="1"/>
    <s v="KS AZS AWF Kraków"/>
    <n v="2"/>
    <x v="2"/>
    <x v="0"/>
    <x v="88"/>
  </r>
  <r>
    <s v="ĆWIEK Tymoteusz"/>
    <x v="1"/>
    <s v="KS AZS AWF Kraków"/>
    <n v="2"/>
    <x v="2"/>
    <x v="1"/>
    <x v="102"/>
  </r>
  <r>
    <s v="ĆWIEK Tymoteusz"/>
    <x v="1"/>
    <s v="KS AZS AWF Kraków"/>
    <n v="2"/>
    <x v="2"/>
    <x v="2"/>
    <x v="149"/>
  </r>
  <r>
    <s v="ĆWIEK Tymoteusz"/>
    <x v="1"/>
    <s v="KS AZS AWF Kraków"/>
    <n v="2"/>
    <x v="3"/>
    <x v="0"/>
    <x v="16"/>
  </r>
  <r>
    <s v="ĆWIEK Tymoteusz"/>
    <x v="1"/>
    <s v="KS AZS AWF Kraków"/>
    <n v="2"/>
    <x v="3"/>
    <x v="1"/>
    <x v="16"/>
  </r>
  <r>
    <s v="ĆWIEK Tymoteusz"/>
    <x v="1"/>
    <s v="KS AZS AWF Kraków"/>
    <n v="2"/>
    <x v="3"/>
    <x v="2"/>
    <x v="16"/>
  </r>
  <r>
    <s v="ĆWIEK Tymoteusz"/>
    <x v="1"/>
    <s v="KS AZS AWF Kraków"/>
    <n v="2"/>
    <x v="4"/>
    <x v="0"/>
    <x v="159"/>
  </r>
  <r>
    <s v="ĆWIEK Tymoteusz"/>
    <x v="1"/>
    <s v="KS AZS AWF Kraków"/>
    <n v="2"/>
    <x v="4"/>
    <x v="1"/>
    <x v="198"/>
  </r>
  <r>
    <s v="ĆWIEK Tymoteusz"/>
    <x v="1"/>
    <s v="KS AZS AWF Kraków"/>
    <n v="2"/>
    <x v="4"/>
    <x v="2"/>
    <x v="199"/>
  </r>
  <r>
    <s v="ĆWIEK Tymoteusz"/>
    <x v="1"/>
    <s v="KS AZS AWF Kraków"/>
    <n v="2"/>
    <x v="5"/>
    <x v="0"/>
    <x v="16"/>
  </r>
  <r>
    <s v="ĆWIEK Tymoteusz"/>
    <x v="1"/>
    <s v="KS AZS AWF Kraków"/>
    <n v="2"/>
    <x v="5"/>
    <x v="1"/>
    <x v="16"/>
  </r>
  <r>
    <s v="ĆWIEK Tymoteusz"/>
    <x v="1"/>
    <s v="KS AZS AWF Kraków"/>
    <n v="2"/>
    <x v="5"/>
    <x v="2"/>
    <x v="16"/>
  </r>
  <r>
    <s v="LUKIANIENKO Illia"/>
    <x v="0"/>
    <s v="MKS Kusy Szczecin"/>
    <n v="1"/>
    <x v="0"/>
    <x v="0"/>
    <x v="16"/>
  </r>
  <r>
    <s v="LUKIANIENKO Illia"/>
    <x v="0"/>
    <s v="MKS Kusy Szczecin"/>
    <n v="1"/>
    <x v="0"/>
    <x v="1"/>
    <x v="16"/>
  </r>
  <r>
    <s v="LUKIANIENKO Illia"/>
    <x v="0"/>
    <s v="MKS Kusy Szczecin"/>
    <n v="1"/>
    <x v="0"/>
    <x v="2"/>
    <x v="16"/>
  </r>
  <r>
    <s v="LUKIANIENKO Illia"/>
    <x v="0"/>
    <s v="MKS Kusy Szczecin"/>
    <n v="1"/>
    <x v="1"/>
    <x v="0"/>
    <x v="16"/>
  </r>
  <r>
    <s v="LUKIANIENKO Illia"/>
    <x v="0"/>
    <s v="MKS Kusy Szczecin"/>
    <n v="1"/>
    <x v="1"/>
    <x v="1"/>
    <x v="16"/>
  </r>
  <r>
    <s v="LUKIANIENKO Illia"/>
    <x v="0"/>
    <s v="MKS Kusy Szczecin"/>
    <n v="1"/>
    <x v="1"/>
    <x v="2"/>
    <x v="16"/>
  </r>
  <r>
    <s v="LUKIANIENKO Illia"/>
    <x v="0"/>
    <s v="MKS Kusy Szczecin"/>
    <n v="1"/>
    <x v="2"/>
    <x v="0"/>
    <x v="17"/>
  </r>
  <r>
    <s v="LUKIANIENKO Illia"/>
    <x v="0"/>
    <s v="MKS Kusy Szczecin"/>
    <n v="1"/>
    <x v="2"/>
    <x v="1"/>
    <x v="35"/>
  </r>
  <r>
    <s v="LUKIANIENKO Illia"/>
    <x v="0"/>
    <s v="MKS Kusy Szczecin"/>
    <n v="1"/>
    <x v="2"/>
    <x v="2"/>
    <x v="36"/>
  </r>
  <r>
    <s v="LUKIANIENKO Illia"/>
    <x v="0"/>
    <s v="MKS Kusy Szczecin"/>
    <n v="1"/>
    <x v="3"/>
    <x v="0"/>
    <x v="16"/>
  </r>
  <r>
    <s v="LUKIANIENKO Illia"/>
    <x v="0"/>
    <s v="MKS Kusy Szczecin"/>
    <n v="1"/>
    <x v="3"/>
    <x v="1"/>
    <x v="16"/>
  </r>
  <r>
    <s v="LUKIANIENKO Illia"/>
    <x v="0"/>
    <s v="MKS Kusy Szczecin"/>
    <n v="1"/>
    <x v="3"/>
    <x v="2"/>
    <x v="16"/>
  </r>
  <r>
    <s v="LUKIANIENKO Illia"/>
    <x v="0"/>
    <s v="MKS Kusy Szczecin"/>
    <n v="1"/>
    <x v="4"/>
    <x v="0"/>
    <x v="17"/>
  </r>
  <r>
    <s v="LUKIANIENKO Illia"/>
    <x v="0"/>
    <s v="MKS Kusy Szczecin"/>
    <n v="1"/>
    <x v="4"/>
    <x v="1"/>
    <x v="35"/>
  </r>
  <r>
    <s v="LUKIANIENKO Illia"/>
    <x v="0"/>
    <s v="MKS Kusy Szczecin"/>
    <n v="1"/>
    <x v="4"/>
    <x v="2"/>
    <x v="36"/>
  </r>
  <r>
    <s v="LUKIANIENKO Illia"/>
    <x v="0"/>
    <s v="MKS Kusy Szczecin"/>
    <n v="1"/>
    <x v="5"/>
    <x v="0"/>
    <x v="16"/>
  </r>
  <r>
    <s v="LUKIANIENKO Illia"/>
    <x v="0"/>
    <s v="MKS Kusy Szczecin"/>
    <n v="1"/>
    <x v="5"/>
    <x v="1"/>
    <x v="16"/>
  </r>
  <r>
    <s v="LUKIANIENKO Illia"/>
    <x v="0"/>
    <s v="MKS Kusy Szczecin"/>
    <n v="1"/>
    <x v="5"/>
    <x v="2"/>
    <x v="16"/>
  </r>
  <r>
    <s v="PIETRUSZKIEWICZ Jakub"/>
    <x v="0"/>
    <s v="MKS Kusy Szczecin"/>
    <n v="1"/>
    <x v="0"/>
    <x v="0"/>
    <x v="16"/>
  </r>
  <r>
    <s v="PIETRUSZKIEWICZ Jakub"/>
    <x v="0"/>
    <s v="MKS Kusy Szczecin"/>
    <n v="1"/>
    <x v="0"/>
    <x v="1"/>
    <x v="16"/>
  </r>
  <r>
    <s v="PIETRUSZKIEWICZ Jakub"/>
    <x v="0"/>
    <s v="MKS Kusy Szczecin"/>
    <n v="1"/>
    <x v="0"/>
    <x v="2"/>
    <x v="16"/>
  </r>
  <r>
    <s v="PIETRUSZKIEWICZ Jakub"/>
    <x v="0"/>
    <s v="MKS Kusy Szczecin"/>
    <n v="1"/>
    <x v="1"/>
    <x v="0"/>
    <x v="17"/>
  </r>
  <r>
    <s v="PIETRUSZKIEWICZ Jakub"/>
    <x v="0"/>
    <s v="MKS Kusy Szczecin"/>
    <n v="1"/>
    <x v="1"/>
    <x v="1"/>
    <x v="34"/>
  </r>
  <r>
    <s v="PIETRUSZKIEWICZ Jakub"/>
    <x v="0"/>
    <s v="MKS Kusy Szczecin"/>
    <n v="1"/>
    <x v="1"/>
    <x v="2"/>
    <x v="55"/>
  </r>
  <r>
    <s v="PIETRUSZKIEWICZ Jakub"/>
    <x v="0"/>
    <s v="MKS Kusy Szczecin"/>
    <n v="1"/>
    <x v="2"/>
    <x v="0"/>
    <x v="16"/>
  </r>
  <r>
    <s v="PIETRUSZKIEWICZ Jakub"/>
    <x v="0"/>
    <s v="MKS Kusy Szczecin"/>
    <n v="1"/>
    <x v="2"/>
    <x v="1"/>
    <x v="16"/>
  </r>
  <r>
    <s v="PIETRUSZKIEWICZ Jakub"/>
    <x v="0"/>
    <s v="MKS Kusy Szczecin"/>
    <n v="1"/>
    <x v="2"/>
    <x v="2"/>
    <x v="16"/>
  </r>
  <r>
    <s v="PIETRUSZKIEWICZ Jakub"/>
    <x v="0"/>
    <s v="MKS Kusy Szczecin"/>
    <n v="1"/>
    <x v="3"/>
    <x v="0"/>
    <x v="16"/>
  </r>
  <r>
    <s v="PIETRUSZKIEWICZ Jakub"/>
    <x v="0"/>
    <s v="MKS Kusy Szczecin"/>
    <n v="1"/>
    <x v="3"/>
    <x v="1"/>
    <x v="16"/>
  </r>
  <r>
    <s v="PIETRUSZKIEWICZ Jakub"/>
    <x v="0"/>
    <s v="MKS Kusy Szczecin"/>
    <n v="1"/>
    <x v="3"/>
    <x v="2"/>
    <x v="16"/>
  </r>
  <r>
    <s v="PIETRUSZKIEWICZ Jakub"/>
    <x v="0"/>
    <s v="MKS Kusy Szczecin"/>
    <n v="1"/>
    <x v="4"/>
    <x v="0"/>
    <x v="17"/>
  </r>
  <r>
    <s v="PIETRUSZKIEWICZ Jakub"/>
    <x v="0"/>
    <s v="MKS Kusy Szczecin"/>
    <n v="1"/>
    <x v="4"/>
    <x v="1"/>
    <x v="34"/>
  </r>
  <r>
    <s v="PIETRUSZKIEWICZ Jakub"/>
    <x v="0"/>
    <s v="MKS Kusy Szczecin"/>
    <n v="1"/>
    <x v="4"/>
    <x v="2"/>
    <x v="55"/>
  </r>
  <r>
    <s v="PIETRUSZKIEWICZ Jakub"/>
    <x v="0"/>
    <s v="MKS Kusy Szczecin"/>
    <n v="1"/>
    <x v="5"/>
    <x v="0"/>
    <x v="16"/>
  </r>
  <r>
    <s v="PIETRUSZKIEWICZ Jakub"/>
    <x v="0"/>
    <s v="MKS Kusy Szczecin"/>
    <n v="1"/>
    <x v="5"/>
    <x v="1"/>
    <x v="16"/>
  </r>
  <r>
    <s v="PIETRUSZKIEWICZ Jakub"/>
    <x v="0"/>
    <s v="MKS Kusy Szczecin"/>
    <n v="1"/>
    <x v="5"/>
    <x v="2"/>
    <x v="16"/>
  </r>
  <r>
    <s v="NOWAK Maciej"/>
    <x v="0"/>
    <s v="KS AZS AWF Katowice"/>
    <n v="1"/>
    <x v="0"/>
    <x v="0"/>
    <x v="56"/>
  </r>
  <r>
    <s v="NOWAK Maciej"/>
    <x v="0"/>
    <s v="KS AZS AWF Katowice"/>
    <n v="1"/>
    <x v="0"/>
    <x v="1"/>
    <x v="150"/>
  </r>
  <r>
    <s v="NOWAK Maciej"/>
    <x v="0"/>
    <s v="KS AZS AWF Katowice"/>
    <n v="1"/>
    <x v="0"/>
    <x v="2"/>
    <x v="31"/>
  </r>
  <r>
    <s v="NOWAK Maciej"/>
    <x v="0"/>
    <s v="KS AZS AWF Katowice"/>
    <n v="1"/>
    <x v="1"/>
    <x v="0"/>
    <x v="16"/>
  </r>
  <r>
    <s v="NOWAK Maciej"/>
    <x v="0"/>
    <s v="KS AZS AWF Katowice"/>
    <n v="1"/>
    <x v="1"/>
    <x v="1"/>
    <x v="16"/>
  </r>
  <r>
    <s v="NOWAK Maciej"/>
    <x v="0"/>
    <s v="KS AZS AWF Katowice"/>
    <n v="1"/>
    <x v="1"/>
    <x v="2"/>
    <x v="16"/>
  </r>
  <r>
    <s v="NOWAK Maciej"/>
    <x v="0"/>
    <s v="KS AZS AWF Katowice"/>
    <n v="1"/>
    <x v="2"/>
    <x v="0"/>
    <x v="16"/>
  </r>
  <r>
    <s v="NOWAK Maciej"/>
    <x v="0"/>
    <s v="KS AZS AWF Katowice"/>
    <n v="1"/>
    <x v="2"/>
    <x v="1"/>
    <x v="16"/>
  </r>
  <r>
    <s v="NOWAK Maciej"/>
    <x v="0"/>
    <s v="KS AZS AWF Katowice"/>
    <n v="1"/>
    <x v="2"/>
    <x v="2"/>
    <x v="16"/>
  </r>
  <r>
    <s v="NOWAK Maciej"/>
    <x v="0"/>
    <s v="KS AZS AWF Katowice"/>
    <n v="1"/>
    <x v="3"/>
    <x v="0"/>
    <x v="16"/>
  </r>
  <r>
    <s v="NOWAK Maciej"/>
    <x v="0"/>
    <s v="KS AZS AWF Katowice"/>
    <n v="1"/>
    <x v="3"/>
    <x v="1"/>
    <x v="16"/>
  </r>
  <r>
    <s v="NOWAK Maciej"/>
    <x v="0"/>
    <s v="KS AZS AWF Katowice"/>
    <n v="1"/>
    <x v="3"/>
    <x v="2"/>
    <x v="16"/>
  </r>
  <r>
    <s v="NOWAK Maciej"/>
    <x v="0"/>
    <s v="KS AZS AWF Katowice"/>
    <n v="1"/>
    <x v="4"/>
    <x v="0"/>
    <x v="56"/>
  </r>
  <r>
    <s v="NOWAK Maciej"/>
    <x v="0"/>
    <s v="KS AZS AWF Katowice"/>
    <n v="1"/>
    <x v="4"/>
    <x v="1"/>
    <x v="150"/>
  </r>
  <r>
    <s v="NOWAK Maciej"/>
    <x v="0"/>
    <s v="KS AZS AWF Katowice"/>
    <n v="1"/>
    <x v="4"/>
    <x v="2"/>
    <x v="31"/>
  </r>
  <r>
    <s v="NOWAK Maciej"/>
    <x v="0"/>
    <s v="KS AZS AWF Katowice"/>
    <n v="1"/>
    <x v="5"/>
    <x v="0"/>
    <x v="16"/>
  </r>
  <r>
    <s v="NOWAK Maciej"/>
    <x v="0"/>
    <s v="KS AZS AWF Katowice"/>
    <n v="1"/>
    <x v="5"/>
    <x v="1"/>
    <x v="16"/>
  </r>
  <r>
    <s v="NOWAK Maciej"/>
    <x v="0"/>
    <s v="KS AZS AWF Katowice"/>
    <n v="1"/>
    <x v="5"/>
    <x v="2"/>
    <x v="16"/>
  </r>
  <r>
    <s v="BIAŁOWĄS Oliwier"/>
    <x v="0"/>
    <s v="CWZS Zawisza KG Bydgoszcz"/>
    <n v="1"/>
    <x v="0"/>
    <x v="0"/>
    <x v="16"/>
  </r>
  <r>
    <s v="BIAŁOWĄS Oliwier"/>
    <x v="0"/>
    <s v="CWZS Zawisza KG Bydgoszcz"/>
    <n v="1"/>
    <x v="0"/>
    <x v="1"/>
    <x v="16"/>
  </r>
  <r>
    <s v="BIAŁOWĄS Oliwier"/>
    <x v="0"/>
    <s v="CWZS Zawisza KG Bydgoszcz"/>
    <n v="1"/>
    <x v="0"/>
    <x v="2"/>
    <x v="16"/>
  </r>
  <r>
    <s v="BIAŁOWĄS Oliwier"/>
    <x v="0"/>
    <s v="CWZS Zawisza KG Bydgoszcz"/>
    <n v="1"/>
    <x v="1"/>
    <x v="0"/>
    <x v="56"/>
  </r>
  <r>
    <s v="BIAŁOWĄS Oliwier"/>
    <x v="0"/>
    <s v="CWZS Zawisza KG Bydgoszcz"/>
    <n v="1"/>
    <x v="1"/>
    <x v="1"/>
    <x v="21"/>
  </r>
  <r>
    <s v="BIAŁOWĄS Oliwier"/>
    <x v="0"/>
    <s v="CWZS Zawisza KG Bydgoszcz"/>
    <n v="1"/>
    <x v="1"/>
    <x v="2"/>
    <x v="23"/>
  </r>
  <r>
    <s v="BIAŁOWĄS Oliwier"/>
    <x v="0"/>
    <s v="CWZS Zawisza KG Bydgoszcz"/>
    <n v="1"/>
    <x v="2"/>
    <x v="0"/>
    <x v="16"/>
  </r>
  <r>
    <s v="BIAŁOWĄS Oliwier"/>
    <x v="0"/>
    <s v="CWZS Zawisza KG Bydgoszcz"/>
    <n v="1"/>
    <x v="2"/>
    <x v="1"/>
    <x v="16"/>
  </r>
  <r>
    <s v="BIAŁOWĄS Oliwier"/>
    <x v="0"/>
    <s v="CWZS Zawisza KG Bydgoszcz"/>
    <n v="1"/>
    <x v="2"/>
    <x v="2"/>
    <x v="16"/>
  </r>
  <r>
    <s v="BIAŁOWĄS Oliwier"/>
    <x v="0"/>
    <s v="CWZS Zawisza KG Bydgoszcz"/>
    <n v="1"/>
    <x v="3"/>
    <x v="0"/>
    <x v="16"/>
  </r>
  <r>
    <s v="BIAŁOWĄS Oliwier"/>
    <x v="0"/>
    <s v="CWZS Zawisza KG Bydgoszcz"/>
    <n v="1"/>
    <x v="3"/>
    <x v="1"/>
    <x v="16"/>
  </r>
  <r>
    <s v="BIAŁOWĄS Oliwier"/>
    <x v="0"/>
    <s v="CWZS Zawisza KG Bydgoszcz"/>
    <n v="1"/>
    <x v="3"/>
    <x v="2"/>
    <x v="16"/>
  </r>
  <r>
    <s v="BIAŁOWĄS Oliwier"/>
    <x v="0"/>
    <s v="CWZS Zawisza KG Bydgoszcz"/>
    <n v="1"/>
    <x v="4"/>
    <x v="0"/>
    <x v="56"/>
  </r>
  <r>
    <s v="BIAŁOWĄS Oliwier"/>
    <x v="0"/>
    <s v="CWZS Zawisza KG Bydgoszcz"/>
    <n v="1"/>
    <x v="4"/>
    <x v="1"/>
    <x v="21"/>
  </r>
  <r>
    <s v="BIAŁOWĄS Oliwier"/>
    <x v="0"/>
    <s v="CWZS Zawisza KG Bydgoszcz"/>
    <n v="1"/>
    <x v="4"/>
    <x v="2"/>
    <x v="23"/>
  </r>
  <r>
    <s v="BIAŁOWĄS Oliwier"/>
    <x v="0"/>
    <s v="CWZS Zawisza KG Bydgoszcz"/>
    <n v="1"/>
    <x v="5"/>
    <x v="0"/>
    <x v="16"/>
  </r>
  <r>
    <s v="BIAŁOWĄS Oliwier"/>
    <x v="0"/>
    <s v="CWZS Zawisza KG Bydgoszcz"/>
    <n v="1"/>
    <x v="5"/>
    <x v="1"/>
    <x v="16"/>
  </r>
  <r>
    <s v="BIAŁOWĄS Oliwier"/>
    <x v="0"/>
    <s v="CWZS Zawisza KG Bydgoszcz"/>
    <n v="1"/>
    <x v="5"/>
    <x v="2"/>
    <x v="16"/>
  </r>
  <r>
    <s v="SADZA Jakub"/>
    <x v="1"/>
    <s v="NTG Nysa"/>
    <n v="1"/>
    <x v="0"/>
    <x v="0"/>
    <x v="16"/>
  </r>
  <r>
    <s v="SADZA Jakub"/>
    <x v="1"/>
    <s v="NTG Nysa"/>
    <n v="1"/>
    <x v="0"/>
    <x v="1"/>
    <x v="16"/>
  </r>
  <r>
    <s v="SADZA Jakub"/>
    <x v="1"/>
    <s v="NTG Nysa"/>
    <n v="1"/>
    <x v="0"/>
    <x v="2"/>
    <x v="16"/>
  </r>
  <r>
    <s v="SADZA Jakub"/>
    <x v="1"/>
    <s v="NTG Nysa"/>
    <n v="1"/>
    <x v="1"/>
    <x v="0"/>
    <x v="16"/>
  </r>
  <r>
    <s v="SADZA Jakub"/>
    <x v="1"/>
    <s v="NTG Nysa"/>
    <n v="1"/>
    <x v="1"/>
    <x v="1"/>
    <x v="16"/>
  </r>
  <r>
    <s v="SADZA Jakub"/>
    <x v="1"/>
    <s v="NTG Nysa"/>
    <n v="1"/>
    <x v="1"/>
    <x v="2"/>
    <x v="16"/>
  </r>
  <r>
    <s v="SADZA Jakub"/>
    <x v="1"/>
    <s v="NTG Nysa"/>
    <n v="1"/>
    <x v="2"/>
    <x v="0"/>
    <x v="56"/>
  </r>
  <r>
    <s v="SADZA Jakub"/>
    <x v="1"/>
    <s v="NTG Nysa"/>
    <n v="1"/>
    <x v="2"/>
    <x v="1"/>
    <x v="138"/>
  </r>
  <r>
    <s v="SADZA Jakub"/>
    <x v="1"/>
    <s v="NTG Nysa"/>
    <n v="1"/>
    <x v="2"/>
    <x v="2"/>
    <x v="76"/>
  </r>
  <r>
    <s v="SADZA Jakub"/>
    <x v="1"/>
    <s v="NTG Nysa"/>
    <n v="1"/>
    <x v="3"/>
    <x v="0"/>
    <x v="16"/>
  </r>
  <r>
    <s v="SADZA Jakub"/>
    <x v="1"/>
    <s v="NTG Nysa"/>
    <n v="1"/>
    <x v="3"/>
    <x v="1"/>
    <x v="16"/>
  </r>
  <r>
    <s v="SADZA Jakub"/>
    <x v="1"/>
    <s v="NTG Nysa"/>
    <n v="1"/>
    <x v="3"/>
    <x v="2"/>
    <x v="16"/>
  </r>
  <r>
    <s v="SADZA Jakub"/>
    <x v="1"/>
    <s v="NTG Nysa"/>
    <n v="1"/>
    <x v="4"/>
    <x v="0"/>
    <x v="56"/>
  </r>
  <r>
    <s v="SADZA Jakub"/>
    <x v="1"/>
    <s v="NTG Nysa"/>
    <n v="1"/>
    <x v="4"/>
    <x v="1"/>
    <x v="138"/>
  </r>
  <r>
    <s v="SADZA Jakub"/>
    <x v="1"/>
    <s v="NTG Nysa"/>
    <n v="1"/>
    <x v="4"/>
    <x v="2"/>
    <x v="76"/>
  </r>
  <r>
    <s v="SADZA Jakub"/>
    <x v="1"/>
    <s v="NTG Nysa"/>
    <n v="1"/>
    <x v="5"/>
    <x v="0"/>
    <x v="16"/>
  </r>
  <r>
    <s v="SADZA Jakub"/>
    <x v="1"/>
    <s v="NTG Nysa"/>
    <n v="1"/>
    <x v="5"/>
    <x v="1"/>
    <x v="16"/>
  </r>
  <r>
    <s v="SADZA Jakub"/>
    <x v="1"/>
    <s v="NTG Nysa"/>
    <n v="1"/>
    <x v="5"/>
    <x v="2"/>
    <x v="16"/>
  </r>
  <r>
    <s v="LESIŃSKI Piotr"/>
    <x v="0"/>
    <s v="KS AZS AWFiS Gdańsk"/>
    <n v="1"/>
    <x v="0"/>
    <x v="0"/>
    <x v="16"/>
  </r>
  <r>
    <s v="LESIŃSKI Piotr"/>
    <x v="0"/>
    <s v="KS AZS AWFiS Gdańsk"/>
    <n v="1"/>
    <x v="0"/>
    <x v="1"/>
    <x v="16"/>
  </r>
  <r>
    <s v="LESIŃSKI Piotr"/>
    <x v="0"/>
    <s v="KS AZS AWFiS Gdańsk"/>
    <n v="1"/>
    <x v="0"/>
    <x v="2"/>
    <x v="16"/>
  </r>
  <r>
    <s v="LESIŃSKI Piotr"/>
    <x v="0"/>
    <s v="KS AZS AWFiS Gdańsk"/>
    <n v="1"/>
    <x v="1"/>
    <x v="0"/>
    <x v="16"/>
  </r>
  <r>
    <s v="LESIŃSKI Piotr"/>
    <x v="0"/>
    <s v="KS AZS AWFiS Gdańsk"/>
    <n v="1"/>
    <x v="1"/>
    <x v="1"/>
    <x v="16"/>
  </r>
  <r>
    <s v="LESIŃSKI Piotr"/>
    <x v="0"/>
    <s v="KS AZS AWFiS Gdańsk"/>
    <n v="1"/>
    <x v="1"/>
    <x v="2"/>
    <x v="16"/>
  </r>
  <r>
    <s v="LESIŃSKI Piotr"/>
    <x v="0"/>
    <s v="KS AZS AWFiS Gdańsk"/>
    <n v="1"/>
    <x v="2"/>
    <x v="0"/>
    <x v="61"/>
  </r>
  <r>
    <s v="LESIŃSKI Piotr"/>
    <x v="0"/>
    <s v="KS AZS AWFiS Gdańsk"/>
    <n v="1"/>
    <x v="2"/>
    <x v="1"/>
    <x v="200"/>
  </r>
  <r>
    <s v="LESIŃSKI Piotr"/>
    <x v="0"/>
    <s v="KS AZS AWFiS Gdańsk"/>
    <n v="1"/>
    <x v="2"/>
    <x v="2"/>
    <x v="201"/>
  </r>
  <r>
    <s v="LESIŃSKI Piotr"/>
    <x v="0"/>
    <s v="KS AZS AWFiS Gdańsk"/>
    <n v="1"/>
    <x v="3"/>
    <x v="0"/>
    <x v="16"/>
  </r>
  <r>
    <s v="LESIŃSKI Piotr"/>
    <x v="0"/>
    <s v="KS AZS AWFiS Gdańsk"/>
    <n v="1"/>
    <x v="3"/>
    <x v="1"/>
    <x v="16"/>
  </r>
  <r>
    <s v="LESIŃSKI Piotr"/>
    <x v="0"/>
    <s v="KS AZS AWFiS Gdańsk"/>
    <n v="1"/>
    <x v="3"/>
    <x v="2"/>
    <x v="16"/>
  </r>
  <r>
    <s v="LESIŃSKI Piotr"/>
    <x v="0"/>
    <s v="KS AZS AWFiS Gdańsk"/>
    <n v="1"/>
    <x v="4"/>
    <x v="0"/>
    <x v="61"/>
  </r>
  <r>
    <s v="LESIŃSKI Piotr"/>
    <x v="0"/>
    <s v="KS AZS AWFiS Gdańsk"/>
    <n v="1"/>
    <x v="4"/>
    <x v="1"/>
    <x v="200"/>
  </r>
  <r>
    <s v="LESIŃSKI Piotr"/>
    <x v="0"/>
    <s v="KS AZS AWFiS Gdańsk"/>
    <n v="1"/>
    <x v="4"/>
    <x v="2"/>
    <x v="201"/>
  </r>
  <r>
    <s v="LESIŃSKI Piotr"/>
    <x v="0"/>
    <s v="KS AZS AWFiS Gdańsk"/>
    <n v="1"/>
    <x v="5"/>
    <x v="0"/>
    <x v="16"/>
  </r>
  <r>
    <s v="LESIŃSKI Piotr"/>
    <x v="0"/>
    <s v="KS AZS AWFiS Gdańsk"/>
    <n v="1"/>
    <x v="5"/>
    <x v="1"/>
    <x v="16"/>
  </r>
  <r>
    <s v="LESIŃSKI Piotr"/>
    <x v="0"/>
    <s v="KS AZS AWFiS Gdańsk"/>
    <n v="1"/>
    <x v="5"/>
    <x v="2"/>
    <x v="16"/>
  </r>
  <r>
    <s v="SZCZUBIAŁ Bartłomiej"/>
    <x v="1"/>
    <s v="KS AZS AWF Kraków"/>
    <n v="1"/>
    <x v="0"/>
    <x v="0"/>
    <x v="128"/>
  </r>
  <r>
    <s v="SZCZUBIAŁ Bartłomiej"/>
    <x v="1"/>
    <s v="KS AZS AWF Kraków"/>
    <n v="1"/>
    <x v="0"/>
    <x v="1"/>
    <x v="28"/>
  </r>
  <r>
    <s v="SZCZUBIAŁ Bartłomiej"/>
    <x v="1"/>
    <s v="KS AZS AWF Kraków"/>
    <n v="1"/>
    <x v="0"/>
    <x v="2"/>
    <x v="121"/>
  </r>
  <r>
    <s v="SZCZUBIAŁ Bartłomiej"/>
    <x v="1"/>
    <s v="KS AZS AWF Kraków"/>
    <n v="1"/>
    <x v="1"/>
    <x v="0"/>
    <x v="16"/>
  </r>
  <r>
    <s v="SZCZUBIAŁ Bartłomiej"/>
    <x v="1"/>
    <s v="KS AZS AWF Kraków"/>
    <n v="1"/>
    <x v="1"/>
    <x v="1"/>
    <x v="16"/>
  </r>
  <r>
    <s v="SZCZUBIAŁ Bartłomiej"/>
    <x v="1"/>
    <s v="KS AZS AWF Kraków"/>
    <n v="1"/>
    <x v="1"/>
    <x v="2"/>
    <x v="16"/>
  </r>
  <r>
    <s v="SZCZUBIAŁ Bartłomiej"/>
    <x v="1"/>
    <s v="KS AZS AWF Kraków"/>
    <n v="1"/>
    <x v="2"/>
    <x v="0"/>
    <x v="16"/>
  </r>
  <r>
    <s v="SZCZUBIAŁ Bartłomiej"/>
    <x v="1"/>
    <s v="KS AZS AWF Kraków"/>
    <n v="1"/>
    <x v="2"/>
    <x v="1"/>
    <x v="16"/>
  </r>
  <r>
    <s v="SZCZUBIAŁ Bartłomiej"/>
    <x v="1"/>
    <s v="KS AZS AWF Kraków"/>
    <n v="1"/>
    <x v="2"/>
    <x v="2"/>
    <x v="16"/>
  </r>
  <r>
    <s v="SZCZUBIAŁ Bartłomiej"/>
    <x v="1"/>
    <s v="KS AZS AWF Kraków"/>
    <n v="1"/>
    <x v="3"/>
    <x v="0"/>
    <x v="16"/>
  </r>
  <r>
    <s v="SZCZUBIAŁ Bartłomiej"/>
    <x v="1"/>
    <s v="KS AZS AWF Kraków"/>
    <n v="1"/>
    <x v="3"/>
    <x v="1"/>
    <x v="16"/>
  </r>
  <r>
    <s v="SZCZUBIAŁ Bartłomiej"/>
    <x v="1"/>
    <s v="KS AZS AWF Kraków"/>
    <n v="1"/>
    <x v="3"/>
    <x v="2"/>
    <x v="16"/>
  </r>
  <r>
    <s v="SZCZUBIAŁ Bartłomiej"/>
    <x v="1"/>
    <s v="KS AZS AWF Kraków"/>
    <n v="1"/>
    <x v="4"/>
    <x v="0"/>
    <x v="128"/>
  </r>
  <r>
    <s v="SZCZUBIAŁ Bartłomiej"/>
    <x v="1"/>
    <s v="KS AZS AWF Kraków"/>
    <n v="1"/>
    <x v="4"/>
    <x v="1"/>
    <x v="28"/>
  </r>
  <r>
    <s v="SZCZUBIAŁ Bartłomiej"/>
    <x v="1"/>
    <s v="KS AZS AWF Kraków"/>
    <n v="1"/>
    <x v="4"/>
    <x v="2"/>
    <x v="121"/>
  </r>
  <r>
    <s v="SZCZUBIAŁ Bartłomiej"/>
    <x v="1"/>
    <s v="KS AZS AWF Kraków"/>
    <n v="1"/>
    <x v="5"/>
    <x v="0"/>
    <x v="16"/>
  </r>
  <r>
    <s v="SZCZUBIAŁ Bartłomiej"/>
    <x v="1"/>
    <s v="KS AZS AWF Kraków"/>
    <n v="1"/>
    <x v="5"/>
    <x v="1"/>
    <x v="16"/>
  </r>
  <r>
    <s v="SZCZUBIAŁ Bartłomiej"/>
    <x v="1"/>
    <s v="KS AZS AWF Kraków"/>
    <n v="1"/>
    <x v="5"/>
    <x v="2"/>
    <x v="16"/>
  </r>
  <r>
    <s v="SIEDZIAKO Igor"/>
    <x v="0"/>
    <s v="MKS Kusy Szczecin"/>
    <n v="1"/>
    <x v="0"/>
    <x v="0"/>
    <x v="56"/>
  </r>
  <r>
    <s v="SIEDZIAKO Igor"/>
    <x v="0"/>
    <s v="MKS Kusy Szczecin"/>
    <n v="1"/>
    <x v="0"/>
    <x v="1"/>
    <x v="102"/>
  </r>
  <r>
    <s v="SIEDZIAKO Igor"/>
    <x v="0"/>
    <s v="MKS Kusy Szczecin"/>
    <n v="1"/>
    <x v="0"/>
    <x v="2"/>
    <x v="202"/>
  </r>
  <r>
    <s v="SIEDZIAKO Igor"/>
    <x v="0"/>
    <s v="MKS Kusy Szczecin"/>
    <n v="1"/>
    <x v="1"/>
    <x v="0"/>
    <x v="16"/>
  </r>
  <r>
    <s v="SIEDZIAKO Igor"/>
    <x v="0"/>
    <s v="MKS Kusy Szczecin"/>
    <n v="1"/>
    <x v="1"/>
    <x v="1"/>
    <x v="16"/>
  </r>
  <r>
    <s v="SIEDZIAKO Igor"/>
    <x v="0"/>
    <s v="MKS Kusy Szczecin"/>
    <n v="1"/>
    <x v="1"/>
    <x v="2"/>
    <x v="16"/>
  </r>
  <r>
    <s v="SIEDZIAKO Igor"/>
    <x v="0"/>
    <s v="MKS Kusy Szczecin"/>
    <n v="1"/>
    <x v="2"/>
    <x v="0"/>
    <x v="16"/>
  </r>
  <r>
    <s v="SIEDZIAKO Igor"/>
    <x v="0"/>
    <s v="MKS Kusy Szczecin"/>
    <n v="1"/>
    <x v="2"/>
    <x v="1"/>
    <x v="16"/>
  </r>
  <r>
    <s v="SIEDZIAKO Igor"/>
    <x v="0"/>
    <s v="MKS Kusy Szczecin"/>
    <n v="1"/>
    <x v="2"/>
    <x v="2"/>
    <x v="16"/>
  </r>
  <r>
    <s v="SIEDZIAKO Igor"/>
    <x v="0"/>
    <s v="MKS Kusy Szczecin"/>
    <n v="1"/>
    <x v="3"/>
    <x v="0"/>
    <x v="16"/>
  </r>
  <r>
    <s v="SIEDZIAKO Igor"/>
    <x v="0"/>
    <s v="MKS Kusy Szczecin"/>
    <n v="1"/>
    <x v="3"/>
    <x v="1"/>
    <x v="16"/>
  </r>
  <r>
    <s v="SIEDZIAKO Igor"/>
    <x v="0"/>
    <s v="MKS Kusy Szczecin"/>
    <n v="1"/>
    <x v="3"/>
    <x v="2"/>
    <x v="16"/>
  </r>
  <r>
    <s v="SIEDZIAKO Igor"/>
    <x v="0"/>
    <s v="MKS Kusy Szczecin"/>
    <n v="1"/>
    <x v="4"/>
    <x v="0"/>
    <x v="56"/>
  </r>
  <r>
    <s v="SIEDZIAKO Igor"/>
    <x v="0"/>
    <s v="MKS Kusy Szczecin"/>
    <n v="1"/>
    <x v="4"/>
    <x v="1"/>
    <x v="102"/>
  </r>
  <r>
    <s v="SIEDZIAKO Igor"/>
    <x v="0"/>
    <s v="MKS Kusy Szczecin"/>
    <n v="1"/>
    <x v="4"/>
    <x v="2"/>
    <x v="202"/>
  </r>
  <r>
    <s v="SIEDZIAKO Igor"/>
    <x v="0"/>
    <s v="MKS Kusy Szczecin"/>
    <n v="1"/>
    <x v="5"/>
    <x v="0"/>
    <x v="16"/>
  </r>
  <r>
    <s v="SIEDZIAKO Igor"/>
    <x v="0"/>
    <s v="MKS Kusy Szczecin"/>
    <n v="1"/>
    <x v="5"/>
    <x v="1"/>
    <x v="16"/>
  </r>
  <r>
    <s v="SIEDZIAKO Igor"/>
    <x v="0"/>
    <s v="MKS Kusy Szczecin"/>
    <n v="1"/>
    <x v="5"/>
    <x v="2"/>
    <x v="16"/>
  </r>
  <r>
    <s v="ŁUCKI Miłosz"/>
    <x v="1"/>
    <s v="KG Radlin"/>
    <n v="1"/>
    <x v="0"/>
    <x v="0"/>
    <x v="16"/>
  </r>
  <r>
    <s v="ŁUCKI Miłosz"/>
    <x v="1"/>
    <s v="KG Radlin"/>
    <n v="1"/>
    <x v="0"/>
    <x v="1"/>
    <x v="16"/>
  </r>
  <r>
    <s v="ŁUCKI Miłosz"/>
    <x v="1"/>
    <s v="KG Radlin"/>
    <n v="1"/>
    <x v="0"/>
    <x v="2"/>
    <x v="16"/>
  </r>
  <r>
    <s v="ŁUCKI Miłosz"/>
    <x v="1"/>
    <s v="KG Radlin"/>
    <n v="1"/>
    <x v="1"/>
    <x v="0"/>
    <x v="16"/>
  </r>
  <r>
    <s v="ŁUCKI Miłosz"/>
    <x v="1"/>
    <s v="KG Radlin"/>
    <n v="1"/>
    <x v="1"/>
    <x v="1"/>
    <x v="16"/>
  </r>
  <r>
    <s v="ŁUCKI Miłosz"/>
    <x v="1"/>
    <s v="KG Radlin"/>
    <n v="1"/>
    <x v="1"/>
    <x v="2"/>
    <x v="16"/>
  </r>
  <r>
    <s v="ŁUCKI Miłosz"/>
    <x v="1"/>
    <s v="KG Radlin"/>
    <n v="1"/>
    <x v="2"/>
    <x v="0"/>
    <x v="128"/>
  </r>
  <r>
    <s v="ŁUCKI Miłosz"/>
    <x v="1"/>
    <s v="KG Radlin"/>
    <n v="1"/>
    <x v="2"/>
    <x v="1"/>
    <x v="21"/>
  </r>
  <r>
    <s v="ŁUCKI Miłosz"/>
    <x v="1"/>
    <s v="KG Radlin"/>
    <n v="1"/>
    <x v="2"/>
    <x v="2"/>
    <x v="202"/>
  </r>
  <r>
    <s v="ŁUCKI Miłosz"/>
    <x v="1"/>
    <s v="KG Radlin"/>
    <n v="1"/>
    <x v="3"/>
    <x v="0"/>
    <x v="16"/>
  </r>
  <r>
    <s v="ŁUCKI Miłosz"/>
    <x v="1"/>
    <s v="KG Radlin"/>
    <n v="1"/>
    <x v="3"/>
    <x v="1"/>
    <x v="16"/>
  </r>
  <r>
    <s v="ŁUCKI Miłosz"/>
    <x v="1"/>
    <s v="KG Radlin"/>
    <n v="1"/>
    <x v="3"/>
    <x v="2"/>
    <x v="16"/>
  </r>
  <r>
    <s v="ŁUCKI Miłosz"/>
    <x v="1"/>
    <s v="KG Radlin"/>
    <n v="1"/>
    <x v="4"/>
    <x v="0"/>
    <x v="128"/>
  </r>
  <r>
    <s v="ŁUCKI Miłosz"/>
    <x v="1"/>
    <s v="KG Radlin"/>
    <n v="1"/>
    <x v="4"/>
    <x v="1"/>
    <x v="21"/>
  </r>
  <r>
    <s v="ŁUCKI Miłosz"/>
    <x v="1"/>
    <s v="KG Radlin"/>
    <n v="1"/>
    <x v="4"/>
    <x v="2"/>
    <x v="202"/>
  </r>
  <r>
    <s v="ŁUCKI Miłosz"/>
    <x v="1"/>
    <s v="KG Radlin"/>
    <n v="1"/>
    <x v="5"/>
    <x v="0"/>
    <x v="16"/>
  </r>
  <r>
    <s v="ŁUCKI Miłosz"/>
    <x v="1"/>
    <s v="KG Radlin"/>
    <n v="1"/>
    <x v="5"/>
    <x v="1"/>
    <x v="16"/>
  </r>
  <r>
    <s v="ŁUCKI Miłosz"/>
    <x v="1"/>
    <s v="KG Radlin"/>
    <n v="1"/>
    <x v="5"/>
    <x v="2"/>
    <x v="16"/>
  </r>
  <r>
    <s v="RUS Gracjan"/>
    <x v="1"/>
    <s v="KG Radlin"/>
    <n v="1"/>
    <x v="0"/>
    <x v="0"/>
    <x v="143"/>
  </r>
  <r>
    <s v="RUS Gracjan"/>
    <x v="1"/>
    <s v="KG Radlin"/>
    <n v="1"/>
    <x v="0"/>
    <x v="1"/>
    <x v="37"/>
  </r>
  <r>
    <s v="RUS Gracjan"/>
    <x v="1"/>
    <s v="KG Radlin"/>
    <n v="1"/>
    <x v="0"/>
    <x v="2"/>
    <x v="139"/>
  </r>
  <r>
    <s v="RUS Gracjan"/>
    <x v="1"/>
    <s v="KG Radlin"/>
    <n v="1"/>
    <x v="1"/>
    <x v="0"/>
    <x v="16"/>
  </r>
  <r>
    <s v="RUS Gracjan"/>
    <x v="1"/>
    <s v="KG Radlin"/>
    <n v="1"/>
    <x v="1"/>
    <x v="1"/>
    <x v="16"/>
  </r>
  <r>
    <s v="RUS Gracjan"/>
    <x v="1"/>
    <s v="KG Radlin"/>
    <n v="1"/>
    <x v="1"/>
    <x v="2"/>
    <x v="16"/>
  </r>
  <r>
    <s v="RUS Gracjan"/>
    <x v="1"/>
    <s v="KG Radlin"/>
    <n v="1"/>
    <x v="2"/>
    <x v="0"/>
    <x v="16"/>
  </r>
  <r>
    <s v="RUS Gracjan"/>
    <x v="1"/>
    <s v="KG Radlin"/>
    <n v="1"/>
    <x v="2"/>
    <x v="1"/>
    <x v="16"/>
  </r>
  <r>
    <s v="RUS Gracjan"/>
    <x v="1"/>
    <s v="KG Radlin"/>
    <n v="1"/>
    <x v="2"/>
    <x v="2"/>
    <x v="16"/>
  </r>
  <r>
    <s v="RUS Gracjan"/>
    <x v="1"/>
    <s v="KG Radlin"/>
    <n v="1"/>
    <x v="3"/>
    <x v="0"/>
    <x v="16"/>
  </r>
  <r>
    <s v="RUS Gracjan"/>
    <x v="1"/>
    <s v="KG Radlin"/>
    <n v="1"/>
    <x v="3"/>
    <x v="1"/>
    <x v="16"/>
  </r>
  <r>
    <s v="RUS Gracjan"/>
    <x v="1"/>
    <s v="KG Radlin"/>
    <n v="1"/>
    <x v="3"/>
    <x v="2"/>
    <x v="16"/>
  </r>
  <r>
    <s v="RUS Gracjan"/>
    <x v="1"/>
    <s v="KG Radlin"/>
    <n v="1"/>
    <x v="4"/>
    <x v="0"/>
    <x v="143"/>
  </r>
  <r>
    <s v="RUS Gracjan"/>
    <x v="1"/>
    <s v="KG Radlin"/>
    <n v="1"/>
    <x v="4"/>
    <x v="1"/>
    <x v="37"/>
  </r>
  <r>
    <s v="RUS Gracjan"/>
    <x v="1"/>
    <s v="KG Radlin"/>
    <n v="1"/>
    <x v="4"/>
    <x v="2"/>
    <x v="139"/>
  </r>
  <r>
    <s v="RUS Gracjan"/>
    <x v="1"/>
    <s v="KG Radlin"/>
    <n v="1"/>
    <x v="5"/>
    <x v="0"/>
    <x v="16"/>
  </r>
  <r>
    <s v="RUS Gracjan"/>
    <x v="1"/>
    <s v="KG Radlin"/>
    <n v="1"/>
    <x v="5"/>
    <x v="1"/>
    <x v="16"/>
  </r>
  <r>
    <s v="RUS Gracjan"/>
    <x v="1"/>
    <s v="KG Radlin"/>
    <n v="1"/>
    <x v="5"/>
    <x v="2"/>
    <x v="16"/>
  </r>
  <r>
    <s v="KUZDRA Konrad"/>
    <x v="0"/>
    <s v="MKS Gdańsk"/>
    <n v="1"/>
    <x v="0"/>
    <x v="0"/>
    <x v="16"/>
  </r>
  <r>
    <s v="KUZDRA Konrad"/>
    <x v="0"/>
    <s v="MKS Gdańsk"/>
    <n v="1"/>
    <x v="0"/>
    <x v="1"/>
    <x v="16"/>
  </r>
  <r>
    <s v="KUZDRA Konrad"/>
    <x v="0"/>
    <s v="MKS Gdańsk"/>
    <n v="1"/>
    <x v="0"/>
    <x v="2"/>
    <x v="16"/>
  </r>
  <r>
    <s v="KUZDRA Konrad"/>
    <x v="0"/>
    <s v="MKS Gdańsk"/>
    <n v="1"/>
    <x v="1"/>
    <x v="0"/>
    <x v="16"/>
  </r>
  <r>
    <s v="KUZDRA Konrad"/>
    <x v="0"/>
    <s v="MKS Gdańsk"/>
    <n v="1"/>
    <x v="1"/>
    <x v="1"/>
    <x v="16"/>
  </r>
  <r>
    <s v="KUZDRA Konrad"/>
    <x v="0"/>
    <s v="MKS Gdańsk"/>
    <n v="1"/>
    <x v="1"/>
    <x v="2"/>
    <x v="16"/>
  </r>
  <r>
    <s v="KUZDRA Konrad"/>
    <x v="0"/>
    <s v="MKS Gdańsk"/>
    <n v="1"/>
    <x v="2"/>
    <x v="0"/>
    <x v="16"/>
  </r>
  <r>
    <s v="KUZDRA Konrad"/>
    <x v="0"/>
    <s v="MKS Gdańsk"/>
    <n v="1"/>
    <x v="2"/>
    <x v="1"/>
    <x v="16"/>
  </r>
  <r>
    <s v="KUZDRA Konrad"/>
    <x v="0"/>
    <s v="MKS Gdańsk"/>
    <n v="1"/>
    <x v="2"/>
    <x v="2"/>
    <x v="16"/>
  </r>
  <r>
    <s v="KUZDRA Konrad"/>
    <x v="0"/>
    <s v="MKS Gdańsk"/>
    <n v="1"/>
    <x v="3"/>
    <x v="0"/>
    <x v="88"/>
  </r>
  <r>
    <s v="KUZDRA Konrad"/>
    <x v="0"/>
    <s v="MKS Gdańsk"/>
    <n v="1"/>
    <x v="3"/>
    <x v="1"/>
    <x v="124"/>
  </r>
  <r>
    <s v="KUZDRA Konrad"/>
    <x v="0"/>
    <s v="MKS Gdańsk"/>
    <n v="1"/>
    <x v="3"/>
    <x v="2"/>
    <x v="144"/>
  </r>
  <r>
    <s v="KUZDRA Konrad"/>
    <x v="0"/>
    <s v="MKS Gdańsk"/>
    <n v="1"/>
    <x v="4"/>
    <x v="0"/>
    <x v="88"/>
  </r>
  <r>
    <s v="KUZDRA Konrad"/>
    <x v="0"/>
    <s v="MKS Gdańsk"/>
    <n v="1"/>
    <x v="4"/>
    <x v="1"/>
    <x v="124"/>
  </r>
  <r>
    <s v="KUZDRA Konrad"/>
    <x v="0"/>
    <s v="MKS Gdańsk"/>
    <n v="1"/>
    <x v="4"/>
    <x v="2"/>
    <x v="144"/>
  </r>
  <r>
    <s v="KUZDRA Konrad"/>
    <x v="0"/>
    <s v="MKS Gdańsk"/>
    <n v="1"/>
    <x v="5"/>
    <x v="0"/>
    <x v="16"/>
  </r>
  <r>
    <s v="KUZDRA Konrad"/>
    <x v="0"/>
    <s v="MKS Gdańsk"/>
    <n v="1"/>
    <x v="5"/>
    <x v="1"/>
    <x v="16"/>
  </r>
  <r>
    <s v="KUZDRA Konrad"/>
    <x v="0"/>
    <s v="MKS Gdańsk"/>
    <n v="1"/>
    <x v="5"/>
    <x v="2"/>
    <x v="16"/>
  </r>
  <r>
    <s v="MARCZEWSKI Stanisław"/>
    <x v="1"/>
    <s v="MKS Gdańsk"/>
    <n v="1"/>
    <x v="0"/>
    <x v="0"/>
    <x v="143"/>
  </r>
  <r>
    <s v="MARCZEWSKI Stanisław"/>
    <x v="1"/>
    <s v="MKS Gdańsk"/>
    <n v="1"/>
    <x v="0"/>
    <x v="1"/>
    <x v="1"/>
  </r>
  <r>
    <s v="MARCZEWSKI Stanisław"/>
    <x v="1"/>
    <s v="MKS Gdańsk"/>
    <n v="1"/>
    <x v="0"/>
    <x v="2"/>
    <x v="203"/>
  </r>
  <r>
    <s v="MARCZEWSKI Stanisław"/>
    <x v="1"/>
    <s v="MKS Gdańsk"/>
    <n v="1"/>
    <x v="1"/>
    <x v="0"/>
    <x v="16"/>
  </r>
  <r>
    <s v="MARCZEWSKI Stanisław"/>
    <x v="1"/>
    <s v="MKS Gdańsk"/>
    <n v="1"/>
    <x v="1"/>
    <x v="1"/>
    <x v="16"/>
  </r>
  <r>
    <s v="MARCZEWSKI Stanisław"/>
    <x v="1"/>
    <s v="MKS Gdańsk"/>
    <n v="1"/>
    <x v="1"/>
    <x v="2"/>
    <x v="16"/>
  </r>
  <r>
    <s v="MARCZEWSKI Stanisław"/>
    <x v="1"/>
    <s v="MKS Gdańsk"/>
    <n v="1"/>
    <x v="2"/>
    <x v="0"/>
    <x v="16"/>
  </r>
  <r>
    <s v="MARCZEWSKI Stanisław"/>
    <x v="1"/>
    <s v="MKS Gdańsk"/>
    <n v="1"/>
    <x v="2"/>
    <x v="1"/>
    <x v="16"/>
  </r>
  <r>
    <s v="MARCZEWSKI Stanisław"/>
    <x v="1"/>
    <s v="MKS Gdańsk"/>
    <n v="1"/>
    <x v="2"/>
    <x v="2"/>
    <x v="16"/>
  </r>
  <r>
    <s v="MARCZEWSKI Stanisław"/>
    <x v="1"/>
    <s v="MKS Gdańsk"/>
    <n v="1"/>
    <x v="3"/>
    <x v="0"/>
    <x v="16"/>
  </r>
  <r>
    <s v="MARCZEWSKI Stanisław"/>
    <x v="1"/>
    <s v="MKS Gdańsk"/>
    <n v="1"/>
    <x v="3"/>
    <x v="1"/>
    <x v="16"/>
  </r>
  <r>
    <s v="MARCZEWSKI Stanisław"/>
    <x v="1"/>
    <s v="MKS Gdańsk"/>
    <n v="1"/>
    <x v="3"/>
    <x v="2"/>
    <x v="16"/>
  </r>
  <r>
    <s v="MARCZEWSKI Stanisław"/>
    <x v="1"/>
    <s v="MKS Gdańsk"/>
    <n v="1"/>
    <x v="4"/>
    <x v="0"/>
    <x v="143"/>
  </r>
  <r>
    <s v="MARCZEWSKI Stanisław"/>
    <x v="1"/>
    <s v="MKS Gdańsk"/>
    <n v="1"/>
    <x v="4"/>
    <x v="1"/>
    <x v="1"/>
  </r>
  <r>
    <s v="MARCZEWSKI Stanisław"/>
    <x v="1"/>
    <s v="MKS Gdańsk"/>
    <n v="1"/>
    <x v="4"/>
    <x v="2"/>
    <x v="203"/>
  </r>
  <r>
    <s v="MARCZEWSKI Stanisław"/>
    <x v="1"/>
    <s v="MKS Gdańsk"/>
    <n v="1"/>
    <x v="5"/>
    <x v="0"/>
    <x v="16"/>
  </r>
  <r>
    <s v="MARCZEWSKI Stanisław"/>
    <x v="1"/>
    <s v="MKS Gdańsk"/>
    <n v="1"/>
    <x v="5"/>
    <x v="1"/>
    <x v="16"/>
  </r>
  <r>
    <s v="MARCZEWSKI Stanisław"/>
    <x v="1"/>
    <s v="MKS Gdańsk"/>
    <n v="1"/>
    <x v="5"/>
    <x v="2"/>
    <x v="16"/>
  </r>
  <r>
    <s v="KOLORZ Maks"/>
    <x v="1"/>
    <s v="KG Radlin"/>
    <n v="1"/>
    <x v="0"/>
    <x v="0"/>
    <x v="88"/>
  </r>
  <r>
    <s v="KOLORZ Maks"/>
    <x v="1"/>
    <s v="KG Radlin"/>
    <n v="1"/>
    <x v="0"/>
    <x v="1"/>
    <x v="204"/>
  </r>
  <r>
    <s v="KOLORZ Maks"/>
    <x v="1"/>
    <s v="KG Radlin"/>
    <n v="1"/>
    <x v="0"/>
    <x v="2"/>
    <x v="205"/>
  </r>
  <r>
    <s v="KOLORZ Maks"/>
    <x v="1"/>
    <s v="KG Radlin"/>
    <n v="1"/>
    <x v="1"/>
    <x v="0"/>
    <x v="16"/>
  </r>
  <r>
    <s v="KOLORZ Maks"/>
    <x v="1"/>
    <s v="KG Radlin"/>
    <n v="1"/>
    <x v="1"/>
    <x v="1"/>
    <x v="16"/>
  </r>
  <r>
    <s v="KOLORZ Maks"/>
    <x v="1"/>
    <s v="KG Radlin"/>
    <n v="1"/>
    <x v="1"/>
    <x v="2"/>
    <x v="16"/>
  </r>
  <r>
    <s v="KOLORZ Maks"/>
    <x v="1"/>
    <s v="KG Radlin"/>
    <n v="1"/>
    <x v="2"/>
    <x v="0"/>
    <x v="16"/>
  </r>
  <r>
    <s v="KOLORZ Maks"/>
    <x v="1"/>
    <s v="KG Radlin"/>
    <n v="1"/>
    <x v="2"/>
    <x v="1"/>
    <x v="16"/>
  </r>
  <r>
    <s v="KOLORZ Maks"/>
    <x v="1"/>
    <s v="KG Radlin"/>
    <n v="1"/>
    <x v="2"/>
    <x v="2"/>
    <x v="16"/>
  </r>
  <r>
    <s v="KOLORZ Maks"/>
    <x v="1"/>
    <s v="KG Radlin"/>
    <n v="1"/>
    <x v="3"/>
    <x v="0"/>
    <x v="16"/>
  </r>
  <r>
    <s v="KOLORZ Maks"/>
    <x v="1"/>
    <s v="KG Radlin"/>
    <n v="1"/>
    <x v="3"/>
    <x v="1"/>
    <x v="16"/>
  </r>
  <r>
    <s v="KOLORZ Maks"/>
    <x v="1"/>
    <s v="KG Radlin"/>
    <n v="1"/>
    <x v="3"/>
    <x v="2"/>
    <x v="16"/>
  </r>
  <r>
    <s v="KOLORZ Maks"/>
    <x v="1"/>
    <s v="KG Radlin"/>
    <n v="1"/>
    <x v="4"/>
    <x v="0"/>
    <x v="88"/>
  </r>
  <r>
    <s v="KOLORZ Maks"/>
    <x v="1"/>
    <s v="KG Radlin"/>
    <n v="1"/>
    <x v="4"/>
    <x v="1"/>
    <x v="204"/>
  </r>
  <r>
    <s v="KOLORZ Maks"/>
    <x v="1"/>
    <s v="KG Radlin"/>
    <n v="1"/>
    <x v="4"/>
    <x v="2"/>
    <x v="205"/>
  </r>
  <r>
    <s v="KOLORZ Maks"/>
    <x v="1"/>
    <s v="KG Radlin"/>
    <n v="1"/>
    <x v="5"/>
    <x v="0"/>
    <x v="16"/>
  </r>
  <r>
    <s v="KOLORZ Maks"/>
    <x v="1"/>
    <s v="KG Radlin"/>
    <n v="1"/>
    <x v="5"/>
    <x v="1"/>
    <x v="16"/>
  </r>
  <r>
    <s v="KOLORZ Maks"/>
    <x v="1"/>
    <s v="KG Radlin"/>
    <n v="1"/>
    <x v="5"/>
    <x v="2"/>
    <x v="16"/>
  </r>
  <r>
    <s v="RZEŹNICKI Gracjan"/>
    <x v="1"/>
    <s v="KS Iskra Zabrze"/>
    <n v="1"/>
    <x v="0"/>
    <x v="0"/>
    <x v="16"/>
  </r>
  <r>
    <s v="RZEŹNICKI Gracjan"/>
    <x v="1"/>
    <s v="KS Iskra Zabrze"/>
    <n v="1"/>
    <x v="0"/>
    <x v="1"/>
    <x v="16"/>
  </r>
  <r>
    <s v="RZEŹNICKI Gracjan"/>
    <x v="1"/>
    <s v="KS Iskra Zabrze"/>
    <n v="1"/>
    <x v="0"/>
    <x v="2"/>
    <x v="16"/>
  </r>
  <r>
    <s v="RZEŹNICKI Gracjan"/>
    <x v="1"/>
    <s v="KS Iskra Zabrze"/>
    <n v="1"/>
    <x v="1"/>
    <x v="0"/>
    <x v="143"/>
  </r>
  <r>
    <s v="RZEŹNICKI Gracjan"/>
    <x v="1"/>
    <s v="KS Iskra Zabrze"/>
    <n v="1"/>
    <x v="1"/>
    <x v="1"/>
    <x v="8"/>
  </r>
  <r>
    <s v="RZEŹNICKI Gracjan"/>
    <x v="1"/>
    <s v="KS Iskra Zabrze"/>
    <n v="1"/>
    <x v="1"/>
    <x v="2"/>
    <x v="205"/>
  </r>
  <r>
    <s v="RZEŹNICKI Gracjan"/>
    <x v="1"/>
    <s v="KS Iskra Zabrze"/>
    <n v="1"/>
    <x v="2"/>
    <x v="0"/>
    <x v="16"/>
  </r>
  <r>
    <s v="RZEŹNICKI Gracjan"/>
    <x v="1"/>
    <s v="KS Iskra Zabrze"/>
    <n v="1"/>
    <x v="2"/>
    <x v="1"/>
    <x v="16"/>
  </r>
  <r>
    <s v="RZEŹNICKI Gracjan"/>
    <x v="1"/>
    <s v="KS Iskra Zabrze"/>
    <n v="1"/>
    <x v="2"/>
    <x v="2"/>
    <x v="16"/>
  </r>
  <r>
    <s v="RZEŹNICKI Gracjan"/>
    <x v="1"/>
    <s v="KS Iskra Zabrze"/>
    <n v="1"/>
    <x v="3"/>
    <x v="0"/>
    <x v="16"/>
  </r>
  <r>
    <s v="RZEŹNICKI Gracjan"/>
    <x v="1"/>
    <s v="KS Iskra Zabrze"/>
    <n v="1"/>
    <x v="3"/>
    <x v="1"/>
    <x v="16"/>
  </r>
  <r>
    <s v="RZEŹNICKI Gracjan"/>
    <x v="1"/>
    <s v="KS Iskra Zabrze"/>
    <n v="1"/>
    <x v="3"/>
    <x v="2"/>
    <x v="16"/>
  </r>
  <r>
    <s v="RZEŹNICKI Gracjan"/>
    <x v="1"/>
    <s v="KS Iskra Zabrze"/>
    <n v="1"/>
    <x v="4"/>
    <x v="0"/>
    <x v="143"/>
  </r>
  <r>
    <s v="RZEŹNICKI Gracjan"/>
    <x v="1"/>
    <s v="KS Iskra Zabrze"/>
    <n v="1"/>
    <x v="4"/>
    <x v="1"/>
    <x v="8"/>
  </r>
  <r>
    <s v="RZEŹNICKI Gracjan"/>
    <x v="1"/>
    <s v="KS Iskra Zabrze"/>
    <n v="1"/>
    <x v="4"/>
    <x v="2"/>
    <x v="205"/>
  </r>
  <r>
    <s v="RZEŹNICKI Gracjan"/>
    <x v="1"/>
    <s v="KS Iskra Zabrze"/>
    <n v="1"/>
    <x v="5"/>
    <x v="0"/>
    <x v="16"/>
  </r>
  <r>
    <s v="RZEŹNICKI Gracjan"/>
    <x v="1"/>
    <s v="KS Iskra Zabrze"/>
    <n v="1"/>
    <x v="5"/>
    <x v="1"/>
    <x v="16"/>
  </r>
  <r>
    <s v="RZEŹNICKI Gracjan"/>
    <x v="1"/>
    <s v="KS Iskra Zabrze"/>
    <n v="1"/>
    <x v="5"/>
    <x v="2"/>
    <x v="16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4">
  <r>
    <s v="SASNAL Filip"/>
    <x v="0"/>
    <s v="32804"/>
    <s v="KS AZS AWF Kraków"/>
    <n v="4"/>
    <x v="0"/>
    <x v="0"/>
    <x v="0"/>
  </r>
  <r>
    <s v="SASNAL Filip"/>
    <x v="0"/>
    <s v="32804"/>
    <s v="KS AZS AWF Kraków"/>
    <n v="4"/>
    <x v="0"/>
    <x v="1"/>
    <x v="1"/>
  </r>
  <r>
    <s v="SASNAL Filip"/>
    <x v="0"/>
    <s v="32804"/>
    <s v="KS AZS AWF Kraków"/>
    <n v="4"/>
    <x v="0"/>
    <x v="2"/>
    <x v="2"/>
  </r>
  <r>
    <s v="SASNAL Filip"/>
    <x v="0"/>
    <s v="32804"/>
    <s v="KS AZS AWF Kraków"/>
    <n v="4"/>
    <x v="1"/>
    <x v="0"/>
    <x v="0"/>
  </r>
  <r>
    <s v="SASNAL Filip"/>
    <x v="0"/>
    <s v="32804"/>
    <s v="KS AZS AWF Kraków"/>
    <n v="4"/>
    <x v="1"/>
    <x v="1"/>
    <x v="3"/>
  </r>
  <r>
    <s v="SASNAL Filip"/>
    <x v="0"/>
    <s v="32804"/>
    <s v="KS AZS AWF Kraków"/>
    <n v="4"/>
    <x v="1"/>
    <x v="2"/>
    <x v="4"/>
  </r>
  <r>
    <s v="SASNAL Filip"/>
    <x v="0"/>
    <s v="32804"/>
    <s v="KS AZS AWF Kraków"/>
    <n v="4"/>
    <x v="2"/>
    <x v="0"/>
    <x v="0"/>
  </r>
  <r>
    <s v="SASNAL Filip"/>
    <x v="0"/>
    <s v="32804"/>
    <s v="KS AZS AWF Kraków"/>
    <n v="4"/>
    <x v="2"/>
    <x v="1"/>
    <x v="5"/>
  </r>
  <r>
    <s v="SASNAL Filip"/>
    <x v="0"/>
    <s v="32804"/>
    <s v="KS AZS AWF Kraków"/>
    <n v="4"/>
    <x v="2"/>
    <x v="2"/>
    <x v="6"/>
  </r>
  <r>
    <s v="SASNAL Filip"/>
    <x v="0"/>
    <s v="32804"/>
    <s v="KS AZS AWF Kraków"/>
    <n v="4"/>
    <x v="3"/>
    <x v="0"/>
    <x v="0"/>
  </r>
  <r>
    <s v="SASNAL Filip"/>
    <x v="0"/>
    <s v="32804"/>
    <s v="KS AZS AWF Kraków"/>
    <n v="4"/>
    <x v="3"/>
    <x v="1"/>
    <x v="7"/>
  </r>
  <r>
    <s v="SASNAL Filip"/>
    <x v="0"/>
    <s v="32804"/>
    <s v="KS AZS AWF Kraków"/>
    <n v="4"/>
    <x v="3"/>
    <x v="2"/>
    <x v="8"/>
  </r>
  <r>
    <s v="SASNAL Filip"/>
    <x v="0"/>
    <s v="32804"/>
    <s v="KS AZS AWF Kraków"/>
    <n v="4"/>
    <x v="4"/>
    <x v="0"/>
    <x v="9"/>
  </r>
  <r>
    <s v="SASNAL Filip"/>
    <x v="0"/>
    <s v="32804"/>
    <s v="KS AZS AWF Kraków"/>
    <n v="4"/>
    <x v="4"/>
    <x v="1"/>
    <x v="10"/>
  </r>
  <r>
    <s v="SASNAL Filip"/>
    <x v="0"/>
    <s v="32804"/>
    <s v="KS AZS AWF Kraków"/>
    <n v="4"/>
    <x v="4"/>
    <x v="2"/>
    <x v="11"/>
  </r>
  <r>
    <s v="SASNAL Filip"/>
    <x v="0"/>
    <s v="32804"/>
    <s v="KS AZS AWF Kraków"/>
    <n v="4"/>
    <x v="5"/>
    <x v="0"/>
    <x v="0"/>
  </r>
  <r>
    <s v="SASNAL Filip"/>
    <x v="0"/>
    <s v="32804"/>
    <s v="KS AZS AWF Kraków"/>
    <n v="4"/>
    <x v="5"/>
    <x v="1"/>
    <x v="12"/>
  </r>
  <r>
    <s v="SASNAL Filip"/>
    <x v="0"/>
    <s v="32804"/>
    <s v="KS AZS AWF Kraków"/>
    <n v="4"/>
    <x v="5"/>
    <x v="2"/>
    <x v="13"/>
  </r>
  <r>
    <s v="LEKHAC Tomasz"/>
    <x v="1"/>
    <s v="Z/08/00007"/>
    <s v="CWZS Zawisza KG Bydgoszcz"/>
    <n v="4"/>
    <x v="0"/>
    <x v="0"/>
    <x v="14"/>
  </r>
  <r>
    <s v="LEKHAC Tomasz"/>
    <x v="1"/>
    <s v="Z/08/00007"/>
    <s v="CWZS Zawisza KG Bydgoszcz"/>
    <n v="4"/>
    <x v="0"/>
    <x v="1"/>
    <x v="15"/>
  </r>
  <r>
    <s v="LEKHAC Tomasz"/>
    <x v="1"/>
    <s v="Z/08/00007"/>
    <s v="CWZS Zawisza KG Bydgoszcz"/>
    <n v="4"/>
    <x v="0"/>
    <x v="2"/>
    <x v="16"/>
  </r>
  <r>
    <s v="LEKHAC Tomasz"/>
    <x v="1"/>
    <s v="Z/08/00007"/>
    <s v="CWZS Zawisza KG Bydgoszcz"/>
    <n v="4"/>
    <x v="1"/>
    <x v="0"/>
    <x v="0"/>
  </r>
  <r>
    <s v="LEKHAC Tomasz"/>
    <x v="1"/>
    <s v="Z/08/00007"/>
    <s v="CWZS Zawisza KG Bydgoszcz"/>
    <n v="4"/>
    <x v="1"/>
    <x v="1"/>
    <x v="17"/>
  </r>
  <r>
    <s v="LEKHAC Tomasz"/>
    <x v="1"/>
    <s v="Z/08/00007"/>
    <s v="CWZS Zawisza KG Bydgoszcz"/>
    <n v="4"/>
    <x v="1"/>
    <x v="2"/>
    <x v="18"/>
  </r>
  <r>
    <s v="LEKHAC Tomasz"/>
    <x v="1"/>
    <s v="Z/08/00007"/>
    <s v="CWZS Zawisza KG Bydgoszcz"/>
    <n v="4"/>
    <x v="2"/>
    <x v="0"/>
    <x v="0"/>
  </r>
  <r>
    <s v="LEKHAC Tomasz"/>
    <x v="1"/>
    <s v="Z/08/00007"/>
    <s v="CWZS Zawisza KG Bydgoszcz"/>
    <n v="4"/>
    <x v="2"/>
    <x v="1"/>
    <x v="1"/>
  </r>
  <r>
    <s v="LEKHAC Tomasz"/>
    <x v="1"/>
    <s v="Z/08/00007"/>
    <s v="CWZS Zawisza KG Bydgoszcz"/>
    <n v="4"/>
    <x v="2"/>
    <x v="2"/>
    <x v="2"/>
  </r>
  <r>
    <s v="LEKHAC Tomasz"/>
    <x v="1"/>
    <s v="Z/08/00007"/>
    <s v="CWZS Zawisza KG Bydgoszcz"/>
    <n v="4"/>
    <x v="3"/>
    <x v="0"/>
    <x v="0"/>
  </r>
  <r>
    <s v="LEKHAC Tomasz"/>
    <x v="1"/>
    <s v="Z/08/00007"/>
    <s v="CWZS Zawisza KG Bydgoszcz"/>
    <n v="4"/>
    <x v="3"/>
    <x v="1"/>
    <x v="19"/>
  </r>
  <r>
    <s v="LEKHAC Tomasz"/>
    <x v="1"/>
    <s v="Z/08/00007"/>
    <s v="CWZS Zawisza KG Bydgoszcz"/>
    <n v="4"/>
    <x v="3"/>
    <x v="2"/>
    <x v="20"/>
  </r>
  <r>
    <s v="LEKHAC Tomasz"/>
    <x v="1"/>
    <s v="Z/08/00007"/>
    <s v="CWZS Zawisza KG Bydgoszcz"/>
    <n v="4"/>
    <x v="4"/>
    <x v="0"/>
    <x v="9"/>
  </r>
  <r>
    <s v="LEKHAC Tomasz"/>
    <x v="1"/>
    <s v="Z/08/00007"/>
    <s v="CWZS Zawisza KG Bydgoszcz"/>
    <n v="4"/>
    <x v="4"/>
    <x v="1"/>
    <x v="21"/>
  </r>
  <r>
    <s v="LEKHAC Tomasz"/>
    <x v="1"/>
    <s v="Z/08/00007"/>
    <s v="CWZS Zawisza KG Bydgoszcz"/>
    <n v="4"/>
    <x v="4"/>
    <x v="2"/>
    <x v="22"/>
  </r>
  <r>
    <s v="LEKHAC Tomasz"/>
    <x v="1"/>
    <s v="Z/08/00007"/>
    <s v="CWZS Zawisza KG Bydgoszcz"/>
    <n v="4"/>
    <x v="5"/>
    <x v="0"/>
    <x v="0"/>
  </r>
  <r>
    <s v="LEKHAC Tomasz"/>
    <x v="1"/>
    <s v="Z/08/00007"/>
    <s v="CWZS Zawisza KG Bydgoszcz"/>
    <n v="4"/>
    <x v="5"/>
    <x v="1"/>
    <x v="23"/>
  </r>
  <r>
    <s v="LEKHAC Tomasz"/>
    <x v="1"/>
    <s v="Z/08/00007"/>
    <s v="CWZS Zawisza KG Bydgoszcz"/>
    <n v="4"/>
    <x v="5"/>
    <x v="2"/>
    <x v="24"/>
  </r>
  <r>
    <s v="BRACKI Borys"/>
    <x v="0"/>
    <s v="32570"/>
    <s v="KS AZS AWF Katowice"/>
    <n v="4"/>
    <x v="0"/>
    <x v="0"/>
    <x v="25"/>
  </r>
  <r>
    <s v="BRACKI Borys"/>
    <x v="0"/>
    <s v="32570"/>
    <s v="KS AZS AWF Katowice"/>
    <n v="4"/>
    <x v="0"/>
    <x v="1"/>
    <x v="26"/>
  </r>
  <r>
    <s v="BRACKI Borys"/>
    <x v="0"/>
    <s v="32570"/>
    <s v="KS AZS AWF Katowice"/>
    <n v="4"/>
    <x v="0"/>
    <x v="2"/>
    <x v="27"/>
  </r>
  <r>
    <s v="BRACKI Borys"/>
    <x v="0"/>
    <s v="32570"/>
    <s v="KS AZS AWF Katowice"/>
    <n v="4"/>
    <x v="1"/>
    <x v="0"/>
    <x v="28"/>
  </r>
  <r>
    <s v="BRACKI Borys"/>
    <x v="0"/>
    <s v="32570"/>
    <s v="KS AZS AWF Katowice"/>
    <n v="4"/>
    <x v="1"/>
    <x v="1"/>
    <x v="29"/>
  </r>
  <r>
    <s v="BRACKI Borys"/>
    <x v="0"/>
    <s v="32570"/>
    <s v="KS AZS AWF Katowice"/>
    <n v="4"/>
    <x v="1"/>
    <x v="2"/>
    <x v="30"/>
  </r>
  <r>
    <s v="BRACKI Borys"/>
    <x v="0"/>
    <s v="32570"/>
    <s v="KS AZS AWF Katowice"/>
    <n v="4"/>
    <x v="2"/>
    <x v="0"/>
    <x v="31"/>
  </r>
  <r>
    <s v="BRACKI Borys"/>
    <x v="0"/>
    <s v="32570"/>
    <s v="KS AZS AWF Katowice"/>
    <n v="4"/>
    <x v="2"/>
    <x v="1"/>
    <x v="32"/>
  </r>
  <r>
    <s v="BRACKI Borys"/>
    <x v="0"/>
    <s v="32570"/>
    <s v="KS AZS AWF Katowice"/>
    <n v="4"/>
    <x v="2"/>
    <x v="2"/>
    <x v="33"/>
  </r>
  <r>
    <s v="BRACKI Borys"/>
    <x v="0"/>
    <s v="32570"/>
    <s v="KS AZS AWF Katowice"/>
    <n v="4"/>
    <x v="3"/>
    <x v="0"/>
    <x v="34"/>
  </r>
  <r>
    <s v="BRACKI Borys"/>
    <x v="0"/>
    <s v="32570"/>
    <s v="KS AZS AWF Katowice"/>
    <n v="4"/>
    <x v="3"/>
    <x v="1"/>
    <x v="35"/>
  </r>
  <r>
    <s v="BRACKI Borys"/>
    <x v="0"/>
    <s v="32570"/>
    <s v="KS AZS AWF Katowice"/>
    <n v="4"/>
    <x v="3"/>
    <x v="2"/>
    <x v="36"/>
  </r>
  <r>
    <s v="BRACKI Borys"/>
    <x v="0"/>
    <s v="32570"/>
    <s v="KS AZS AWF Katowice"/>
    <n v="4"/>
    <x v="4"/>
    <x v="0"/>
    <x v="37"/>
  </r>
  <r>
    <s v="BRACKI Borys"/>
    <x v="0"/>
    <s v="32570"/>
    <s v="KS AZS AWF Katowice"/>
    <n v="4"/>
    <x v="4"/>
    <x v="1"/>
    <x v="38"/>
  </r>
  <r>
    <s v="BRACKI Borys"/>
    <x v="0"/>
    <s v="32570"/>
    <s v="KS AZS AWF Katowice"/>
    <n v="4"/>
    <x v="4"/>
    <x v="2"/>
    <x v="39"/>
  </r>
  <r>
    <s v="BRACKI Borys"/>
    <x v="0"/>
    <s v="32570"/>
    <s v="KS AZS AWF Katowice"/>
    <n v="4"/>
    <x v="5"/>
    <x v="0"/>
    <x v="40"/>
  </r>
  <r>
    <s v="BRACKI Borys"/>
    <x v="0"/>
    <s v="32570"/>
    <s v="KS AZS AWF Katowice"/>
    <n v="4"/>
    <x v="5"/>
    <x v="1"/>
    <x v="29"/>
  </r>
  <r>
    <s v="BRACKI Borys"/>
    <x v="0"/>
    <s v="32570"/>
    <s v="KS AZS AWF Katowice"/>
    <n v="4"/>
    <x v="5"/>
    <x v="2"/>
    <x v="41"/>
  </r>
  <r>
    <s v="BOBER Michał"/>
    <x v="0"/>
    <s v="33750"/>
    <s v="UKS SP7 Łódź"/>
    <n v="4"/>
    <x v="0"/>
    <x v="0"/>
    <x v="31"/>
  </r>
  <r>
    <s v="BOBER Michał"/>
    <x v="0"/>
    <s v="33750"/>
    <s v="UKS SP7 Łódź"/>
    <n v="4"/>
    <x v="0"/>
    <x v="1"/>
    <x v="42"/>
  </r>
  <r>
    <s v="BOBER Michał"/>
    <x v="0"/>
    <s v="33750"/>
    <s v="UKS SP7 Łódź"/>
    <n v="4"/>
    <x v="0"/>
    <x v="2"/>
    <x v="27"/>
  </r>
  <r>
    <s v="BOBER Michał"/>
    <x v="0"/>
    <s v="33750"/>
    <s v="UKS SP7 Łódź"/>
    <n v="4"/>
    <x v="1"/>
    <x v="0"/>
    <x v="43"/>
  </r>
  <r>
    <s v="BOBER Michał"/>
    <x v="0"/>
    <s v="33750"/>
    <s v="UKS SP7 Łódź"/>
    <n v="4"/>
    <x v="1"/>
    <x v="1"/>
    <x v="23"/>
  </r>
  <r>
    <s v="BOBER Michał"/>
    <x v="0"/>
    <s v="33750"/>
    <s v="UKS SP7 Łódź"/>
    <n v="4"/>
    <x v="1"/>
    <x v="2"/>
    <x v="44"/>
  </r>
  <r>
    <s v="BOBER Michał"/>
    <x v="0"/>
    <s v="33750"/>
    <s v="UKS SP7 Łódź"/>
    <n v="4"/>
    <x v="2"/>
    <x v="0"/>
    <x v="43"/>
  </r>
  <r>
    <s v="BOBER Michał"/>
    <x v="0"/>
    <s v="33750"/>
    <s v="UKS SP7 Łódź"/>
    <n v="4"/>
    <x v="2"/>
    <x v="1"/>
    <x v="45"/>
  </r>
  <r>
    <s v="BOBER Michał"/>
    <x v="0"/>
    <s v="33750"/>
    <s v="UKS SP7 Łódź"/>
    <n v="4"/>
    <x v="2"/>
    <x v="2"/>
    <x v="46"/>
  </r>
  <r>
    <s v="BOBER Michał"/>
    <x v="0"/>
    <s v="33750"/>
    <s v="UKS SP7 Łódź"/>
    <n v="4"/>
    <x v="3"/>
    <x v="0"/>
    <x v="47"/>
  </r>
  <r>
    <s v="BOBER Michał"/>
    <x v="0"/>
    <s v="33750"/>
    <s v="UKS SP7 Łódź"/>
    <n v="4"/>
    <x v="3"/>
    <x v="1"/>
    <x v="48"/>
  </r>
  <r>
    <s v="BOBER Michał"/>
    <x v="0"/>
    <s v="33750"/>
    <s v="UKS SP7 Łódź"/>
    <n v="4"/>
    <x v="3"/>
    <x v="2"/>
    <x v="49"/>
  </r>
  <r>
    <s v="BOBER Michał"/>
    <x v="0"/>
    <s v="33750"/>
    <s v="UKS SP7 Łódź"/>
    <n v="4"/>
    <x v="4"/>
    <x v="0"/>
    <x v="50"/>
  </r>
  <r>
    <s v="BOBER Michał"/>
    <x v="0"/>
    <s v="33750"/>
    <s v="UKS SP7 Łódź"/>
    <n v="4"/>
    <x v="4"/>
    <x v="1"/>
    <x v="51"/>
  </r>
  <r>
    <s v="BOBER Michał"/>
    <x v="0"/>
    <s v="33750"/>
    <s v="UKS SP7 Łódź"/>
    <n v="4"/>
    <x v="4"/>
    <x v="2"/>
    <x v="52"/>
  </r>
  <r>
    <s v="BOBER Michał"/>
    <x v="0"/>
    <s v="33750"/>
    <s v="UKS SP7 Łódź"/>
    <n v="4"/>
    <x v="5"/>
    <x v="0"/>
    <x v="53"/>
  </r>
  <r>
    <s v="BOBER Michał"/>
    <x v="0"/>
    <s v="33750"/>
    <s v="UKS SP7 Łódź"/>
    <n v="4"/>
    <x v="5"/>
    <x v="1"/>
    <x v="54"/>
  </r>
  <r>
    <s v="BOBER Michał"/>
    <x v="0"/>
    <s v="33750"/>
    <s v="UKS SP7 Łódź"/>
    <n v="4"/>
    <x v="5"/>
    <x v="2"/>
    <x v="55"/>
  </r>
  <r>
    <s v="GARNCZAREK Kacper"/>
    <x v="0"/>
    <s v="32211"/>
    <s v="KS AZS AWF Katowice"/>
    <n v="3"/>
    <x v="0"/>
    <x v="0"/>
    <x v="56"/>
  </r>
  <r>
    <s v="GARNCZAREK Kacper"/>
    <x v="0"/>
    <s v="32211"/>
    <s v="KS AZS AWF Katowice"/>
    <n v="3"/>
    <x v="0"/>
    <x v="1"/>
    <x v="56"/>
  </r>
  <r>
    <s v="GARNCZAREK Kacper"/>
    <x v="0"/>
    <s v="32211"/>
    <s v="KS AZS AWF Katowice"/>
    <n v="3"/>
    <x v="0"/>
    <x v="2"/>
    <x v="56"/>
  </r>
  <r>
    <s v="GARNCZAREK Kacper"/>
    <x v="0"/>
    <s v="32211"/>
    <s v="KS AZS AWF Katowice"/>
    <n v="3"/>
    <x v="1"/>
    <x v="0"/>
    <x v="57"/>
  </r>
  <r>
    <s v="GARNCZAREK Kacper"/>
    <x v="0"/>
    <s v="32211"/>
    <s v="KS AZS AWF Katowice"/>
    <n v="3"/>
    <x v="1"/>
    <x v="1"/>
    <x v="58"/>
  </r>
  <r>
    <s v="GARNCZAREK Kacper"/>
    <x v="0"/>
    <s v="32211"/>
    <s v="KS AZS AWF Katowice"/>
    <n v="3"/>
    <x v="1"/>
    <x v="2"/>
    <x v="59"/>
  </r>
  <r>
    <s v="GARNCZAREK Kacper"/>
    <x v="0"/>
    <s v="32211"/>
    <s v="KS AZS AWF Katowice"/>
    <n v="3"/>
    <x v="2"/>
    <x v="0"/>
    <x v="60"/>
  </r>
  <r>
    <s v="GARNCZAREK Kacper"/>
    <x v="0"/>
    <s v="32211"/>
    <s v="KS AZS AWF Katowice"/>
    <n v="3"/>
    <x v="2"/>
    <x v="1"/>
    <x v="61"/>
  </r>
  <r>
    <s v="GARNCZAREK Kacper"/>
    <x v="0"/>
    <s v="32211"/>
    <s v="KS AZS AWF Katowice"/>
    <n v="3"/>
    <x v="2"/>
    <x v="2"/>
    <x v="20"/>
  </r>
  <r>
    <s v="GARNCZAREK Kacper"/>
    <x v="0"/>
    <s v="32211"/>
    <s v="KS AZS AWF Katowice"/>
    <n v="3"/>
    <x v="3"/>
    <x v="0"/>
    <x v="60"/>
  </r>
  <r>
    <s v="GARNCZAREK Kacper"/>
    <x v="0"/>
    <s v="32211"/>
    <s v="KS AZS AWF Katowice"/>
    <n v="3"/>
    <x v="3"/>
    <x v="1"/>
    <x v="62"/>
  </r>
  <r>
    <s v="GARNCZAREK Kacper"/>
    <x v="0"/>
    <s v="32211"/>
    <s v="KS AZS AWF Katowice"/>
    <n v="3"/>
    <x v="3"/>
    <x v="2"/>
    <x v="46"/>
  </r>
  <r>
    <s v="GARNCZAREK Kacper"/>
    <x v="0"/>
    <s v="32211"/>
    <s v="KS AZS AWF Katowice"/>
    <n v="3"/>
    <x v="4"/>
    <x v="0"/>
    <x v="63"/>
  </r>
  <r>
    <s v="GARNCZAREK Kacper"/>
    <x v="0"/>
    <s v="32211"/>
    <s v="KS AZS AWF Katowice"/>
    <n v="3"/>
    <x v="4"/>
    <x v="1"/>
    <x v="64"/>
  </r>
  <r>
    <s v="GARNCZAREK Kacper"/>
    <x v="0"/>
    <s v="32211"/>
    <s v="KS AZS AWF Katowice"/>
    <n v="3"/>
    <x v="4"/>
    <x v="2"/>
    <x v="65"/>
  </r>
  <r>
    <s v="GARNCZAREK Kacper"/>
    <x v="0"/>
    <s v="32211"/>
    <s v="KS AZS AWF Katowice"/>
    <n v="3"/>
    <x v="5"/>
    <x v="0"/>
    <x v="66"/>
  </r>
  <r>
    <s v="GARNCZAREK Kacper"/>
    <x v="0"/>
    <s v="32211"/>
    <s v="KS AZS AWF Katowice"/>
    <n v="3"/>
    <x v="5"/>
    <x v="1"/>
    <x v="67"/>
  </r>
  <r>
    <s v="GARNCZAREK Kacper"/>
    <x v="0"/>
    <s v="32211"/>
    <s v="KS AZS AWF Katowice"/>
    <n v="3"/>
    <x v="5"/>
    <x v="2"/>
    <x v="68"/>
  </r>
  <r>
    <s v="KOŁODZIEJCZYK Karol"/>
    <x v="1"/>
    <s v="32980"/>
    <s v="KS AZS AWF Kraków"/>
    <n v="4"/>
    <x v="0"/>
    <x v="0"/>
    <x v="47"/>
  </r>
  <r>
    <s v="KOŁODZIEJCZYK Karol"/>
    <x v="1"/>
    <s v="32980"/>
    <s v="KS AZS AWF Kraków"/>
    <n v="4"/>
    <x v="0"/>
    <x v="1"/>
    <x v="36"/>
  </r>
  <r>
    <s v="KOŁODZIEJCZYK Karol"/>
    <x v="1"/>
    <s v="32980"/>
    <s v="KS AZS AWF Kraków"/>
    <n v="4"/>
    <x v="0"/>
    <x v="2"/>
    <x v="69"/>
  </r>
  <r>
    <s v="KOŁODZIEJCZYK Karol"/>
    <x v="1"/>
    <s v="32980"/>
    <s v="KS AZS AWF Kraków"/>
    <n v="4"/>
    <x v="1"/>
    <x v="0"/>
    <x v="70"/>
  </r>
  <r>
    <s v="KOŁODZIEJCZYK Karol"/>
    <x v="1"/>
    <s v="32980"/>
    <s v="KS AZS AWF Kraków"/>
    <n v="4"/>
    <x v="1"/>
    <x v="1"/>
    <x v="71"/>
  </r>
  <r>
    <s v="KOŁODZIEJCZYK Karol"/>
    <x v="1"/>
    <s v="32980"/>
    <s v="KS AZS AWF Kraków"/>
    <n v="4"/>
    <x v="1"/>
    <x v="2"/>
    <x v="72"/>
  </r>
  <r>
    <s v="KOŁODZIEJCZYK Karol"/>
    <x v="1"/>
    <s v="32980"/>
    <s v="KS AZS AWF Kraków"/>
    <n v="4"/>
    <x v="2"/>
    <x v="0"/>
    <x v="70"/>
  </r>
  <r>
    <s v="KOŁODZIEJCZYK Karol"/>
    <x v="1"/>
    <s v="32980"/>
    <s v="KS AZS AWF Kraków"/>
    <n v="4"/>
    <x v="2"/>
    <x v="1"/>
    <x v="73"/>
  </r>
  <r>
    <s v="KOŁODZIEJCZYK Karol"/>
    <x v="1"/>
    <s v="32980"/>
    <s v="KS AZS AWF Kraków"/>
    <n v="4"/>
    <x v="2"/>
    <x v="2"/>
    <x v="20"/>
  </r>
  <r>
    <s v="KOŁODZIEJCZYK Karol"/>
    <x v="1"/>
    <s v="32980"/>
    <s v="KS AZS AWF Kraków"/>
    <n v="4"/>
    <x v="3"/>
    <x v="0"/>
    <x v="74"/>
  </r>
  <r>
    <s v="KOŁODZIEJCZYK Karol"/>
    <x v="1"/>
    <s v="32980"/>
    <s v="KS AZS AWF Kraków"/>
    <n v="4"/>
    <x v="3"/>
    <x v="1"/>
    <x v="73"/>
  </r>
  <r>
    <s v="KOŁODZIEJCZYK Karol"/>
    <x v="1"/>
    <s v="32980"/>
    <s v="KS AZS AWF Kraków"/>
    <n v="4"/>
    <x v="3"/>
    <x v="2"/>
    <x v="75"/>
  </r>
  <r>
    <s v="KOŁODZIEJCZYK Karol"/>
    <x v="1"/>
    <s v="32980"/>
    <s v="KS AZS AWF Kraków"/>
    <n v="4"/>
    <x v="4"/>
    <x v="0"/>
    <x v="17"/>
  </r>
  <r>
    <s v="KOŁODZIEJCZYK Karol"/>
    <x v="1"/>
    <s v="32980"/>
    <s v="KS AZS AWF Kraków"/>
    <n v="4"/>
    <x v="4"/>
    <x v="1"/>
    <x v="76"/>
  </r>
  <r>
    <s v="KOŁODZIEJCZYK Karol"/>
    <x v="1"/>
    <s v="32980"/>
    <s v="KS AZS AWF Kraków"/>
    <n v="4"/>
    <x v="4"/>
    <x v="2"/>
    <x v="77"/>
  </r>
  <r>
    <s v="KOŁODZIEJCZYK Karol"/>
    <x v="1"/>
    <s v="32980"/>
    <s v="KS AZS AWF Kraków"/>
    <n v="4"/>
    <x v="5"/>
    <x v="0"/>
    <x v="78"/>
  </r>
  <r>
    <s v="KOŁODZIEJCZYK Karol"/>
    <x v="1"/>
    <s v="32980"/>
    <s v="KS AZS AWF Kraków"/>
    <n v="4"/>
    <x v="5"/>
    <x v="1"/>
    <x v="79"/>
  </r>
  <r>
    <s v="KOŁODZIEJCZYK Karol"/>
    <x v="1"/>
    <s v="32980"/>
    <s v="KS AZS AWF Kraków"/>
    <n v="4"/>
    <x v="5"/>
    <x v="2"/>
    <x v="20"/>
  </r>
  <r>
    <s v="CHRUŚCIEL Szymon"/>
    <x v="0"/>
    <s v="33132"/>
    <s v="KS AZS AWF Kraków"/>
    <n v="4"/>
    <x v="0"/>
    <x v="0"/>
    <x v="25"/>
  </r>
  <r>
    <s v="CHRUŚCIEL Szymon"/>
    <x v="0"/>
    <s v="33132"/>
    <s v="KS AZS AWF Kraków"/>
    <n v="4"/>
    <x v="0"/>
    <x v="1"/>
    <x v="80"/>
  </r>
  <r>
    <s v="CHRUŚCIEL Szymon"/>
    <x v="0"/>
    <s v="33132"/>
    <s v="KS AZS AWF Kraków"/>
    <n v="4"/>
    <x v="0"/>
    <x v="2"/>
    <x v="81"/>
  </r>
  <r>
    <s v="CHRUŚCIEL Szymon"/>
    <x v="0"/>
    <s v="33132"/>
    <s v="KS AZS AWF Kraków"/>
    <n v="4"/>
    <x v="1"/>
    <x v="0"/>
    <x v="0"/>
  </r>
  <r>
    <s v="CHRUŚCIEL Szymon"/>
    <x v="0"/>
    <s v="33132"/>
    <s v="KS AZS AWF Kraków"/>
    <n v="4"/>
    <x v="1"/>
    <x v="1"/>
    <x v="82"/>
  </r>
  <r>
    <s v="CHRUŚCIEL Szymon"/>
    <x v="0"/>
    <s v="33132"/>
    <s v="KS AZS AWF Kraków"/>
    <n v="4"/>
    <x v="1"/>
    <x v="2"/>
    <x v="83"/>
  </r>
  <r>
    <s v="CHRUŚCIEL Szymon"/>
    <x v="0"/>
    <s v="33132"/>
    <s v="KS AZS AWF Kraków"/>
    <n v="4"/>
    <x v="2"/>
    <x v="0"/>
    <x v="28"/>
  </r>
  <r>
    <s v="CHRUŚCIEL Szymon"/>
    <x v="0"/>
    <s v="33132"/>
    <s v="KS AZS AWF Kraków"/>
    <n v="4"/>
    <x v="2"/>
    <x v="1"/>
    <x v="84"/>
  </r>
  <r>
    <s v="CHRUŚCIEL Szymon"/>
    <x v="0"/>
    <s v="33132"/>
    <s v="KS AZS AWF Kraków"/>
    <n v="4"/>
    <x v="2"/>
    <x v="2"/>
    <x v="75"/>
  </r>
  <r>
    <s v="CHRUŚCIEL Szymon"/>
    <x v="0"/>
    <s v="33132"/>
    <s v="KS AZS AWF Kraków"/>
    <n v="4"/>
    <x v="3"/>
    <x v="0"/>
    <x v="0"/>
  </r>
  <r>
    <s v="CHRUŚCIEL Szymon"/>
    <x v="0"/>
    <s v="33132"/>
    <s v="KS AZS AWF Kraków"/>
    <n v="4"/>
    <x v="3"/>
    <x v="1"/>
    <x v="19"/>
  </r>
  <r>
    <s v="CHRUŚCIEL Szymon"/>
    <x v="0"/>
    <s v="33132"/>
    <s v="KS AZS AWF Kraków"/>
    <n v="4"/>
    <x v="3"/>
    <x v="2"/>
    <x v="20"/>
  </r>
  <r>
    <s v="CHRUŚCIEL Szymon"/>
    <x v="0"/>
    <s v="33132"/>
    <s v="KS AZS AWF Kraków"/>
    <n v="4"/>
    <x v="4"/>
    <x v="0"/>
    <x v="85"/>
  </r>
  <r>
    <s v="CHRUŚCIEL Szymon"/>
    <x v="0"/>
    <s v="33132"/>
    <s v="KS AZS AWF Kraków"/>
    <n v="4"/>
    <x v="4"/>
    <x v="1"/>
    <x v="86"/>
  </r>
  <r>
    <s v="CHRUŚCIEL Szymon"/>
    <x v="0"/>
    <s v="33132"/>
    <s v="KS AZS AWF Kraków"/>
    <n v="4"/>
    <x v="4"/>
    <x v="2"/>
    <x v="87"/>
  </r>
  <r>
    <s v="CHRUŚCIEL Szymon"/>
    <x v="0"/>
    <s v="33132"/>
    <s v="KS AZS AWF Kraków"/>
    <n v="4"/>
    <x v="5"/>
    <x v="0"/>
    <x v="88"/>
  </r>
  <r>
    <s v="CHRUŚCIEL Szymon"/>
    <x v="0"/>
    <s v="33132"/>
    <s v="KS AZS AWF Kraków"/>
    <n v="4"/>
    <x v="5"/>
    <x v="1"/>
    <x v="89"/>
  </r>
  <r>
    <s v="CHRUŚCIEL Szymon"/>
    <x v="0"/>
    <s v="33132"/>
    <s v="KS AZS AWF Kraków"/>
    <n v="4"/>
    <x v="5"/>
    <x v="2"/>
    <x v="90"/>
  </r>
  <r>
    <s v="CZARNECKI Aleksander"/>
    <x v="1"/>
    <s v="30195"/>
    <s v="MKS Kusy Szczecin"/>
    <n v="3"/>
    <x v="0"/>
    <x v="0"/>
    <x v="91"/>
  </r>
  <r>
    <s v="CZARNECKI Aleksander"/>
    <x v="1"/>
    <s v="30195"/>
    <s v="MKS Kusy Szczecin"/>
    <n v="3"/>
    <x v="0"/>
    <x v="1"/>
    <x v="26"/>
  </r>
  <r>
    <s v="CZARNECKI Aleksander"/>
    <x v="1"/>
    <s v="30195"/>
    <s v="MKS Kusy Szczecin"/>
    <n v="3"/>
    <x v="0"/>
    <x v="2"/>
    <x v="92"/>
  </r>
  <r>
    <s v="CZARNECKI Aleksander"/>
    <x v="1"/>
    <s v="30195"/>
    <s v="MKS Kusy Szczecin"/>
    <n v="3"/>
    <x v="1"/>
    <x v="0"/>
    <x v="93"/>
  </r>
  <r>
    <s v="CZARNECKI Aleksander"/>
    <x v="1"/>
    <s v="30195"/>
    <s v="MKS Kusy Szczecin"/>
    <n v="3"/>
    <x v="1"/>
    <x v="1"/>
    <x v="94"/>
  </r>
  <r>
    <s v="CZARNECKI Aleksander"/>
    <x v="1"/>
    <s v="30195"/>
    <s v="MKS Kusy Szczecin"/>
    <n v="3"/>
    <x v="1"/>
    <x v="2"/>
    <x v="95"/>
  </r>
  <r>
    <s v="CZARNECKI Aleksander"/>
    <x v="1"/>
    <s v="30195"/>
    <s v="MKS Kusy Szczecin"/>
    <n v="3"/>
    <x v="2"/>
    <x v="0"/>
    <x v="56"/>
  </r>
  <r>
    <s v="CZARNECKI Aleksander"/>
    <x v="1"/>
    <s v="30195"/>
    <s v="MKS Kusy Szczecin"/>
    <n v="3"/>
    <x v="2"/>
    <x v="1"/>
    <x v="56"/>
  </r>
  <r>
    <s v="CZARNECKI Aleksander"/>
    <x v="1"/>
    <s v="30195"/>
    <s v="MKS Kusy Szczecin"/>
    <n v="3"/>
    <x v="2"/>
    <x v="2"/>
    <x v="56"/>
  </r>
  <r>
    <s v="CZARNECKI Aleksander"/>
    <x v="1"/>
    <s v="30195"/>
    <s v="MKS Kusy Szczecin"/>
    <n v="3"/>
    <x v="3"/>
    <x v="0"/>
    <x v="93"/>
  </r>
  <r>
    <s v="CZARNECKI Aleksander"/>
    <x v="1"/>
    <s v="30195"/>
    <s v="MKS Kusy Szczecin"/>
    <n v="3"/>
    <x v="3"/>
    <x v="1"/>
    <x v="3"/>
  </r>
  <r>
    <s v="CZARNECKI Aleksander"/>
    <x v="1"/>
    <s v="30195"/>
    <s v="MKS Kusy Szczecin"/>
    <n v="3"/>
    <x v="3"/>
    <x v="2"/>
    <x v="50"/>
  </r>
  <r>
    <s v="CZARNECKI Aleksander"/>
    <x v="1"/>
    <s v="30195"/>
    <s v="MKS Kusy Szczecin"/>
    <n v="3"/>
    <x v="4"/>
    <x v="0"/>
    <x v="49"/>
  </r>
  <r>
    <s v="CZARNECKI Aleksander"/>
    <x v="1"/>
    <s v="30195"/>
    <s v="MKS Kusy Szczecin"/>
    <n v="3"/>
    <x v="4"/>
    <x v="1"/>
    <x v="96"/>
  </r>
  <r>
    <s v="CZARNECKI Aleksander"/>
    <x v="1"/>
    <s v="30195"/>
    <s v="MKS Kusy Szczecin"/>
    <n v="3"/>
    <x v="4"/>
    <x v="2"/>
    <x v="97"/>
  </r>
  <r>
    <s v="CZARNECKI Aleksander"/>
    <x v="1"/>
    <s v="30195"/>
    <s v="MKS Kusy Szczecin"/>
    <n v="3"/>
    <x v="5"/>
    <x v="0"/>
    <x v="98"/>
  </r>
  <r>
    <s v="CZARNECKI Aleksander"/>
    <x v="1"/>
    <s v="30195"/>
    <s v="MKS Kusy Szczecin"/>
    <n v="3"/>
    <x v="5"/>
    <x v="1"/>
    <x v="99"/>
  </r>
  <r>
    <s v="CZARNECKI Aleksander"/>
    <x v="1"/>
    <s v="30195"/>
    <s v="MKS Kusy Szczecin"/>
    <n v="3"/>
    <x v="5"/>
    <x v="2"/>
    <x v="100"/>
  </r>
  <r>
    <s v="KORBIEL Franciszek"/>
    <x v="1"/>
    <s v="33134"/>
    <s v="KS AZS AWF Kraków"/>
    <n v="4"/>
    <x v="0"/>
    <x v="0"/>
    <x v="47"/>
  </r>
  <r>
    <s v="KORBIEL Franciszek"/>
    <x v="1"/>
    <s v="33134"/>
    <s v="KS AZS AWF Kraków"/>
    <n v="4"/>
    <x v="0"/>
    <x v="1"/>
    <x v="45"/>
  </r>
  <r>
    <s v="KORBIEL Franciszek"/>
    <x v="1"/>
    <s v="33134"/>
    <s v="KS AZS AWF Kraków"/>
    <n v="4"/>
    <x v="0"/>
    <x v="2"/>
    <x v="50"/>
  </r>
  <r>
    <s v="KORBIEL Franciszek"/>
    <x v="1"/>
    <s v="33134"/>
    <s v="KS AZS AWF Kraków"/>
    <n v="4"/>
    <x v="1"/>
    <x v="0"/>
    <x v="47"/>
  </r>
  <r>
    <s v="KORBIEL Franciszek"/>
    <x v="1"/>
    <s v="33134"/>
    <s v="KS AZS AWF Kraków"/>
    <n v="4"/>
    <x v="1"/>
    <x v="1"/>
    <x v="101"/>
  </r>
  <r>
    <s v="KORBIEL Franciszek"/>
    <x v="1"/>
    <s v="33134"/>
    <s v="KS AZS AWF Kraków"/>
    <n v="4"/>
    <x v="1"/>
    <x v="2"/>
    <x v="102"/>
  </r>
  <r>
    <s v="KORBIEL Franciszek"/>
    <x v="1"/>
    <s v="33134"/>
    <s v="KS AZS AWF Kraków"/>
    <n v="4"/>
    <x v="2"/>
    <x v="0"/>
    <x v="47"/>
  </r>
  <r>
    <s v="KORBIEL Franciszek"/>
    <x v="1"/>
    <s v="33134"/>
    <s v="KS AZS AWF Kraków"/>
    <n v="4"/>
    <x v="2"/>
    <x v="1"/>
    <x v="103"/>
  </r>
  <r>
    <s v="KORBIEL Franciszek"/>
    <x v="1"/>
    <s v="33134"/>
    <s v="KS AZS AWF Kraków"/>
    <n v="4"/>
    <x v="2"/>
    <x v="2"/>
    <x v="75"/>
  </r>
  <r>
    <s v="KORBIEL Franciszek"/>
    <x v="1"/>
    <s v="33134"/>
    <s v="KS AZS AWF Kraków"/>
    <n v="4"/>
    <x v="3"/>
    <x v="0"/>
    <x v="91"/>
  </r>
  <r>
    <s v="KORBIEL Franciszek"/>
    <x v="1"/>
    <s v="33134"/>
    <s v="KS AZS AWF Kraków"/>
    <n v="4"/>
    <x v="3"/>
    <x v="1"/>
    <x v="1"/>
  </r>
  <r>
    <s v="KORBIEL Franciszek"/>
    <x v="1"/>
    <s v="33134"/>
    <s v="KS AZS AWF Kraków"/>
    <n v="4"/>
    <x v="3"/>
    <x v="2"/>
    <x v="69"/>
  </r>
  <r>
    <s v="KORBIEL Franciszek"/>
    <x v="1"/>
    <s v="33134"/>
    <s v="KS AZS AWF Kraków"/>
    <n v="4"/>
    <x v="4"/>
    <x v="0"/>
    <x v="104"/>
  </r>
  <r>
    <s v="KORBIEL Franciszek"/>
    <x v="1"/>
    <s v="33134"/>
    <s v="KS AZS AWF Kraków"/>
    <n v="4"/>
    <x v="4"/>
    <x v="1"/>
    <x v="105"/>
  </r>
  <r>
    <s v="KORBIEL Franciszek"/>
    <x v="1"/>
    <s v="33134"/>
    <s v="KS AZS AWF Kraków"/>
    <n v="4"/>
    <x v="4"/>
    <x v="2"/>
    <x v="106"/>
  </r>
  <r>
    <s v="KORBIEL Franciszek"/>
    <x v="1"/>
    <s v="33134"/>
    <s v="KS AZS AWF Kraków"/>
    <n v="4"/>
    <x v="5"/>
    <x v="0"/>
    <x v="107"/>
  </r>
  <r>
    <s v="KORBIEL Franciszek"/>
    <x v="1"/>
    <s v="33134"/>
    <s v="KS AZS AWF Kraków"/>
    <n v="4"/>
    <x v="5"/>
    <x v="1"/>
    <x v="45"/>
  </r>
  <r>
    <s v="KORBIEL Franciszek"/>
    <x v="1"/>
    <s v="33134"/>
    <s v="KS AZS AWF Kraków"/>
    <n v="4"/>
    <x v="5"/>
    <x v="2"/>
    <x v="108"/>
  </r>
  <r>
    <s v="KWIATKOWSKI Michał"/>
    <x v="1"/>
    <s v="30185"/>
    <s v="MKS Kusy Szczecin"/>
    <n v="4"/>
    <x v="0"/>
    <x v="0"/>
    <x v="109"/>
  </r>
  <r>
    <s v="KWIATKOWSKI Michał"/>
    <x v="1"/>
    <s v="30185"/>
    <s v="MKS Kusy Szczecin"/>
    <n v="4"/>
    <x v="0"/>
    <x v="1"/>
    <x v="110"/>
  </r>
  <r>
    <s v="KWIATKOWSKI Michał"/>
    <x v="1"/>
    <s v="30185"/>
    <s v="MKS Kusy Szczecin"/>
    <n v="4"/>
    <x v="0"/>
    <x v="2"/>
    <x v="111"/>
  </r>
  <r>
    <s v="KWIATKOWSKI Michał"/>
    <x v="1"/>
    <s v="30185"/>
    <s v="MKS Kusy Szczecin"/>
    <n v="4"/>
    <x v="1"/>
    <x v="0"/>
    <x v="93"/>
  </r>
  <r>
    <s v="KWIATKOWSKI Michał"/>
    <x v="1"/>
    <s v="30185"/>
    <s v="MKS Kusy Szczecin"/>
    <n v="4"/>
    <x v="1"/>
    <x v="1"/>
    <x v="110"/>
  </r>
  <r>
    <s v="KWIATKOWSKI Michał"/>
    <x v="1"/>
    <s v="30185"/>
    <s v="MKS Kusy Szczecin"/>
    <n v="4"/>
    <x v="1"/>
    <x v="2"/>
    <x v="112"/>
  </r>
  <r>
    <s v="KWIATKOWSKI Michał"/>
    <x v="1"/>
    <s v="30185"/>
    <s v="MKS Kusy Szczecin"/>
    <n v="4"/>
    <x v="2"/>
    <x v="0"/>
    <x v="91"/>
  </r>
  <r>
    <s v="KWIATKOWSKI Michał"/>
    <x v="1"/>
    <s v="30185"/>
    <s v="MKS Kusy Szczecin"/>
    <n v="4"/>
    <x v="2"/>
    <x v="1"/>
    <x v="5"/>
  </r>
  <r>
    <s v="KWIATKOWSKI Michał"/>
    <x v="1"/>
    <s v="30185"/>
    <s v="MKS Kusy Szczecin"/>
    <n v="4"/>
    <x v="2"/>
    <x v="2"/>
    <x v="72"/>
  </r>
  <r>
    <s v="KWIATKOWSKI Michał"/>
    <x v="1"/>
    <s v="30185"/>
    <s v="MKS Kusy Szczecin"/>
    <n v="4"/>
    <x v="3"/>
    <x v="0"/>
    <x v="93"/>
  </r>
  <r>
    <s v="KWIATKOWSKI Michał"/>
    <x v="1"/>
    <s v="30185"/>
    <s v="MKS Kusy Szczecin"/>
    <n v="4"/>
    <x v="3"/>
    <x v="1"/>
    <x v="113"/>
  </r>
  <r>
    <s v="KWIATKOWSKI Michał"/>
    <x v="1"/>
    <s v="30185"/>
    <s v="MKS Kusy Szczecin"/>
    <n v="4"/>
    <x v="3"/>
    <x v="2"/>
    <x v="114"/>
  </r>
  <r>
    <s v="KWIATKOWSKI Michał"/>
    <x v="1"/>
    <s v="30185"/>
    <s v="MKS Kusy Szczecin"/>
    <n v="4"/>
    <x v="4"/>
    <x v="0"/>
    <x v="115"/>
  </r>
  <r>
    <s v="KWIATKOWSKI Michał"/>
    <x v="1"/>
    <s v="30185"/>
    <s v="MKS Kusy Szczecin"/>
    <n v="4"/>
    <x v="4"/>
    <x v="1"/>
    <x v="116"/>
  </r>
  <r>
    <s v="KWIATKOWSKI Michał"/>
    <x v="1"/>
    <s v="30185"/>
    <s v="MKS Kusy Szczecin"/>
    <n v="4"/>
    <x v="4"/>
    <x v="2"/>
    <x v="117"/>
  </r>
  <r>
    <s v="KWIATKOWSKI Michał"/>
    <x v="1"/>
    <s v="30185"/>
    <s v="MKS Kusy Szczecin"/>
    <n v="4"/>
    <x v="5"/>
    <x v="0"/>
    <x v="118"/>
  </r>
  <r>
    <s v="KWIATKOWSKI Michał"/>
    <x v="1"/>
    <s v="30185"/>
    <s v="MKS Kusy Szczecin"/>
    <n v="4"/>
    <x v="5"/>
    <x v="1"/>
    <x v="119"/>
  </r>
  <r>
    <s v="KWIATKOWSKI Michał"/>
    <x v="1"/>
    <s v="30185"/>
    <s v="MKS Kusy Szczecin"/>
    <n v="4"/>
    <x v="5"/>
    <x v="2"/>
    <x v="50"/>
  </r>
  <r>
    <s v="KUZDRA Christian"/>
    <x v="1"/>
    <s v="33663"/>
    <s v="MKS Gdańsk"/>
    <n v="4"/>
    <x v="0"/>
    <x v="0"/>
    <x v="91"/>
  </r>
  <r>
    <s v="KUZDRA Christian"/>
    <x v="1"/>
    <s v="33663"/>
    <s v="MKS Gdańsk"/>
    <n v="4"/>
    <x v="0"/>
    <x v="1"/>
    <x v="1"/>
  </r>
  <r>
    <s v="KUZDRA Christian"/>
    <x v="1"/>
    <s v="33663"/>
    <s v="MKS Gdańsk"/>
    <n v="4"/>
    <x v="0"/>
    <x v="2"/>
    <x v="69"/>
  </r>
  <r>
    <s v="KUZDRA Christian"/>
    <x v="1"/>
    <s v="33663"/>
    <s v="MKS Gdańsk"/>
    <n v="4"/>
    <x v="1"/>
    <x v="0"/>
    <x v="25"/>
  </r>
  <r>
    <s v="KUZDRA Christian"/>
    <x v="1"/>
    <s v="33663"/>
    <s v="MKS Gdańsk"/>
    <n v="4"/>
    <x v="1"/>
    <x v="1"/>
    <x v="58"/>
  </r>
  <r>
    <s v="KUZDRA Christian"/>
    <x v="1"/>
    <s v="33663"/>
    <s v="MKS Gdańsk"/>
    <n v="4"/>
    <x v="1"/>
    <x v="2"/>
    <x v="120"/>
  </r>
  <r>
    <s v="KUZDRA Christian"/>
    <x v="1"/>
    <s v="33663"/>
    <s v="MKS Gdańsk"/>
    <n v="4"/>
    <x v="2"/>
    <x v="0"/>
    <x v="25"/>
  </r>
  <r>
    <s v="KUZDRA Christian"/>
    <x v="1"/>
    <s v="33663"/>
    <s v="MKS Gdańsk"/>
    <n v="4"/>
    <x v="2"/>
    <x v="1"/>
    <x v="101"/>
  </r>
  <r>
    <s v="KUZDRA Christian"/>
    <x v="1"/>
    <s v="33663"/>
    <s v="MKS Gdańsk"/>
    <n v="4"/>
    <x v="2"/>
    <x v="2"/>
    <x v="83"/>
  </r>
  <r>
    <s v="KUZDRA Christian"/>
    <x v="1"/>
    <s v="33663"/>
    <s v="MKS Gdańsk"/>
    <n v="4"/>
    <x v="3"/>
    <x v="0"/>
    <x v="93"/>
  </r>
  <r>
    <s v="KUZDRA Christian"/>
    <x v="1"/>
    <s v="33663"/>
    <s v="MKS Gdańsk"/>
    <n v="4"/>
    <x v="3"/>
    <x v="1"/>
    <x v="113"/>
  </r>
  <r>
    <s v="KUZDRA Christian"/>
    <x v="1"/>
    <s v="33663"/>
    <s v="MKS Gdańsk"/>
    <n v="4"/>
    <x v="3"/>
    <x v="2"/>
    <x v="114"/>
  </r>
  <r>
    <s v="KUZDRA Christian"/>
    <x v="1"/>
    <s v="33663"/>
    <s v="MKS Gdańsk"/>
    <n v="4"/>
    <x v="4"/>
    <x v="0"/>
    <x v="121"/>
  </r>
  <r>
    <s v="KUZDRA Christian"/>
    <x v="1"/>
    <s v="33663"/>
    <s v="MKS Gdańsk"/>
    <n v="4"/>
    <x v="4"/>
    <x v="1"/>
    <x v="122"/>
  </r>
  <r>
    <s v="KUZDRA Christian"/>
    <x v="1"/>
    <s v="33663"/>
    <s v="MKS Gdańsk"/>
    <n v="4"/>
    <x v="4"/>
    <x v="2"/>
    <x v="123"/>
  </r>
  <r>
    <s v="KUZDRA Christian"/>
    <x v="1"/>
    <s v="33663"/>
    <s v="MKS Gdańsk"/>
    <n v="4"/>
    <x v="5"/>
    <x v="0"/>
    <x v="28"/>
  </r>
  <r>
    <s v="KUZDRA Christian"/>
    <x v="1"/>
    <s v="33663"/>
    <s v="MKS Gdańsk"/>
    <n v="4"/>
    <x v="5"/>
    <x v="1"/>
    <x v="124"/>
  </r>
  <r>
    <s v="KUZDRA Christian"/>
    <x v="1"/>
    <s v="33663"/>
    <s v="MKS Gdańsk"/>
    <n v="4"/>
    <x v="5"/>
    <x v="2"/>
    <x v="125"/>
  </r>
  <r>
    <s v="LUDYNIA Marceli"/>
    <x v="0"/>
    <s v="32213"/>
    <s v="KS AZS AWF Katowice"/>
    <n v="4"/>
    <x v="0"/>
    <x v="0"/>
    <x v="109"/>
  </r>
  <r>
    <s v="LUDYNIA Marceli"/>
    <x v="0"/>
    <s v="32213"/>
    <s v="KS AZS AWF Katowice"/>
    <n v="4"/>
    <x v="0"/>
    <x v="1"/>
    <x v="101"/>
  </r>
  <r>
    <s v="LUDYNIA Marceli"/>
    <x v="0"/>
    <s v="32213"/>
    <s v="KS AZS AWF Katowice"/>
    <n v="4"/>
    <x v="0"/>
    <x v="2"/>
    <x v="75"/>
  </r>
  <r>
    <s v="LUDYNIA Marceli"/>
    <x v="0"/>
    <s v="32213"/>
    <s v="KS AZS AWF Katowice"/>
    <n v="4"/>
    <x v="1"/>
    <x v="0"/>
    <x v="14"/>
  </r>
  <r>
    <s v="LUDYNIA Marceli"/>
    <x v="0"/>
    <s v="32213"/>
    <s v="KS AZS AWF Katowice"/>
    <n v="4"/>
    <x v="1"/>
    <x v="1"/>
    <x v="84"/>
  </r>
  <r>
    <s v="LUDYNIA Marceli"/>
    <x v="0"/>
    <s v="32213"/>
    <s v="KS AZS AWF Katowice"/>
    <n v="4"/>
    <x v="1"/>
    <x v="2"/>
    <x v="72"/>
  </r>
  <r>
    <s v="LUDYNIA Marceli"/>
    <x v="0"/>
    <s v="32213"/>
    <s v="KS AZS AWF Katowice"/>
    <n v="4"/>
    <x v="2"/>
    <x v="0"/>
    <x v="25"/>
  </r>
  <r>
    <s v="LUDYNIA Marceli"/>
    <x v="0"/>
    <s v="32213"/>
    <s v="KS AZS AWF Katowice"/>
    <n v="4"/>
    <x v="2"/>
    <x v="1"/>
    <x v="126"/>
  </r>
  <r>
    <s v="LUDYNIA Marceli"/>
    <x v="0"/>
    <s v="32213"/>
    <s v="KS AZS AWF Katowice"/>
    <n v="4"/>
    <x v="2"/>
    <x v="2"/>
    <x v="127"/>
  </r>
  <r>
    <s v="LUDYNIA Marceli"/>
    <x v="0"/>
    <s v="32213"/>
    <s v="KS AZS AWF Katowice"/>
    <n v="4"/>
    <x v="3"/>
    <x v="0"/>
    <x v="28"/>
  </r>
  <r>
    <s v="LUDYNIA Marceli"/>
    <x v="0"/>
    <s v="32213"/>
    <s v="KS AZS AWF Katowice"/>
    <n v="4"/>
    <x v="3"/>
    <x v="1"/>
    <x v="128"/>
  </r>
  <r>
    <s v="LUDYNIA Marceli"/>
    <x v="0"/>
    <s v="32213"/>
    <s v="KS AZS AWF Katowice"/>
    <n v="4"/>
    <x v="3"/>
    <x v="2"/>
    <x v="129"/>
  </r>
  <r>
    <s v="LUDYNIA Marceli"/>
    <x v="0"/>
    <s v="32213"/>
    <s v="KS AZS AWF Katowice"/>
    <n v="4"/>
    <x v="4"/>
    <x v="0"/>
    <x v="130"/>
  </r>
  <r>
    <s v="LUDYNIA Marceli"/>
    <x v="0"/>
    <s v="32213"/>
    <s v="KS AZS AWF Katowice"/>
    <n v="4"/>
    <x v="4"/>
    <x v="1"/>
    <x v="131"/>
  </r>
  <r>
    <s v="LUDYNIA Marceli"/>
    <x v="0"/>
    <s v="32213"/>
    <s v="KS AZS AWF Katowice"/>
    <n v="4"/>
    <x v="4"/>
    <x v="2"/>
    <x v="132"/>
  </r>
  <r>
    <s v="LUDYNIA Marceli"/>
    <x v="0"/>
    <s v="32213"/>
    <s v="KS AZS AWF Katowice"/>
    <n v="4"/>
    <x v="5"/>
    <x v="0"/>
    <x v="133"/>
  </r>
  <r>
    <s v="LUDYNIA Marceli"/>
    <x v="0"/>
    <s v="32213"/>
    <s v="KS AZS AWF Katowice"/>
    <n v="4"/>
    <x v="5"/>
    <x v="1"/>
    <x v="134"/>
  </r>
  <r>
    <s v="LUDYNIA Marceli"/>
    <x v="0"/>
    <s v="32213"/>
    <s v="KS AZS AWF Katowice"/>
    <n v="4"/>
    <x v="5"/>
    <x v="2"/>
    <x v="75"/>
  </r>
  <r>
    <s v="KUBALA Kacper"/>
    <x v="1"/>
    <s v="330113"/>
    <s v="MKS Gdańsk"/>
    <n v="4"/>
    <x v="0"/>
    <x v="0"/>
    <x v="47"/>
  </r>
  <r>
    <s v="KUBALA Kacper"/>
    <x v="1"/>
    <s v="330113"/>
    <s v="MKS Gdańsk"/>
    <n v="4"/>
    <x v="0"/>
    <x v="1"/>
    <x v="23"/>
  </r>
  <r>
    <s v="KUBALA Kacper"/>
    <x v="1"/>
    <s v="330113"/>
    <s v="MKS Gdańsk"/>
    <n v="4"/>
    <x v="0"/>
    <x v="2"/>
    <x v="135"/>
  </r>
  <r>
    <s v="KUBALA Kacper"/>
    <x v="1"/>
    <s v="330113"/>
    <s v="MKS Gdańsk"/>
    <n v="4"/>
    <x v="1"/>
    <x v="0"/>
    <x v="47"/>
  </r>
  <r>
    <s v="KUBALA Kacper"/>
    <x v="1"/>
    <s v="330113"/>
    <s v="MKS Gdańsk"/>
    <n v="4"/>
    <x v="1"/>
    <x v="1"/>
    <x v="101"/>
  </r>
  <r>
    <s v="KUBALA Kacper"/>
    <x v="1"/>
    <s v="330113"/>
    <s v="MKS Gdańsk"/>
    <n v="4"/>
    <x v="1"/>
    <x v="2"/>
    <x v="102"/>
  </r>
  <r>
    <s v="KUBALA Kacper"/>
    <x v="1"/>
    <s v="330113"/>
    <s v="MKS Gdańsk"/>
    <n v="4"/>
    <x v="2"/>
    <x v="0"/>
    <x v="136"/>
  </r>
  <r>
    <s v="KUBALA Kacper"/>
    <x v="1"/>
    <s v="330113"/>
    <s v="MKS Gdańsk"/>
    <n v="4"/>
    <x v="2"/>
    <x v="1"/>
    <x v="17"/>
  </r>
  <r>
    <s v="KUBALA Kacper"/>
    <x v="1"/>
    <s v="330113"/>
    <s v="MKS Gdańsk"/>
    <n v="4"/>
    <x v="2"/>
    <x v="2"/>
    <x v="75"/>
  </r>
  <r>
    <s v="KUBALA Kacper"/>
    <x v="1"/>
    <s v="330113"/>
    <s v="MKS Gdańsk"/>
    <n v="4"/>
    <x v="3"/>
    <x v="0"/>
    <x v="136"/>
  </r>
  <r>
    <s v="KUBALA Kacper"/>
    <x v="1"/>
    <s v="330113"/>
    <s v="MKS Gdańsk"/>
    <n v="4"/>
    <x v="3"/>
    <x v="1"/>
    <x v="45"/>
  </r>
  <r>
    <s v="KUBALA Kacper"/>
    <x v="1"/>
    <s v="330113"/>
    <s v="MKS Gdańsk"/>
    <n v="4"/>
    <x v="3"/>
    <x v="2"/>
    <x v="137"/>
  </r>
  <r>
    <s v="KUBALA Kacper"/>
    <x v="1"/>
    <s v="330113"/>
    <s v="MKS Gdańsk"/>
    <n v="4"/>
    <x v="4"/>
    <x v="0"/>
    <x v="1"/>
  </r>
  <r>
    <s v="KUBALA Kacper"/>
    <x v="1"/>
    <s v="330113"/>
    <s v="MKS Gdańsk"/>
    <n v="4"/>
    <x v="4"/>
    <x v="1"/>
    <x v="138"/>
  </r>
  <r>
    <s v="KUBALA Kacper"/>
    <x v="1"/>
    <s v="330113"/>
    <s v="MKS Gdańsk"/>
    <n v="4"/>
    <x v="4"/>
    <x v="2"/>
    <x v="139"/>
  </r>
  <r>
    <s v="KUBALA Kacper"/>
    <x v="1"/>
    <s v="330113"/>
    <s v="MKS Gdańsk"/>
    <n v="4"/>
    <x v="5"/>
    <x v="0"/>
    <x v="140"/>
  </r>
  <r>
    <s v="KUBALA Kacper"/>
    <x v="1"/>
    <s v="330113"/>
    <s v="MKS Gdańsk"/>
    <n v="4"/>
    <x v="5"/>
    <x v="1"/>
    <x v="141"/>
  </r>
  <r>
    <s v="KUBALA Kacper"/>
    <x v="1"/>
    <s v="330113"/>
    <s v="MKS Gdańsk"/>
    <n v="4"/>
    <x v="5"/>
    <x v="2"/>
    <x v="142"/>
  </r>
  <r>
    <s v="KOPERSKI Filip"/>
    <x v="1"/>
    <s v="Z/07/00266"/>
    <s v="KS AZS AWF Kraków"/>
    <n v="3"/>
    <x v="0"/>
    <x v="0"/>
    <x v="56"/>
  </r>
  <r>
    <s v="KOPERSKI Filip"/>
    <x v="1"/>
    <s v="Z/07/00266"/>
    <s v="KS AZS AWF Kraków"/>
    <n v="3"/>
    <x v="0"/>
    <x v="1"/>
    <x v="56"/>
  </r>
  <r>
    <s v="KOPERSKI Filip"/>
    <x v="1"/>
    <s v="Z/07/00266"/>
    <s v="KS AZS AWF Kraków"/>
    <n v="3"/>
    <x v="0"/>
    <x v="2"/>
    <x v="56"/>
  </r>
  <r>
    <s v="KOPERSKI Filip"/>
    <x v="1"/>
    <s v="Z/07/00266"/>
    <s v="KS AZS AWF Kraków"/>
    <n v="3"/>
    <x v="1"/>
    <x v="0"/>
    <x v="70"/>
  </r>
  <r>
    <s v="KOPERSKI Filip"/>
    <x v="1"/>
    <s v="Z/07/00266"/>
    <s v="KS AZS AWF Kraków"/>
    <n v="3"/>
    <x v="1"/>
    <x v="1"/>
    <x v="3"/>
  </r>
  <r>
    <s v="KOPERSKI Filip"/>
    <x v="1"/>
    <s v="Z/07/00266"/>
    <s v="KS AZS AWF Kraków"/>
    <n v="3"/>
    <x v="1"/>
    <x v="2"/>
    <x v="143"/>
  </r>
  <r>
    <s v="KOPERSKI Filip"/>
    <x v="1"/>
    <s v="Z/07/00266"/>
    <s v="KS AZS AWF Kraków"/>
    <n v="3"/>
    <x v="2"/>
    <x v="0"/>
    <x v="70"/>
  </r>
  <r>
    <s v="KOPERSKI Filip"/>
    <x v="1"/>
    <s v="Z/07/00266"/>
    <s v="KS AZS AWF Kraków"/>
    <n v="3"/>
    <x v="2"/>
    <x v="1"/>
    <x v="144"/>
  </r>
  <r>
    <s v="KOPERSKI Filip"/>
    <x v="1"/>
    <s v="Z/07/00266"/>
    <s v="KS AZS AWF Kraków"/>
    <n v="3"/>
    <x v="2"/>
    <x v="2"/>
    <x v="102"/>
  </r>
  <r>
    <s v="KOPERSKI Filip"/>
    <x v="1"/>
    <s v="Z/07/00266"/>
    <s v="KS AZS AWF Kraków"/>
    <n v="3"/>
    <x v="3"/>
    <x v="0"/>
    <x v="70"/>
  </r>
  <r>
    <s v="KOPERSKI Filip"/>
    <x v="1"/>
    <s v="Z/07/00266"/>
    <s v="KS AZS AWF Kraków"/>
    <n v="3"/>
    <x v="3"/>
    <x v="1"/>
    <x v="71"/>
  </r>
  <r>
    <s v="KOPERSKI Filip"/>
    <x v="1"/>
    <s v="Z/07/00266"/>
    <s v="KS AZS AWF Kraków"/>
    <n v="3"/>
    <x v="3"/>
    <x v="2"/>
    <x v="72"/>
  </r>
  <r>
    <s v="KOPERSKI Filip"/>
    <x v="1"/>
    <s v="Z/07/00266"/>
    <s v="KS AZS AWF Kraków"/>
    <n v="3"/>
    <x v="4"/>
    <x v="0"/>
    <x v="71"/>
  </r>
  <r>
    <s v="KOPERSKI Filip"/>
    <x v="1"/>
    <s v="Z/07/00266"/>
    <s v="KS AZS AWF Kraków"/>
    <n v="3"/>
    <x v="4"/>
    <x v="1"/>
    <x v="145"/>
  </r>
  <r>
    <s v="KOPERSKI Filip"/>
    <x v="1"/>
    <s v="Z/07/00266"/>
    <s v="KS AZS AWF Kraków"/>
    <n v="3"/>
    <x v="4"/>
    <x v="2"/>
    <x v="146"/>
  </r>
  <r>
    <s v="KOPERSKI Filip"/>
    <x v="1"/>
    <s v="Z/07/00266"/>
    <s v="KS AZS AWF Kraków"/>
    <n v="3"/>
    <x v="5"/>
    <x v="0"/>
    <x v="70"/>
  </r>
  <r>
    <s v="KOPERSKI Filip"/>
    <x v="1"/>
    <s v="Z/07/00266"/>
    <s v="KS AZS AWF Kraków"/>
    <n v="3"/>
    <x v="5"/>
    <x v="1"/>
    <x v="147"/>
  </r>
  <r>
    <s v="KOPERSKI Filip"/>
    <x v="1"/>
    <s v="Z/07/00266"/>
    <s v="KS AZS AWF Kraków"/>
    <n v="3"/>
    <x v="5"/>
    <x v="2"/>
    <x v="148"/>
  </r>
  <r>
    <s v="KUROWSKI Jakub"/>
    <x v="0"/>
    <s v="30190"/>
    <s v="MKS Kusy Szczecin"/>
    <n v="4"/>
    <x v="0"/>
    <x v="0"/>
    <x v="34"/>
  </r>
  <r>
    <s v="KUROWSKI Jakub"/>
    <x v="0"/>
    <s v="30190"/>
    <s v="MKS Kusy Szczecin"/>
    <n v="4"/>
    <x v="0"/>
    <x v="1"/>
    <x v="126"/>
  </r>
  <r>
    <s v="KUROWSKI Jakub"/>
    <x v="0"/>
    <s v="30190"/>
    <s v="MKS Kusy Szczecin"/>
    <n v="4"/>
    <x v="0"/>
    <x v="2"/>
    <x v="149"/>
  </r>
  <r>
    <s v="KUROWSKI Jakub"/>
    <x v="0"/>
    <s v="30190"/>
    <s v="MKS Kusy Szczecin"/>
    <n v="4"/>
    <x v="1"/>
    <x v="0"/>
    <x v="109"/>
  </r>
  <r>
    <s v="KUROWSKI Jakub"/>
    <x v="0"/>
    <s v="30190"/>
    <s v="MKS Kusy Szczecin"/>
    <n v="4"/>
    <x v="1"/>
    <x v="1"/>
    <x v="36"/>
  </r>
  <r>
    <s v="KUROWSKI Jakub"/>
    <x v="0"/>
    <s v="30190"/>
    <s v="MKS Kusy Szczecin"/>
    <n v="4"/>
    <x v="1"/>
    <x v="2"/>
    <x v="150"/>
  </r>
  <r>
    <s v="KUROWSKI Jakub"/>
    <x v="0"/>
    <s v="30190"/>
    <s v="MKS Kusy Szczecin"/>
    <n v="4"/>
    <x v="2"/>
    <x v="0"/>
    <x v="93"/>
  </r>
  <r>
    <s v="KUROWSKI Jakub"/>
    <x v="0"/>
    <s v="30190"/>
    <s v="MKS Kusy Szczecin"/>
    <n v="4"/>
    <x v="2"/>
    <x v="1"/>
    <x v="23"/>
  </r>
  <r>
    <s v="KUROWSKI Jakub"/>
    <x v="0"/>
    <s v="30190"/>
    <s v="MKS Kusy Szczecin"/>
    <n v="4"/>
    <x v="2"/>
    <x v="2"/>
    <x v="27"/>
  </r>
  <r>
    <s v="KUROWSKI Jakub"/>
    <x v="0"/>
    <s v="30190"/>
    <s v="MKS Kusy Szczecin"/>
    <n v="4"/>
    <x v="3"/>
    <x v="0"/>
    <x v="91"/>
  </r>
  <r>
    <s v="KUROWSKI Jakub"/>
    <x v="0"/>
    <s v="30190"/>
    <s v="MKS Kusy Szczecin"/>
    <n v="4"/>
    <x v="3"/>
    <x v="1"/>
    <x v="151"/>
  </r>
  <r>
    <s v="KUROWSKI Jakub"/>
    <x v="0"/>
    <s v="30190"/>
    <s v="MKS Kusy Szczecin"/>
    <n v="4"/>
    <x v="3"/>
    <x v="2"/>
    <x v="71"/>
  </r>
  <r>
    <s v="KUROWSKI Jakub"/>
    <x v="0"/>
    <s v="30190"/>
    <s v="MKS Kusy Szczecin"/>
    <n v="4"/>
    <x v="4"/>
    <x v="0"/>
    <x v="152"/>
  </r>
  <r>
    <s v="KUROWSKI Jakub"/>
    <x v="0"/>
    <s v="30190"/>
    <s v="MKS Kusy Szczecin"/>
    <n v="4"/>
    <x v="4"/>
    <x v="1"/>
    <x v="153"/>
  </r>
  <r>
    <s v="KUROWSKI Jakub"/>
    <x v="0"/>
    <s v="30190"/>
    <s v="MKS Kusy Szczecin"/>
    <n v="4"/>
    <x v="4"/>
    <x v="2"/>
    <x v="154"/>
  </r>
  <r>
    <s v="KUROWSKI Jakub"/>
    <x v="0"/>
    <s v="30190"/>
    <s v="MKS Kusy Szczecin"/>
    <n v="4"/>
    <x v="5"/>
    <x v="0"/>
    <x v="155"/>
  </r>
  <r>
    <s v="KUROWSKI Jakub"/>
    <x v="0"/>
    <s v="30190"/>
    <s v="MKS Kusy Szczecin"/>
    <n v="4"/>
    <x v="5"/>
    <x v="1"/>
    <x v="144"/>
  </r>
  <r>
    <s v="KUROWSKI Jakub"/>
    <x v="0"/>
    <s v="30190"/>
    <s v="MKS Kusy Szczecin"/>
    <n v="4"/>
    <x v="5"/>
    <x v="2"/>
    <x v="156"/>
  </r>
  <r>
    <s v="MOSKAL Błażej"/>
    <x v="1"/>
    <s v="330111"/>
    <s v="MKS Gdańsk"/>
    <n v="4"/>
    <x v="0"/>
    <x v="0"/>
    <x v="47"/>
  </r>
  <r>
    <s v="MOSKAL Błażej"/>
    <x v="1"/>
    <s v="330111"/>
    <s v="MKS Gdańsk"/>
    <n v="4"/>
    <x v="0"/>
    <x v="1"/>
    <x v="157"/>
  </r>
  <r>
    <s v="MOSKAL Błażej"/>
    <x v="1"/>
    <s v="330111"/>
    <s v="MKS Gdańsk"/>
    <n v="4"/>
    <x v="0"/>
    <x v="2"/>
    <x v="120"/>
  </r>
  <r>
    <s v="MOSKAL Błażej"/>
    <x v="1"/>
    <s v="330111"/>
    <s v="MKS Gdańsk"/>
    <n v="4"/>
    <x v="1"/>
    <x v="0"/>
    <x v="47"/>
  </r>
  <r>
    <s v="MOSKAL Błażej"/>
    <x v="1"/>
    <s v="330111"/>
    <s v="MKS Gdańsk"/>
    <n v="4"/>
    <x v="1"/>
    <x v="1"/>
    <x v="158"/>
  </r>
  <r>
    <s v="MOSKAL Błażej"/>
    <x v="1"/>
    <s v="330111"/>
    <s v="MKS Gdańsk"/>
    <n v="4"/>
    <x v="1"/>
    <x v="2"/>
    <x v="137"/>
  </r>
  <r>
    <s v="MOSKAL Błażej"/>
    <x v="1"/>
    <s v="330111"/>
    <s v="MKS Gdańsk"/>
    <n v="4"/>
    <x v="2"/>
    <x v="0"/>
    <x v="47"/>
  </r>
  <r>
    <s v="MOSKAL Błażej"/>
    <x v="1"/>
    <s v="330111"/>
    <s v="MKS Gdańsk"/>
    <n v="4"/>
    <x v="2"/>
    <x v="1"/>
    <x v="58"/>
  </r>
  <r>
    <s v="MOSKAL Błażej"/>
    <x v="1"/>
    <s v="330111"/>
    <s v="MKS Gdańsk"/>
    <n v="4"/>
    <x v="2"/>
    <x v="2"/>
    <x v="127"/>
  </r>
  <r>
    <s v="MOSKAL Błażej"/>
    <x v="1"/>
    <s v="330111"/>
    <s v="MKS Gdańsk"/>
    <n v="4"/>
    <x v="3"/>
    <x v="0"/>
    <x v="136"/>
  </r>
  <r>
    <s v="MOSKAL Błażej"/>
    <x v="1"/>
    <s v="330111"/>
    <s v="MKS Gdańsk"/>
    <n v="4"/>
    <x v="3"/>
    <x v="1"/>
    <x v="71"/>
  </r>
  <r>
    <s v="MOSKAL Błażej"/>
    <x v="1"/>
    <s v="330111"/>
    <s v="MKS Gdańsk"/>
    <n v="4"/>
    <x v="3"/>
    <x v="2"/>
    <x v="130"/>
  </r>
  <r>
    <s v="MOSKAL Błażej"/>
    <x v="1"/>
    <s v="330111"/>
    <s v="MKS Gdańsk"/>
    <n v="4"/>
    <x v="4"/>
    <x v="0"/>
    <x v="159"/>
  </r>
  <r>
    <s v="MOSKAL Błażej"/>
    <x v="1"/>
    <s v="330111"/>
    <s v="MKS Gdańsk"/>
    <n v="4"/>
    <x v="4"/>
    <x v="1"/>
    <x v="160"/>
  </r>
  <r>
    <s v="MOSKAL Błażej"/>
    <x v="1"/>
    <s v="330111"/>
    <s v="MKS Gdańsk"/>
    <n v="4"/>
    <x v="4"/>
    <x v="2"/>
    <x v="161"/>
  </r>
  <r>
    <s v="MOSKAL Błażej"/>
    <x v="1"/>
    <s v="330111"/>
    <s v="MKS Gdańsk"/>
    <n v="4"/>
    <x v="5"/>
    <x v="0"/>
    <x v="47"/>
  </r>
  <r>
    <s v="MOSKAL Błażej"/>
    <x v="1"/>
    <s v="330111"/>
    <s v="MKS Gdańsk"/>
    <n v="4"/>
    <x v="5"/>
    <x v="1"/>
    <x v="162"/>
  </r>
  <r>
    <s v="MOSKAL Błażej"/>
    <x v="1"/>
    <s v="330111"/>
    <s v="MKS Gdańsk"/>
    <n v="4"/>
    <x v="5"/>
    <x v="2"/>
    <x v="120"/>
  </r>
  <r>
    <s v="WIERZBA Kacper"/>
    <x v="0"/>
    <s v="32450"/>
    <s v="MKS Gdańsk"/>
    <n v="3"/>
    <x v="0"/>
    <x v="0"/>
    <x v="56"/>
  </r>
  <r>
    <s v="WIERZBA Kacper"/>
    <x v="0"/>
    <s v="32450"/>
    <s v="MKS Gdańsk"/>
    <n v="3"/>
    <x v="0"/>
    <x v="1"/>
    <x v="56"/>
  </r>
  <r>
    <s v="WIERZBA Kacper"/>
    <x v="0"/>
    <s v="32450"/>
    <s v="MKS Gdańsk"/>
    <n v="3"/>
    <x v="0"/>
    <x v="2"/>
    <x v="56"/>
  </r>
  <r>
    <s v="WIERZBA Kacper"/>
    <x v="0"/>
    <s v="32450"/>
    <s v="MKS Gdańsk"/>
    <n v="3"/>
    <x v="1"/>
    <x v="0"/>
    <x v="70"/>
  </r>
  <r>
    <s v="WIERZBA Kacper"/>
    <x v="0"/>
    <s v="32450"/>
    <s v="MKS Gdańsk"/>
    <n v="3"/>
    <x v="1"/>
    <x v="1"/>
    <x v="23"/>
  </r>
  <r>
    <s v="WIERZBA Kacper"/>
    <x v="0"/>
    <s v="32450"/>
    <s v="MKS Gdańsk"/>
    <n v="3"/>
    <x v="1"/>
    <x v="2"/>
    <x v="95"/>
  </r>
  <r>
    <s v="WIERZBA Kacper"/>
    <x v="0"/>
    <s v="32450"/>
    <s v="MKS Gdańsk"/>
    <n v="3"/>
    <x v="2"/>
    <x v="0"/>
    <x v="163"/>
  </r>
  <r>
    <s v="WIERZBA Kacper"/>
    <x v="0"/>
    <s v="32450"/>
    <s v="MKS Gdańsk"/>
    <n v="3"/>
    <x v="2"/>
    <x v="1"/>
    <x v="164"/>
  </r>
  <r>
    <s v="WIERZBA Kacper"/>
    <x v="0"/>
    <s v="32450"/>
    <s v="MKS Gdańsk"/>
    <n v="3"/>
    <x v="2"/>
    <x v="2"/>
    <x v="165"/>
  </r>
  <r>
    <s v="WIERZBA Kacper"/>
    <x v="0"/>
    <s v="32450"/>
    <s v="MKS Gdańsk"/>
    <n v="3"/>
    <x v="3"/>
    <x v="0"/>
    <x v="70"/>
  </r>
  <r>
    <s v="WIERZBA Kacper"/>
    <x v="0"/>
    <s v="32450"/>
    <s v="MKS Gdańsk"/>
    <n v="3"/>
    <x v="3"/>
    <x v="1"/>
    <x v="5"/>
  </r>
  <r>
    <s v="WIERZBA Kacper"/>
    <x v="0"/>
    <s v="32450"/>
    <s v="MKS Gdańsk"/>
    <n v="3"/>
    <x v="3"/>
    <x v="2"/>
    <x v="69"/>
  </r>
  <r>
    <s v="WIERZBA Kacper"/>
    <x v="0"/>
    <s v="32450"/>
    <s v="MKS Gdańsk"/>
    <n v="3"/>
    <x v="4"/>
    <x v="0"/>
    <x v="45"/>
  </r>
  <r>
    <s v="WIERZBA Kacper"/>
    <x v="0"/>
    <s v="32450"/>
    <s v="MKS Gdańsk"/>
    <n v="3"/>
    <x v="4"/>
    <x v="1"/>
    <x v="166"/>
  </r>
  <r>
    <s v="WIERZBA Kacper"/>
    <x v="0"/>
    <s v="32450"/>
    <s v="MKS Gdańsk"/>
    <n v="3"/>
    <x v="4"/>
    <x v="2"/>
    <x v="167"/>
  </r>
  <r>
    <s v="WIERZBA Kacper"/>
    <x v="0"/>
    <s v="32450"/>
    <s v="MKS Gdańsk"/>
    <n v="3"/>
    <x v="5"/>
    <x v="0"/>
    <x v="168"/>
  </r>
  <r>
    <s v="WIERZBA Kacper"/>
    <x v="0"/>
    <s v="32450"/>
    <s v="MKS Gdańsk"/>
    <n v="3"/>
    <x v="5"/>
    <x v="1"/>
    <x v="169"/>
  </r>
  <r>
    <s v="WIERZBA Kacper"/>
    <x v="0"/>
    <s v="32450"/>
    <s v="MKS Gdańsk"/>
    <n v="3"/>
    <x v="5"/>
    <x v="2"/>
    <x v="170"/>
  </r>
  <r>
    <s v="ŻEMEŁKA Dawid"/>
    <x v="1"/>
    <s v="Z/06/00087"/>
    <s v="MKS Gdańsk"/>
    <n v="3"/>
    <x v="0"/>
    <x v="0"/>
    <x v="56"/>
  </r>
  <r>
    <s v="ŻEMEŁKA Dawid"/>
    <x v="1"/>
    <s v="Z/06/00087"/>
    <s v="MKS Gdańsk"/>
    <n v="3"/>
    <x v="0"/>
    <x v="1"/>
    <x v="56"/>
  </r>
  <r>
    <s v="ŻEMEŁKA Dawid"/>
    <x v="1"/>
    <s v="Z/06/00087"/>
    <s v="MKS Gdańsk"/>
    <n v="3"/>
    <x v="0"/>
    <x v="2"/>
    <x v="56"/>
  </r>
  <r>
    <s v="ŻEMEŁKA Dawid"/>
    <x v="1"/>
    <s v="Z/06/00087"/>
    <s v="MKS Gdańsk"/>
    <n v="3"/>
    <x v="1"/>
    <x v="0"/>
    <x v="136"/>
  </r>
  <r>
    <s v="ŻEMEŁKA Dawid"/>
    <x v="1"/>
    <s v="Z/06/00087"/>
    <s v="MKS Gdańsk"/>
    <n v="3"/>
    <x v="1"/>
    <x v="1"/>
    <x v="1"/>
  </r>
  <r>
    <s v="ŻEMEŁKA Dawid"/>
    <x v="1"/>
    <s v="Z/06/00087"/>
    <s v="MKS Gdańsk"/>
    <n v="3"/>
    <x v="1"/>
    <x v="2"/>
    <x v="129"/>
  </r>
  <r>
    <s v="ŻEMEŁKA Dawid"/>
    <x v="1"/>
    <s v="Z/06/00087"/>
    <s v="MKS Gdańsk"/>
    <n v="3"/>
    <x v="2"/>
    <x v="0"/>
    <x v="47"/>
  </r>
  <r>
    <s v="ŻEMEŁKA Dawid"/>
    <x v="1"/>
    <s v="Z/06/00087"/>
    <s v="MKS Gdańsk"/>
    <n v="3"/>
    <x v="2"/>
    <x v="1"/>
    <x v="1"/>
  </r>
  <r>
    <s v="ŻEMEŁKA Dawid"/>
    <x v="1"/>
    <s v="Z/06/00087"/>
    <s v="MKS Gdańsk"/>
    <n v="3"/>
    <x v="2"/>
    <x v="2"/>
    <x v="83"/>
  </r>
  <r>
    <s v="ŻEMEŁKA Dawid"/>
    <x v="1"/>
    <s v="Z/06/00087"/>
    <s v="MKS Gdańsk"/>
    <n v="3"/>
    <x v="3"/>
    <x v="0"/>
    <x v="136"/>
  </r>
  <r>
    <s v="ŻEMEŁKA Dawid"/>
    <x v="1"/>
    <s v="Z/06/00087"/>
    <s v="MKS Gdańsk"/>
    <n v="3"/>
    <x v="3"/>
    <x v="1"/>
    <x v="101"/>
  </r>
  <r>
    <s v="ŻEMEŁKA Dawid"/>
    <x v="1"/>
    <s v="Z/06/00087"/>
    <s v="MKS Gdańsk"/>
    <n v="3"/>
    <x v="3"/>
    <x v="2"/>
    <x v="171"/>
  </r>
  <r>
    <s v="ŻEMEŁKA Dawid"/>
    <x v="1"/>
    <s v="Z/06/00087"/>
    <s v="MKS Gdańsk"/>
    <n v="3"/>
    <x v="4"/>
    <x v="0"/>
    <x v="84"/>
  </r>
  <r>
    <s v="ŻEMEŁKA Dawid"/>
    <x v="1"/>
    <s v="Z/06/00087"/>
    <s v="MKS Gdańsk"/>
    <n v="3"/>
    <x v="4"/>
    <x v="1"/>
    <x v="172"/>
  </r>
  <r>
    <s v="ŻEMEŁKA Dawid"/>
    <x v="1"/>
    <s v="Z/06/00087"/>
    <s v="MKS Gdańsk"/>
    <n v="3"/>
    <x v="4"/>
    <x v="2"/>
    <x v="173"/>
  </r>
  <r>
    <s v="ŻEMEŁKA Dawid"/>
    <x v="1"/>
    <s v="Z/06/00087"/>
    <s v="MKS Gdańsk"/>
    <n v="3"/>
    <x v="5"/>
    <x v="0"/>
    <x v="174"/>
  </r>
  <r>
    <s v="ŻEMEŁKA Dawid"/>
    <x v="1"/>
    <s v="Z/06/00087"/>
    <s v="MKS Gdańsk"/>
    <n v="3"/>
    <x v="5"/>
    <x v="1"/>
    <x v="103"/>
  </r>
  <r>
    <s v="ŻEMEŁKA Dawid"/>
    <x v="1"/>
    <s v="Z/06/00087"/>
    <s v="MKS Gdańsk"/>
    <n v="3"/>
    <x v="5"/>
    <x v="2"/>
    <x v="175"/>
  </r>
  <r>
    <s v="JANKOWSKI Dominik"/>
    <x v="1"/>
    <s v="330115"/>
    <s v="MKS Gdańsk"/>
    <n v="3"/>
    <x v="0"/>
    <x v="0"/>
    <x v="56"/>
  </r>
  <r>
    <s v="JANKOWSKI Dominik"/>
    <x v="1"/>
    <s v="330115"/>
    <s v="MKS Gdańsk"/>
    <n v="3"/>
    <x v="0"/>
    <x v="1"/>
    <x v="56"/>
  </r>
  <r>
    <s v="JANKOWSKI Dominik"/>
    <x v="1"/>
    <s v="330115"/>
    <s v="MKS Gdańsk"/>
    <n v="3"/>
    <x v="0"/>
    <x v="2"/>
    <x v="56"/>
  </r>
  <r>
    <s v="JANKOWSKI Dominik"/>
    <x v="1"/>
    <s v="330115"/>
    <s v="MKS Gdańsk"/>
    <n v="3"/>
    <x v="1"/>
    <x v="0"/>
    <x v="47"/>
  </r>
  <r>
    <s v="JANKOWSKI Dominik"/>
    <x v="1"/>
    <s v="330115"/>
    <s v="MKS Gdańsk"/>
    <n v="3"/>
    <x v="1"/>
    <x v="1"/>
    <x v="15"/>
  </r>
  <r>
    <s v="JANKOWSKI Dominik"/>
    <x v="1"/>
    <s v="330115"/>
    <s v="MKS Gdańsk"/>
    <n v="3"/>
    <x v="1"/>
    <x v="2"/>
    <x v="92"/>
  </r>
  <r>
    <s v="JANKOWSKI Dominik"/>
    <x v="1"/>
    <s v="330115"/>
    <s v="MKS Gdańsk"/>
    <n v="3"/>
    <x v="2"/>
    <x v="0"/>
    <x v="47"/>
  </r>
  <r>
    <s v="JANKOWSKI Dominik"/>
    <x v="1"/>
    <s v="330115"/>
    <s v="MKS Gdańsk"/>
    <n v="3"/>
    <x v="2"/>
    <x v="1"/>
    <x v="176"/>
  </r>
  <r>
    <s v="JANKOWSKI Dominik"/>
    <x v="1"/>
    <s v="330115"/>
    <s v="MKS Gdańsk"/>
    <n v="3"/>
    <x v="2"/>
    <x v="2"/>
    <x v="177"/>
  </r>
  <r>
    <s v="JANKOWSKI Dominik"/>
    <x v="1"/>
    <s v="330115"/>
    <s v="MKS Gdańsk"/>
    <n v="3"/>
    <x v="3"/>
    <x v="0"/>
    <x v="136"/>
  </r>
  <r>
    <s v="JANKOWSKI Dominik"/>
    <x v="1"/>
    <s v="330115"/>
    <s v="MKS Gdańsk"/>
    <n v="3"/>
    <x v="3"/>
    <x v="1"/>
    <x v="5"/>
  </r>
  <r>
    <s v="JANKOWSKI Dominik"/>
    <x v="1"/>
    <s v="330115"/>
    <s v="MKS Gdańsk"/>
    <n v="3"/>
    <x v="3"/>
    <x v="2"/>
    <x v="143"/>
  </r>
  <r>
    <s v="JANKOWSKI Dominik"/>
    <x v="1"/>
    <s v="330115"/>
    <s v="MKS Gdańsk"/>
    <n v="3"/>
    <x v="4"/>
    <x v="0"/>
    <x v="1"/>
  </r>
  <r>
    <s v="JANKOWSKI Dominik"/>
    <x v="1"/>
    <s v="330115"/>
    <s v="MKS Gdańsk"/>
    <n v="3"/>
    <x v="4"/>
    <x v="1"/>
    <x v="178"/>
  </r>
  <r>
    <s v="JANKOWSKI Dominik"/>
    <x v="1"/>
    <s v="330115"/>
    <s v="MKS Gdańsk"/>
    <n v="3"/>
    <x v="4"/>
    <x v="2"/>
    <x v="179"/>
  </r>
  <r>
    <s v="JANKOWSKI Dominik"/>
    <x v="1"/>
    <s v="330115"/>
    <s v="MKS Gdańsk"/>
    <n v="3"/>
    <x v="5"/>
    <x v="0"/>
    <x v="140"/>
  </r>
  <r>
    <s v="JANKOWSKI Dominik"/>
    <x v="1"/>
    <s v="330115"/>
    <s v="MKS Gdańsk"/>
    <n v="3"/>
    <x v="5"/>
    <x v="1"/>
    <x v="42"/>
  </r>
  <r>
    <s v="JANKOWSKI Dominik"/>
    <x v="1"/>
    <s v="330115"/>
    <s v="MKS Gdańsk"/>
    <n v="3"/>
    <x v="5"/>
    <x v="2"/>
    <x v="180"/>
  </r>
  <r>
    <s v="KLIMCZUK Michał"/>
    <x v="1"/>
    <s v="330118"/>
    <s v="MKS Gdańsk"/>
    <n v="3"/>
    <x v="0"/>
    <x v="0"/>
    <x v="136"/>
  </r>
  <r>
    <s v="KLIMCZUK Michał"/>
    <x v="1"/>
    <s v="330118"/>
    <s v="MKS Gdańsk"/>
    <n v="3"/>
    <x v="0"/>
    <x v="1"/>
    <x v="144"/>
  </r>
  <r>
    <s v="KLIMCZUK Michał"/>
    <x v="1"/>
    <s v="330118"/>
    <s v="MKS Gdańsk"/>
    <n v="3"/>
    <x v="0"/>
    <x v="2"/>
    <x v="181"/>
  </r>
  <r>
    <s v="KLIMCZUK Michał"/>
    <x v="1"/>
    <s v="330118"/>
    <s v="MKS Gdańsk"/>
    <n v="3"/>
    <x v="1"/>
    <x v="0"/>
    <x v="56"/>
  </r>
  <r>
    <s v="KLIMCZUK Michał"/>
    <x v="1"/>
    <s v="330118"/>
    <s v="MKS Gdańsk"/>
    <n v="3"/>
    <x v="1"/>
    <x v="1"/>
    <x v="56"/>
  </r>
  <r>
    <s v="KLIMCZUK Michał"/>
    <x v="1"/>
    <s v="330118"/>
    <s v="MKS Gdańsk"/>
    <n v="3"/>
    <x v="1"/>
    <x v="2"/>
    <x v="56"/>
  </r>
  <r>
    <s v="KLIMCZUK Michał"/>
    <x v="1"/>
    <s v="330118"/>
    <s v="MKS Gdańsk"/>
    <n v="3"/>
    <x v="2"/>
    <x v="0"/>
    <x v="136"/>
  </r>
  <r>
    <s v="KLIMCZUK Michał"/>
    <x v="1"/>
    <s v="330118"/>
    <s v="MKS Gdańsk"/>
    <n v="3"/>
    <x v="2"/>
    <x v="1"/>
    <x v="101"/>
  </r>
  <r>
    <s v="KLIMCZUK Michał"/>
    <x v="1"/>
    <s v="330118"/>
    <s v="MKS Gdańsk"/>
    <n v="3"/>
    <x v="2"/>
    <x v="2"/>
    <x v="171"/>
  </r>
  <r>
    <s v="KLIMCZUK Michał"/>
    <x v="1"/>
    <s v="330118"/>
    <s v="MKS Gdańsk"/>
    <n v="3"/>
    <x v="3"/>
    <x v="0"/>
    <x v="136"/>
  </r>
  <r>
    <s v="KLIMCZUK Michał"/>
    <x v="1"/>
    <s v="330118"/>
    <s v="MKS Gdańsk"/>
    <n v="3"/>
    <x v="3"/>
    <x v="1"/>
    <x v="5"/>
  </r>
  <r>
    <s v="KLIMCZUK Michał"/>
    <x v="1"/>
    <s v="330118"/>
    <s v="MKS Gdańsk"/>
    <n v="3"/>
    <x v="3"/>
    <x v="2"/>
    <x v="143"/>
  </r>
  <r>
    <s v="KLIMCZUK Michał"/>
    <x v="1"/>
    <s v="330118"/>
    <s v="MKS Gdańsk"/>
    <n v="3"/>
    <x v="4"/>
    <x v="0"/>
    <x v="182"/>
  </r>
  <r>
    <s v="KLIMCZUK Michał"/>
    <x v="1"/>
    <s v="330118"/>
    <s v="MKS Gdańsk"/>
    <n v="3"/>
    <x v="4"/>
    <x v="1"/>
    <x v="183"/>
  </r>
  <r>
    <s v="KLIMCZUK Michał"/>
    <x v="1"/>
    <s v="330118"/>
    <s v="MKS Gdańsk"/>
    <n v="3"/>
    <x v="4"/>
    <x v="2"/>
    <x v="184"/>
  </r>
  <r>
    <s v="KLIMCZUK Michał"/>
    <x v="1"/>
    <s v="330118"/>
    <s v="MKS Gdańsk"/>
    <n v="3"/>
    <x v="5"/>
    <x v="0"/>
    <x v="136"/>
  </r>
  <r>
    <s v="KLIMCZUK Michał"/>
    <x v="1"/>
    <s v="330118"/>
    <s v="MKS Gdańsk"/>
    <n v="3"/>
    <x v="5"/>
    <x v="1"/>
    <x v="185"/>
  </r>
  <r>
    <s v="KLIMCZUK Michał"/>
    <x v="1"/>
    <s v="330118"/>
    <s v="MKS Gdańsk"/>
    <n v="3"/>
    <x v="5"/>
    <x v="2"/>
    <x v="186"/>
  </r>
  <r>
    <s v="JAKUBOWSKI Jakub"/>
    <x v="0"/>
    <s v="33661"/>
    <s v="KS AZS AWFiS Gdańsk"/>
    <n v="4"/>
    <x v="0"/>
    <x v="0"/>
    <x v="74"/>
  </r>
  <r>
    <s v="JAKUBOWSKI Jakub"/>
    <x v="0"/>
    <s v="33661"/>
    <s v="KS AZS AWFiS Gdańsk"/>
    <n v="4"/>
    <x v="0"/>
    <x v="1"/>
    <x v="187"/>
  </r>
  <r>
    <s v="JAKUBOWSKI Jakub"/>
    <x v="0"/>
    <s v="33661"/>
    <s v="KS AZS AWFiS Gdańsk"/>
    <n v="4"/>
    <x v="0"/>
    <x v="2"/>
    <x v="188"/>
  </r>
  <r>
    <s v="JAKUBOWSKI Jakub"/>
    <x v="0"/>
    <s v="33661"/>
    <s v="KS AZS AWFiS Gdańsk"/>
    <n v="4"/>
    <x v="1"/>
    <x v="0"/>
    <x v="189"/>
  </r>
  <r>
    <s v="JAKUBOWSKI Jakub"/>
    <x v="0"/>
    <s v="33661"/>
    <s v="KS AZS AWFiS Gdańsk"/>
    <n v="4"/>
    <x v="1"/>
    <x v="1"/>
    <x v="82"/>
  </r>
  <r>
    <s v="JAKUBOWSKI Jakub"/>
    <x v="0"/>
    <s v="33661"/>
    <s v="KS AZS AWFiS Gdańsk"/>
    <n v="4"/>
    <x v="1"/>
    <x v="2"/>
    <x v="115"/>
  </r>
  <r>
    <s v="JAKUBOWSKI Jakub"/>
    <x v="0"/>
    <s v="33661"/>
    <s v="KS AZS AWFiS Gdańsk"/>
    <n v="4"/>
    <x v="2"/>
    <x v="0"/>
    <x v="190"/>
  </r>
  <r>
    <s v="JAKUBOWSKI Jakub"/>
    <x v="0"/>
    <s v="33661"/>
    <s v="KS AZS AWFiS Gdańsk"/>
    <n v="4"/>
    <x v="2"/>
    <x v="1"/>
    <x v="191"/>
  </r>
  <r>
    <s v="JAKUBOWSKI Jakub"/>
    <x v="0"/>
    <s v="33661"/>
    <s v="KS AZS AWFiS Gdańsk"/>
    <n v="4"/>
    <x v="2"/>
    <x v="2"/>
    <x v="192"/>
  </r>
  <r>
    <s v="JAKUBOWSKI Jakub"/>
    <x v="0"/>
    <s v="33661"/>
    <s v="KS AZS AWFiS Gdańsk"/>
    <n v="4"/>
    <x v="3"/>
    <x v="0"/>
    <x v="136"/>
  </r>
  <r>
    <s v="JAKUBOWSKI Jakub"/>
    <x v="0"/>
    <s v="33661"/>
    <s v="KS AZS AWFiS Gdańsk"/>
    <n v="4"/>
    <x v="3"/>
    <x v="1"/>
    <x v="31"/>
  </r>
  <r>
    <s v="JAKUBOWSKI Jakub"/>
    <x v="0"/>
    <s v="33661"/>
    <s v="KS AZS AWFiS Gdańsk"/>
    <n v="4"/>
    <x v="3"/>
    <x v="2"/>
    <x v="193"/>
  </r>
  <r>
    <s v="JAKUBOWSKI Jakub"/>
    <x v="0"/>
    <s v="33661"/>
    <s v="KS AZS AWFiS Gdańsk"/>
    <n v="4"/>
    <x v="4"/>
    <x v="0"/>
    <x v="185"/>
  </r>
  <r>
    <s v="JAKUBOWSKI Jakub"/>
    <x v="0"/>
    <s v="33661"/>
    <s v="KS AZS AWFiS Gdańsk"/>
    <n v="4"/>
    <x v="4"/>
    <x v="1"/>
    <x v="194"/>
  </r>
  <r>
    <s v="JAKUBOWSKI Jakub"/>
    <x v="0"/>
    <s v="33661"/>
    <s v="KS AZS AWFiS Gdańsk"/>
    <n v="4"/>
    <x v="4"/>
    <x v="2"/>
    <x v="195"/>
  </r>
  <r>
    <s v="JAKUBOWSKI Jakub"/>
    <x v="0"/>
    <s v="33661"/>
    <s v="KS AZS AWFiS Gdańsk"/>
    <n v="4"/>
    <x v="5"/>
    <x v="0"/>
    <x v="196"/>
  </r>
  <r>
    <s v="JAKUBOWSKI Jakub"/>
    <x v="0"/>
    <s v="33661"/>
    <s v="KS AZS AWFiS Gdańsk"/>
    <n v="4"/>
    <x v="5"/>
    <x v="1"/>
    <x v="197"/>
  </r>
  <r>
    <s v="JAKUBOWSKI Jakub"/>
    <x v="0"/>
    <s v="33661"/>
    <s v="KS AZS AWFiS Gdańsk"/>
    <n v="4"/>
    <x v="5"/>
    <x v="2"/>
    <x v="198"/>
  </r>
  <r>
    <s v="WROŃSKI Filip"/>
    <x v="0"/>
    <s v="32670"/>
    <s v="NTG Nysa"/>
    <n v="2"/>
    <x v="0"/>
    <x v="0"/>
    <x v="56"/>
  </r>
  <r>
    <s v="WROŃSKI Filip"/>
    <x v="0"/>
    <s v="32670"/>
    <s v="NTG Nysa"/>
    <n v="2"/>
    <x v="0"/>
    <x v="1"/>
    <x v="56"/>
  </r>
  <r>
    <s v="WROŃSKI Filip"/>
    <x v="0"/>
    <s v="32670"/>
    <s v="NTG Nysa"/>
    <n v="2"/>
    <x v="0"/>
    <x v="2"/>
    <x v="56"/>
  </r>
  <r>
    <s v="WROŃSKI Filip"/>
    <x v="0"/>
    <s v="32670"/>
    <s v="NTG Nysa"/>
    <n v="2"/>
    <x v="1"/>
    <x v="0"/>
    <x v="70"/>
  </r>
  <r>
    <s v="WROŃSKI Filip"/>
    <x v="0"/>
    <s v="32670"/>
    <s v="NTG Nysa"/>
    <n v="2"/>
    <x v="1"/>
    <x v="1"/>
    <x v="199"/>
  </r>
  <r>
    <s v="WROŃSKI Filip"/>
    <x v="0"/>
    <s v="32670"/>
    <s v="NTG Nysa"/>
    <n v="2"/>
    <x v="1"/>
    <x v="2"/>
    <x v="200"/>
  </r>
  <r>
    <s v="WROŃSKI Filip"/>
    <x v="0"/>
    <s v="32670"/>
    <s v="NTG Nysa"/>
    <n v="2"/>
    <x v="2"/>
    <x v="0"/>
    <x v="56"/>
  </r>
  <r>
    <s v="WROŃSKI Filip"/>
    <x v="0"/>
    <s v="32670"/>
    <s v="NTG Nysa"/>
    <n v="2"/>
    <x v="2"/>
    <x v="1"/>
    <x v="56"/>
  </r>
  <r>
    <s v="WROŃSKI Filip"/>
    <x v="0"/>
    <s v="32670"/>
    <s v="NTG Nysa"/>
    <n v="2"/>
    <x v="2"/>
    <x v="2"/>
    <x v="56"/>
  </r>
  <r>
    <s v="WROŃSKI Filip"/>
    <x v="0"/>
    <s v="32670"/>
    <s v="NTG Nysa"/>
    <n v="2"/>
    <x v="3"/>
    <x v="0"/>
    <x v="93"/>
  </r>
  <r>
    <s v="WROŃSKI Filip"/>
    <x v="0"/>
    <s v="32670"/>
    <s v="NTG Nysa"/>
    <n v="2"/>
    <x v="3"/>
    <x v="1"/>
    <x v="71"/>
  </r>
  <r>
    <s v="WROŃSKI Filip"/>
    <x v="0"/>
    <s v="32670"/>
    <s v="NTG Nysa"/>
    <n v="2"/>
    <x v="3"/>
    <x v="2"/>
    <x v="4"/>
  </r>
  <r>
    <s v="WROŃSKI Filip"/>
    <x v="0"/>
    <s v="32670"/>
    <s v="NTG Nysa"/>
    <n v="2"/>
    <x v="4"/>
    <x v="0"/>
    <x v="193"/>
  </r>
  <r>
    <s v="WROŃSKI Filip"/>
    <x v="0"/>
    <s v="32670"/>
    <s v="NTG Nysa"/>
    <n v="2"/>
    <x v="4"/>
    <x v="1"/>
    <x v="201"/>
  </r>
  <r>
    <s v="WROŃSKI Filip"/>
    <x v="0"/>
    <s v="32670"/>
    <s v="NTG Nysa"/>
    <n v="2"/>
    <x v="4"/>
    <x v="2"/>
    <x v="202"/>
  </r>
  <r>
    <s v="WROŃSKI Filip"/>
    <x v="0"/>
    <s v="32670"/>
    <s v="NTG Nysa"/>
    <n v="2"/>
    <x v="5"/>
    <x v="0"/>
    <x v="56"/>
  </r>
  <r>
    <s v="WROŃSKI Filip"/>
    <x v="0"/>
    <s v="32670"/>
    <s v="NTG Nysa"/>
    <n v="2"/>
    <x v="5"/>
    <x v="1"/>
    <x v="56"/>
  </r>
  <r>
    <s v="WROŃSKI Filip"/>
    <x v="0"/>
    <s v="32670"/>
    <s v="NTG Nysa"/>
    <n v="2"/>
    <x v="5"/>
    <x v="2"/>
    <x v="56"/>
  </r>
  <r>
    <s v="LAKHIN Yaroslav"/>
    <x v="0"/>
    <s v="Z/2003/308"/>
    <s v="CWZS Zawisza KG Bydgoszcz"/>
    <n v="2"/>
    <x v="0"/>
    <x v="0"/>
    <x v="56"/>
  </r>
  <r>
    <s v="LAKHIN Yaroslav"/>
    <x v="0"/>
    <s v="Z/2003/308"/>
    <s v="CWZS Zawisza KG Bydgoszcz"/>
    <n v="2"/>
    <x v="0"/>
    <x v="1"/>
    <x v="56"/>
  </r>
  <r>
    <s v="LAKHIN Yaroslav"/>
    <x v="0"/>
    <s v="Z/2003/308"/>
    <s v="CWZS Zawisza KG Bydgoszcz"/>
    <n v="2"/>
    <x v="0"/>
    <x v="2"/>
    <x v="56"/>
  </r>
  <r>
    <s v="LAKHIN Yaroslav"/>
    <x v="0"/>
    <s v="Z/2003/308"/>
    <s v="CWZS Zawisza KG Bydgoszcz"/>
    <n v="2"/>
    <x v="1"/>
    <x v="0"/>
    <x v="109"/>
  </r>
  <r>
    <s v="LAKHIN Yaroslav"/>
    <x v="0"/>
    <s v="Z/2003/308"/>
    <s v="CWZS Zawisza KG Bydgoszcz"/>
    <n v="2"/>
    <x v="1"/>
    <x v="1"/>
    <x v="157"/>
  </r>
  <r>
    <s v="LAKHIN Yaroslav"/>
    <x v="0"/>
    <s v="Z/2003/308"/>
    <s v="CWZS Zawisza KG Bydgoszcz"/>
    <n v="2"/>
    <x v="1"/>
    <x v="2"/>
    <x v="81"/>
  </r>
  <r>
    <s v="LAKHIN Yaroslav"/>
    <x v="0"/>
    <s v="Z/2003/308"/>
    <s v="CWZS Zawisza KG Bydgoszcz"/>
    <n v="2"/>
    <x v="2"/>
    <x v="0"/>
    <x v="109"/>
  </r>
  <r>
    <s v="LAKHIN Yaroslav"/>
    <x v="0"/>
    <s v="Z/2003/308"/>
    <s v="CWZS Zawisza KG Bydgoszcz"/>
    <n v="2"/>
    <x v="2"/>
    <x v="1"/>
    <x v="17"/>
  </r>
  <r>
    <s v="LAKHIN Yaroslav"/>
    <x v="0"/>
    <s v="Z/2003/308"/>
    <s v="CWZS Zawisza KG Bydgoszcz"/>
    <n v="2"/>
    <x v="2"/>
    <x v="2"/>
    <x v="203"/>
  </r>
  <r>
    <s v="LAKHIN Yaroslav"/>
    <x v="0"/>
    <s v="Z/2003/308"/>
    <s v="CWZS Zawisza KG Bydgoszcz"/>
    <n v="2"/>
    <x v="3"/>
    <x v="0"/>
    <x v="56"/>
  </r>
  <r>
    <s v="LAKHIN Yaroslav"/>
    <x v="0"/>
    <s v="Z/2003/308"/>
    <s v="CWZS Zawisza KG Bydgoszcz"/>
    <n v="2"/>
    <x v="3"/>
    <x v="1"/>
    <x v="56"/>
  </r>
  <r>
    <s v="LAKHIN Yaroslav"/>
    <x v="0"/>
    <s v="Z/2003/308"/>
    <s v="CWZS Zawisza KG Bydgoszcz"/>
    <n v="2"/>
    <x v="3"/>
    <x v="2"/>
    <x v="56"/>
  </r>
  <r>
    <s v="LAKHIN Yaroslav"/>
    <x v="0"/>
    <s v="Z/2003/308"/>
    <s v="CWZS Zawisza KG Bydgoszcz"/>
    <n v="2"/>
    <x v="4"/>
    <x v="0"/>
    <x v="62"/>
  </r>
  <r>
    <s v="LAKHIN Yaroslav"/>
    <x v="0"/>
    <s v="Z/2003/308"/>
    <s v="CWZS Zawisza KG Bydgoszcz"/>
    <n v="2"/>
    <x v="4"/>
    <x v="1"/>
    <x v="204"/>
  </r>
  <r>
    <s v="LAKHIN Yaroslav"/>
    <x v="0"/>
    <s v="Z/2003/308"/>
    <s v="CWZS Zawisza KG Bydgoszcz"/>
    <n v="2"/>
    <x v="4"/>
    <x v="2"/>
    <x v="205"/>
  </r>
  <r>
    <s v="LAKHIN Yaroslav"/>
    <x v="0"/>
    <s v="Z/2003/308"/>
    <s v="CWZS Zawisza KG Bydgoszcz"/>
    <n v="2"/>
    <x v="5"/>
    <x v="0"/>
    <x v="56"/>
  </r>
  <r>
    <s v="LAKHIN Yaroslav"/>
    <x v="0"/>
    <s v="Z/2003/308"/>
    <s v="CWZS Zawisza KG Bydgoszcz"/>
    <n v="2"/>
    <x v="5"/>
    <x v="1"/>
    <x v="56"/>
  </r>
  <r>
    <s v="LAKHIN Yaroslav"/>
    <x v="0"/>
    <s v="Z/2003/308"/>
    <s v="CWZS Zawisza KG Bydgoszcz"/>
    <n v="2"/>
    <x v="5"/>
    <x v="2"/>
    <x v="56"/>
  </r>
  <r>
    <s v="KAŚKÓW Paweł"/>
    <x v="0"/>
    <s v="33059"/>
    <s v="KS AZS AWFiS Gdańsk"/>
    <n v="2"/>
    <x v="0"/>
    <x v="0"/>
    <x v="43"/>
  </r>
  <r>
    <s v="KAŚKÓW Paweł"/>
    <x v="0"/>
    <s v="33059"/>
    <s v="KS AZS AWFiS Gdańsk"/>
    <n v="2"/>
    <x v="0"/>
    <x v="1"/>
    <x v="206"/>
  </r>
  <r>
    <s v="KAŚKÓW Paweł"/>
    <x v="0"/>
    <s v="33059"/>
    <s v="KS AZS AWFiS Gdańsk"/>
    <n v="2"/>
    <x v="0"/>
    <x v="2"/>
    <x v="112"/>
  </r>
  <r>
    <s v="KAŚKÓW Paweł"/>
    <x v="0"/>
    <s v="33059"/>
    <s v="KS AZS AWFiS Gdańsk"/>
    <n v="2"/>
    <x v="1"/>
    <x v="0"/>
    <x v="56"/>
  </r>
  <r>
    <s v="KAŚKÓW Paweł"/>
    <x v="0"/>
    <s v="33059"/>
    <s v="KS AZS AWFiS Gdańsk"/>
    <n v="2"/>
    <x v="1"/>
    <x v="1"/>
    <x v="56"/>
  </r>
  <r>
    <s v="KAŚKÓW Paweł"/>
    <x v="0"/>
    <s v="33059"/>
    <s v="KS AZS AWFiS Gdańsk"/>
    <n v="2"/>
    <x v="1"/>
    <x v="2"/>
    <x v="56"/>
  </r>
  <r>
    <s v="KAŚKÓW Paweł"/>
    <x v="0"/>
    <s v="33059"/>
    <s v="KS AZS AWFiS Gdańsk"/>
    <n v="2"/>
    <x v="2"/>
    <x v="0"/>
    <x v="31"/>
  </r>
  <r>
    <s v="KAŚKÓW Paweł"/>
    <x v="0"/>
    <s v="33059"/>
    <s v="KS AZS AWFiS Gdańsk"/>
    <n v="2"/>
    <x v="2"/>
    <x v="1"/>
    <x v="207"/>
  </r>
  <r>
    <s v="KAŚKÓW Paweł"/>
    <x v="0"/>
    <s v="33059"/>
    <s v="KS AZS AWFiS Gdańsk"/>
    <n v="2"/>
    <x v="2"/>
    <x v="2"/>
    <x v="46"/>
  </r>
  <r>
    <s v="KAŚKÓW Paweł"/>
    <x v="0"/>
    <s v="33059"/>
    <s v="KS AZS AWFiS Gdańsk"/>
    <n v="2"/>
    <x v="3"/>
    <x v="0"/>
    <x v="56"/>
  </r>
  <r>
    <s v="KAŚKÓW Paweł"/>
    <x v="0"/>
    <s v="33059"/>
    <s v="KS AZS AWFiS Gdańsk"/>
    <n v="2"/>
    <x v="3"/>
    <x v="1"/>
    <x v="56"/>
  </r>
  <r>
    <s v="KAŚKÓW Paweł"/>
    <x v="0"/>
    <s v="33059"/>
    <s v="KS AZS AWFiS Gdańsk"/>
    <n v="2"/>
    <x v="3"/>
    <x v="2"/>
    <x v="56"/>
  </r>
  <r>
    <s v="KAŚKÓW Paweł"/>
    <x v="0"/>
    <s v="33059"/>
    <s v="KS AZS AWFiS Gdańsk"/>
    <n v="2"/>
    <x v="4"/>
    <x v="0"/>
    <x v="158"/>
  </r>
  <r>
    <s v="KAŚKÓW Paweł"/>
    <x v="0"/>
    <s v="33059"/>
    <s v="KS AZS AWFiS Gdańsk"/>
    <n v="2"/>
    <x v="4"/>
    <x v="1"/>
    <x v="208"/>
  </r>
  <r>
    <s v="KAŚKÓW Paweł"/>
    <x v="0"/>
    <s v="33059"/>
    <s v="KS AZS AWFiS Gdańsk"/>
    <n v="2"/>
    <x v="4"/>
    <x v="2"/>
    <x v="209"/>
  </r>
  <r>
    <s v="KAŚKÓW Paweł"/>
    <x v="0"/>
    <s v="33059"/>
    <s v="KS AZS AWFiS Gdańsk"/>
    <n v="2"/>
    <x v="5"/>
    <x v="0"/>
    <x v="56"/>
  </r>
  <r>
    <s v="KAŚKÓW Paweł"/>
    <x v="0"/>
    <s v="33059"/>
    <s v="KS AZS AWFiS Gdańsk"/>
    <n v="2"/>
    <x v="5"/>
    <x v="1"/>
    <x v="56"/>
  </r>
  <r>
    <s v="KAŚKÓW Paweł"/>
    <x v="0"/>
    <s v="33059"/>
    <s v="KS AZS AWFiS Gdańsk"/>
    <n v="2"/>
    <x v="5"/>
    <x v="2"/>
    <x v="56"/>
  </r>
  <r>
    <s v="FRONT Filip"/>
    <x v="0"/>
    <s v="30170"/>
    <s v="KS AZS AWFiS Gdańsk"/>
    <n v="2"/>
    <x v="0"/>
    <x v="0"/>
    <x v="56"/>
  </r>
  <r>
    <s v="FRONT Filip"/>
    <x v="0"/>
    <s v="30170"/>
    <s v="KS AZS AWFiS Gdańsk"/>
    <n v="2"/>
    <x v="0"/>
    <x v="1"/>
    <x v="56"/>
  </r>
  <r>
    <s v="FRONT Filip"/>
    <x v="0"/>
    <s v="30170"/>
    <s v="KS AZS AWFiS Gdańsk"/>
    <n v="2"/>
    <x v="0"/>
    <x v="2"/>
    <x v="56"/>
  </r>
  <r>
    <s v="FRONT Filip"/>
    <x v="0"/>
    <s v="30170"/>
    <s v="KS AZS AWFiS Gdańsk"/>
    <n v="2"/>
    <x v="1"/>
    <x v="0"/>
    <x v="47"/>
  </r>
  <r>
    <s v="FRONT Filip"/>
    <x v="0"/>
    <s v="30170"/>
    <s v="KS AZS AWFiS Gdańsk"/>
    <n v="2"/>
    <x v="1"/>
    <x v="1"/>
    <x v="32"/>
  </r>
  <r>
    <s v="FRONT Filip"/>
    <x v="0"/>
    <s v="30170"/>
    <s v="KS AZS AWFiS Gdańsk"/>
    <n v="2"/>
    <x v="1"/>
    <x v="2"/>
    <x v="210"/>
  </r>
  <r>
    <s v="FRONT Filip"/>
    <x v="0"/>
    <s v="30170"/>
    <s v="KS AZS AWFiS Gdańsk"/>
    <n v="2"/>
    <x v="2"/>
    <x v="0"/>
    <x v="91"/>
  </r>
  <r>
    <s v="FRONT Filip"/>
    <x v="0"/>
    <s v="30170"/>
    <s v="KS AZS AWFiS Gdańsk"/>
    <n v="2"/>
    <x v="2"/>
    <x v="1"/>
    <x v="94"/>
  </r>
  <r>
    <s v="FRONT Filip"/>
    <x v="0"/>
    <s v="30170"/>
    <s v="KS AZS AWFiS Gdańsk"/>
    <n v="2"/>
    <x v="2"/>
    <x v="2"/>
    <x v="81"/>
  </r>
  <r>
    <s v="FRONT Filip"/>
    <x v="0"/>
    <s v="30170"/>
    <s v="KS AZS AWFiS Gdańsk"/>
    <n v="2"/>
    <x v="3"/>
    <x v="0"/>
    <x v="56"/>
  </r>
  <r>
    <s v="FRONT Filip"/>
    <x v="0"/>
    <s v="30170"/>
    <s v="KS AZS AWFiS Gdańsk"/>
    <n v="2"/>
    <x v="3"/>
    <x v="1"/>
    <x v="56"/>
  </r>
  <r>
    <s v="FRONT Filip"/>
    <x v="0"/>
    <s v="30170"/>
    <s v="KS AZS AWFiS Gdańsk"/>
    <n v="2"/>
    <x v="3"/>
    <x v="2"/>
    <x v="56"/>
  </r>
  <r>
    <s v="FRONT Filip"/>
    <x v="0"/>
    <s v="30170"/>
    <s v="KS AZS AWFiS Gdańsk"/>
    <n v="2"/>
    <x v="4"/>
    <x v="0"/>
    <x v="211"/>
  </r>
  <r>
    <s v="FRONT Filip"/>
    <x v="0"/>
    <s v="30170"/>
    <s v="KS AZS AWFiS Gdańsk"/>
    <n v="2"/>
    <x v="4"/>
    <x v="1"/>
    <x v="212"/>
  </r>
  <r>
    <s v="FRONT Filip"/>
    <x v="0"/>
    <s v="30170"/>
    <s v="KS AZS AWFiS Gdańsk"/>
    <n v="2"/>
    <x v="4"/>
    <x v="2"/>
    <x v="213"/>
  </r>
  <r>
    <s v="FRONT Filip"/>
    <x v="0"/>
    <s v="30170"/>
    <s v="KS AZS AWFiS Gdańsk"/>
    <n v="2"/>
    <x v="5"/>
    <x v="0"/>
    <x v="56"/>
  </r>
  <r>
    <s v="FRONT Filip"/>
    <x v="0"/>
    <s v="30170"/>
    <s v="KS AZS AWFiS Gdańsk"/>
    <n v="2"/>
    <x v="5"/>
    <x v="1"/>
    <x v="56"/>
  </r>
  <r>
    <s v="FRONT Filip"/>
    <x v="0"/>
    <s v="30170"/>
    <s v="KS AZS AWFiS Gdańsk"/>
    <n v="2"/>
    <x v="5"/>
    <x v="2"/>
    <x v="56"/>
  </r>
  <r>
    <s v="GAWROŃSKI Sebastian"/>
    <x v="0"/>
    <s v="32203"/>
    <s v="KS AZS AWF Katowice"/>
    <n v="2"/>
    <x v="0"/>
    <x v="0"/>
    <x v="56"/>
  </r>
  <r>
    <s v="GAWROŃSKI Sebastian"/>
    <x v="0"/>
    <s v="32203"/>
    <s v="KS AZS AWF Katowice"/>
    <n v="2"/>
    <x v="0"/>
    <x v="1"/>
    <x v="56"/>
  </r>
  <r>
    <s v="GAWROŃSKI Sebastian"/>
    <x v="0"/>
    <s v="32203"/>
    <s v="KS AZS AWF Katowice"/>
    <n v="2"/>
    <x v="0"/>
    <x v="2"/>
    <x v="56"/>
  </r>
  <r>
    <s v="GAWROŃSKI Sebastian"/>
    <x v="0"/>
    <s v="32203"/>
    <s v="KS AZS AWF Katowice"/>
    <n v="2"/>
    <x v="1"/>
    <x v="0"/>
    <x v="56"/>
  </r>
  <r>
    <s v="GAWROŃSKI Sebastian"/>
    <x v="0"/>
    <s v="32203"/>
    <s v="KS AZS AWF Katowice"/>
    <n v="2"/>
    <x v="1"/>
    <x v="1"/>
    <x v="56"/>
  </r>
  <r>
    <s v="GAWROŃSKI Sebastian"/>
    <x v="0"/>
    <s v="32203"/>
    <s v="KS AZS AWF Katowice"/>
    <n v="2"/>
    <x v="1"/>
    <x v="2"/>
    <x v="56"/>
  </r>
  <r>
    <s v="GAWROŃSKI Sebastian"/>
    <x v="0"/>
    <s v="32203"/>
    <s v="KS AZS AWF Katowice"/>
    <n v="2"/>
    <x v="2"/>
    <x v="0"/>
    <x v="214"/>
  </r>
  <r>
    <s v="GAWROŃSKI Sebastian"/>
    <x v="0"/>
    <s v="32203"/>
    <s v="KS AZS AWF Katowice"/>
    <n v="2"/>
    <x v="2"/>
    <x v="1"/>
    <x v="215"/>
  </r>
  <r>
    <s v="GAWROŃSKI Sebastian"/>
    <x v="0"/>
    <s v="32203"/>
    <s v="KS AZS AWF Katowice"/>
    <n v="2"/>
    <x v="2"/>
    <x v="2"/>
    <x v="216"/>
  </r>
  <r>
    <s v="GAWROŃSKI Sebastian"/>
    <x v="0"/>
    <s v="32203"/>
    <s v="KS AZS AWF Katowice"/>
    <n v="2"/>
    <x v="3"/>
    <x v="0"/>
    <x v="217"/>
  </r>
  <r>
    <s v="GAWROŃSKI Sebastian"/>
    <x v="0"/>
    <s v="32203"/>
    <s v="KS AZS AWF Katowice"/>
    <n v="2"/>
    <x v="3"/>
    <x v="1"/>
    <x v="128"/>
  </r>
  <r>
    <s v="GAWROŃSKI Sebastian"/>
    <x v="0"/>
    <s v="32203"/>
    <s v="KS AZS AWF Katowice"/>
    <n v="2"/>
    <x v="3"/>
    <x v="2"/>
    <x v="46"/>
  </r>
  <r>
    <s v="GAWROŃSKI Sebastian"/>
    <x v="0"/>
    <s v="32203"/>
    <s v="KS AZS AWF Katowice"/>
    <n v="2"/>
    <x v="4"/>
    <x v="0"/>
    <x v="104"/>
  </r>
  <r>
    <s v="GAWROŃSKI Sebastian"/>
    <x v="0"/>
    <s v="32203"/>
    <s v="KS AZS AWF Katowice"/>
    <n v="2"/>
    <x v="4"/>
    <x v="1"/>
    <x v="218"/>
  </r>
  <r>
    <s v="GAWROŃSKI Sebastian"/>
    <x v="0"/>
    <s v="32203"/>
    <s v="KS AZS AWF Katowice"/>
    <n v="2"/>
    <x v="4"/>
    <x v="2"/>
    <x v="219"/>
  </r>
  <r>
    <s v="GAWROŃSKI Sebastian"/>
    <x v="0"/>
    <s v="32203"/>
    <s v="KS AZS AWF Katowice"/>
    <n v="2"/>
    <x v="5"/>
    <x v="0"/>
    <x v="56"/>
  </r>
  <r>
    <s v="GAWROŃSKI Sebastian"/>
    <x v="0"/>
    <s v="32203"/>
    <s v="KS AZS AWF Katowice"/>
    <n v="2"/>
    <x v="5"/>
    <x v="1"/>
    <x v="56"/>
  </r>
  <r>
    <s v="GAWROŃSKI Sebastian"/>
    <x v="0"/>
    <s v="32203"/>
    <s v="KS AZS AWF Katowice"/>
    <n v="2"/>
    <x v="5"/>
    <x v="2"/>
    <x v="56"/>
  </r>
  <r>
    <s v="MISHCHENKO Oleksandr"/>
    <x v="1"/>
    <s v="33333"/>
    <s v="MKS Kusy Szczecin"/>
    <n v="2"/>
    <x v="0"/>
    <x v="0"/>
    <x v="47"/>
  </r>
  <r>
    <s v="MISHCHENKO Oleksandr"/>
    <x v="1"/>
    <s v="33333"/>
    <s v="MKS Kusy Szczecin"/>
    <n v="2"/>
    <x v="0"/>
    <x v="1"/>
    <x v="29"/>
  </r>
  <r>
    <s v="MISHCHENKO Oleksandr"/>
    <x v="1"/>
    <s v="33333"/>
    <s v="MKS Kusy Szczecin"/>
    <n v="2"/>
    <x v="0"/>
    <x v="2"/>
    <x v="95"/>
  </r>
  <r>
    <s v="MISHCHENKO Oleksandr"/>
    <x v="1"/>
    <s v="33333"/>
    <s v="MKS Kusy Szczecin"/>
    <n v="2"/>
    <x v="1"/>
    <x v="0"/>
    <x v="56"/>
  </r>
  <r>
    <s v="MISHCHENKO Oleksandr"/>
    <x v="1"/>
    <s v="33333"/>
    <s v="MKS Kusy Szczecin"/>
    <n v="2"/>
    <x v="1"/>
    <x v="1"/>
    <x v="56"/>
  </r>
  <r>
    <s v="MISHCHENKO Oleksandr"/>
    <x v="1"/>
    <s v="33333"/>
    <s v="MKS Kusy Szczecin"/>
    <n v="2"/>
    <x v="1"/>
    <x v="2"/>
    <x v="56"/>
  </r>
  <r>
    <s v="MISHCHENKO Oleksandr"/>
    <x v="1"/>
    <s v="33333"/>
    <s v="MKS Kusy Szczecin"/>
    <n v="2"/>
    <x v="2"/>
    <x v="0"/>
    <x v="56"/>
  </r>
  <r>
    <s v="MISHCHENKO Oleksandr"/>
    <x v="1"/>
    <s v="33333"/>
    <s v="MKS Kusy Szczecin"/>
    <n v="2"/>
    <x v="2"/>
    <x v="1"/>
    <x v="56"/>
  </r>
  <r>
    <s v="MISHCHENKO Oleksandr"/>
    <x v="1"/>
    <s v="33333"/>
    <s v="MKS Kusy Szczecin"/>
    <n v="2"/>
    <x v="2"/>
    <x v="2"/>
    <x v="56"/>
  </r>
  <r>
    <s v="MISHCHENKO Oleksandr"/>
    <x v="1"/>
    <s v="33333"/>
    <s v="MKS Kusy Szczecin"/>
    <n v="2"/>
    <x v="3"/>
    <x v="0"/>
    <x v="91"/>
  </r>
  <r>
    <s v="MISHCHENKO Oleksandr"/>
    <x v="1"/>
    <s v="33333"/>
    <s v="MKS Kusy Szczecin"/>
    <n v="2"/>
    <x v="3"/>
    <x v="1"/>
    <x v="128"/>
  </r>
  <r>
    <s v="MISHCHENKO Oleksandr"/>
    <x v="1"/>
    <s v="33333"/>
    <s v="MKS Kusy Szczecin"/>
    <n v="2"/>
    <x v="3"/>
    <x v="2"/>
    <x v="220"/>
  </r>
  <r>
    <s v="MISHCHENKO Oleksandr"/>
    <x v="1"/>
    <s v="33333"/>
    <s v="MKS Kusy Szczecin"/>
    <n v="2"/>
    <x v="4"/>
    <x v="0"/>
    <x v="211"/>
  </r>
  <r>
    <s v="MISHCHENKO Oleksandr"/>
    <x v="1"/>
    <s v="33333"/>
    <s v="MKS Kusy Szczecin"/>
    <n v="2"/>
    <x v="4"/>
    <x v="1"/>
    <x v="221"/>
  </r>
  <r>
    <s v="MISHCHENKO Oleksandr"/>
    <x v="1"/>
    <s v="33333"/>
    <s v="MKS Kusy Szczecin"/>
    <n v="2"/>
    <x v="4"/>
    <x v="2"/>
    <x v="222"/>
  </r>
  <r>
    <s v="MISHCHENKO Oleksandr"/>
    <x v="1"/>
    <s v="33333"/>
    <s v="MKS Kusy Szczecin"/>
    <n v="2"/>
    <x v="5"/>
    <x v="0"/>
    <x v="56"/>
  </r>
  <r>
    <s v="MISHCHENKO Oleksandr"/>
    <x v="1"/>
    <s v="33333"/>
    <s v="MKS Kusy Szczecin"/>
    <n v="2"/>
    <x v="5"/>
    <x v="1"/>
    <x v="56"/>
  </r>
  <r>
    <s v="MISHCHENKO Oleksandr"/>
    <x v="1"/>
    <s v="33333"/>
    <s v="MKS Kusy Szczecin"/>
    <n v="2"/>
    <x v="5"/>
    <x v="2"/>
    <x v="56"/>
  </r>
  <r>
    <s v="HERASYMOV Mykyta"/>
    <x v="0"/>
    <s v="Z/2003/338"/>
    <s v="KS AZS AWFiS Gdańsk"/>
    <n v="2"/>
    <x v="0"/>
    <x v="0"/>
    <x v="56"/>
  </r>
  <r>
    <s v="HERASYMOV Mykyta"/>
    <x v="0"/>
    <s v="Z/2003/338"/>
    <s v="KS AZS AWFiS Gdańsk"/>
    <n v="2"/>
    <x v="0"/>
    <x v="1"/>
    <x v="56"/>
  </r>
  <r>
    <s v="HERASYMOV Mykyta"/>
    <x v="0"/>
    <s v="Z/2003/338"/>
    <s v="KS AZS AWFiS Gdańsk"/>
    <n v="2"/>
    <x v="0"/>
    <x v="2"/>
    <x v="56"/>
  </r>
  <r>
    <s v="HERASYMOV Mykyta"/>
    <x v="0"/>
    <s v="Z/2003/338"/>
    <s v="KS AZS AWFiS Gdańsk"/>
    <n v="2"/>
    <x v="1"/>
    <x v="0"/>
    <x v="136"/>
  </r>
  <r>
    <s v="HERASYMOV Mykyta"/>
    <x v="0"/>
    <s v="Z/2003/338"/>
    <s v="KS AZS AWFiS Gdańsk"/>
    <n v="2"/>
    <x v="1"/>
    <x v="1"/>
    <x v="1"/>
  </r>
  <r>
    <s v="HERASYMOV Mykyta"/>
    <x v="0"/>
    <s v="Z/2003/338"/>
    <s v="KS AZS AWFiS Gdańsk"/>
    <n v="2"/>
    <x v="1"/>
    <x v="2"/>
    <x v="129"/>
  </r>
  <r>
    <s v="HERASYMOV Mykyta"/>
    <x v="0"/>
    <s v="Z/2003/338"/>
    <s v="KS AZS AWFiS Gdańsk"/>
    <n v="2"/>
    <x v="2"/>
    <x v="0"/>
    <x v="163"/>
  </r>
  <r>
    <s v="HERASYMOV Mykyta"/>
    <x v="0"/>
    <s v="Z/2003/338"/>
    <s v="KS AZS AWFiS Gdańsk"/>
    <n v="2"/>
    <x v="2"/>
    <x v="1"/>
    <x v="36"/>
  </r>
  <r>
    <s v="HERASYMOV Mykyta"/>
    <x v="0"/>
    <s v="Z/2003/338"/>
    <s v="KS AZS AWFiS Gdańsk"/>
    <n v="2"/>
    <x v="2"/>
    <x v="2"/>
    <x v="143"/>
  </r>
  <r>
    <s v="HERASYMOV Mykyta"/>
    <x v="0"/>
    <s v="Z/2003/338"/>
    <s v="KS AZS AWFiS Gdańsk"/>
    <n v="2"/>
    <x v="3"/>
    <x v="0"/>
    <x v="56"/>
  </r>
  <r>
    <s v="HERASYMOV Mykyta"/>
    <x v="0"/>
    <s v="Z/2003/338"/>
    <s v="KS AZS AWFiS Gdańsk"/>
    <n v="2"/>
    <x v="3"/>
    <x v="1"/>
    <x v="56"/>
  </r>
  <r>
    <s v="HERASYMOV Mykyta"/>
    <x v="0"/>
    <s v="Z/2003/338"/>
    <s v="KS AZS AWFiS Gdańsk"/>
    <n v="2"/>
    <x v="3"/>
    <x v="2"/>
    <x v="56"/>
  </r>
  <r>
    <s v="HERASYMOV Mykyta"/>
    <x v="0"/>
    <s v="Z/2003/338"/>
    <s v="KS AZS AWFiS Gdańsk"/>
    <n v="2"/>
    <x v="4"/>
    <x v="0"/>
    <x v="217"/>
  </r>
  <r>
    <s v="HERASYMOV Mykyta"/>
    <x v="0"/>
    <s v="Z/2003/338"/>
    <s v="KS AZS AWFiS Gdańsk"/>
    <n v="2"/>
    <x v="4"/>
    <x v="1"/>
    <x v="223"/>
  </r>
  <r>
    <s v="HERASYMOV Mykyta"/>
    <x v="0"/>
    <s v="Z/2003/338"/>
    <s v="KS AZS AWFiS Gdańsk"/>
    <n v="2"/>
    <x v="4"/>
    <x v="2"/>
    <x v="224"/>
  </r>
  <r>
    <s v="HERASYMOV Mykyta"/>
    <x v="0"/>
    <s v="Z/2003/338"/>
    <s v="KS AZS AWFiS Gdańsk"/>
    <n v="2"/>
    <x v="5"/>
    <x v="0"/>
    <x v="56"/>
  </r>
  <r>
    <s v="HERASYMOV Mykyta"/>
    <x v="0"/>
    <s v="Z/2003/338"/>
    <s v="KS AZS AWFiS Gdańsk"/>
    <n v="2"/>
    <x v="5"/>
    <x v="1"/>
    <x v="56"/>
  </r>
  <r>
    <s v="HERASYMOV Mykyta"/>
    <x v="0"/>
    <s v="Z/2003/338"/>
    <s v="KS AZS AWFiS Gdańsk"/>
    <n v="2"/>
    <x v="5"/>
    <x v="2"/>
    <x v="56"/>
  </r>
  <r>
    <s v="IAREMCHUK Vladyslav"/>
    <x v="0"/>
    <s v="Z/02/00023"/>
    <s v="KS AZS AWF Katowice"/>
    <n v="2"/>
    <x v="0"/>
    <x v="0"/>
    <x v="56"/>
  </r>
  <r>
    <s v="IAREMCHUK Vladyslav"/>
    <x v="0"/>
    <s v="Z/02/00023"/>
    <s v="KS AZS AWF Katowice"/>
    <n v="2"/>
    <x v="0"/>
    <x v="1"/>
    <x v="56"/>
  </r>
  <r>
    <s v="IAREMCHUK Vladyslav"/>
    <x v="0"/>
    <s v="Z/02/00023"/>
    <s v="KS AZS AWF Katowice"/>
    <n v="2"/>
    <x v="0"/>
    <x v="2"/>
    <x v="56"/>
  </r>
  <r>
    <s v="IAREMCHUK Vladyslav"/>
    <x v="0"/>
    <s v="Z/02/00023"/>
    <s v="KS AZS AWF Katowice"/>
    <n v="2"/>
    <x v="1"/>
    <x v="0"/>
    <x v="31"/>
  </r>
  <r>
    <s v="IAREMCHUK Vladyslav"/>
    <x v="0"/>
    <s v="Z/02/00023"/>
    <s v="KS AZS AWF Katowice"/>
    <n v="2"/>
    <x v="1"/>
    <x v="1"/>
    <x v="61"/>
  </r>
  <r>
    <s v="IAREMCHUK Vladyslav"/>
    <x v="0"/>
    <s v="Z/02/00023"/>
    <s v="KS AZS AWF Katowice"/>
    <n v="2"/>
    <x v="1"/>
    <x v="2"/>
    <x v="220"/>
  </r>
  <r>
    <s v="IAREMCHUK Vladyslav"/>
    <x v="0"/>
    <s v="Z/02/00023"/>
    <s v="KS AZS AWF Katowice"/>
    <n v="2"/>
    <x v="2"/>
    <x v="0"/>
    <x v="43"/>
  </r>
  <r>
    <s v="IAREMCHUK Vladyslav"/>
    <x v="0"/>
    <s v="Z/02/00023"/>
    <s v="KS AZS AWF Katowice"/>
    <n v="2"/>
    <x v="2"/>
    <x v="1"/>
    <x v="191"/>
  </r>
  <r>
    <s v="IAREMCHUK Vladyslav"/>
    <x v="0"/>
    <s v="Z/02/00023"/>
    <s v="KS AZS AWF Katowice"/>
    <n v="2"/>
    <x v="2"/>
    <x v="2"/>
    <x v="129"/>
  </r>
  <r>
    <s v="IAREMCHUK Vladyslav"/>
    <x v="0"/>
    <s v="Z/02/00023"/>
    <s v="KS AZS AWF Katowice"/>
    <n v="2"/>
    <x v="3"/>
    <x v="0"/>
    <x v="56"/>
  </r>
  <r>
    <s v="IAREMCHUK Vladyslav"/>
    <x v="0"/>
    <s v="Z/02/00023"/>
    <s v="KS AZS AWF Katowice"/>
    <n v="2"/>
    <x v="3"/>
    <x v="1"/>
    <x v="56"/>
  </r>
  <r>
    <s v="IAREMCHUK Vladyslav"/>
    <x v="0"/>
    <s v="Z/02/00023"/>
    <s v="KS AZS AWF Katowice"/>
    <n v="2"/>
    <x v="3"/>
    <x v="2"/>
    <x v="56"/>
  </r>
  <r>
    <s v="IAREMCHUK Vladyslav"/>
    <x v="0"/>
    <s v="Z/02/00023"/>
    <s v="KS AZS AWF Katowice"/>
    <n v="2"/>
    <x v="4"/>
    <x v="0"/>
    <x v="158"/>
  </r>
  <r>
    <s v="IAREMCHUK Vladyslav"/>
    <x v="0"/>
    <s v="Z/02/00023"/>
    <s v="KS AZS AWF Katowice"/>
    <n v="2"/>
    <x v="4"/>
    <x v="1"/>
    <x v="225"/>
  </r>
  <r>
    <s v="IAREMCHUK Vladyslav"/>
    <x v="0"/>
    <s v="Z/02/00023"/>
    <s v="KS AZS AWF Katowice"/>
    <n v="2"/>
    <x v="4"/>
    <x v="2"/>
    <x v="226"/>
  </r>
  <r>
    <s v="IAREMCHUK Vladyslav"/>
    <x v="0"/>
    <s v="Z/02/00023"/>
    <s v="KS AZS AWF Katowice"/>
    <n v="2"/>
    <x v="5"/>
    <x v="0"/>
    <x v="56"/>
  </r>
  <r>
    <s v="IAREMCHUK Vladyslav"/>
    <x v="0"/>
    <s v="Z/02/00023"/>
    <s v="KS AZS AWF Katowice"/>
    <n v="2"/>
    <x v="5"/>
    <x v="1"/>
    <x v="56"/>
  </r>
  <r>
    <s v="IAREMCHUK Vladyslav"/>
    <x v="0"/>
    <s v="Z/02/00023"/>
    <s v="KS AZS AWF Katowice"/>
    <n v="2"/>
    <x v="5"/>
    <x v="2"/>
    <x v="56"/>
  </r>
  <r>
    <s v="SIEDZIAKO Igor"/>
    <x v="0"/>
    <s v="30189"/>
    <s v="MKS Kusy Szczecin"/>
    <n v="2"/>
    <x v="0"/>
    <x v="0"/>
    <x v="190"/>
  </r>
  <r>
    <s v="SIEDZIAKO Igor"/>
    <x v="0"/>
    <s v="30189"/>
    <s v="MKS Kusy Szczecin"/>
    <n v="2"/>
    <x v="0"/>
    <x v="1"/>
    <x v="227"/>
  </r>
  <r>
    <s v="SIEDZIAKO Igor"/>
    <x v="0"/>
    <s v="30189"/>
    <s v="MKS Kusy Szczecin"/>
    <n v="2"/>
    <x v="0"/>
    <x v="2"/>
    <x v="228"/>
  </r>
  <r>
    <s v="SIEDZIAKO Igor"/>
    <x v="0"/>
    <s v="30189"/>
    <s v="MKS Kusy Szczecin"/>
    <n v="2"/>
    <x v="1"/>
    <x v="0"/>
    <x v="136"/>
  </r>
  <r>
    <s v="SIEDZIAKO Igor"/>
    <x v="0"/>
    <s v="30189"/>
    <s v="MKS Kusy Szczecin"/>
    <n v="2"/>
    <x v="1"/>
    <x v="1"/>
    <x v="157"/>
  </r>
  <r>
    <s v="SIEDZIAKO Igor"/>
    <x v="0"/>
    <s v="30189"/>
    <s v="MKS Kusy Szczecin"/>
    <n v="2"/>
    <x v="1"/>
    <x v="2"/>
    <x v="229"/>
  </r>
  <r>
    <s v="SIEDZIAKO Igor"/>
    <x v="0"/>
    <s v="30189"/>
    <s v="MKS Kusy Szczecin"/>
    <n v="2"/>
    <x v="2"/>
    <x v="0"/>
    <x v="56"/>
  </r>
  <r>
    <s v="SIEDZIAKO Igor"/>
    <x v="0"/>
    <s v="30189"/>
    <s v="MKS Kusy Szczecin"/>
    <n v="2"/>
    <x v="2"/>
    <x v="1"/>
    <x v="56"/>
  </r>
  <r>
    <s v="SIEDZIAKO Igor"/>
    <x v="0"/>
    <s v="30189"/>
    <s v="MKS Kusy Szczecin"/>
    <n v="2"/>
    <x v="2"/>
    <x v="2"/>
    <x v="56"/>
  </r>
  <r>
    <s v="SIEDZIAKO Igor"/>
    <x v="0"/>
    <s v="30189"/>
    <s v="MKS Kusy Szczecin"/>
    <n v="2"/>
    <x v="3"/>
    <x v="0"/>
    <x v="56"/>
  </r>
  <r>
    <s v="SIEDZIAKO Igor"/>
    <x v="0"/>
    <s v="30189"/>
    <s v="MKS Kusy Szczecin"/>
    <n v="2"/>
    <x v="3"/>
    <x v="1"/>
    <x v="56"/>
  </r>
  <r>
    <s v="SIEDZIAKO Igor"/>
    <x v="0"/>
    <s v="30189"/>
    <s v="MKS Kusy Szczecin"/>
    <n v="2"/>
    <x v="3"/>
    <x v="2"/>
    <x v="56"/>
  </r>
  <r>
    <s v="SIEDZIAKO Igor"/>
    <x v="0"/>
    <s v="30189"/>
    <s v="MKS Kusy Szczecin"/>
    <n v="2"/>
    <x v="4"/>
    <x v="0"/>
    <x v="60"/>
  </r>
  <r>
    <s v="SIEDZIAKO Igor"/>
    <x v="0"/>
    <s v="30189"/>
    <s v="MKS Kusy Szczecin"/>
    <n v="2"/>
    <x v="4"/>
    <x v="1"/>
    <x v="230"/>
  </r>
  <r>
    <s v="SIEDZIAKO Igor"/>
    <x v="0"/>
    <s v="30189"/>
    <s v="MKS Kusy Szczecin"/>
    <n v="2"/>
    <x v="4"/>
    <x v="2"/>
    <x v="231"/>
  </r>
  <r>
    <s v="SIEDZIAKO Igor"/>
    <x v="0"/>
    <s v="30189"/>
    <s v="MKS Kusy Szczecin"/>
    <n v="2"/>
    <x v="5"/>
    <x v="0"/>
    <x v="56"/>
  </r>
  <r>
    <s v="SIEDZIAKO Igor"/>
    <x v="0"/>
    <s v="30189"/>
    <s v="MKS Kusy Szczecin"/>
    <n v="2"/>
    <x v="5"/>
    <x v="1"/>
    <x v="56"/>
  </r>
  <r>
    <s v="SIEDZIAKO Igor"/>
    <x v="0"/>
    <s v="30189"/>
    <s v="MKS Kusy Szczecin"/>
    <n v="2"/>
    <x v="5"/>
    <x v="2"/>
    <x v="56"/>
  </r>
  <r>
    <s v="KUZDRA Konrad"/>
    <x v="0"/>
    <s v="33664"/>
    <s v="MKS Gdańsk"/>
    <n v="2"/>
    <x v="0"/>
    <x v="0"/>
    <x v="56"/>
  </r>
  <r>
    <s v="KUZDRA Konrad"/>
    <x v="0"/>
    <s v="33664"/>
    <s v="MKS Gdańsk"/>
    <n v="2"/>
    <x v="0"/>
    <x v="1"/>
    <x v="56"/>
  </r>
  <r>
    <s v="KUZDRA Konrad"/>
    <x v="0"/>
    <s v="33664"/>
    <s v="MKS Gdańsk"/>
    <n v="2"/>
    <x v="0"/>
    <x v="2"/>
    <x v="56"/>
  </r>
  <r>
    <s v="KUZDRA Konrad"/>
    <x v="0"/>
    <s v="33664"/>
    <s v="MKS Gdańsk"/>
    <n v="2"/>
    <x v="1"/>
    <x v="0"/>
    <x v="189"/>
  </r>
  <r>
    <s v="KUZDRA Konrad"/>
    <x v="0"/>
    <s v="33664"/>
    <s v="MKS Gdańsk"/>
    <n v="2"/>
    <x v="1"/>
    <x v="1"/>
    <x v="128"/>
  </r>
  <r>
    <s v="KUZDRA Konrad"/>
    <x v="0"/>
    <s v="33664"/>
    <s v="MKS Gdańsk"/>
    <n v="2"/>
    <x v="1"/>
    <x v="2"/>
    <x v="177"/>
  </r>
  <r>
    <s v="KUZDRA Konrad"/>
    <x v="0"/>
    <s v="33664"/>
    <s v="MKS Gdańsk"/>
    <n v="2"/>
    <x v="2"/>
    <x v="0"/>
    <x v="56"/>
  </r>
  <r>
    <s v="KUZDRA Konrad"/>
    <x v="0"/>
    <s v="33664"/>
    <s v="MKS Gdańsk"/>
    <n v="2"/>
    <x v="2"/>
    <x v="1"/>
    <x v="56"/>
  </r>
  <r>
    <s v="KUZDRA Konrad"/>
    <x v="0"/>
    <s v="33664"/>
    <s v="MKS Gdańsk"/>
    <n v="2"/>
    <x v="2"/>
    <x v="2"/>
    <x v="56"/>
  </r>
  <r>
    <s v="KUZDRA Konrad"/>
    <x v="0"/>
    <s v="33664"/>
    <s v="MKS Gdańsk"/>
    <n v="2"/>
    <x v="3"/>
    <x v="0"/>
    <x v="34"/>
  </r>
  <r>
    <s v="KUZDRA Konrad"/>
    <x v="0"/>
    <s v="33664"/>
    <s v="MKS Gdańsk"/>
    <n v="2"/>
    <x v="3"/>
    <x v="1"/>
    <x v="84"/>
  </r>
  <r>
    <s v="KUZDRA Konrad"/>
    <x v="0"/>
    <s v="33664"/>
    <s v="MKS Gdańsk"/>
    <n v="2"/>
    <x v="3"/>
    <x v="2"/>
    <x v="220"/>
  </r>
  <r>
    <s v="KUZDRA Konrad"/>
    <x v="0"/>
    <s v="33664"/>
    <s v="MKS Gdańsk"/>
    <n v="2"/>
    <x v="4"/>
    <x v="0"/>
    <x v="232"/>
  </r>
  <r>
    <s v="KUZDRA Konrad"/>
    <x v="0"/>
    <s v="33664"/>
    <s v="MKS Gdańsk"/>
    <n v="2"/>
    <x v="4"/>
    <x v="1"/>
    <x v="233"/>
  </r>
  <r>
    <s v="KUZDRA Konrad"/>
    <x v="0"/>
    <s v="33664"/>
    <s v="MKS Gdańsk"/>
    <n v="2"/>
    <x v="4"/>
    <x v="2"/>
    <x v="234"/>
  </r>
  <r>
    <s v="KUZDRA Konrad"/>
    <x v="0"/>
    <s v="33664"/>
    <s v="MKS Gdańsk"/>
    <n v="2"/>
    <x v="5"/>
    <x v="0"/>
    <x v="56"/>
  </r>
  <r>
    <s v="KUZDRA Konrad"/>
    <x v="0"/>
    <s v="33664"/>
    <s v="MKS Gdańsk"/>
    <n v="2"/>
    <x v="5"/>
    <x v="1"/>
    <x v="56"/>
  </r>
  <r>
    <s v="KUZDRA Konrad"/>
    <x v="0"/>
    <s v="33664"/>
    <s v="MKS Gdańsk"/>
    <n v="2"/>
    <x v="5"/>
    <x v="2"/>
    <x v="56"/>
  </r>
  <r>
    <s v="ĆWIEK Tymoteusz"/>
    <x v="1"/>
    <s v="Z/06/00130"/>
    <s v="KS AZS AWF Kraków"/>
    <n v="2"/>
    <x v="0"/>
    <x v="0"/>
    <x v="47"/>
  </r>
  <r>
    <s v="ĆWIEK Tymoteusz"/>
    <x v="1"/>
    <s v="Z/06/00130"/>
    <s v="KS AZS AWF Kraków"/>
    <n v="2"/>
    <x v="0"/>
    <x v="1"/>
    <x v="58"/>
  </r>
  <r>
    <s v="ĆWIEK Tymoteusz"/>
    <x v="1"/>
    <s v="Z/06/00130"/>
    <s v="KS AZS AWF Kraków"/>
    <n v="2"/>
    <x v="0"/>
    <x v="2"/>
    <x v="127"/>
  </r>
  <r>
    <s v="ĆWIEK Tymoteusz"/>
    <x v="1"/>
    <s v="Z/06/00130"/>
    <s v="KS AZS AWF Kraków"/>
    <n v="2"/>
    <x v="1"/>
    <x v="0"/>
    <x v="56"/>
  </r>
  <r>
    <s v="ĆWIEK Tymoteusz"/>
    <x v="1"/>
    <s v="Z/06/00130"/>
    <s v="KS AZS AWF Kraków"/>
    <n v="2"/>
    <x v="1"/>
    <x v="1"/>
    <x v="56"/>
  </r>
  <r>
    <s v="ĆWIEK Tymoteusz"/>
    <x v="1"/>
    <s v="Z/06/00130"/>
    <s v="KS AZS AWF Kraków"/>
    <n v="2"/>
    <x v="1"/>
    <x v="2"/>
    <x v="56"/>
  </r>
  <r>
    <s v="ĆWIEK Tymoteusz"/>
    <x v="1"/>
    <s v="Z/06/00130"/>
    <s v="KS AZS AWF Kraków"/>
    <n v="2"/>
    <x v="2"/>
    <x v="0"/>
    <x v="235"/>
  </r>
  <r>
    <s v="ĆWIEK Tymoteusz"/>
    <x v="1"/>
    <s v="Z/06/00130"/>
    <s v="KS AZS AWF Kraków"/>
    <n v="2"/>
    <x v="2"/>
    <x v="1"/>
    <x v="58"/>
  </r>
  <r>
    <s v="ĆWIEK Tymoteusz"/>
    <x v="1"/>
    <s v="Z/06/00130"/>
    <s v="KS AZS AWF Kraków"/>
    <n v="2"/>
    <x v="2"/>
    <x v="2"/>
    <x v="236"/>
  </r>
  <r>
    <s v="ĆWIEK Tymoteusz"/>
    <x v="1"/>
    <s v="Z/06/00130"/>
    <s v="KS AZS AWF Kraków"/>
    <n v="2"/>
    <x v="3"/>
    <x v="0"/>
    <x v="56"/>
  </r>
  <r>
    <s v="ĆWIEK Tymoteusz"/>
    <x v="1"/>
    <s v="Z/06/00130"/>
    <s v="KS AZS AWF Kraków"/>
    <n v="2"/>
    <x v="3"/>
    <x v="1"/>
    <x v="56"/>
  </r>
  <r>
    <s v="ĆWIEK Tymoteusz"/>
    <x v="1"/>
    <s v="Z/06/00130"/>
    <s v="KS AZS AWF Kraków"/>
    <n v="2"/>
    <x v="3"/>
    <x v="2"/>
    <x v="56"/>
  </r>
  <r>
    <s v="ĆWIEK Tymoteusz"/>
    <x v="1"/>
    <s v="Z/06/00130"/>
    <s v="KS AZS AWF Kraków"/>
    <n v="2"/>
    <x v="4"/>
    <x v="0"/>
    <x v="237"/>
  </r>
  <r>
    <s v="ĆWIEK Tymoteusz"/>
    <x v="1"/>
    <s v="Z/06/00130"/>
    <s v="KS AZS AWF Kraków"/>
    <n v="2"/>
    <x v="4"/>
    <x v="1"/>
    <x v="238"/>
  </r>
  <r>
    <s v="ĆWIEK Tymoteusz"/>
    <x v="1"/>
    <s v="Z/06/00130"/>
    <s v="KS AZS AWF Kraków"/>
    <n v="2"/>
    <x v="4"/>
    <x v="2"/>
    <x v="239"/>
  </r>
  <r>
    <s v="ĆWIEK Tymoteusz"/>
    <x v="1"/>
    <s v="Z/06/00130"/>
    <s v="KS AZS AWF Kraków"/>
    <n v="2"/>
    <x v="5"/>
    <x v="0"/>
    <x v="56"/>
  </r>
  <r>
    <s v="ĆWIEK Tymoteusz"/>
    <x v="1"/>
    <s v="Z/06/00130"/>
    <s v="KS AZS AWF Kraków"/>
    <n v="2"/>
    <x v="5"/>
    <x v="1"/>
    <x v="56"/>
  </r>
  <r>
    <s v="ĆWIEK Tymoteusz"/>
    <x v="1"/>
    <s v="Z/06/00130"/>
    <s v="KS AZS AWF Kraków"/>
    <n v="2"/>
    <x v="5"/>
    <x v="2"/>
    <x v="56"/>
  </r>
  <r>
    <s v="KORNIICHUK Yehor"/>
    <x v="0"/>
    <s v="Z/2001/135"/>
    <s v="KS AZS AWFiS Gdańsk"/>
    <n v="1"/>
    <x v="0"/>
    <x v="0"/>
    <x v="56"/>
  </r>
  <r>
    <s v="KORNIICHUK Yehor"/>
    <x v="0"/>
    <s v="Z/2001/135"/>
    <s v="KS AZS AWFiS Gdańsk"/>
    <n v="1"/>
    <x v="0"/>
    <x v="1"/>
    <x v="56"/>
  </r>
  <r>
    <s v="KORNIICHUK Yehor"/>
    <x v="0"/>
    <s v="Z/2001/135"/>
    <s v="KS AZS AWFiS Gdańsk"/>
    <n v="1"/>
    <x v="0"/>
    <x v="2"/>
    <x v="56"/>
  </r>
  <r>
    <s v="KORNIICHUK Yehor"/>
    <x v="0"/>
    <s v="Z/2001/135"/>
    <s v="KS AZS AWFiS Gdańsk"/>
    <n v="1"/>
    <x v="1"/>
    <x v="0"/>
    <x v="240"/>
  </r>
  <r>
    <s v="KORNIICHUK Yehor"/>
    <x v="0"/>
    <s v="Z/2001/135"/>
    <s v="KS AZS AWFiS Gdańsk"/>
    <n v="1"/>
    <x v="1"/>
    <x v="1"/>
    <x v="3"/>
  </r>
  <r>
    <s v="KORNIICHUK Yehor"/>
    <x v="0"/>
    <s v="Z/2001/135"/>
    <s v="KS AZS AWFiS Gdańsk"/>
    <n v="1"/>
    <x v="1"/>
    <x v="2"/>
    <x v="241"/>
  </r>
  <r>
    <s v="KORNIICHUK Yehor"/>
    <x v="0"/>
    <s v="Z/2001/135"/>
    <s v="KS AZS AWFiS Gdańsk"/>
    <n v="1"/>
    <x v="2"/>
    <x v="0"/>
    <x v="56"/>
  </r>
  <r>
    <s v="KORNIICHUK Yehor"/>
    <x v="0"/>
    <s v="Z/2001/135"/>
    <s v="KS AZS AWFiS Gdańsk"/>
    <n v="1"/>
    <x v="2"/>
    <x v="1"/>
    <x v="56"/>
  </r>
  <r>
    <s v="KORNIICHUK Yehor"/>
    <x v="0"/>
    <s v="Z/2001/135"/>
    <s v="KS AZS AWFiS Gdańsk"/>
    <n v="1"/>
    <x v="2"/>
    <x v="2"/>
    <x v="56"/>
  </r>
  <r>
    <s v="KORNIICHUK Yehor"/>
    <x v="0"/>
    <s v="Z/2001/135"/>
    <s v="KS AZS AWFiS Gdańsk"/>
    <n v="1"/>
    <x v="3"/>
    <x v="0"/>
    <x v="56"/>
  </r>
  <r>
    <s v="KORNIICHUK Yehor"/>
    <x v="0"/>
    <s v="Z/2001/135"/>
    <s v="KS AZS AWFiS Gdańsk"/>
    <n v="1"/>
    <x v="3"/>
    <x v="1"/>
    <x v="56"/>
  </r>
  <r>
    <s v="KORNIICHUK Yehor"/>
    <x v="0"/>
    <s v="Z/2001/135"/>
    <s v="KS AZS AWFiS Gdańsk"/>
    <n v="1"/>
    <x v="3"/>
    <x v="2"/>
    <x v="56"/>
  </r>
  <r>
    <s v="KORNIICHUK Yehor"/>
    <x v="0"/>
    <s v="Z/2001/135"/>
    <s v="KS AZS AWFiS Gdańsk"/>
    <n v="1"/>
    <x v="4"/>
    <x v="0"/>
    <x v="240"/>
  </r>
  <r>
    <s v="KORNIICHUK Yehor"/>
    <x v="0"/>
    <s v="Z/2001/135"/>
    <s v="KS AZS AWFiS Gdańsk"/>
    <n v="1"/>
    <x v="4"/>
    <x v="1"/>
    <x v="3"/>
  </r>
  <r>
    <s v="KORNIICHUK Yehor"/>
    <x v="0"/>
    <s v="Z/2001/135"/>
    <s v="KS AZS AWFiS Gdańsk"/>
    <n v="1"/>
    <x v="4"/>
    <x v="2"/>
    <x v="241"/>
  </r>
  <r>
    <s v="KORNIICHUK Yehor"/>
    <x v="0"/>
    <s v="Z/2001/135"/>
    <s v="KS AZS AWFiS Gdańsk"/>
    <n v="1"/>
    <x v="5"/>
    <x v="0"/>
    <x v="56"/>
  </r>
  <r>
    <s v="KORNIICHUK Yehor"/>
    <x v="0"/>
    <s v="Z/2001/135"/>
    <s v="KS AZS AWFiS Gdańsk"/>
    <n v="1"/>
    <x v="5"/>
    <x v="1"/>
    <x v="56"/>
  </r>
  <r>
    <s v="KORNIICHUK Yehor"/>
    <x v="0"/>
    <s v="Z/2001/135"/>
    <s v="KS AZS AWFiS Gdańsk"/>
    <n v="1"/>
    <x v="5"/>
    <x v="2"/>
    <x v="56"/>
  </r>
  <r>
    <s v="PAWŁOWSKI Jakub"/>
    <x v="0"/>
    <s v="33097"/>
    <s v="MKS Gdańsk"/>
    <n v="1"/>
    <x v="0"/>
    <x v="0"/>
    <x v="56"/>
  </r>
  <r>
    <s v="PAWŁOWSKI Jakub"/>
    <x v="0"/>
    <s v="33097"/>
    <s v="MKS Gdańsk"/>
    <n v="1"/>
    <x v="0"/>
    <x v="1"/>
    <x v="56"/>
  </r>
  <r>
    <s v="PAWŁOWSKI Jakub"/>
    <x v="0"/>
    <s v="33097"/>
    <s v="MKS Gdańsk"/>
    <n v="1"/>
    <x v="0"/>
    <x v="2"/>
    <x v="56"/>
  </r>
  <r>
    <s v="PAWŁOWSKI Jakub"/>
    <x v="0"/>
    <s v="33097"/>
    <s v="MKS Gdańsk"/>
    <n v="1"/>
    <x v="1"/>
    <x v="0"/>
    <x v="56"/>
  </r>
  <r>
    <s v="PAWŁOWSKI Jakub"/>
    <x v="0"/>
    <s v="33097"/>
    <s v="MKS Gdańsk"/>
    <n v="1"/>
    <x v="1"/>
    <x v="1"/>
    <x v="56"/>
  </r>
  <r>
    <s v="PAWŁOWSKI Jakub"/>
    <x v="0"/>
    <s v="33097"/>
    <s v="MKS Gdańsk"/>
    <n v="1"/>
    <x v="1"/>
    <x v="2"/>
    <x v="56"/>
  </r>
  <r>
    <s v="PAWŁOWSKI Jakub"/>
    <x v="0"/>
    <s v="33097"/>
    <s v="MKS Gdańsk"/>
    <n v="1"/>
    <x v="2"/>
    <x v="0"/>
    <x v="190"/>
  </r>
  <r>
    <s v="PAWŁOWSKI Jakub"/>
    <x v="0"/>
    <s v="33097"/>
    <s v="MKS Gdańsk"/>
    <n v="1"/>
    <x v="2"/>
    <x v="1"/>
    <x v="45"/>
  </r>
  <r>
    <s v="PAWŁOWSKI Jakub"/>
    <x v="0"/>
    <s v="33097"/>
    <s v="MKS Gdańsk"/>
    <n v="1"/>
    <x v="2"/>
    <x v="2"/>
    <x v="130"/>
  </r>
  <r>
    <s v="PAWŁOWSKI Jakub"/>
    <x v="0"/>
    <s v="33097"/>
    <s v="MKS Gdańsk"/>
    <n v="1"/>
    <x v="3"/>
    <x v="0"/>
    <x v="56"/>
  </r>
  <r>
    <s v="PAWŁOWSKI Jakub"/>
    <x v="0"/>
    <s v="33097"/>
    <s v="MKS Gdańsk"/>
    <n v="1"/>
    <x v="3"/>
    <x v="1"/>
    <x v="56"/>
  </r>
  <r>
    <s v="PAWŁOWSKI Jakub"/>
    <x v="0"/>
    <s v="33097"/>
    <s v="MKS Gdańsk"/>
    <n v="1"/>
    <x v="3"/>
    <x v="2"/>
    <x v="56"/>
  </r>
  <r>
    <s v="PAWŁOWSKI Jakub"/>
    <x v="0"/>
    <s v="33097"/>
    <s v="MKS Gdańsk"/>
    <n v="1"/>
    <x v="4"/>
    <x v="0"/>
    <x v="190"/>
  </r>
  <r>
    <s v="PAWŁOWSKI Jakub"/>
    <x v="0"/>
    <s v="33097"/>
    <s v="MKS Gdańsk"/>
    <n v="1"/>
    <x v="4"/>
    <x v="1"/>
    <x v="45"/>
  </r>
  <r>
    <s v="PAWŁOWSKI Jakub"/>
    <x v="0"/>
    <s v="33097"/>
    <s v="MKS Gdańsk"/>
    <n v="1"/>
    <x v="4"/>
    <x v="2"/>
    <x v="130"/>
  </r>
  <r>
    <s v="PAWŁOWSKI Jakub"/>
    <x v="0"/>
    <s v="33097"/>
    <s v="MKS Gdańsk"/>
    <n v="1"/>
    <x v="5"/>
    <x v="0"/>
    <x v="56"/>
  </r>
  <r>
    <s v="PAWŁOWSKI Jakub"/>
    <x v="0"/>
    <s v="33097"/>
    <s v="MKS Gdańsk"/>
    <n v="1"/>
    <x v="5"/>
    <x v="1"/>
    <x v="56"/>
  </r>
  <r>
    <s v="PAWŁOWSKI Jakub"/>
    <x v="0"/>
    <s v="33097"/>
    <s v="MKS Gdańsk"/>
    <n v="1"/>
    <x v="5"/>
    <x v="2"/>
    <x v="56"/>
  </r>
  <r>
    <s v="LUKIANIENKO Illia"/>
    <x v="0"/>
    <s v="Z/2000/104"/>
    <s v="MKS Kusy Szczecin"/>
    <n v="1"/>
    <x v="0"/>
    <x v="0"/>
    <x v="56"/>
  </r>
  <r>
    <s v="LUKIANIENKO Illia"/>
    <x v="0"/>
    <s v="Z/2000/104"/>
    <s v="MKS Kusy Szczecin"/>
    <n v="1"/>
    <x v="0"/>
    <x v="1"/>
    <x v="56"/>
  </r>
  <r>
    <s v="LUKIANIENKO Illia"/>
    <x v="0"/>
    <s v="Z/2000/104"/>
    <s v="MKS Kusy Szczecin"/>
    <n v="1"/>
    <x v="0"/>
    <x v="2"/>
    <x v="56"/>
  </r>
  <r>
    <s v="LUKIANIENKO Illia"/>
    <x v="0"/>
    <s v="Z/2000/104"/>
    <s v="MKS Kusy Szczecin"/>
    <n v="1"/>
    <x v="1"/>
    <x v="0"/>
    <x v="56"/>
  </r>
  <r>
    <s v="LUKIANIENKO Illia"/>
    <x v="0"/>
    <s v="Z/2000/104"/>
    <s v="MKS Kusy Szczecin"/>
    <n v="1"/>
    <x v="1"/>
    <x v="1"/>
    <x v="56"/>
  </r>
  <r>
    <s v="LUKIANIENKO Illia"/>
    <x v="0"/>
    <s v="Z/2000/104"/>
    <s v="MKS Kusy Szczecin"/>
    <n v="1"/>
    <x v="1"/>
    <x v="2"/>
    <x v="56"/>
  </r>
  <r>
    <s v="LUKIANIENKO Illia"/>
    <x v="0"/>
    <s v="Z/2000/104"/>
    <s v="MKS Kusy Szczecin"/>
    <n v="1"/>
    <x v="2"/>
    <x v="0"/>
    <x v="240"/>
  </r>
  <r>
    <s v="LUKIANIENKO Illia"/>
    <x v="0"/>
    <s v="Z/2000/104"/>
    <s v="MKS Kusy Szczecin"/>
    <n v="1"/>
    <x v="2"/>
    <x v="1"/>
    <x v="176"/>
  </r>
  <r>
    <s v="LUKIANIENKO Illia"/>
    <x v="0"/>
    <s v="Z/2000/104"/>
    <s v="MKS Kusy Szczecin"/>
    <n v="1"/>
    <x v="2"/>
    <x v="2"/>
    <x v="130"/>
  </r>
  <r>
    <s v="LUKIANIENKO Illia"/>
    <x v="0"/>
    <s v="Z/2000/104"/>
    <s v="MKS Kusy Szczecin"/>
    <n v="1"/>
    <x v="3"/>
    <x v="0"/>
    <x v="56"/>
  </r>
  <r>
    <s v="LUKIANIENKO Illia"/>
    <x v="0"/>
    <s v="Z/2000/104"/>
    <s v="MKS Kusy Szczecin"/>
    <n v="1"/>
    <x v="3"/>
    <x v="1"/>
    <x v="56"/>
  </r>
  <r>
    <s v="LUKIANIENKO Illia"/>
    <x v="0"/>
    <s v="Z/2000/104"/>
    <s v="MKS Kusy Szczecin"/>
    <n v="1"/>
    <x v="3"/>
    <x v="2"/>
    <x v="56"/>
  </r>
  <r>
    <s v="LUKIANIENKO Illia"/>
    <x v="0"/>
    <s v="Z/2000/104"/>
    <s v="MKS Kusy Szczecin"/>
    <n v="1"/>
    <x v="4"/>
    <x v="0"/>
    <x v="240"/>
  </r>
  <r>
    <s v="LUKIANIENKO Illia"/>
    <x v="0"/>
    <s v="Z/2000/104"/>
    <s v="MKS Kusy Szczecin"/>
    <n v="1"/>
    <x v="4"/>
    <x v="1"/>
    <x v="176"/>
  </r>
  <r>
    <s v="LUKIANIENKO Illia"/>
    <x v="0"/>
    <s v="Z/2000/104"/>
    <s v="MKS Kusy Szczecin"/>
    <n v="1"/>
    <x v="4"/>
    <x v="2"/>
    <x v="130"/>
  </r>
  <r>
    <s v="LUKIANIENKO Illia"/>
    <x v="0"/>
    <s v="Z/2000/104"/>
    <s v="MKS Kusy Szczecin"/>
    <n v="1"/>
    <x v="5"/>
    <x v="0"/>
    <x v="56"/>
  </r>
  <r>
    <s v="LUKIANIENKO Illia"/>
    <x v="0"/>
    <s v="Z/2000/104"/>
    <s v="MKS Kusy Szczecin"/>
    <n v="1"/>
    <x v="5"/>
    <x v="1"/>
    <x v="56"/>
  </r>
  <r>
    <s v="LUKIANIENKO Illia"/>
    <x v="0"/>
    <s v="Z/2000/104"/>
    <s v="MKS Kusy Szczecin"/>
    <n v="1"/>
    <x v="5"/>
    <x v="2"/>
    <x v="56"/>
  </r>
  <r>
    <s v="NOWAK Maciej"/>
    <x v="0"/>
    <s v="32524"/>
    <s v="KS AZS AWF Katowice"/>
    <n v="1"/>
    <x v="0"/>
    <x v="0"/>
    <x v="93"/>
  </r>
  <r>
    <s v="NOWAK Maciej"/>
    <x v="0"/>
    <s v="32524"/>
    <s v="KS AZS AWF Katowice"/>
    <n v="1"/>
    <x v="0"/>
    <x v="1"/>
    <x v="84"/>
  </r>
  <r>
    <s v="NOWAK Maciej"/>
    <x v="0"/>
    <s v="32524"/>
    <s v="KS AZS AWF Katowice"/>
    <n v="1"/>
    <x v="0"/>
    <x v="2"/>
    <x v="37"/>
  </r>
  <r>
    <s v="NOWAK Maciej"/>
    <x v="0"/>
    <s v="32524"/>
    <s v="KS AZS AWF Katowice"/>
    <n v="1"/>
    <x v="1"/>
    <x v="0"/>
    <x v="56"/>
  </r>
  <r>
    <s v="NOWAK Maciej"/>
    <x v="0"/>
    <s v="32524"/>
    <s v="KS AZS AWF Katowice"/>
    <n v="1"/>
    <x v="1"/>
    <x v="1"/>
    <x v="56"/>
  </r>
  <r>
    <s v="NOWAK Maciej"/>
    <x v="0"/>
    <s v="32524"/>
    <s v="KS AZS AWF Katowice"/>
    <n v="1"/>
    <x v="1"/>
    <x v="2"/>
    <x v="56"/>
  </r>
  <r>
    <s v="NOWAK Maciej"/>
    <x v="0"/>
    <s v="32524"/>
    <s v="KS AZS AWF Katowice"/>
    <n v="1"/>
    <x v="2"/>
    <x v="0"/>
    <x v="56"/>
  </r>
  <r>
    <s v="NOWAK Maciej"/>
    <x v="0"/>
    <s v="32524"/>
    <s v="KS AZS AWF Katowice"/>
    <n v="1"/>
    <x v="2"/>
    <x v="1"/>
    <x v="56"/>
  </r>
  <r>
    <s v="NOWAK Maciej"/>
    <x v="0"/>
    <s v="32524"/>
    <s v="KS AZS AWF Katowice"/>
    <n v="1"/>
    <x v="2"/>
    <x v="2"/>
    <x v="56"/>
  </r>
  <r>
    <s v="NOWAK Maciej"/>
    <x v="0"/>
    <s v="32524"/>
    <s v="KS AZS AWF Katowice"/>
    <n v="1"/>
    <x v="3"/>
    <x v="0"/>
    <x v="56"/>
  </r>
  <r>
    <s v="NOWAK Maciej"/>
    <x v="0"/>
    <s v="32524"/>
    <s v="KS AZS AWF Katowice"/>
    <n v="1"/>
    <x v="3"/>
    <x v="1"/>
    <x v="56"/>
  </r>
  <r>
    <s v="NOWAK Maciej"/>
    <x v="0"/>
    <s v="32524"/>
    <s v="KS AZS AWF Katowice"/>
    <n v="1"/>
    <x v="3"/>
    <x v="2"/>
    <x v="56"/>
  </r>
  <r>
    <s v="NOWAK Maciej"/>
    <x v="0"/>
    <s v="32524"/>
    <s v="KS AZS AWF Katowice"/>
    <n v="1"/>
    <x v="4"/>
    <x v="0"/>
    <x v="93"/>
  </r>
  <r>
    <s v="NOWAK Maciej"/>
    <x v="0"/>
    <s v="32524"/>
    <s v="KS AZS AWF Katowice"/>
    <n v="1"/>
    <x v="4"/>
    <x v="1"/>
    <x v="84"/>
  </r>
  <r>
    <s v="NOWAK Maciej"/>
    <x v="0"/>
    <s v="32524"/>
    <s v="KS AZS AWF Katowice"/>
    <n v="1"/>
    <x v="4"/>
    <x v="2"/>
    <x v="37"/>
  </r>
  <r>
    <s v="NOWAK Maciej"/>
    <x v="0"/>
    <s v="32524"/>
    <s v="KS AZS AWF Katowice"/>
    <n v="1"/>
    <x v="5"/>
    <x v="0"/>
    <x v="56"/>
  </r>
  <r>
    <s v="NOWAK Maciej"/>
    <x v="0"/>
    <s v="32524"/>
    <s v="KS AZS AWF Katowice"/>
    <n v="1"/>
    <x v="5"/>
    <x v="1"/>
    <x v="56"/>
  </r>
  <r>
    <s v="NOWAK Maciej"/>
    <x v="0"/>
    <s v="32524"/>
    <s v="KS AZS AWF Katowice"/>
    <n v="1"/>
    <x v="5"/>
    <x v="2"/>
    <x v="56"/>
  </r>
  <r>
    <s v="LESIŃSKI Piotr"/>
    <x v="0"/>
    <s v="Z/1999/55"/>
    <s v="KS AZS AWFiS Gdańsk"/>
    <n v="1"/>
    <x v="0"/>
    <x v="0"/>
    <x v="56"/>
  </r>
  <r>
    <s v="LESIŃSKI Piotr"/>
    <x v="0"/>
    <s v="Z/1999/55"/>
    <s v="KS AZS AWFiS Gdańsk"/>
    <n v="1"/>
    <x v="0"/>
    <x v="1"/>
    <x v="56"/>
  </r>
  <r>
    <s v="LESIŃSKI Piotr"/>
    <x v="0"/>
    <s v="Z/1999/55"/>
    <s v="KS AZS AWFiS Gdańsk"/>
    <n v="1"/>
    <x v="0"/>
    <x v="2"/>
    <x v="56"/>
  </r>
  <r>
    <s v="LESIŃSKI Piotr"/>
    <x v="0"/>
    <s v="Z/1999/55"/>
    <s v="KS AZS AWFiS Gdańsk"/>
    <n v="1"/>
    <x v="1"/>
    <x v="0"/>
    <x v="56"/>
  </r>
  <r>
    <s v="LESIŃSKI Piotr"/>
    <x v="0"/>
    <s v="Z/1999/55"/>
    <s v="KS AZS AWFiS Gdańsk"/>
    <n v="1"/>
    <x v="1"/>
    <x v="1"/>
    <x v="56"/>
  </r>
  <r>
    <s v="LESIŃSKI Piotr"/>
    <x v="0"/>
    <s v="Z/1999/55"/>
    <s v="KS AZS AWFiS Gdańsk"/>
    <n v="1"/>
    <x v="1"/>
    <x v="2"/>
    <x v="56"/>
  </r>
  <r>
    <s v="LESIŃSKI Piotr"/>
    <x v="0"/>
    <s v="Z/1999/55"/>
    <s v="KS AZS AWFiS Gdańsk"/>
    <n v="1"/>
    <x v="2"/>
    <x v="0"/>
    <x v="34"/>
  </r>
  <r>
    <s v="LESIŃSKI Piotr"/>
    <x v="0"/>
    <s v="Z/1999/55"/>
    <s v="KS AZS AWFiS Gdańsk"/>
    <n v="1"/>
    <x v="2"/>
    <x v="1"/>
    <x v="15"/>
  </r>
  <r>
    <s v="LESIŃSKI Piotr"/>
    <x v="0"/>
    <s v="Z/1999/55"/>
    <s v="KS AZS AWFiS Gdańsk"/>
    <n v="1"/>
    <x v="2"/>
    <x v="2"/>
    <x v="242"/>
  </r>
  <r>
    <s v="LESIŃSKI Piotr"/>
    <x v="0"/>
    <s v="Z/1999/55"/>
    <s v="KS AZS AWFiS Gdańsk"/>
    <n v="1"/>
    <x v="3"/>
    <x v="0"/>
    <x v="56"/>
  </r>
  <r>
    <s v="LESIŃSKI Piotr"/>
    <x v="0"/>
    <s v="Z/1999/55"/>
    <s v="KS AZS AWFiS Gdańsk"/>
    <n v="1"/>
    <x v="3"/>
    <x v="1"/>
    <x v="56"/>
  </r>
  <r>
    <s v="LESIŃSKI Piotr"/>
    <x v="0"/>
    <s v="Z/1999/55"/>
    <s v="KS AZS AWFiS Gdańsk"/>
    <n v="1"/>
    <x v="3"/>
    <x v="2"/>
    <x v="56"/>
  </r>
  <r>
    <s v="LESIŃSKI Piotr"/>
    <x v="0"/>
    <s v="Z/1999/55"/>
    <s v="KS AZS AWFiS Gdańsk"/>
    <n v="1"/>
    <x v="4"/>
    <x v="0"/>
    <x v="34"/>
  </r>
  <r>
    <s v="LESIŃSKI Piotr"/>
    <x v="0"/>
    <s v="Z/1999/55"/>
    <s v="KS AZS AWFiS Gdańsk"/>
    <n v="1"/>
    <x v="4"/>
    <x v="1"/>
    <x v="15"/>
  </r>
  <r>
    <s v="LESIŃSKI Piotr"/>
    <x v="0"/>
    <s v="Z/1999/55"/>
    <s v="KS AZS AWFiS Gdańsk"/>
    <n v="1"/>
    <x v="4"/>
    <x v="2"/>
    <x v="242"/>
  </r>
  <r>
    <s v="LESIŃSKI Piotr"/>
    <x v="0"/>
    <s v="Z/1999/55"/>
    <s v="KS AZS AWFiS Gdańsk"/>
    <n v="1"/>
    <x v="5"/>
    <x v="0"/>
    <x v="56"/>
  </r>
  <r>
    <s v="LESIŃSKI Piotr"/>
    <x v="0"/>
    <s v="Z/1999/55"/>
    <s v="KS AZS AWFiS Gdańsk"/>
    <n v="1"/>
    <x v="5"/>
    <x v="1"/>
    <x v="56"/>
  </r>
  <r>
    <s v="LESIŃSKI Piotr"/>
    <x v="0"/>
    <s v="Z/1999/55"/>
    <s v="KS AZS AWFiS Gdańsk"/>
    <n v="1"/>
    <x v="5"/>
    <x v="2"/>
    <x v="56"/>
  </r>
  <r>
    <s v="SZCZUBIAŁ Bartłomiej"/>
    <x v="1"/>
    <s v="222222"/>
    <s v="KS AZS AWF Kraków"/>
    <n v="1"/>
    <x v="0"/>
    <x v="0"/>
    <x v="70"/>
  </r>
  <r>
    <s v="SZCZUBIAŁ Bartłomiej"/>
    <x v="1"/>
    <s v="222222"/>
    <s v="KS AZS AWF Kraków"/>
    <n v="1"/>
    <x v="0"/>
    <x v="1"/>
    <x v="157"/>
  </r>
  <r>
    <s v="SZCZUBIAŁ Bartłomiej"/>
    <x v="1"/>
    <s v="222222"/>
    <s v="KS AZS AWF Kraków"/>
    <n v="1"/>
    <x v="0"/>
    <x v="2"/>
    <x v="243"/>
  </r>
  <r>
    <s v="SZCZUBIAŁ Bartłomiej"/>
    <x v="1"/>
    <s v="222222"/>
    <s v="KS AZS AWF Kraków"/>
    <n v="1"/>
    <x v="1"/>
    <x v="0"/>
    <x v="56"/>
  </r>
  <r>
    <s v="SZCZUBIAŁ Bartłomiej"/>
    <x v="1"/>
    <s v="222222"/>
    <s v="KS AZS AWF Kraków"/>
    <n v="1"/>
    <x v="1"/>
    <x v="1"/>
    <x v="56"/>
  </r>
  <r>
    <s v="SZCZUBIAŁ Bartłomiej"/>
    <x v="1"/>
    <s v="222222"/>
    <s v="KS AZS AWF Kraków"/>
    <n v="1"/>
    <x v="1"/>
    <x v="2"/>
    <x v="56"/>
  </r>
  <r>
    <s v="SZCZUBIAŁ Bartłomiej"/>
    <x v="1"/>
    <s v="222222"/>
    <s v="KS AZS AWF Kraków"/>
    <n v="1"/>
    <x v="2"/>
    <x v="0"/>
    <x v="56"/>
  </r>
  <r>
    <s v="SZCZUBIAŁ Bartłomiej"/>
    <x v="1"/>
    <s v="222222"/>
    <s v="KS AZS AWF Kraków"/>
    <n v="1"/>
    <x v="2"/>
    <x v="1"/>
    <x v="56"/>
  </r>
  <r>
    <s v="SZCZUBIAŁ Bartłomiej"/>
    <x v="1"/>
    <s v="222222"/>
    <s v="KS AZS AWF Kraków"/>
    <n v="1"/>
    <x v="2"/>
    <x v="2"/>
    <x v="56"/>
  </r>
  <r>
    <s v="SZCZUBIAŁ Bartłomiej"/>
    <x v="1"/>
    <s v="222222"/>
    <s v="KS AZS AWF Kraków"/>
    <n v="1"/>
    <x v="3"/>
    <x v="0"/>
    <x v="56"/>
  </r>
  <r>
    <s v="SZCZUBIAŁ Bartłomiej"/>
    <x v="1"/>
    <s v="222222"/>
    <s v="KS AZS AWF Kraków"/>
    <n v="1"/>
    <x v="3"/>
    <x v="1"/>
    <x v="56"/>
  </r>
  <r>
    <s v="SZCZUBIAŁ Bartłomiej"/>
    <x v="1"/>
    <s v="222222"/>
    <s v="KS AZS AWF Kraków"/>
    <n v="1"/>
    <x v="3"/>
    <x v="2"/>
    <x v="56"/>
  </r>
  <r>
    <s v="SZCZUBIAŁ Bartłomiej"/>
    <x v="1"/>
    <s v="222222"/>
    <s v="KS AZS AWF Kraków"/>
    <n v="1"/>
    <x v="4"/>
    <x v="0"/>
    <x v="70"/>
  </r>
  <r>
    <s v="SZCZUBIAŁ Bartłomiej"/>
    <x v="1"/>
    <s v="222222"/>
    <s v="KS AZS AWF Kraków"/>
    <n v="1"/>
    <x v="4"/>
    <x v="1"/>
    <x v="157"/>
  </r>
  <r>
    <s v="SZCZUBIAŁ Bartłomiej"/>
    <x v="1"/>
    <s v="222222"/>
    <s v="KS AZS AWF Kraków"/>
    <n v="1"/>
    <x v="4"/>
    <x v="2"/>
    <x v="243"/>
  </r>
  <r>
    <s v="SZCZUBIAŁ Bartłomiej"/>
    <x v="1"/>
    <s v="222222"/>
    <s v="KS AZS AWF Kraków"/>
    <n v="1"/>
    <x v="5"/>
    <x v="0"/>
    <x v="56"/>
  </r>
  <r>
    <s v="SZCZUBIAŁ Bartłomiej"/>
    <x v="1"/>
    <s v="222222"/>
    <s v="KS AZS AWF Kraków"/>
    <n v="1"/>
    <x v="5"/>
    <x v="1"/>
    <x v="56"/>
  </r>
  <r>
    <s v="SZCZUBIAŁ Bartłomiej"/>
    <x v="1"/>
    <s v="222222"/>
    <s v="KS AZS AWF Kraków"/>
    <n v="1"/>
    <x v="5"/>
    <x v="2"/>
    <x v="56"/>
  </r>
  <r>
    <s v="KUŹMIŃSKI Bartosz"/>
    <x v="0"/>
    <s v="30186"/>
    <s v="MKS Kusy Szczecin"/>
    <n v="1"/>
    <x v="0"/>
    <x v="0"/>
    <x v="163"/>
  </r>
  <r>
    <s v="KUŹMIŃSKI Bartosz"/>
    <x v="0"/>
    <s v="30186"/>
    <s v="MKS Kusy Szczecin"/>
    <n v="1"/>
    <x v="0"/>
    <x v="1"/>
    <x v="58"/>
  </r>
  <r>
    <s v="KUŹMIŃSKI Bartosz"/>
    <x v="0"/>
    <s v="30186"/>
    <s v="MKS Kusy Szczecin"/>
    <n v="1"/>
    <x v="0"/>
    <x v="2"/>
    <x v="244"/>
  </r>
  <r>
    <s v="KUŹMIŃSKI Bartosz"/>
    <x v="0"/>
    <s v="30186"/>
    <s v="MKS Kusy Szczecin"/>
    <n v="1"/>
    <x v="1"/>
    <x v="0"/>
    <x v="56"/>
  </r>
  <r>
    <s v="KUŹMIŃSKI Bartosz"/>
    <x v="0"/>
    <s v="30186"/>
    <s v="MKS Kusy Szczecin"/>
    <n v="1"/>
    <x v="1"/>
    <x v="1"/>
    <x v="56"/>
  </r>
  <r>
    <s v="KUŹMIŃSKI Bartosz"/>
    <x v="0"/>
    <s v="30186"/>
    <s v="MKS Kusy Szczecin"/>
    <n v="1"/>
    <x v="1"/>
    <x v="2"/>
    <x v="56"/>
  </r>
  <r>
    <s v="KUŹMIŃSKI Bartosz"/>
    <x v="0"/>
    <s v="30186"/>
    <s v="MKS Kusy Szczecin"/>
    <n v="1"/>
    <x v="2"/>
    <x v="0"/>
    <x v="56"/>
  </r>
  <r>
    <s v="KUŹMIŃSKI Bartosz"/>
    <x v="0"/>
    <s v="30186"/>
    <s v="MKS Kusy Szczecin"/>
    <n v="1"/>
    <x v="2"/>
    <x v="1"/>
    <x v="56"/>
  </r>
  <r>
    <s v="KUŹMIŃSKI Bartosz"/>
    <x v="0"/>
    <s v="30186"/>
    <s v="MKS Kusy Szczecin"/>
    <n v="1"/>
    <x v="2"/>
    <x v="2"/>
    <x v="56"/>
  </r>
  <r>
    <s v="KUŹMIŃSKI Bartosz"/>
    <x v="0"/>
    <s v="30186"/>
    <s v="MKS Kusy Szczecin"/>
    <n v="1"/>
    <x v="3"/>
    <x v="0"/>
    <x v="56"/>
  </r>
  <r>
    <s v="KUŹMIŃSKI Bartosz"/>
    <x v="0"/>
    <s v="30186"/>
    <s v="MKS Kusy Szczecin"/>
    <n v="1"/>
    <x v="3"/>
    <x v="1"/>
    <x v="56"/>
  </r>
  <r>
    <s v="KUŹMIŃSKI Bartosz"/>
    <x v="0"/>
    <s v="30186"/>
    <s v="MKS Kusy Szczecin"/>
    <n v="1"/>
    <x v="3"/>
    <x v="2"/>
    <x v="56"/>
  </r>
  <r>
    <s v="KUŹMIŃSKI Bartosz"/>
    <x v="0"/>
    <s v="30186"/>
    <s v="MKS Kusy Szczecin"/>
    <n v="1"/>
    <x v="4"/>
    <x v="0"/>
    <x v="163"/>
  </r>
  <r>
    <s v="KUŹMIŃSKI Bartosz"/>
    <x v="0"/>
    <s v="30186"/>
    <s v="MKS Kusy Szczecin"/>
    <n v="1"/>
    <x v="4"/>
    <x v="1"/>
    <x v="58"/>
  </r>
  <r>
    <s v="KUŹMIŃSKI Bartosz"/>
    <x v="0"/>
    <s v="30186"/>
    <s v="MKS Kusy Szczecin"/>
    <n v="1"/>
    <x v="4"/>
    <x v="2"/>
    <x v="244"/>
  </r>
  <r>
    <s v="KUŹMIŃSKI Bartosz"/>
    <x v="0"/>
    <s v="30186"/>
    <s v="MKS Kusy Szczecin"/>
    <n v="1"/>
    <x v="5"/>
    <x v="0"/>
    <x v="56"/>
  </r>
  <r>
    <s v="KUŹMIŃSKI Bartosz"/>
    <x v="0"/>
    <s v="30186"/>
    <s v="MKS Kusy Szczecin"/>
    <n v="1"/>
    <x v="5"/>
    <x v="1"/>
    <x v="56"/>
  </r>
  <r>
    <s v="KUŹMIŃSKI Bartosz"/>
    <x v="0"/>
    <s v="30186"/>
    <s v="MKS Kusy Szczecin"/>
    <n v="1"/>
    <x v="5"/>
    <x v="2"/>
    <x v="56"/>
  </r>
  <r>
    <s v="MARCZEWSKI Stanisław"/>
    <x v="1"/>
    <s v="32361"/>
    <s v="MKS Gdańsk"/>
    <n v="1"/>
    <x v="0"/>
    <x v="0"/>
    <x v="163"/>
  </r>
  <r>
    <s v="MARCZEWSKI Stanisław"/>
    <x v="1"/>
    <s v="32361"/>
    <s v="MKS Gdańsk"/>
    <n v="1"/>
    <x v="0"/>
    <x v="1"/>
    <x v="245"/>
  </r>
  <r>
    <s v="MARCZEWSKI Stanisław"/>
    <x v="1"/>
    <s v="32361"/>
    <s v="MKS Gdańsk"/>
    <n v="1"/>
    <x v="0"/>
    <x v="2"/>
    <x v="3"/>
  </r>
  <r>
    <s v="MARCZEWSKI Stanisław"/>
    <x v="1"/>
    <s v="32361"/>
    <s v="MKS Gdańsk"/>
    <n v="1"/>
    <x v="1"/>
    <x v="0"/>
    <x v="56"/>
  </r>
  <r>
    <s v="MARCZEWSKI Stanisław"/>
    <x v="1"/>
    <s v="32361"/>
    <s v="MKS Gdańsk"/>
    <n v="1"/>
    <x v="1"/>
    <x v="1"/>
    <x v="56"/>
  </r>
  <r>
    <s v="MARCZEWSKI Stanisław"/>
    <x v="1"/>
    <s v="32361"/>
    <s v="MKS Gdańsk"/>
    <n v="1"/>
    <x v="1"/>
    <x v="2"/>
    <x v="56"/>
  </r>
  <r>
    <s v="MARCZEWSKI Stanisław"/>
    <x v="1"/>
    <s v="32361"/>
    <s v="MKS Gdańsk"/>
    <n v="1"/>
    <x v="2"/>
    <x v="0"/>
    <x v="56"/>
  </r>
  <r>
    <s v="MARCZEWSKI Stanisław"/>
    <x v="1"/>
    <s v="32361"/>
    <s v="MKS Gdańsk"/>
    <n v="1"/>
    <x v="2"/>
    <x v="1"/>
    <x v="56"/>
  </r>
  <r>
    <s v="MARCZEWSKI Stanisław"/>
    <x v="1"/>
    <s v="32361"/>
    <s v="MKS Gdańsk"/>
    <n v="1"/>
    <x v="2"/>
    <x v="2"/>
    <x v="56"/>
  </r>
  <r>
    <s v="MARCZEWSKI Stanisław"/>
    <x v="1"/>
    <s v="32361"/>
    <s v="MKS Gdańsk"/>
    <n v="1"/>
    <x v="3"/>
    <x v="0"/>
    <x v="56"/>
  </r>
  <r>
    <s v="MARCZEWSKI Stanisław"/>
    <x v="1"/>
    <s v="32361"/>
    <s v="MKS Gdańsk"/>
    <n v="1"/>
    <x v="3"/>
    <x v="1"/>
    <x v="56"/>
  </r>
  <r>
    <s v="MARCZEWSKI Stanisław"/>
    <x v="1"/>
    <s v="32361"/>
    <s v="MKS Gdańsk"/>
    <n v="1"/>
    <x v="3"/>
    <x v="2"/>
    <x v="56"/>
  </r>
  <r>
    <s v="MARCZEWSKI Stanisław"/>
    <x v="1"/>
    <s v="32361"/>
    <s v="MKS Gdańsk"/>
    <n v="1"/>
    <x v="4"/>
    <x v="0"/>
    <x v="163"/>
  </r>
  <r>
    <s v="MARCZEWSKI Stanisław"/>
    <x v="1"/>
    <s v="32361"/>
    <s v="MKS Gdańsk"/>
    <n v="1"/>
    <x v="4"/>
    <x v="1"/>
    <x v="245"/>
  </r>
  <r>
    <s v="MARCZEWSKI Stanisław"/>
    <x v="1"/>
    <s v="32361"/>
    <s v="MKS Gdańsk"/>
    <n v="1"/>
    <x v="4"/>
    <x v="2"/>
    <x v="3"/>
  </r>
  <r>
    <s v="MARCZEWSKI Stanisław"/>
    <x v="1"/>
    <s v="32361"/>
    <s v="MKS Gdańsk"/>
    <n v="1"/>
    <x v="5"/>
    <x v="0"/>
    <x v="56"/>
  </r>
  <r>
    <s v="MARCZEWSKI Stanisław"/>
    <x v="1"/>
    <s v="32361"/>
    <s v="MKS Gdańsk"/>
    <n v="1"/>
    <x v="5"/>
    <x v="1"/>
    <x v="56"/>
  </r>
  <r>
    <s v="MARCZEWSKI Stanisław"/>
    <x v="1"/>
    <s v="32361"/>
    <s v="MKS Gdańsk"/>
    <n v="1"/>
    <x v="5"/>
    <x v="2"/>
    <x v="56"/>
  </r>
  <r>
    <s v="MYSZI Dominik"/>
    <x v="1"/>
    <s v="111113"/>
    <s v="KG Radlin"/>
    <n v="1"/>
    <x v="0"/>
    <x v="0"/>
    <x v="246"/>
  </r>
  <r>
    <s v="MYSZI Dominik"/>
    <x v="1"/>
    <s v="111113"/>
    <s v="KG Radlin"/>
    <n v="1"/>
    <x v="0"/>
    <x v="1"/>
    <x v="247"/>
  </r>
  <r>
    <s v="MYSZI Dominik"/>
    <x v="1"/>
    <s v="111113"/>
    <s v="KG Radlin"/>
    <n v="1"/>
    <x v="0"/>
    <x v="2"/>
    <x v="248"/>
  </r>
  <r>
    <s v="MYSZI Dominik"/>
    <x v="1"/>
    <s v="111113"/>
    <s v="KG Radlin"/>
    <n v="1"/>
    <x v="1"/>
    <x v="0"/>
    <x v="56"/>
  </r>
  <r>
    <s v="MYSZI Dominik"/>
    <x v="1"/>
    <s v="111113"/>
    <s v="KG Radlin"/>
    <n v="1"/>
    <x v="1"/>
    <x v="1"/>
    <x v="56"/>
  </r>
  <r>
    <s v="MYSZI Dominik"/>
    <x v="1"/>
    <s v="111113"/>
    <s v="KG Radlin"/>
    <n v="1"/>
    <x v="1"/>
    <x v="2"/>
    <x v="56"/>
  </r>
  <r>
    <s v="MYSZI Dominik"/>
    <x v="1"/>
    <s v="111113"/>
    <s v="KG Radlin"/>
    <n v="1"/>
    <x v="2"/>
    <x v="0"/>
    <x v="56"/>
  </r>
  <r>
    <s v="MYSZI Dominik"/>
    <x v="1"/>
    <s v="111113"/>
    <s v="KG Radlin"/>
    <n v="1"/>
    <x v="2"/>
    <x v="1"/>
    <x v="56"/>
  </r>
  <r>
    <s v="MYSZI Dominik"/>
    <x v="1"/>
    <s v="111113"/>
    <s v="KG Radlin"/>
    <n v="1"/>
    <x v="2"/>
    <x v="2"/>
    <x v="56"/>
  </r>
  <r>
    <s v="MYSZI Dominik"/>
    <x v="1"/>
    <s v="111113"/>
    <s v="KG Radlin"/>
    <n v="1"/>
    <x v="3"/>
    <x v="0"/>
    <x v="56"/>
  </r>
  <r>
    <s v="MYSZI Dominik"/>
    <x v="1"/>
    <s v="111113"/>
    <s v="KG Radlin"/>
    <n v="1"/>
    <x v="3"/>
    <x v="1"/>
    <x v="56"/>
  </r>
  <r>
    <s v="MYSZI Dominik"/>
    <x v="1"/>
    <s v="111113"/>
    <s v="KG Radlin"/>
    <n v="1"/>
    <x v="3"/>
    <x v="2"/>
    <x v="56"/>
  </r>
  <r>
    <s v="MYSZI Dominik"/>
    <x v="1"/>
    <s v="111113"/>
    <s v="KG Radlin"/>
    <n v="1"/>
    <x v="4"/>
    <x v="0"/>
    <x v="246"/>
  </r>
  <r>
    <s v="MYSZI Dominik"/>
    <x v="1"/>
    <s v="111113"/>
    <s v="KG Radlin"/>
    <n v="1"/>
    <x v="4"/>
    <x v="1"/>
    <x v="247"/>
  </r>
  <r>
    <s v="MYSZI Dominik"/>
    <x v="1"/>
    <s v="111113"/>
    <s v="KG Radlin"/>
    <n v="1"/>
    <x v="4"/>
    <x v="2"/>
    <x v="248"/>
  </r>
  <r>
    <s v="MYSZI Dominik"/>
    <x v="1"/>
    <s v="111113"/>
    <s v="KG Radlin"/>
    <n v="1"/>
    <x v="5"/>
    <x v="0"/>
    <x v="56"/>
  </r>
  <r>
    <s v="MYSZI Dominik"/>
    <x v="1"/>
    <s v="111113"/>
    <s v="KG Radlin"/>
    <n v="1"/>
    <x v="5"/>
    <x v="1"/>
    <x v="56"/>
  </r>
  <r>
    <s v="MYSZI Dominik"/>
    <x v="1"/>
    <s v="111113"/>
    <s v="KG Radlin"/>
    <n v="1"/>
    <x v="5"/>
    <x v="2"/>
    <x v="56"/>
  </r>
  <r>
    <s v="RUS Gracjan"/>
    <x v="1"/>
    <s v="111112"/>
    <s v="KG Radlin"/>
    <n v="1"/>
    <x v="0"/>
    <x v="0"/>
    <x v="249"/>
  </r>
  <r>
    <s v="RUS Gracjan"/>
    <x v="1"/>
    <s v="111112"/>
    <s v="KG Radlin"/>
    <n v="1"/>
    <x v="0"/>
    <x v="1"/>
    <x v="250"/>
  </r>
  <r>
    <s v="RUS Gracjan"/>
    <x v="1"/>
    <s v="111112"/>
    <s v="KG Radlin"/>
    <n v="1"/>
    <x v="0"/>
    <x v="2"/>
    <x v="251"/>
  </r>
  <r>
    <s v="RUS Gracjan"/>
    <x v="1"/>
    <s v="111112"/>
    <s v="KG Radlin"/>
    <n v="1"/>
    <x v="1"/>
    <x v="0"/>
    <x v="56"/>
  </r>
  <r>
    <s v="RUS Gracjan"/>
    <x v="1"/>
    <s v="111112"/>
    <s v="KG Radlin"/>
    <n v="1"/>
    <x v="1"/>
    <x v="1"/>
    <x v="56"/>
  </r>
  <r>
    <s v="RUS Gracjan"/>
    <x v="1"/>
    <s v="111112"/>
    <s v="KG Radlin"/>
    <n v="1"/>
    <x v="1"/>
    <x v="2"/>
    <x v="56"/>
  </r>
  <r>
    <s v="RUS Gracjan"/>
    <x v="1"/>
    <s v="111112"/>
    <s v="KG Radlin"/>
    <n v="1"/>
    <x v="2"/>
    <x v="0"/>
    <x v="56"/>
  </r>
  <r>
    <s v="RUS Gracjan"/>
    <x v="1"/>
    <s v="111112"/>
    <s v="KG Radlin"/>
    <n v="1"/>
    <x v="2"/>
    <x v="1"/>
    <x v="56"/>
  </r>
  <r>
    <s v="RUS Gracjan"/>
    <x v="1"/>
    <s v="111112"/>
    <s v="KG Radlin"/>
    <n v="1"/>
    <x v="2"/>
    <x v="2"/>
    <x v="56"/>
  </r>
  <r>
    <s v="RUS Gracjan"/>
    <x v="1"/>
    <s v="111112"/>
    <s v="KG Radlin"/>
    <n v="1"/>
    <x v="3"/>
    <x v="0"/>
    <x v="56"/>
  </r>
  <r>
    <s v="RUS Gracjan"/>
    <x v="1"/>
    <s v="111112"/>
    <s v="KG Radlin"/>
    <n v="1"/>
    <x v="3"/>
    <x v="1"/>
    <x v="56"/>
  </r>
  <r>
    <s v="RUS Gracjan"/>
    <x v="1"/>
    <s v="111112"/>
    <s v="KG Radlin"/>
    <n v="1"/>
    <x v="3"/>
    <x v="2"/>
    <x v="56"/>
  </r>
  <r>
    <s v="RUS Gracjan"/>
    <x v="1"/>
    <s v="111112"/>
    <s v="KG Radlin"/>
    <n v="1"/>
    <x v="4"/>
    <x v="0"/>
    <x v="249"/>
  </r>
  <r>
    <s v="RUS Gracjan"/>
    <x v="1"/>
    <s v="111112"/>
    <s v="KG Radlin"/>
    <n v="1"/>
    <x v="4"/>
    <x v="1"/>
    <x v="250"/>
  </r>
  <r>
    <s v="RUS Gracjan"/>
    <x v="1"/>
    <s v="111112"/>
    <s v="KG Radlin"/>
    <n v="1"/>
    <x v="4"/>
    <x v="2"/>
    <x v="251"/>
  </r>
  <r>
    <s v="RUS Gracjan"/>
    <x v="1"/>
    <s v="111112"/>
    <s v="KG Radlin"/>
    <n v="1"/>
    <x v="5"/>
    <x v="0"/>
    <x v="56"/>
  </r>
  <r>
    <s v="RUS Gracjan"/>
    <x v="1"/>
    <s v="111112"/>
    <s v="KG Radlin"/>
    <n v="1"/>
    <x v="5"/>
    <x v="1"/>
    <x v="56"/>
  </r>
  <r>
    <s v="RUS Gracjan"/>
    <x v="1"/>
    <s v="111112"/>
    <s v="KG Radlin"/>
    <n v="1"/>
    <x v="5"/>
    <x v="2"/>
    <x v="56"/>
  </r>
  <r>
    <s v="KOLORZ Maks"/>
    <x v="1"/>
    <s v="111111"/>
    <s v="KG Radlin"/>
    <n v="1"/>
    <x v="0"/>
    <x v="0"/>
    <x v="252"/>
  </r>
  <r>
    <s v="KOLORZ Maks"/>
    <x v="1"/>
    <s v="111111"/>
    <s v="KG Radlin"/>
    <n v="1"/>
    <x v="0"/>
    <x v="1"/>
    <x v="253"/>
  </r>
  <r>
    <s v="KOLORZ Maks"/>
    <x v="1"/>
    <s v="111111"/>
    <s v="KG Radlin"/>
    <n v="1"/>
    <x v="0"/>
    <x v="2"/>
    <x v="47"/>
  </r>
  <r>
    <s v="KOLORZ Maks"/>
    <x v="1"/>
    <s v="111111"/>
    <s v="KG Radlin"/>
    <n v="1"/>
    <x v="1"/>
    <x v="0"/>
    <x v="56"/>
  </r>
  <r>
    <s v="KOLORZ Maks"/>
    <x v="1"/>
    <s v="111111"/>
    <s v="KG Radlin"/>
    <n v="1"/>
    <x v="1"/>
    <x v="1"/>
    <x v="56"/>
  </r>
  <r>
    <s v="KOLORZ Maks"/>
    <x v="1"/>
    <s v="111111"/>
    <s v="KG Radlin"/>
    <n v="1"/>
    <x v="1"/>
    <x v="2"/>
    <x v="56"/>
  </r>
  <r>
    <s v="KOLORZ Maks"/>
    <x v="1"/>
    <s v="111111"/>
    <s v="KG Radlin"/>
    <n v="1"/>
    <x v="2"/>
    <x v="0"/>
    <x v="56"/>
  </r>
  <r>
    <s v="KOLORZ Maks"/>
    <x v="1"/>
    <s v="111111"/>
    <s v="KG Radlin"/>
    <n v="1"/>
    <x v="2"/>
    <x v="1"/>
    <x v="56"/>
  </r>
  <r>
    <s v="KOLORZ Maks"/>
    <x v="1"/>
    <s v="111111"/>
    <s v="KG Radlin"/>
    <n v="1"/>
    <x v="2"/>
    <x v="2"/>
    <x v="56"/>
  </r>
  <r>
    <s v="KOLORZ Maks"/>
    <x v="1"/>
    <s v="111111"/>
    <s v="KG Radlin"/>
    <n v="1"/>
    <x v="3"/>
    <x v="0"/>
    <x v="56"/>
  </r>
  <r>
    <s v="KOLORZ Maks"/>
    <x v="1"/>
    <s v="111111"/>
    <s v="KG Radlin"/>
    <n v="1"/>
    <x v="3"/>
    <x v="1"/>
    <x v="56"/>
  </r>
  <r>
    <s v="KOLORZ Maks"/>
    <x v="1"/>
    <s v="111111"/>
    <s v="KG Radlin"/>
    <n v="1"/>
    <x v="3"/>
    <x v="2"/>
    <x v="56"/>
  </r>
  <r>
    <s v="KOLORZ Maks"/>
    <x v="1"/>
    <s v="111111"/>
    <s v="KG Radlin"/>
    <n v="1"/>
    <x v="4"/>
    <x v="0"/>
    <x v="252"/>
  </r>
  <r>
    <s v="KOLORZ Maks"/>
    <x v="1"/>
    <s v="111111"/>
    <s v="KG Radlin"/>
    <n v="1"/>
    <x v="4"/>
    <x v="1"/>
    <x v="253"/>
  </r>
  <r>
    <s v="KOLORZ Maks"/>
    <x v="1"/>
    <s v="111111"/>
    <s v="KG Radlin"/>
    <n v="1"/>
    <x v="4"/>
    <x v="2"/>
    <x v="47"/>
  </r>
  <r>
    <s v="KOLORZ Maks"/>
    <x v="1"/>
    <s v="111111"/>
    <s v="KG Radlin"/>
    <n v="1"/>
    <x v="5"/>
    <x v="0"/>
    <x v="56"/>
  </r>
  <r>
    <s v="KOLORZ Maks"/>
    <x v="1"/>
    <s v="111111"/>
    <s v="KG Radlin"/>
    <n v="1"/>
    <x v="5"/>
    <x v="1"/>
    <x v="56"/>
  </r>
  <r>
    <s v="KOLORZ Maks"/>
    <x v="1"/>
    <s v="111111"/>
    <s v="KG Radlin"/>
    <n v="1"/>
    <x v="5"/>
    <x v="2"/>
    <x v="56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6">
  <r>
    <s v="SASNAL Filip"/>
    <x v="0"/>
    <s v="KS AZS AWF Kraków"/>
    <n v="4"/>
    <x v="0"/>
    <x v="0"/>
    <x v="0"/>
  </r>
  <r>
    <s v="SASNAL Filip"/>
    <x v="0"/>
    <s v="KS AZS AWF Kraków"/>
    <n v="4"/>
    <x v="0"/>
    <x v="1"/>
    <x v="1"/>
  </r>
  <r>
    <s v="SASNAL Filip"/>
    <x v="0"/>
    <s v="KS AZS AWF Kraków"/>
    <n v="4"/>
    <x v="0"/>
    <x v="2"/>
    <x v="2"/>
  </r>
  <r>
    <s v="SASNAL Filip"/>
    <x v="0"/>
    <s v="KS AZS AWF Kraków"/>
    <n v="4"/>
    <x v="1"/>
    <x v="0"/>
    <x v="0"/>
  </r>
  <r>
    <s v="SASNAL Filip"/>
    <x v="0"/>
    <s v="KS AZS AWF Kraków"/>
    <n v="4"/>
    <x v="1"/>
    <x v="1"/>
    <x v="3"/>
  </r>
  <r>
    <s v="SASNAL Filip"/>
    <x v="0"/>
    <s v="KS AZS AWF Kraków"/>
    <n v="4"/>
    <x v="1"/>
    <x v="2"/>
    <x v="4"/>
  </r>
  <r>
    <s v="SASNAL Filip"/>
    <x v="0"/>
    <s v="KS AZS AWF Kraków"/>
    <n v="4"/>
    <x v="2"/>
    <x v="0"/>
    <x v="0"/>
  </r>
  <r>
    <s v="SASNAL Filip"/>
    <x v="0"/>
    <s v="KS AZS AWF Kraków"/>
    <n v="4"/>
    <x v="2"/>
    <x v="1"/>
    <x v="5"/>
  </r>
  <r>
    <s v="SASNAL Filip"/>
    <x v="0"/>
    <s v="KS AZS AWF Kraków"/>
    <n v="4"/>
    <x v="2"/>
    <x v="2"/>
    <x v="6"/>
  </r>
  <r>
    <s v="SASNAL Filip"/>
    <x v="0"/>
    <s v="KS AZS AWF Kraków"/>
    <n v="4"/>
    <x v="3"/>
    <x v="0"/>
    <x v="7"/>
  </r>
  <r>
    <s v="SASNAL Filip"/>
    <x v="0"/>
    <s v="KS AZS AWF Kraków"/>
    <n v="4"/>
    <x v="3"/>
    <x v="1"/>
    <x v="1"/>
  </r>
  <r>
    <s v="SASNAL Filip"/>
    <x v="0"/>
    <s v="KS AZS AWF Kraków"/>
    <n v="4"/>
    <x v="3"/>
    <x v="2"/>
    <x v="8"/>
  </r>
  <r>
    <s v="SASNAL Filip"/>
    <x v="0"/>
    <s v="KS AZS AWF Kraków"/>
    <n v="4"/>
    <x v="4"/>
    <x v="0"/>
    <x v="9"/>
  </r>
  <r>
    <s v="SASNAL Filip"/>
    <x v="0"/>
    <s v="KS AZS AWF Kraków"/>
    <n v="4"/>
    <x v="4"/>
    <x v="1"/>
    <x v="10"/>
  </r>
  <r>
    <s v="SASNAL Filip"/>
    <x v="0"/>
    <s v="KS AZS AWF Kraków"/>
    <n v="4"/>
    <x v="4"/>
    <x v="2"/>
    <x v="11"/>
  </r>
  <r>
    <s v="SASNAL Filip"/>
    <x v="0"/>
    <s v="KS AZS AWF Kraków"/>
    <n v="4"/>
    <x v="5"/>
    <x v="0"/>
    <x v="0"/>
  </r>
  <r>
    <s v="SASNAL Filip"/>
    <x v="0"/>
    <s v="KS AZS AWF Kraków"/>
    <n v="4"/>
    <x v="5"/>
    <x v="1"/>
    <x v="12"/>
  </r>
  <r>
    <s v="SASNAL Filip"/>
    <x v="0"/>
    <s v="KS AZS AWF Kraków"/>
    <n v="4"/>
    <x v="5"/>
    <x v="2"/>
    <x v="13"/>
  </r>
  <r>
    <s v="GARNCZAREK Kacper"/>
    <x v="0"/>
    <s v="KS AZS AWF Katowice"/>
    <n v="3"/>
    <x v="0"/>
    <x v="0"/>
    <x v="14"/>
  </r>
  <r>
    <s v="GARNCZAREK Kacper"/>
    <x v="0"/>
    <s v="KS AZS AWF Katowice"/>
    <n v="3"/>
    <x v="0"/>
    <x v="1"/>
    <x v="14"/>
  </r>
  <r>
    <s v="GARNCZAREK Kacper"/>
    <x v="0"/>
    <s v="KS AZS AWF Katowice"/>
    <n v="3"/>
    <x v="0"/>
    <x v="2"/>
    <x v="14"/>
  </r>
  <r>
    <s v="GARNCZAREK Kacper"/>
    <x v="0"/>
    <s v="KS AZS AWF Katowice"/>
    <n v="3"/>
    <x v="1"/>
    <x v="0"/>
    <x v="15"/>
  </r>
  <r>
    <s v="GARNCZAREK Kacper"/>
    <x v="0"/>
    <s v="KS AZS AWF Katowice"/>
    <n v="3"/>
    <x v="1"/>
    <x v="1"/>
    <x v="16"/>
  </r>
  <r>
    <s v="GARNCZAREK Kacper"/>
    <x v="0"/>
    <s v="KS AZS AWF Katowice"/>
    <n v="3"/>
    <x v="1"/>
    <x v="2"/>
    <x v="17"/>
  </r>
  <r>
    <s v="GARNCZAREK Kacper"/>
    <x v="0"/>
    <s v="KS AZS AWF Katowice"/>
    <n v="3"/>
    <x v="2"/>
    <x v="0"/>
    <x v="15"/>
  </r>
  <r>
    <s v="GARNCZAREK Kacper"/>
    <x v="0"/>
    <s v="KS AZS AWF Katowice"/>
    <n v="3"/>
    <x v="2"/>
    <x v="1"/>
    <x v="18"/>
  </r>
  <r>
    <s v="GARNCZAREK Kacper"/>
    <x v="0"/>
    <s v="KS AZS AWF Katowice"/>
    <n v="3"/>
    <x v="2"/>
    <x v="2"/>
    <x v="19"/>
  </r>
  <r>
    <s v="GARNCZAREK Kacper"/>
    <x v="0"/>
    <s v="KS AZS AWF Katowice"/>
    <n v="3"/>
    <x v="3"/>
    <x v="0"/>
    <x v="20"/>
  </r>
  <r>
    <s v="GARNCZAREK Kacper"/>
    <x v="0"/>
    <s v="KS AZS AWF Katowice"/>
    <n v="3"/>
    <x v="3"/>
    <x v="1"/>
    <x v="21"/>
  </r>
  <r>
    <s v="GARNCZAREK Kacper"/>
    <x v="0"/>
    <s v="KS AZS AWF Katowice"/>
    <n v="3"/>
    <x v="3"/>
    <x v="2"/>
    <x v="22"/>
  </r>
  <r>
    <s v="GARNCZAREK Kacper"/>
    <x v="0"/>
    <s v="KS AZS AWF Katowice"/>
    <n v="3"/>
    <x v="4"/>
    <x v="0"/>
    <x v="23"/>
  </r>
  <r>
    <s v="GARNCZAREK Kacper"/>
    <x v="0"/>
    <s v="KS AZS AWF Katowice"/>
    <n v="3"/>
    <x v="4"/>
    <x v="1"/>
    <x v="24"/>
  </r>
  <r>
    <s v="GARNCZAREK Kacper"/>
    <x v="0"/>
    <s v="KS AZS AWF Katowice"/>
    <n v="3"/>
    <x v="4"/>
    <x v="2"/>
    <x v="25"/>
  </r>
  <r>
    <s v="GARNCZAREK Kacper"/>
    <x v="0"/>
    <s v="KS AZS AWF Katowice"/>
    <n v="3"/>
    <x v="5"/>
    <x v="0"/>
    <x v="26"/>
  </r>
  <r>
    <s v="GARNCZAREK Kacper"/>
    <x v="0"/>
    <s v="KS AZS AWF Katowice"/>
    <n v="3"/>
    <x v="5"/>
    <x v="1"/>
    <x v="27"/>
  </r>
  <r>
    <s v="GARNCZAREK Kacper"/>
    <x v="0"/>
    <s v="KS AZS AWF Katowice"/>
    <n v="3"/>
    <x v="5"/>
    <x v="2"/>
    <x v="28"/>
  </r>
  <r>
    <s v="LEKHAC Tomasz"/>
    <x v="1"/>
    <s v="CWZS Zawisza KG Bydgoszcz"/>
    <n v="4"/>
    <x v="0"/>
    <x v="0"/>
    <x v="29"/>
  </r>
  <r>
    <s v="LEKHAC Tomasz"/>
    <x v="1"/>
    <s v="CWZS Zawisza KG Bydgoszcz"/>
    <n v="4"/>
    <x v="0"/>
    <x v="1"/>
    <x v="30"/>
  </r>
  <r>
    <s v="LEKHAC Tomasz"/>
    <x v="1"/>
    <s v="CWZS Zawisza KG Bydgoszcz"/>
    <n v="4"/>
    <x v="0"/>
    <x v="2"/>
    <x v="31"/>
  </r>
  <r>
    <s v="LEKHAC Tomasz"/>
    <x v="1"/>
    <s v="CWZS Zawisza KG Bydgoszcz"/>
    <n v="4"/>
    <x v="1"/>
    <x v="0"/>
    <x v="32"/>
  </r>
  <r>
    <s v="LEKHAC Tomasz"/>
    <x v="1"/>
    <s v="CWZS Zawisza KG Bydgoszcz"/>
    <n v="4"/>
    <x v="1"/>
    <x v="1"/>
    <x v="33"/>
  </r>
  <r>
    <s v="LEKHAC Tomasz"/>
    <x v="1"/>
    <s v="CWZS Zawisza KG Bydgoszcz"/>
    <n v="4"/>
    <x v="1"/>
    <x v="2"/>
    <x v="22"/>
  </r>
  <r>
    <s v="LEKHAC Tomasz"/>
    <x v="1"/>
    <s v="CWZS Zawisza KG Bydgoszcz"/>
    <n v="4"/>
    <x v="2"/>
    <x v="0"/>
    <x v="32"/>
  </r>
  <r>
    <s v="LEKHAC Tomasz"/>
    <x v="1"/>
    <s v="CWZS Zawisza KG Bydgoszcz"/>
    <n v="4"/>
    <x v="2"/>
    <x v="1"/>
    <x v="34"/>
  </r>
  <r>
    <s v="LEKHAC Tomasz"/>
    <x v="1"/>
    <s v="CWZS Zawisza KG Bydgoszcz"/>
    <n v="4"/>
    <x v="2"/>
    <x v="2"/>
    <x v="35"/>
  </r>
  <r>
    <s v="LEKHAC Tomasz"/>
    <x v="1"/>
    <s v="CWZS Zawisza KG Bydgoszcz"/>
    <n v="4"/>
    <x v="3"/>
    <x v="0"/>
    <x v="32"/>
  </r>
  <r>
    <s v="LEKHAC Tomasz"/>
    <x v="1"/>
    <s v="CWZS Zawisza KG Bydgoszcz"/>
    <n v="4"/>
    <x v="3"/>
    <x v="1"/>
    <x v="36"/>
  </r>
  <r>
    <s v="LEKHAC Tomasz"/>
    <x v="1"/>
    <s v="CWZS Zawisza KG Bydgoszcz"/>
    <n v="4"/>
    <x v="3"/>
    <x v="2"/>
    <x v="17"/>
  </r>
  <r>
    <s v="LEKHAC Tomasz"/>
    <x v="1"/>
    <s v="CWZS Zawisza KG Bydgoszcz"/>
    <n v="4"/>
    <x v="4"/>
    <x v="0"/>
    <x v="37"/>
  </r>
  <r>
    <s v="LEKHAC Tomasz"/>
    <x v="1"/>
    <s v="CWZS Zawisza KG Bydgoszcz"/>
    <n v="4"/>
    <x v="4"/>
    <x v="1"/>
    <x v="38"/>
  </r>
  <r>
    <s v="LEKHAC Tomasz"/>
    <x v="1"/>
    <s v="CWZS Zawisza KG Bydgoszcz"/>
    <n v="4"/>
    <x v="4"/>
    <x v="2"/>
    <x v="39"/>
  </r>
  <r>
    <s v="LEKHAC Tomasz"/>
    <x v="1"/>
    <s v="CWZS Zawisza KG Bydgoszcz"/>
    <n v="4"/>
    <x v="5"/>
    <x v="0"/>
    <x v="40"/>
  </r>
  <r>
    <s v="LEKHAC Tomasz"/>
    <x v="1"/>
    <s v="CWZS Zawisza KG Bydgoszcz"/>
    <n v="4"/>
    <x v="5"/>
    <x v="1"/>
    <x v="41"/>
  </r>
  <r>
    <s v="LEKHAC Tomasz"/>
    <x v="1"/>
    <s v="CWZS Zawisza KG Bydgoszcz"/>
    <n v="4"/>
    <x v="5"/>
    <x v="2"/>
    <x v="42"/>
  </r>
  <r>
    <s v="WIERZBA Kacper"/>
    <x v="0"/>
    <s v="MKS Gdańsk"/>
    <n v="3"/>
    <x v="0"/>
    <x v="0"/>
    <x v="14"/>
  </r>
  <r>
    <s v="WIERZBA Kacper"/>
    <x v="0"/>
    <s v="MKS Gdańsk"/>
    <n v="3"/>
    <x v="0"/>
    <x v="1"/>
    <x v="14"/>
  </r>
  <r>
    <s v="WIERZBA Kacper"/>
    <x v="0"/>
    <s v="MKS Gdańsk"/>
    <n v="3"/>
    <x v="0"/>
    <x v="2"/>
    <x v="14"/>
  </r>
  <r>
    <s v="WIERZBA Kacper"/>
    <x v="0"/>
    <s v="MKS Gdańsk"/>
    <n v="3"/>
    <x v="1"/>
    <x v="0"/>
    <x v="43"/>
  </r>
  <r>
    <s v="WIERZBA Kacper"/>
    <x v="0"/>
    <s v="MKS Gdańsk"/>
    <n v="3"/>
    <x v="1"/>
    <x v="1"/>
    <x v="44"/>
  </r>
  <r>
    <s v="WIERZBA Kacper"/>
    <x v="0"/>
    <s v="MKS Gdańsk"/>
    <n v="3"/>
    <x v="1"/>
    <x v="2"/>
    <x v="45"/>
  </r>
  <r>
    <s v="WIERZBA Kacper"/>
    <x v="0"/>
    <s v="MKS Gdańsk"/>
    <n v="3"/>
    <x v="2"/>
    <x v="0"/>
    <x v="46"/>
  </r>
  <r>
    <s v="WIERZBA Kacper"/>
    <x v="0"/>
    <s v="MKS Gdańsk"/>
    <n v="3"/>
    <x v="2"/>
    <x v="1"/>
    <x v="47"/>
  </r>
  <r>
    <s v="WIERZBA Kacper"/>
    <x v="0"/>
    <s v="MKS Gdańsk"/>
    <n v="3"/>
    <x v="2"/>
    <x v="2"/>
    <x v="48"/>
  </r>
  <r>
    <s v="WIERZBA Kacper"/>
    <x v="0"/>
    <s v="MKS Gdańsk"/>
    <n v="3"/>
    <x v="3"/>
    <x v="0"/>
    <x v="43"/>
  </r>
  <r>
    <s v="WIERZBA Kacper"/>
    <x v="0"/>
    <s v="MKS Gdańsk"/>
    <n v="3"/>
    <x v="3"/>
    <x v="1"/>
    <x v="1"/>
  </r>
  <r>
    <s v="WIERZBA Kacper"/>
    <x v="0"/>
    <s v="MKS Gdańsk"/>
    <n v="3"/>
    <x v="3"/>
    <x v="2"/>
    <x v="49"/>
  </r>
  <r>
    <s v="WIERZBA Kacper"/>
    <x v="0"/>
    <s v="MKS Gdańsk"/>
    <n v="3"/>
    <x v="4"/>
    <x v="0"/>
    <x v="50"/>
  </r>
  <r>
    <s v="WIERZBA Kacper"/>
    <x v="0"/>
    <s v="MKS Gdańsk"/>
    <n v="3"/>
    <x v="4"/>
    <x v="1"/>
    <x v="51"/>
  </r>
  <r>
    <s v="WIERZBA Kacper"/>
    <x v="0"/>
    <s v="MKS Gdańsk"/>
    <n v="3"/>
    <x v="4"/>
    <x v="2"/>
    <x v="52"/>
  </r>
  <r>
    <s v="WIERZBA Kacper"/>
    <x v="0"/>
    <s v="MKS Gdańsk"/>
    <n v="3"/>
    <x v="5"/>
    <x v="0"/>
    <x v="53"/>
  </r>
  <r>
    <s v="WIERZBA Kacper"/>
    <x v="0"/>
    <s v="MKS Gdańsk"/>
    <n v="3"/>
    <x v="5"/>
    <x v="1"/>
    <x v="54"/>
  </r>
  <r>
    <s v="WIERZBA Kacper"/>
    <x v="0"/>
    <s v="MKS Gdańsk"/>
    <n v="3"/>
    <x v="5"/>
    <x v="2"/>
    <x v="55"/>
  </r>
  <r>
    <s v="KUZDRA Christian"/>
    <x v="1"/>
    <s v="MKS Gdańsk"/>
    <n v="4"/>
    <x v="0"/>
    <x v="0"/>
    <x v="56"/>
  </r>
  <r>
    <s v="KUZDRA Christian"/>
    <x v="1"/>
    <s v="MKS Gdańsk"/>
    <n v="4"/>
    <x v="0"/>
    <x v="1"/>
    <x v="16"/>
  </r>
  <r>
    <s v="KUZDRA Christian"/>
    <x v="1"/>
    <s v="MKS Gdańsk"/>
    <n v="4"/>
    <x v="0"/>
    <x v="2"/>
    <x v="57"/>
  </r>
  <r>
    <s v="KUZDRA Christian"/>
    <x v="1"/>
    <s v="MKS Gdańsk"/>
    <n v="4"/>
    <x v="1"/>
    <x v="0"/>
    <x v="56"/>
  </r>
  <r>
    <s v="KUZDRA Christian"/>
    <x v="1"/>
    <s v="MKS Gdańsk"/>
    <n v="4"/>
    <x v="1"/>
    <x v="1"/>
    <x v="58"/>
  </r>
  <r>
    <s v="KUZDRA Christian"/>
    <x v="1"/>
    <s v="MKS Gdańsk"/>
    <n v="4"/>
    <x v="1"/>
    <x v="2"/>
    <x v="59"/>
  </r>
  <r>
    <s v="KUZDRA Christian"/>
    <x v="1"/>
    <s v="MKS Gdańsk"/>
    <n v="4"/>
    <x v="2"/>
    <x v="0"/>
    <x v="56"/>
  </r>
  <r>
    <s v="KUZDRA Christian"/>
    <x v="1"/>
    <s v="MKS Gdańsk"/>
    <n v="4"/>
    <x v="2"/>
    <x v="1"/>
    <x v="60"/>
  </r>
  <r>
    <s v="KUZDRA Christian"/>
    <x v="1"/>
    <s v="MKS Gdańsk"/>
    <n v="4"/>
    <x v="2"/>
    <x v="2"/>
    <x v="17"/>
  </r>
  <r>
    <s v="KUZDRA Christian"/>
    <x v="1"/>
    <s v="MKS Gdańsk"/>
    <n v="4"/>
    <x v="3"/>
    <x v="0"/>
    <x v="32"/>
  </r>
  <r>
    <s v="KUZDRA Christian"/>
    <x v="1"/>
    <s v="MKS Gdańsk"/>
    <n v="4"/>
    <x v="3"/>
    <x v="1"/>
    <x v="58"/>
  </r>
  <r>
    <s v="KUZDRA Christian"/>
    <x v="1"/>
    <s v="MKS Gdańsk"/>
    <n v="4"/>
    <x v="3"/>
    <x v="2"/>
    <x v="61"/>
  </r>
  <r>
    <s v="KUZDRA Christian"/>
    <x v="1"/>
    <s v="MKS Gdańsk"/>
    <n v="4"/>
    <x v="4"/>
    <x v="0"/>
    <x v="61"/>
  </r>
  <r>
    <s v="KUZDRA Christian"/>
    <x v="1"/>
    <s v="MKS Gdańsk"/>
    <n v="4"/>
    <x v="4"/>
    <x v="1"/>
    <x v="62"/>
  </r>
  <r>
    <s v="KUZDRA Christian"/>
    <x v="1"/>
    <s v="MKS Gdańsk"/>
    <n v="4"/>
    <x v="4"/>
    <x v="2"/>
    <x v="63"/>
  </r>
  <r>
    <s v="KUZDRA Christian"/>
    <x v="1"/>
    <s v="MKS Gdańsk"/>
    <n v="4"/>
    <x v="5"/>
    <x v="0"/>
    <x v="56"/>
  </r>
  <r>
    <s v="KUZDRA Christian"/>
    <x v="1"/>
    <s v="MKS Gdańsk"/>
    <n v="4"/>
    <x v="5"/>
    <x v="1"/>
    <x v="64"/>
  </r>
  <r>
    <s v="KUZDRA Christian"/>
    <x v="1"/>
    <s v="MKS Gdańsk"/>
    <n v="4"/>
    <x v="5"/>
    <x v="2"/>
    <x v="65"/>
  </r>
  <r>
    <s v="CHRUŚCIEL Szymon"/>
    <x v="0"/>
    <s v="KS AZS AWF Kraków"/>
    <n v="4"/>
    <x v="0"/>
    <x v="0"/>
    <x v="66"/>
  </r>
  <r>
    <s v="CHRUŚCIEL Szymon"/>
    <x v="0"/>
    <s v="KS AZS AWF Kraków"/>
    <n v="4"/>
    <x v="0"/>
    <x v="1"/>
    <x v="67"/>
  </r>
  <r>
    <s v="CHRUŚCIEL Szymon"/>
    <x v="0"/>
    <s v="KS AZS AWF Kraków"/>
    <n v="4"/>
    <x v="0"/>
    <x v="2"/>
    <x v="68"/>
  </r>
  <r>
    <s v="CHRUŚCIEL Szymon"/>
    <x v="0"/>
    <s v="KS AZS AWF Kraków"/>
    <n v="4"/>
    <x v="1"/>
    <x v="0"/>
    <x v="69"/>
  </r>
  <r>
    <s v="CHRUŚCIEL Szymon"/>
    <x v="0"/>
    <s v="KS AZS AWF Kraków"/>
    <n v="4"/>
    <x v="1"/>
    <x v="1"/>
    <x v="1"/>
  </r>
  <r>
    <s v="CHRUŚCIEL Szymon"/>
    <x v="0"/>
    <s v="KS AZS AWF Kraków"/>
    <n v="4"/>
    <x v="1"/>
    <x v="2"/>
    <x v="57"/>
  </r>
  <r>
    <s v="CHRUŚCIEL Szymon"/>
    <x v="0"/>
    <s v="KS AZS AWF Kraków"/>
    <n v="4"/>
    <x v="2"/>
    <x v="0"/>
    <x v="70"/>
  </r>
  <r>
    <s v="CHRUŚCIEL Szymon"/>
    <x v="0"/>
    <s v="KS AZS AWF Kraków"/>
    <n v="4"/>
    <x v="2"/>
    <x v="1"/>
    <x v="71"/>
  </r>
  <r>
    <s v="CHRUŚCIEL Szymon"/>
    <x v="0"/>
    <s v="KS AZS AWF Kraków"/>
    <n v="4"/>
    <x v="2"/>
    <x v="2"/>
    <x v="72"/>
  </r>
  <r>
    <s v="CHRUŚCIEL Szymon"/>
    <x v="0"/>
    <s v="KS AZS AWF Kraków"/>
    <n v="4"/>
    <x v="3"/>
    <x v="0"/>
    <x v="73"/>
  </r>
  <r>
    <s v="CHRUŚCIEL Szymon"/>
    <x v="0"/>
    <s v="KS AZS AWF Kraków"/>
    <n v="4"/>
    <x v="3"/>
    <x v="1"/>
    <x v="74"/>
  </r>
  <r>
    <s v="CHRUŚCIEL Szymon"/>
    <x v="0"/>
    <s v="KS AZS AWF Kraków"/>
    <n v="4"/>
    <x v="3"/>
    <x v="2"/>
    <x v="4"/>
  </r>
  <r>
    <s v="CHRUŚCIEL Szymon"/>
    <x v="0"/>
    <s v="KS AZS AWF Kraków"/>
    <n v="4"/>
    <x v="4"/>
    <x v="0"/>
    <x v="75"/>
  </r>
  <r>
    <s v="CHRUŚCIEL Szymon"/>
    <x v="0"/>
    <s v="KS AZS AWF Kraków"/>
    <n v="4"/>
    <x v="4"/>
    <x v="1"/>
    <x v="76"/>
  </r>
  <r>
    <s v="CHRUŚCIEL Szymon"/>
    <x v="0"/>
    <s v="KS AZS AWF Kraków"/>
    <n v="4"/>
    <x v="4"/>
    <x v="2"/>
    <x v="77"/>
  </r>
  <r>
    <s v="CHRUŚCIEL Szymon"/>
    <x v="0"/>
    <s v="KS AZS AWF Kraków"/>
    <n v="4"/>
    <x v="5"/>
    <x v="0"/>
    <x v="78"/>
  </r>
  <r>
    <s v="CHRUŚCIEL Szymon"/>
    <x v="0"/>
    <s v="KS AZS AWF Kraków"/>
    <n v="4"/>
    <x v="5"/>
    <x v="1"/>
    <x v="79"/>
  </r>
  <r>
    <s v="CHRUŚCIEL Szymon"/>
    <x v="0"/>
    <s v="KS AZS AWF Kraków"/>
    <n v="4"/>
    <x v="5"/>
    <x v="2"/>
    <x v="80"/>
  </r>
  <r>
    <s v="KUROWSKI Jakub"/>
    <x v="0"/>
    <s v="MKS Kusy Szczecin"/>
    <n v="4"/>
    <x v="0"/>
    <x v="0"/>
    <x v="81"/>
  </r>
  <r>
    <s v="KUROWSKI Jakub"/>
    <x v="0"/>
    <s v="MKS Kusy Szczecin"/>
    <n v="4"/>
    <x v="0"/>
    <x v="1"/>
    <x v="5"/>
  </r>
  <r>
    <s v="KUROWSKI Jakub"/>
    <x v="0"/>
    <s v="MKS Kusy Szczecin"/>
    <n v="4"/>
    <x v="0"/>
    <x v="2"/>
    <x v="82"/>
  </r>
  <r>
    <s v="KUROWSKI Jakub"/>
    <x v="0"/>
    <s v="MKS Kusy Szczecin"/>
    <n v="4"/>
    <x v="1"/>
    <x v="0"/>
    <x v="83"/>
  </r>
  <r>
    <s v="KUROWSKI Jakub"/>
    <x v="0"/>
    <s v="MKS Kusy Szczecin"/>
    <n v="4"/>
    <x v="1"/>
    <x v="1"/>
    <x v="84"/>
  </r>
  <r>
    <s v="KUROWSKI Jakub"/>
    <x v="0"/>
    <s v="MKS Kusy Szczecin"/>
    <n v="4"/>
    <x v="1"/>
    <x v="2"/>
    <x v="85"/>
  </r>
  <r>
    <s v="KUROWSKI Jakub"/>
    <x v="0"/>
    <s v="MKS Kusy Szczecin"/>
    <n v="4"/>
    <x v="2"/>
    <x v="0"/>
    <x v="29"/>
  </r>
  <r>
    <s v="KUROWSKI Jakub"/>
    <x v="0"/>
    <s v="MKS Kusy Szczecin"/>
    <n v="4"/>
    <x v="2"/>
    <x v="1"/>
    <x v="86"/>
  </r>
  <r>
    <s v="KUROWSKI Jakub"/>
    <x v="0"/>
    <s v="MKS Kusy Szczecin"/>
    <n v="4"/>
    <x v="2"/>
    <x v="2"/>
    <x v="87"/>
  </r>
  <r>
    <s v="KUROWSKI Jakub"/>
    <x v="0"/>
    <s v="MKS Kusy Szczecin"/>
    <n v="4"/>
    <x v="3"/>
    <x v="0"/>
    <x v="29"/>
  </r>
  <r>
    <s v="KUROWSKI Jakub"/>
    <x v="0"/>
    <s v="MKS Kusy Szczecin"/>
    <n v="4"/>
    <x v="3"/>
    <x v="1"/>
    <x v="88"/>
  </r>
  <r>
    <s v="KUROWSKI Jakub"/>
    <x v="0"/>
    <s v="MKS Kusy Szczecin"/>
    <n v="4"/>
    <x v="3"/>
    <x v="2"/>
    <x v="61"/>
  </r>
  <r>
    <s v="KUROWSKI Jakub"/>
    <x v="0"/>
    <s v="MKS Kusy Szczecin"/>
    <n v="4"/>
    <x v="4"/>
    <x v="0"/>
    <x v="16"/>
  </r>
  <r>
    <s v="KUROWSKI Jakub"/>
    <x v="0"/>
    <s v="MKS Kusy Szczecin"/>
    <n v="4"/>
    <x v="4"/>
    <x v="1"/>
    <x v="89"/>
  </r>
  <r>
    <s v="KUROWSKI Jakub"/>
    <x v="0"/>
    <s v="MKS Kusy Szczecin"/>
    <n v="4"/>
    <x v="4"/>
    <x v="2"/>
    <x v="90"/>
  </r>
  <r>
    <s v="KUROWSKI Jakub"/>
    <x v="0"/>
    <s v="MKS Kusy Szczecin"/>
    <n v="4"/>
    <x v="5"/>
    <x v="0"/>
    <x v="91"/>
  </r>
  <r>
    <s v="KUROWSKI Jakub"/>
    <x v="0"/>
    <s v="MKS Kusy Szczecin"/>
    <n v="4"/>
    <x v="5"/>
    <x v="1"/>
    <x v="92"/>
  </r>
  <r>
    <s v="KUROWSKI Jakub"/>
    <x v="0"/>
    <s v="MKS Kusy Szczecin"/>
    <n v="4"/>
    <x v="5"/>
    <x v="2"/>
    <x v="93"/>
  </r>
  <r>
    <s v="KORBIEL Franciszek"/>
    <x v="1"/>
    <s v="KS AZS AWF Kraków"/>
    <n v="4"/>
    <x v="0"/>
    <x v="0"/>
    <x v="94"/>
  </r>
  <r>
    <s v="KORBIEL Franciszek"/>
    <x v="1"/>
    <s v="KS AZS AWF Kraków"/>
    <n v="4"/>
    <x v="0"/>
    <x v="1"/>
    <x v="44"/>
  </r>
  <r>
    <s v="KORBIEL Franciszek"/>
    <x v="1"/>
    <s v="KS AZS AWF Kraków"/>
    <n v="4"/>
    <x v="0"/>
    <x v="2"/>
    <x v="57"/>
  </r>
  <r>
    <s v="KORBIEL Franciszek"/>
    <x v="1"/>
    <s v="KS AZS AWF Kraków"/>
    <n v="4"/>
    <x v="1"/>
    <x v="0"/>
    <x v="94"/>
  </r>
  <r>
    <s v="KORBIEL Franciszek"/>
    <x v="1"/>
    <s v="KS AZS AWF Kraków"/>
    <n v="4"/>
    <x v="1"/>
    <x v="1"/>
    <x v="67"/>
  </r>
  <r>
    <s v="KORBIEL Franciszek"/>
    <x v="1"/>
    <s v="KS AZS AWF Kraków"/>
    <n v="4"/>
    <x v="1"/>
    <x v="2"/>
    <x v="61"/>
  </r>
  <r>
    <s v="KORBIEL Franciszek"/>
    <x v="1"/>
    <s v="KS AZS AWF Kraków"/>
    <n v="4"/>
    <x v="2"/>
    <x v="0"/>
    <x v="95"/>
  </r>
  <r>
    <s v="KORBIEL Franciszek"/>
    <x v="1"/>
    <s v="KS AZS AWF Kraków"/>
    <n v="4"/>
    <x v="2"/>
    <x v="1"/>
    <x v="96"/>
  </r>
  <r>
    <s v="KORBIEL Franciszek"/>
    <x v="1"/>
    <s v="KS AZS AWF Kraków"/>
    <n v="4"/>
    <x v="2"/>
    <x v="2"/>
    <x v="97"/>
  </r>
  <r>
    <s v="KORBIEL Franciszek"/>
    <x v="1"/>
    <s v="KS AZS AWF Kraków"/>
    <n v="4"/>
    <x v="3"/>
    <x v="0"/>
    <x v="69"/>
  </r>
  <r>
    <s v="KORBIEL Franciszek"/>
    <x v="1"/>
    <s v="KS AZS AWF Kraków"/>
    <n v="4"/>
    <x v="3"/>
    <x v="1"/>
    <x v="98"/>
  </r>
  <r>
    <s v="KORBIEL Franciszek"/>
    <x v="1"/>
    <s v="KS AZS AWF Kraków"/>
    <n v="4"/>
    <x v="3"/>
    <x v="2"/>
    <x v="36"/>
  </r>
  <r>
    <s v="KORBIEL Franciszek"/>
    <x v="1"/>
    <s v="KS AZS AWF Kraków"/>
    <n v="4"/>
    <x v="4"/>
    <x v="0"/>
    <x v="33"/>
  </r>
  <r>
    <s v="KORBIEL Franciszek"/>
    <x v="1"/>
    <s v="KS AZS AWF Kraków"/>
    <n v="4"/>
    <x v="4"/>
    <x v="1"/>
    <x v="99"/>
  </r>
  <r>
    <s v="KORBIEL Franciszek"/>
    <x v="1"/>
    <s v="KS AZS AWF Kraków"/>
    <n v="4"/>
    <x v="4"/>
    <x v="2"/>
    <x v="100"/>
  </r>
  <r>
    <s v="KORBIEL Franciszek"/>
    <x v="1"/>
    <s v="KS AZS AWF Kraków"/>
    <n v="4"/>
    <x v="5"/>
    <x v="0"/>
    <x v="101"/>
  </r>
  <r>
    <s v="KORBIEL Franciszek"/>
    <x v="1"/>
    <s v="KS AZS AWF Kraków"/>
    <n v="4"/>
    <x v="5"/>
    <x v="1"/>
    <x v="102"/>
  </r>
  <r>
    <s v="KORBIEL Franciszek"/>
    <x v="1"/>
    <s v="KS AZS AWF Kraków"/>
    <n v="4"/>
    <x v="5"/>
    <x v="2"/>
    <x v="103"/>
  </r>
  <r>
    <s v="LUDYNIA Marceli"/>
    <x v="0"/>
    <s v="KS AZS AWF Katowice"/>
    <n v="4"/>
    <x v="0"/>
    <x v="0"/>
    <x v="95"/>
  </r>
  <r>
    <s v="LUDYNIA Marceli"/>
    <x v="0"/>
    <s v="KS AZS AWF Katowice"/>
    <n v="4"/>
    <x v="0"/>
    <x v="1"/>
    <x v="104"/>
  </r>
  <r>
    <s v="LUDYNIA Marceli"/>
    <x v="0"/>
    <s v="KS AZS AWF Katowice"/>
    <n v="4"/>
    <x v="0"/>
    <x v="2"/>
    <x v="68"/>
  </r>
  <r>
    <s v="LUDYNIA Marceli"/>
    <x v="0"/>
    <s v="KS AZS AWF Katowice"/>
    <n v="4"/>
    <x v="1"/>
    <x v="0"/>
    <x v="32"/>
  </r>
  <r>
    <s v="LUDYNIA Marceli"/>
    <x v="0"/>
    <s v="KS AZS AWF Katowice"/>
    <n v="4"/>
    <x v="1"/>
    <x v="1"/>
    <x v="102"/>
  </r>
  <r>
    <s v="LUDYNIA Marceli"/>
    <x v="0"/>
    <s v="KS AZS AWF Katowice"/>
    <n v="4"/>
    <x v="1"/>
    <x v="2"/>
    <x v="105"/>
  </r>
  <r>
    <s v="LUDYNIA Marceli"/>
    <x v="0"/>
    <s v="KS AZS AWF Katowice"/>
    <n v="4"/>
    <x v="2"/>
    <x v="0"/>
    <x v="32"/>
  </r>
  <r>
    <s v="LUDYNIA Marceli"/>
    <x v="0"/>
    <s v="KS AZS AWF Katowice"/>
    <n v="4"/>
    <x v="2"/>
    <x v="1"/>
    <x v="106"/>
  </r>
  <r>
    <s v="LUDYNIA Marceli"/>
    <x v="0"/>
    <s v="KS AZS AWF Katowice"/>
    <n v="4"/>
    <x v="2"/>
    <x v="2"/>
    <x v="59"/>
  </r>
  <r>
    <s v="LUDYNIA Marceli"/>
    <x v="0"/>
    <s v="KS AZS AWF Katowice"/>
    <n v="4"/>
    <x v="3"/>
    <x v="0"/>
    <x v="29"/>
  </r>
  <r>
    <s v="LUDYNIA Marceli"/>
    <x v="0"/>
    <s v="KS AZS AWF Katowice"/>
    <n v="4"/>
    <x v="3"/>
    <x v="1"/>
    <x v="107"/>
  </r>
  <r>
    <s v="LUDYNIA Marceli"/>
    <x v="0"/>
    <s v="KS AZS AWF Katowice"/>
    <n v="4"/>
    <x v="3"/>
    <x v="2"/>
    <x v="5"/>
  </r>
  <r>
    <s v="LUDYNIA Marceli"/>
    <x v="0"/>
    <s v="KS AZS AWF Katowice"/>
    <n v="4"/>
    <x v="4"/>
    <x v="0"/>
    <x v="108"/>
  </r>
  <r>
    <s v="LUDYNIA Marceli"/>
    <x v="0"/>
    <s v="KS AZS AWF Katowice"/>
    <n v="4"/>
    <x v="4"/>
    <x v="1"/>
    <x v="109"/>
  </r>
  <r>
    <s v="LUDYNIA Marceli"/>
    <x v="0"/>
    <s v="KS AZS AWF Katowice"/>
    <n v="4"/>
    <x v="4"/>
    <x v="2"/>
    <x v="110"/>
  </r>
  <r>
    <s v="LUDYNIA Marceli"/>
    <x v="0"/>
    <s v="KS AZS AWF Katowice"/>
    <n v="4"/>
    <x v="5"/>
    <x v="0"/>
    <x v="111"/>
  </r>
  <r>
    <s v="LUDYNIA Marceli"/>
    <x v="0"/>
    <s v="KS AZS AWF Katowice"/>
    <n v="4"/>
    <x v="5"/>
    <x v="1"/>
    <x v="112"/>
  </r>
  <r>
    <s v="LUDYNIA Marceli"/>
    <x v="0"/>
    <s v="KS AZS AWF Katowice"/>
    <n v="4"/>
    <x v="5"/>
    <x v="2"/>
    <x v="113"/>
  </r>
  <r>
    <s v="BOBER Michał"/>
    <x v="0"/>
    <s v="UKS SP7 Łódź"/>
    <n v="4"/>
    <x v="0"/>
    <x v="0"/>
    <x v="94"/>
  </r>
  <r>
    <s v="BOBER Michał"/>
    <x v="0"/>
    <s v="UKS SP7 Łódź"/>
    <n v="4"/>
    <x v="0"/>
    <x v="1"/>
    <x v="67"/>
  </r>
  <r>
    <s v="BOBER Michał"/>
    <x v="0"/>
    <s v="UKS SP7 Łódź"/>
    <n v="4"/>
    <x v="0"/>
    <x v="2"/>
    <x v="61"/>
  </r>
  <r>
    <s v="BOBER Michał"/>
    <x v="0"/>
    <s v="UKS SP7 Łódź"/>
    <n v="4"/>
    <x v="1"/>
    <x v="0"/>
    <x v="29"/>
  </r>
  <r>
    <s v="BOBER Michał"/>
    <x v="0"/>
    <s v="UKS SP7 Łódź"/>
    <n v="4"/>
    <x v="1"/>
    <x v="1"/>
    <x v="58"/>
  </r>
  <r>
    <s v="BOBER Michał"/>
    <x v="0"/>
    <s v="UKS SP7 Łódź"/>
    <n v="4"/>
    <x v="1"/>
    <x v="2"/>
    <x v="114"/>
  </r>
  <r>
    <s v="BOBER Michał"/>
    <x v="0"/>
    <s v="UKS SP7 Łódź"/>
    <n v="4"/>
    <x v="2"/>
    <x v="0"/>
    <x v="94"/>
  </r>
  <r>
    <s v="BOBER Michał"/>
    <x v="0"/>
    <s v="UKS SP7 Łódź"/>
    <n v="4"/>
    <x v="2"/>
    <x v="1"/>
    <x v="115"/>
  </r>
  <r>
    <s v="BOBER Michał"/>
    <x v="0"/>
    <s v="UKS SP7 Łódź"/>
    <n v="4"/>
    <x v="2"/>
    <x v="2"/>
    <x v="45"/>
  </r>
  <r>
    <s v="BOBER Michał"/>
    <x v="0"/>
    <s v="UKS SP7 Łódź"/>
    <n v="4"/>
    <x v="3"/>
    <x v="0"/>
    <x v="29"/>
  </r>
  <r>
    <s v="BOBER Michał"/>
    <x v="0"/>
    <s v="UKS SP7 Łódź"/>
    <n v="4"/>
    <x v="3"/>
    <x v="1"/>
    <x v="104"/>
  </r>
  <r>
    <s v="BOBER Michał"/>
    <x v="0"/>
    <s v="UKS SP7 Łódź"/>
    <n v="4"/>
    <x v="3"/>
    <x v="2"/>
    <x v="116"/>
  </r>
  <r>
    <s v="BOBER Michał"/>
    <x v="0"/>
    <s v="UKS SP7 Łódź"/>
    <n v="4"/>
    <x v="4"/>
    <x v="0"/>
    <x v="60"/>
  </r>
  <r>
    <s v="BOBER Michał"/>
    <x v="0"/>
    <s v="UKS SP7 Łódź"/>
    <n v="4"/>
    <x v="4"/>
    <x v="1"/>
    <x v="117"/>
  </r>
  <r>
    <s v="BOBER Michał"/>
    <x v="0"/>
    <s v="UKS SP7 Łódź"/>
    <n v="4"/>
    <x v="4"/>
    <x v="2"/>
    <x v="118"/>
  </r>
  <r>
    <s v="BOBER Michał"/>
    <x v="0"/>
    <s v="UKS SP7 Łódź"/>
    <n v="4"/>
    <x v="5"/>
    <x v="0"/>
    <x v="119"/>
  </r>
  <r>
    <s v="BOBER Michał"/>
    <x v="0"/>
    <s v="UKS SP7 Łódź"/>
    <n v="4"/>
    <x v="5"/>
    <x v="1"/>
    <x v="120"/>
  </r>
  <r>
    <s v="BOBER Michał"/>
    <x v="0"/>
    <s v="UKS SP7 Łódź"/>
    <n v="4"/>
    <x v="5"/>
    <x v="2"/>
    <x v="121"/>
  </r>
  <r>
    <s v="KOŁODZIEJCZYK Karol"/>
    <x v="1"/>
    <s v="KS AZS AWF Kraków"/>
    <n v="4"/>
    <x v="0"/>
    <x v="0"/>
    <x v="122"/>
  </r>
  <r>
    <s v="KOŁODZIEJCZYK Karol"/>
    <x v="1"/>
    <s v="KS AZS AWF Kraków"/>
    <n v="4"/>
    <x v="0"/>
    <x v="1"/>
    <x v="44"/>
  </r>
  <r>
    <s v="KOŁODZIEJCZYK Karol"/>
    <x v="1"/>
    <s v="KS AZS AWF Kraków"/>
    <n v="4"/>
    <x v="0"/>
    <x v="2"/>
    <x v="61"/>
  </r>
  <r>
    <s v="KOŁODZIEJCZYK Karol"/>
    <x v="1"/>
    <s v="KS AZS AWF Kraków"/>
    <n v="4"/>
    <x v="1"/>
    <x v="0"/>
    <x v="122"/>
  </r>
  <r>
    <s v="KOŁODZIEJCZYK Karol"/>
    <x v="1"/>
    <s v="KS AZS AWF Kraków"/>
    <n v="4"/>
    <x v="1"/>
    <x v="1"/>
    <x v="123"/>
  </r>
  <r>
    <s v="KOŁODZIEJCZYK Karol"/>
    <x v="1"/>
    <s v="KS AZS AWF Kraków"/>
    <n v="4"/>
    <x v="1"/>
    <x v="2"/>
    <x v="124"/>
  </r>
  <r>
    <s v="KOŁODZIEJCZYK Karol"/>
    <x v="1"/>
    <s v="KS AZS AWF Kraków"/>
    <n v="4"/>
    <x v="2"/>
    <x v="0"/>
    <x v="32"/>
  </r>
  <r>
    <s v="KOŁODZIEJCZYK Karol"/>
    <x v="1"/>
    <s v="KS AZS AWF Kraków"/>
    <n v="4"/>
    <x v="2"/>
    <x v="1"/>
    <x v="18"/>
  </r>
  <r>
    <s v="KOŁODZIEJCZYK Karol"/>
    <x v="1"/>
    <s v="KS AZS AWF Kraków"/>
    <n v="4"/>
    <x v="2"/>
    <x v="2"/>
    <x v="125"/>
  </r>
  <r>
    <s v="KOŁODZIEJCZYK Karol"/>
    <x v="1"/>
    <s v="KS AZS AWF Kraków"/>
    <n v="4"/>
    <x v="3"/>
    <x v="0"/>
    <x v="126"/>
  </r>
  <r>
    <s v="KOŁODZIEJCZYK Karol"/>
    <x v="1"/>
    <s v="KS AZS AWF Kraków"/>
    <n v="4"/>
    <x v="3"/>
    <x v="1"/>
    <x v="58"/>
  </r>
  <r>
    <s v="KOŁODZIEJCZYK Karol"/>
    <x v="1"/>
    <s v="KS AZS AWF Kraków"/>
    <n v="4"/>
    <x v="3"/>
    <x v="2"/>
    <x v="127"/>
  </r>
  <r>
    <s v="KOŁODZIEJCZYK Karol"/>
    <x v="1"/>
    <s v="KS AZS AWF Kraków"/>
    <n v="4"/>
    <x v="4"/>
    <x v="0"/>
    <x v="58"/>
  </r>
  <r>
    <s v="KOŁODZIEJCZYK Karol"/>
    <x v="1"/>
    <s v="KS AZS AWF Kraków"/>
    <n v="4"/>
    <x v="4"/>
    <x v="1"/>
    <x v="128"/>
  </r>
  <r>
    <s v="KOŁODZIEJCZYK Karol"/>
    <x v="1"/>
    <s v="KS AZS AWF Kraków"/>
    <n v="4"/>
    <x v="4"/>
    <x v="2"/>
    <x v="129"/>
  </r>
  <r>
    <s v="KOŁODZIEJCZYK Karol"/>
    <x v="1"/>
    <s v="KS AZS AWF Kraków"/>
    <n v="4"/>
    <x v="5"/>
    <x v="0"/>
    <x v="73"/>
  </r>
  <r>
    <s v="KOŁODZIEJCZYK Karol"/>
    <x v="1"/>
    <s v="KS AZS AWF Kraków"/>
    <n v="4"/>
    <x v="5"/>
    <x v="1"/>
    <x v="130"/>
  </r>
  <r>
    <s v="KOŁODZIEJCZYK Karol"/>
    <x v="1"/>
    <s v="KS AZS AWF Kraków"/>
    <n v="4"/>
    <x v="5"/>
    <x v="2"/>
    <x v="131"/>
  </r>
  <r>
    <s v="KWIATKOWSKI Michał"/>
    <x v="1"/>
    <s v="MKS Kusy Szczecin"/>
    <n v="4"/>
    <x v="0"/>
    <x v="0"/>
    <x v="95"/>
  </r>
  <r>
    <s v="KWIATKOWSKI Michał"/>
    <x v="1"/>
    <s v="MKS Kusy Szczecin"/>
    <n v="4"/>
    <x v="0"/>
    <x v="1"/>
    <x v="132"/>
  </r>
  <r>
    <s v="KWIATKOWSKI Michał"/>
    <x v="1"/>
    <s v="MKS Kusy Szczecin"/>
    <n v="4"/>
    <x v="0"/>
    <x v="2"/>
    <x v="57"/>
  </r>
  <r>
    <s v="KWIATKOWSKI Michał"/>
    <x v="1"/>
    <s v="MKS Kusy Szczecin"/>
    <n v="4"/>
    <x v="1"/>
    <x v="0"/>
    <x v="66"/>
  </r>
  <r>
    <s v="KWIATKOWSKI Michał"/>
    <x v="1"/>
    <s v="MKS Kusy Szczecin"/>
    <n v="4"/>
    <x v="1"/>
    <x v="1"/>
    <x v="44"/>
  </r>
  <r>
    <s v="KWIATKOWSKI Michał"/>
    <x v="1"/>
    <s v="MKS Kusy Szczecin"/>
    <n v="4"/>
    <x v="1"/>
    <x v="2"/>
    <x v="133"/>
  </r>
  <r>
    <s v="KWIATKOWSKI Michał"/>
    <x v="1"/>
    <s v="MKS Kusy Szczecin"/>
    <n v="4"/>
    <x v="2"/>
    <x v="0"/>
    <x v="95"/>
  </r>
  <r>
    <s v="KWIATKOWSKI Michał"/>
    <x v="1"/>
    <s v="MKS Kusy Szczecin"/>
    <n v="4"/>
    <x v="2"/>
    <x v="1"/>
    <x v="26"/>
  </r>
  <r>
    <s v="KWIATKOWSKI Michał"/>
    <x v="1"/>
    <s v="MKS Kusy Szczecin"/>
    <n v="4"/>
    <x v="2"/>
    <x v="2"/>
    <x v="44"/>
  </r>
  <r>
    <s v="KWIATKOWSKI Michał"/>
    <x v="1"/>
    <s v="MKS Kusy Szczecin"/>
    <n v="4"/>
    <x v="3"/>
    <x v="0"/>
    <x v="70"/>
  </r>
  <r>
    <s v="KWIATKOWSKI Michał"/>
    <x v="1"/>
    <s v="MKS Kusy Szczecin"/>
    <n v="4"/>
    <x v="3"/>
    <x v="1"/>
    <x v="134"/>
  </r>
  <r>
    <s v="KWIATKOWSKI Michał"/>
    <x v="1"/>
    <s v="MKS Kusy Szczecin"/>
    <n v="4"/>
    <x v="3"/>
    <x v="2"/>
    <x v="33"/>
  </r>
  <r>
    <s v="KWIATKOWSKI Michał"/>
    <x v="1"/>
    <s v="MKS Kusy Szczecin"/>
    <n v="4"/>
    <x v="4"/>
    <x v="0"/>
    <x v="135"/>
  </r>
  <r>
    <s v="KWIATKOWSKI Michał"/>
    <x v="1"/>
    <s v="MKS Kusy Szczecin"/>
    <n v="4"/>
    <x v="4"/>
    <x v="1"/>
    <x v="136"/>
  </r>
  <r>
    <s v="KWIATKOWSKI Michał"/>
    <x v="1"/>
    <s v="MKS Kusy Szczecin"/>
    <n v="4"/>
    <x v="4"/>
    <x v="2"/>
    <x v="137"/>
  </r>
  <r>
    <s v="KWIATKOWSKI Michał"/>
    <x v="1"/>
    <s v="MKS Kusy Szczecin"/>
    <n v="4"/>
    <x v="5"/>
    <x v="0"/>
    <x v="138"/>
  </r>
  <r>
    <s v="KWIATKOWSKI Michał"/>
    <x v="1"/>
    <s v="MKS Kusy Szczecin"/>
    <n v="4"/>
    <x v="5"/>
    <x v="1"/>
    <x v="139"/>
  </r>
  <r>
    <s v="KWIATKOWSKI Michał"/>
    <x v="1"/>
    <s v="MKS Kusy Szczecin"/>
    <n v="4"/>
    <x v="5"/>
    <x v="2"/>
    <x v="140"/>
  </r>
  <r>
    <s v="MOSKAL Błażej"/>
    <x v="1"/>
    <s v="MKS Gdańsk"/>
    <n v="4"/>
    <x v="0"/>
    <x v="0"/>
    <x v="141"/>
  </r>
  <r>
    <s v="MOSKAL Błażej"/>
    <x v="1"/>
    <s v="MKS Gdańsk"/>
    <n v="4"/>
    <x v="0"/>
    <x v="1"/>
    <x v="1"/>
  </r>
  <r>
    <s v="MOSKAL Błażej"/>
    <x v="1"/>
    <s v="MKS Gdańsk"/>
    <n v="4"/>
    <x v="0"/>
    <x v="2"/>
    <x v="116"/>
  </r>
  <r>
    <s v="MOSKAL Błażej"/>
    <x v="1"/>
    <s v="MKS Gdańsk"/>
    <n v="4"/>
    <x v="1"/>
    <x v="0"/>
    <x v="141"/>
  </r>
  <r>
    <s v="MOSKAL Błażej"/>
    <x v="1"/>
    <s v="MKS Gdańsk"/>
    <n v="4"/>
    <x v="1"/>
    <x v="1"/>
    <x v="106"/>
  </r>
  <r>
    <s v="MOSKAL Błażej"/>
    <x v="1"/>
    <s v="MKS Gdańsk"/>
    <n v="4"/>
    <x v="1"/>
    <x v="2"/>
    <x v="114"/>
  </r>
  <r>
    <s v="MOSKAL Błażej"/>
    <x v="1"/>
    <s v="MKS Gdańsk"/>
    <n v="4"/>
    <x v="2"/>
    <x v="0"/>
    <x v="141"/>
  </r>
  <r>
    <s v="MOSKAL Błażej"/>
    <x v="1"/>
    <s v="MKS Gdańsk"/>
    <n v="4"/>
    <x v="2"/>
    <x v="1"/>
    <x v="60"/>
  </r>
  <r>
    <s v="MOSKAL Błażej"/>
    <x v="1"/>
    <s v="MKS Gdańsk"/>
    <n v="4"/>
    <x v="2"/>
    <x v="2"/>
    <x v="82"/>
  </r>
  <r>
    <s v="MOSKAL Błażej"/>
    <x v="1"/>
    <s v="MKS Gdańsk"/>
    <n v="4"/>
    <x v="3"/>
    <x v="0"/>
    <x v="141"/>
  </r>
  <r>
    <s v="MOSKAL Błażej"/>
    <x v="1"/>
    <s v="MKS Gdańsk"/>
    <n v="4"/>
    <x v="3"/>
    <x v="1"/>
    <x v="106"/>
  </r>
  <r>
    <s v="MOSKAL Błażej"/>
    <x v="1"/>
    <s v="MKS Gdańsk"/>
    <n v="4"/>
    <x v="3"/>
    <x v="2"/>
    <x v="114"/>
  </r>
  <r>
    <s v="MOSKAL Błażej"/>
    <x v="1"/>
    <s v="MKS Gdańsk"/>
    <n v="4"/>
    <x v="4"/>
    <x v="0"/>
    <x v="142"/>
  </r>
  <r>
    <s v="MOSKAL Błażej"/>
    <x v="1"/>
    <s v="MKS Gdańsk"/>
    <n v="4"/>
    <x v="4"/>
    <x v="1"/>
    <x v="143"/>
  </r>
  <r>
    <s v="MOSKAL Błażej"/>
    <x v="1"/>
    <s v="MKS Gdańsk"/>
    <n v="4"/>
    <x v="4"/>
    <x v="2"/>
    <x v="144"/>
  </r>
  <r>
    <s v="MOSKAL Błażej"/>
    <x v="1"/>
    <s v="MKS Gdańsk"/>
    <n v="4"/>
    <x v="5"/>
    <x v="0"/>
    <x v="145"/>
  </r>
  <r>
    <s v="MOSKAL Błażej"/>
    <x v="1"/>
    <s v="MKS Gdańsk"/>
    <n v="4"/>
    <x v="5"/>
    <x v="1"/>
    <x v="146"/>
  </r>
  <r>
    <s v="MOSKAL Błażej"/>
    <x v="1"/>
    <s v="MKS Gdańsk"/>
    <n v="4"/>
    <x v="5"/>
    <x v="2"/>
    <x v="147"/>
  </r>
  <r>
    <s v="BRACKI Borys"/>
    <x v="0"/>
    <s v="KS AZS AWF Katowice"/>
    <n v="4"/>
    <x v="0"/>
    <x v="0"/>
    <x v="94"/>
  </r>
  <r>
    <s v="BRACKI Borys"/>
    <x v="0"/>
    <s v="KS AZS AWF Katowice"/>
    <n v="4"/>
    <x v="0"/>
    <x v="1"/>
    <x v="88"/>
  </r>
  <r>
    <s v="BRACKI Borys"/>
    <x v="0"/>
    <s v="KS AZS AWF Katowice"/>
    <n v="4"/>
    <x v="0"/>
    <x v="2"/>
    <x v="50"/>
  </r>
  <r>
    <s v="BRACKI Borys"/>
    <x v="0"/>
    <s v="KS AZS AWF Katowice"/>
    <n v="4"/>
    <x v="1"/>
    <x v="0"/>
    <x v="73"/>
  </r>
  <r>
    <s v="BRACKI Borys"/>
    <x v="0"/>
    <s v="KS AZS AWF Katowice"/>
    <n v="4"/>
    <x v="1"/>
    <x v="1"/>
    <x v="123"/>
  </r>
  <r>
    <s v="BRACKI Borys"/>
    <x v="0"/>
    <s v="KS AZS AWF Katowice"/>
    <n v="4"/>
    <x v="1"/>
    <x v="2"/>
    <x v="68"/>
  </r>
  <r>
    <s v="BRACKI Borys"/>
    <x v="0"/>
    <s v="KS AZS AWF Katowice"/>
    <n v="4"/>
    <x v="2"/>
    <x v="0"/>
    <x v="73"/>
  </r>
  <r>
    <s v="BRACKI Borys"/>
    <x v="0"/>
    <s v="KS AZS AWF Katowice"/>
    <n v="4"/>
    <x v="2"/>
    <x v="1"/>
    <x v="67"/>
  </r>
  <r>
    <s v="BRACKI Borys"/>
    <x v="0"/>
    <s v="KS AZS AWF Katowice"/>
    <n v="4"/>
    <x v="2"/>
    <x v="2"/>
    <x v="148"/>
  </r>
  <r>
    <s v="BRACKI Borys"/>
    <x v="0"/>
    <s v="KS AZS AWF Katowice"/>
    <n v="4"/>
    <x v="3"/>
    <x v="0"/>
    <x v="83"/>
  </r>
  <r>
    <s v="BRACKI Borys"/>
    <x v="0"/>
    <s v="KS AZS AWF Katowice"/>
    <n v="4"/>
    <x v="3"/>
    <x v="1"/>
    <x v="149"/>
  </r>
  <r>
    <s v="BRACKI Borys"/>
    <x v="0"/>
    <s v="KS AZS AWF Katowice"/>
    <n v="4"/>
    <x v="3"/>
    <x v="2"/>
    <x v="66"/>
  </r>
  <r>
    <s v="BRACKI Borys"/>
    <x v="0"/>
    <s v="KS AZS AWF Katowice"/>
    <n v="4"/>
    <x v="4"/>
    <x v="0"/>
    <x v="1"/>
  </r>
  <r>
    <s v="BRACKI Borys"/>
    <x v="0"/>
    <s v="KS AZS AWF Katowice"/>
    <n v="4"/>
    <x v="4"/>
    <x v="1"/>
    <x v="150"/>
  </r>
  <r>
    <s v="BRACKI Borys"/>
    <x v="0"/>
    <s v="KS AZS AWF Katowice"/>
    <n v="4"/>
    <x v="4"/>
    <x v="2"/>
    <x v="151"/>
  </r>
  <r>
    <s v="BRACKI Borys"/>
    <x v="0"/>
    <s v="KS AZS AWF Katowice"/>
    <n v="4"/>
    <x v="5"/>
    <x v="0"/>
    <x v="152"/>
  </r>
  <r>
    <s v="BRACKI Borys"/>
    <x v="0"/>
    <s v="KS AZS AWF Katowice"/>
    <n v="4"/>
    <x v="5"/>
    <x v="1"/>
    <x v="153"/>
  </r>
  <r>
    <s v="BRACKI Borys"/>
    <x v="0"/>
    <s v="KS AZS AWF Katowice"/>
    <n v="4"/>
    <x v="5"/>
    <x v="2"/>
    <x v="154"/>
  </r>
  <r>
    <s v="CZARNECKI Aleksander"/>
    <x v="1"/>
    <s v="MKS Kusy Szczecin"/>
    <n v="3"/>
    <x v="0"/>
    <x v="0"/>
    <x v="122"/>
  </r>
  <r>
    <s v="CZARNECKI Aleksander"/>
    <x v="1"/>
    <s v="MKS Kusy Szczecin"/>
    <n v="3"/>
    <x v="0"/>
    <x v="1"/>
    <x v="123"/>
  </r>
  <r>
    <s v="CZARNECKI Aleksander"/>
    <x v="1"/>
    <s v="MKS Kusy Szczecin"/>
    <n v="3"/>
    <x v="0"/>
    <x v="2"/>
    <x v="124"/>
  </r>
  <r>
    <s v="CZARNECKI Aleksander"/>
    <x v="1"/>
    <s v="MKS Kusy Szczecin"/>
    <n v="3"/>
    <x v="1"/>
    <x v="0"/>
    <x v="94"/>
  </r>
  <r>
    <s v="CZARNECKI Aleksander"/>
    <x v="1"/>
    <s v="MKS Kusy Szczecin"/>
    <n v="3"/>
    <x v="1"/>
    <x v="1"/>
    <x v="123"/>
  </r>
  <r>
    <s v="CZARNECKI Aleksander"/>
    <x v="1"/>
    <s v="MKS Kusy Szczecin"/>
    <n v="3"/>
    <x v="1"/>
    <x v="2"/>
    <x v="59"/>
  </r>
  <r>
    <s v="CZARNECKI Aleksander"/>
    <x v="1"/>
    <s v="MKS Kusy Szczecin"/>
    <n v="3"/>
    <x v="2"/>
    <x v="0"/>
    <x v="14"/>
  </r>
  <r>
    <s v="CZARNECKI Aleksander"/>
    <x v="1"/>
    <s v="MKS Kusy Szczecin"/>
    <n v="3"/>
    <x v="2"/>
    <x v="1"/>
    <x v="14"/>
  </r>
  <r>
    <s v="CZARNECKI Aleksander"/>
    <x v="1"/>
    <s v="MKS Kusy Szczecin"/>
    <n v="3"/>
    <x v="2"/>
    <x v="2"/>
    <x v="14"/>
  </r>
  <r>
    <s v="CZARNECKI Aleksander"/>
    <x v="1"/>
    <s v="MKS Kusy Szczecin"/>
    <n v="3"/>
    <x v="3"/>
    <x v="0"/>
    <x v="32"/>
  </r>
  <r>
    <s v="CZARNECKI Aleksander"/>
    <x v="1"/>
    <s v="MKS Kusy Szczecin"/>
    <n v="3"/>
    <x v="3"/>
    <x v="1"/>
    <x v="155"/>
  </r>
  <r>
    <s v="CZARNECKI Aleksander"/>
    <x v="1"/>
    <s v="MKS Kusy Szczecin"/>
    <n v="3"/>
    <x v="3"/>
    <x v="2"/>
    <x v="135"/>
  </r>
  <r>
    <s v="CZARNECKI Aleksander"/>
    <x v="1"/>
    <s v="MKS Kusy Szczecin"/>
    <n v="3"/>
    <x v="4"/>
    <x v="0"/>
    <x v="115"/>
  </r>
  <r>
    <s v="CZARNECKI Aleksander"/>
    <x v="1"/>
    <s v="MKS Kusy Szczecin"/>
    <n v="3"/>
    <x v="4"/>
    <x v="1"/>
    <x v="156"/>
  </r>
  <r>
    <s v="CZARNECKI Aleksander"/>
    <x v="1"/>
    <s v="MKS Kusy Szczecin"/>
    <n v="3"/>
    <x v="4"/>
    <x v="2"/>
    <x v="157"/>
  </r>
  <r>
    <s v="CZARNECKI Aleksander"/>
    <x v="1"/>
    <s v="MKS Kusy Szczecin"/>
    <n v="3"/>
    <x v="5"/>
    <x v="0"/>
    <x v="158"/>
  </r>
  <r>
    <s v="CZARNECKI Aleksander"/>
    <x v="1"/>
    <s v="MKS Kusy Szczecin"/>
    <n v="3"/>
    <x v="5"/>
    <x v="1"/>
    <x v="58"/>
  </r>
  <r>
    <s v="CZARNECKI Aleksander"/>
    <x v="1"/>
    <s v="MKS Kusy Szczecin"/>
    <n v="3"/>
    <x v="5"/>
    <x v="2"/>
    <x v="159"/>
  </r>
  <r>
    <s v="KOPERSKI Filip"/>
    <x v="1"/>
    <s v="KS AZS AWF Kraków"/>
    <n v="3"/>
    <x v="0"/>
    <x v="0"/>
    <x v="14"/>
  </r>
  <r>
    <s v="KOPERSKI Filip"/>
    <x v="1"/>
    <s v="KS AZS AWF Kraków"/>
    <n v="3"/>
    <x v="0"/>
    <x v="1"/>
    <x v="14"/>
  </r>
  <r>
    <s v="KOPERSKI Filip"/>
    <x v="1"/>
    <s v="KS AZS AWF Kraków"/>
    <n v="3"/>
    <x v="0"/>
    <x v="2"/>
    <x v="14"/>
  </r>
  <r>
    <s v="KOPERSKI Filip"/>
    <x v="1"/>
    <s v="KS AZS AWF Kraków"/>
    <n v="3"/>
    <x v="1"/>
    <x v="0"/>
    <x v="32"/>
  </r>
  <r>
    <s v="KOPERSKI Filip"/>
    <x v="1"/>
    <s v="KS AZS AWF Kraków"/>
    <n v="3"/>
    <x v="1"/>
    <x v="1"/>
    <x v="1"/>
  </r>
  <r>
    <s v="KOPERSKI Filip"/>
    <x v="1"/>
    <s v="KS AZS AWF Kraków"/>
    <n v="3"/>
    <x v="1"/>
    <x v="2"/>
    <x v="160"/>
  </r>
  <r>
    <s v="KOPERSKI Filip"/>
    <x v="1"/>
    <s v="KS AZS AWF Kraków"/>
    <n v="3"/>
    <x v="2"/>
    <x v="0"/>
    <x v="29"/>
  </r>
  <r>
    <s v="KOPERSKI Filip"/>
    <x v="1"/>
    <s v="KS AZS AWF Kraków"/>
    <n v="3"/>
    <x v="2"/>
    <x v="1"/>
    <x v="96"/>
  </r>
  <r>
    <s v="KOPERSKI Filip"/>
    <x v="1"/>
    <s v="KS AZS AWF Kraków"/>
    <n v="3"/>
    <x v="2"/>
    <x v="2"/>
    <x v="105"/>
  </r>
  <r>
    <s v="KOPERSKI Filip"/>
    <x v="1"/>
    <s v="KS AZS AWF Kraków"/>
    <n v="3"/>
    <x v="3"/>
    <x v="0"/>
    <x v="122"/>
  </r>
  <r>
    <s v="KOPERSKI Filip"/>
    <x v="1"/>
    <s v="KS AZS AWF Kraków"/>
    <n v="3"/>
    <x v="3"/>
    <x v="1"/>
    <x v="67"/>
  </r>
  <r>
    <s v="KOPERSKI Filip"/>
    <x v="1"/>
    <s v="KS AZS AWF Kraków"/>
    <n v="3"/>
    <x v="3"/>
    <x v="2"/>
    <x v="161"/>
  </r>
  <r>
    <s v="KOPERSKI Filip"/>
    <x v="1"/>
    <s v="KS AZS AWF Kraków"/>
    <n v="3"/>
    <x v="4"/>
    <x v="0"/>
    <x v="162"/>
  </r>
  <r>
    <s v="KOPERSKI Filip"/>
    <x v="1"/>
    <s v="KS AZS AWF Kraków"/>
    <n v="3"/>
    <x v="4"/>
    <x v="1"/>
    <x v="163"/>
  </r>
  <r>
    <s v="KOPERSKI Filip"/>
    <x v="1"/>
    <s v="KS AZS AWF Kraków"/>
    <n v="3"/>
    <x v="4"/>
    <x v="2"/>
    <x v="164"/>
  </r>
  <r>
    <s v="KOPERSKI Filip"/>
    <x v="1"/>
    <s v="KS AZS AWF Kraków"/>
    <n v="3"/>
    <x v="5"/>
    <x v="0"/>
    <x v="165"/>
  </r>
  <r>
    <s v="KOPERSKI Filip"/>
    <x v="1"/>
    <s v="KS AZS AWF Kraków"/>
    <n v="3"/>
    <x v="5"/>
    <x v="1"/>
    <x v="166"/>
  </r>
  <r>
    <s v="KOPERSKI Filip"/>
    <x v="1"/>
    <s v="KS AZS AWF Kraków"/>
    <n v="3"/>
    <x v="5"/>
    <x v="2"/>
    <x v="167"/>
  </r>
  <r>
    <s v="JANKOWSKI Dominik"/>
    <x v="1"/>
    <s v="MKS Gdańsk"/>
    <n v="3"/>
    <x v="0"/>
    <x v="0"/>
    <x v="14"/>
  </r>
  <r>
    <s v="JANKOWSKI Dominik"/>
    <x v="1"/>
    <s v="MKS Gdańsk"/>
    <n v="3"/>
    <x v="0"/>
    <x v="1"/>
    <x v="14"/>
  </r>
  <r>
    <s v="JANKOWSKI Dominik"/>
    <x v="1"/>
    <s v="MKS Gdańsk"/>
    <n v="3"/>
    <x v="0"/>
    <x v="2"/>
    <x v="14"/>
  </r>
  <r>
    <s v="JANKOWSKI Dominik"/>
    <x v="1"/>
    <s v="MKS Gdańsk"/>
    <n v="3"/>
    <x v="1"/>
    <x v="0"/>
    <x v="168"/>
  </r>
  <r>
    <s v="JANKOWSKI Dominik"/>
    <x v="1"/>
    <s v="MKS Gdańsk"/>
    <n v="3"/>
    <x v="1"/>
    <x v="1"/>
    <x v="5"/>
  </r>
  <r>
    <s v="JANKOWSKI Dominik"/>
    <x v="1"/>
    <s v="MKS Gdańsk"/>
    <n v="3"/>
    <x v="1"/>
    <x v="2"/>
    <x v="61"/>
  </r>
  <r>
    <s v="JANKOWSKI Dominik"/>
    <x v="1"/>
    <s v="MKS Gdańsk"/>
    <n v="3"/>
    <x v="2"/>
    <x v="0"/>
    <x v="168"/>
  </r>
  <r>
    <s v="JANKOWSKI Dominik"/>
    <x v="1"/>
    <s v="MKS Gdańsk"/>
    <n v="3"/>
    <x v="2"/>
    <x v="1"/>
    <x v="5"/>
  </r>
  <r>
    <s v="JANKOWSKI Dominik"/>
    <x v="1"/>
    <s v="MKS Gdańsk"/>
    <n v="3"/>
    <x v="2"/>
    <x v="2"/>
    <x v="61"/>
  </r>
  <r>
    <s v="JANKOWSKI Dominik"/>
    <x v="1"/>
    <s v="MKS Gdańsk"/>
    <n v="3"/>
    <x v="3"/>
    <x v="0"/>
    <x v="168"/>
  </r>
  <r>
    <s v="JANKOWSKI Dominik"/>
    <x v="1"/>
    <s v="MKS Gdańsk"/>
    <n v="3"/>
    <x v="3"/>
    <x v="1"/>
    <x v="123"/>
  </r>
  <r>
    <s v="JANKOWSKI Dominik"/>
    <x v="1"/>
    <s v="MKS Gdańsk"/>
    <n v="3"/>
    <x v="3"/>
    <x v="2"/>
    <x v="148"/>
  </r>
  <r>
    <s v="JANKOWSKI Dominik"/>
    <x v="1"/>
    <s v="MKS Gdańsk"/>
    <n v="3"/>
    <x v="4"/>
    <x v="0"/>
    <x v="169"/>
  </r>
  <r>
    <s v="JANKOWSKI Dominik"/>
    <x v="1"/>
    <s v="MKS Gdańsk"/>
    <n v="3"/>
    <x v="4"/>
    <x v="1"/>
    <x v="170"/>
  </r>
  <r>
    <s v="JANKOWSKI Dominik"/>
    <x v="1"/>
    <s v="MKS Gdańsk"/>
    <n v="3"/>
    <x v="4"/>
    <x v="2"/>
    <x v="171"/>
  </r>
  <r>
    <s v="JANKOWSKI Dominik"/>
    <x v="1"/>
    <s v="MKS Gdańsk"/>
    <n v="3"/>
    <x v="5"/>
    <x v="0"/>
    <x v="168"/>
  </r>
  <r>
    <s v="JANKOWSKI Dominik"/>
    <x v="1"/>
    <s v="MKS Gdańsk"/>
    <n v="3"/>
    <x v="5"/>
    <x v="1"/>
    <x v="172"/>
  </r>
  <r>
    <s v="JANKOWSKI Dominik"/>
    <x v="1"/>
    <s v="MKS Gdańsk"/>
    <n v="3"/>
    <x v="5"/>
    <x v="2"/>
    <x v="173"/>
  </r>
  <r>
    <s v="KLIMCZUK Michał"/>
    <x v="1"/>
    <s v="MKS Gdańsk"/>
    <n v="3"/>
    <x v="0"/>
    <x v="0"/>
    <x v="168"/>
  </r>
  <r>
    <s v="KLIMCZUK Michał"/>
    <x v="1"/>
    <s v="MKS Gdańsk"/>
    <n v="3"/>
    <x v="0"/>
    <x v="1"/>
    <x v="1"/>
  </r>
  <r>
    <s v="KLIMCZUK Michał"/>
    <x v="1"/>
    <s v="MKS Gdańsk"/>
    <n v="3"/>
    <x v="0"/>
    <x v="2"/>
    <x v="127"/>
  </r>
  <r>
    <s v="KLIMCZUK Michał"/>
    <x v="1"/>
    <s v="MKS Gdańsk"/>
    <n v="3"/>
    <x v="1"/>
    <x v="0"/>
    <x v="14"/>
  </r>
  <r>
    <s v="KLIMCZUK Michał"/>
    <x v="1"/>
    <s v="MKS Gdańsk"/>
    <n v="3"/>
    <x v="1"/>
    <x v="1"/>
    <x v="14"/>
  </r>
  <r>
    <s v="KLIMCZUK Michał"/>
    <x v="1"/>
    <s v="MKS Gdańsk"/>
    <n v="3"/>
    <x v="1"/>
    <x v="2"/>
    <x v="14"/>
  </r>
  <r>
    <s v="KLIMCZUK Michał"/>
    <x v="1"/>
    <s v="MKS Gdańsk"/>
    <n v="3"/>
    <x v="2"/>
    <x v="0"/>
    <x v="168"/>
  </r>
  <r>
    <s v="KLIMCZUK Michał"/>
    <x v="1"/>
    <s v="MKS Gdańsk"/>
    <n v="3"/>
    <x v="2"/>
    <x v="1"/>
    <x v="174"/>
  </r>
  <r>
    <s v="KLIMCZUK Michał"/>
    <x v="1"/>
    <s v="MKS Gdańsk"/>
    <n v="3"/>
    <x v="2"/>
    <x v="2"/>
    <x v="50"/>
  </r>
  <r>
    <s v="KLIMCZUK Michał"/>
    <x v="1"/>
    <s v="MKS Gdańsk"/>
    <n v="3"/>
    <x v="3"/>
    <x v="0"/>
    <x v="168"/>
  </r>
  <r>
    <s v="KLIMCZUK Michał"/>
    <x v="1"/>
    <s v="MKS Gdańsk"/>
    <n v="3"/>
    <x v="3"/>
    <x v="1"/>
    <x v="44"/>
  </r>
  <r>
    <s v="KLIMCZUK Michał"/>
    <x v="1"/>
    <s v="MKS Gdańsk"/>
    <n v="3"/>
    <x v="3"/>
    <x v="2"/>
    <x v="161"/>
  </r>
  <r>
    <s v="KLIMCZUK Michał"/>
    <x v="1"/>
    <s v="MKS Gdańsk"/>
    <n v="3"/>
    <x v="4"/>
    <x v="0"/>
    <x v="169"/>
  </r>
  <r>
    <s v="KLIMCZUK Michał"/>
    <x v="1"/>
    <s v="MKS Gdańsk"/>
    <n v="3"/>
    <x v="4"/>
    <x v="1"/>
    <x v="175"/>
  </r>
  <r>
    <s v="KLIMCZUK Michał"/>
    <x v="1"/>
    <s v="MKS Gdańsk"/>
    <n v="3"/>
    <x v="4"/>
    <x v="2"/>
    <x v="176"/>
  </r>
  <r>
    <s v="KLIMCZUK Michał"/>
    <x v="1"/>
    <s v="MKS Gdańsk"/>
    <n v="3"/>
    <x v="5"/>
    <x v="0"/>
    <x v="168"/>
  </r>
  <r>
    <s v="KLIMCZUK Michał"/>
    <x v="1"/>
    <s v="MKS Gdańsk"/>
    <n v="3"/>
    <x v="5"/>
    <x v="1"/>
    <x v="177"/>
  </r>
  <r>
    <s v="KLIMCZUK Michał"/>
    <x v="1"/>
    <s v="MKS Gdańsk"/>
    <n v="3"/>
    <x v="5"/>
    <x v="2"/>
    <x v="178"/>
  </r>
  <r>
    <s v="SIEDZIAKO Igor"/>
    <x v="0"/>
    <s v="MKS Kusy Szczecin"/>
    <n v="3"/>
    <x v="0"/>
    <x v="0"/>
    <x v="32"/>
  </r>
  <r>
    <s v="SIEDZIAKO Igor"/>
    <x v="0"/>
    <s v="MKS Kusy Szczecin"/>
    <n v="3"/>
    <x v="0"/>
    <x v="1"/>
    <x v="3"/>
  </r>
  <r>
    <s v="SIEDZIAKO Igor"/>
    <x v="0"/>
    <s v="MKS Kusy Szczecin"/>
    <n v="3"/>
    <x v="0"/>
    <x v="2"/>
    <x v="179"/>
  </r>
  <r>
    <s v="SIEDZIAKO Igor"/>
    <x v="0"/>
    <s v="MKS Kusy Szczecin"/>
    <n v="3"/>
    <x v="1"/>
    <x v="0"/>
    <x v="180"/>
  </r>
  <r>
    <s v="SIEDZIAKO Igor"/>
    <x v="0"/>
    <s v="MKS Kusy Szczecin"/>
    <n v="3"/>
    <x v="1"/>
    <x v="1"/>
    <x v="181"/>
  </r>
  <r>
    <s v="SIEDZIAKO Igor"/>
    <x v="0"/>
    <s v="MKS Kusy Szczecin"/>
    <n v="3"/>
    <x v="1"/>
    <x v="2"/>
    <x v="67"/>
  </r>
  <r>
    <s v="SIEDZIAKO Igor"/>
    <x v="0"/>
    <s v="MKS Kusy Szczecin"/>
    <n v="3"/>
    <x v="2"/>
    <x v="0"/>
    <x v="81"/>
  </r>
  <r>
    <s v="SIEDZIAKO Igor"/>
    <x v="0"/>
    <s v="MKS Kusy Szczecin"/>
    <n v="3"/>
    <x v="2"/>
    <x v="1"/>
    <x v="108"/>
  </r>
  <r>
    <s v="SIEDZIAKO Igor"/>
    <x v="0"/>
    <s v="MKS Kusy Szczecin"/>
    <n v="3"/>
    <x v="2"/>
    <x v="2"/>
    <x v="50"/>
  </r>
  <r>
    <s v="SIEDZIAKO Igor"/>
    <x v="0"/>
    <s v="MKS Kusy Szczecin"/>
    <n v="3"/>
    <x v="3"/>
    <x v="0"/>
    <x v="14"/>
  </r>
  <r>
    <s v="SIEDZIAKO Igor"/>
    <x v="0"/>
    <s v="MKS Kusy Szczecin"/>
    <n v="3"/>
    <x v="3"/>
    <x v="1"/>
    <x v="14"/>
  </r>
  <r>
    <s v="SIEDZIAKO Igor"/>
    <x v="0"/>
    <s v="MKS Kusy Szczecin"/>
    <n v="3"/>
    <x v="3"/>
    <x v="2"/>
    <x v="14"/>
  </r>
  <r>
    <s v="SIEDZIAKO Igor"/>
    <x v="0"/>
    <s v="MKS Kusy Szczecin"/>
    <n v="3"/>
    <x v="4"/>
    <x v="0"/>
    <x v="182"/>
  </r>
  <r>
    <s v="SIEDZIAKO Igor"/>
    <x v="0"/>
    <s v="MKS Kusy Szczecin"/>
    <n v="3"/>
    <x v="4"/>
    <x v="1"/>
    <x v="183"/>
  </r>
  <r>
    <s v="SIEDZIAKO Igor"/>
    <x v="0"/>
    <s v="MKS Kusy Szczecin"/>
    <n v="3"/>
    <x v="4"/>
    <x v="2"/>
    <x v="184"/>
  </r>
  <r>
    <s v="SIEDZIAKO Igor"/>
    <x v="0"/>
    <s v="MKS Kusy Szczecin"/>
    <n v="3"/>
    <x v="5"/>
    <x v="0"/>
    <x v="185"/>
  </r>
  <r>
    <s v="SIEDZIAKO Igor"/>
    <x v="0"/>
    <s v="MKS Kusy Szczecin"/>
    <n v="3"/>
    <x v="5"/>
    <x v="1"/>
    <x v="186"/>
  </r>
  <r>
    <s v="SIEDZIAKO Igor"/>
    <x v="0"/>
    <s v="MKS Kusy Szczecin"/>
    <n v="3"/>
    <x v="5"/>
    <x v="2"/>
    <x v="33"/>
  </r>
  <r>
    <s v="KAŚKÓW Paweł"/>
    <x v="0"/>
    <s v="KS AZS AWFiS Gdańsk"/>
    <n v="2"/>
    <x v="0"/>
    <x v="0"/>
    <x v="187"/>
  </r>
  <r>
    <s v="KAŚKÓW Paweł"/>
    <x v="0"/>
    <s v="KS AZS AWFiS Gdańsk"/>
    <n v="2"/>
    <x v="0"/>
    <x v="1"/>
    <x v="5"/>
  </r>
  <r>
    <s v="KAŚKÓW Paweł"/>
    <x v="0"/>
    <s v="KS AZS AWFiS Gdańsk"/>
    <n v="2"/>
    <x v="0"/>
    <x v="2"/>
    <x v="188"/>
  </r>
  <r>
    <s v="KAŚKÓW Paweł"/>
    <x v="0"/>
    <s v="KS AZS AWFiS Gdańsk"/>
    <n v="2"/>
    <x v="1"/>
    <x v="0"/>
    <x v="14"/>
  </r>
  <r>
    <s v="KAŚKÓW Paweł"/>
    <x v="0"/>
    <s v="KS AZS AWFiS Gdańsk"/>
    <n v="2"/>
    <x v="1"/>
    <x v="1"/>
    <x v="14"/>
  </r>
  <r>
    <s v="KAŚKÓW Paweł"/>
    <x v="0"/>
    <s v="KS AZS AWFiS Gdańsk"/>
    <n v="2"/>
    <x v="1"/>
    <x v="2"/>
    <x v="14"/>
  </r>
  <r>
    <s v="KAŚKÓW Paweł"/>
    <x v="0"/>
    <s v="KS AZS AWFiS Gdańsk"/>
    <n v="2"/>
    <x v="2"/>
    <x v="0"/>
    <x v="46"/>
  </r>
  <r>
    <s v="KAŚKÓW Paweł"/>
    <x v="0"/>
    <s v="KS AZS AWFiS Gdańsk"/>
    <n v="2"/>
    <x v="2"/>
    <x v="1"/>
    <x v="189"/>
  </r>
  <r>
    <s v="KAŚKÓW Paweł"/>
    <x v="0"/>
    <s v="KS AZS AWFiS Gdańsk"/>
    <n v="2"/>
    <x v="2"/>
    <x v="2"/>
    <x v="190"/>
  </r>
  <r>
    <s v="KAŚKÓW Paweł"/>
    <x v="0"/>
    <s v="KS AZS AWFiS Gdańsk"/>
    <n v="2"/>
    <x v="3"/>
    <x v="0"/>
    <x v="14"/>
  </r>
  <r>
    <s v="KAŚKÓW Paweł"/>
    <x v="0"/>
    <s v="KS AZS AWFiS Gdańsk"/>
    <n v="2"/>
    <x v="3"/>
    <x v="1"/>
    <x v="14"/>
  </r>
  <r>
    <s v="KAŚKÓW Paweł"/>
    <x v="0"/>
    <s v="KS AZS AWFiS Gdańsk"/>
    <n v="2"/>
    <x v="3"/>
    <x v="2"/>
    <x v="14"/>
  </r>
  <r>
    <s v="KAŚKÓW Paweł"/>
    <x v="0"/>
    <s v="KS AZS AWFiS Gdańsk"/>
    <n v="2"/>
    <x v="4"/>
    <x v="0"/>
    <x v="115"/>
  </r>
  <r>
    <s v="KAŚKÓW Paweł"/>
    <x v="0"/>
    <s v="KS AZS AWFiS Gdańsk"/>
    <n v="2"/>
    <x v="4"/>
    <x v="1"/>
    <x v="191"/>
  </r>
  <r>
    <s v="KAŚKÓW Paweł"/>
    <x v="0"/>
    <s v="KS AZS AWFiS Gdańsk"/>
    <n v="2"/>
    <x v="4"/>
    <x v="2"/>
    <x v="192"/>
  </r>
  <r>
    <s v="KAŚKÓW Paweł"/>
    <x v="0"/>
    <s v="KS AZS AWFiS Gdańsk"/>
    <n v="2"/>
    <x v="5"/>
    <x v="0"/>
    <x v="14"/>
  </r>
  <r>
    <s v="KAŚKÓW Paweł"/>
    <x v="0"/>
    <s v="KS AZS AWFiS Gdańsk"/>
    <n v="2"/>
    <x v="5"/>
    <x v="1"/>
    <x v="14"/>
  </r>
  <r>
    <s v="KAŚKÓW Paweł"/>
    <x v="0"/>
    <s v="KS AZS AWFiS Gdańsk"/>
    <n v="2"/>
    <x v="5"/>
    <x v="2"/>
    <x v="14"/>
  </r>
  <r>
    <s v="ŻEMEŁKA Dawid"/>
    <x v="1"/>
    <s v="MKS Gdańsk"/>
    <n v="3"/>
    <x v="0"/>
    <x v="0"/>
    <x v="14"/>
  </r>
  <r>
    <s v="ŻEMEŁKA Dawid"/>
    <x v="1"/>
    <s v="MKS Gdańsk"/>
    <n v="3"/>
    <x v="0"/>
    <x v="1"/>
    <x v="14"/>
  </r>
  <r>
    <s v="ŻEMEŁKA Dawid"/>
    <x v="1"/>
    <s v="MKS Gdańsk"/>
    <n v="3"/>
    <x v="0"/>
    <x v="2"/>
    <x v="14"/>
  </r>
  <r>
    <s v="ŻEMEŁKA Dawid"/>
    <x v="1"/>
    <s v="MKS Gdańsk"/>
    <n v="3"/>
    <x v="1"/>
    <x v="0"/>
    <x v="168"/>
  </r>
  <r>
    <s v="ŻEMEŁKA Dawid"/>
    <x v="1"/>
    <s v="MKS Gdańsk"/>
    <n v="3"/>
    <x v="1"/>
    <x v="1"/>
    <x v="132"/>
  </r>
  <r>
    <s v="ŻEMEŁKA Dawid"/>
    <x v="1"/>
    <s v="MKS Gdańsk"/>
    <n v="3"/>
    <x v="1"/>
    <x v="2"/>
    <x v="179"/>
  </r>
  <r>
    <s v="ŻEMEŁKA Dawid"/>
    <x v="1"/>
    <s v="MKS Gdańsk"/>
    <n v="3"/>
    <x v="2"/>
    <x v="0"/>
    <x v="141"/>
  </r>
  <r>
    <s v="ŻEMEŁKA Dawid"/>
    <x v="1"/>
    <s v="MKS Gdańsk"/>
    <n v="3"/>
    <x v="2"/>
    <x v="1"/>
    <x v="193"/>
  </r>
  <r>
    <s v="ŻEMEŁKA Dawid"/>
    <x v="1"/>
    <s v="MKS Gdańsk"/>
    <n v="3"/>
    <x v="2"/>
    <x v="2"/>
    <x v="194"/>
  </r>
  <r>
    <s v="ŻEMEŁKA Dawid"/>
    <x v="1"/>
    <s v="MKS Gdańsk"/>
    <n v="3"/>
    <x v="3"/>
    <x v="0"/>
    <x v="195"/>
  </r>
  <r>
    <s v="ŻEMEŁKA Dawid"/>
    <x v="1"/>
    <s v="MKS Gdańsk"/>
    <n v="3"/>
    <x v="3"/>
    <x v="1"/>
    <x v="73"/>
  </r>
  <r>
    <s v="ŻEMEŁKA Dawid"/>
    <x v="1"/>
    <s v="MKS Gdańsk"/>
    <n v="3"/>
    <x v="3"/>
    <x v="2"/>
    <x v="46"/>
  </r>
  <r>
    <s v="ŻEMEŁKA Dawid"/>
    <x v="1"/>
    <s v="MKS Gdańsk"/>
    <n v="3"/>
    <x v="4"/>
    <x v="0"/>
    <x v="181"/>
  </r>
  <r>
    <s v="ŻEMEŁKA Dawid"/>
    <x v="1"/>
    <s v="MKS Gdańsk"/>
    <n v="3"/>
    <x v="4"/>
    <x v="1"/>
    <x v="196"/>
  </r>
  <r>
    <s v="ŻEMEŁKA Dawid"/>
    <x v="1"/>
    <s v="MKS Gdańsk"/>
    <n v="3"/>
    <x v="4"/>
    <x v="2"/>
    <x v="197"/>
  </r>
  <r>
    <s v="ŻEMEŁKA Dawid"/>
    <x v="1"/>
    <s v="MKS Gdańsk"/>
    <n v="3"/>
    <x v="5"/>
    <x v="0"/>
    <x v="198"/>
  </r>
  <r>
    <s v="ŻEMEŁKA Dawid"/>
    <x v="1"/>
    <s v="MKS Gdańsk"/>
    <n v="3"/>
    <x v="5"/>
    <x v="1"/>
    <x v="199"/>
  </r>
  <r>
    <s v="ŻEMEŁKA Dawid"/>
    <x v="1"/>
    <s v="MKS Gdańsk"/>
    <n v="3"/>
    <x v="5"/>
    <x v="2"/>
    <x v="200"/>
  </r>
  <r>
    <s v="KORNIICHUK Yehor"/>
    <x v="0"/>
    <s v="KS AZS AWFiS Gdańsk"/>
    <n v="2"/>
    <x v="0"/>
    <x v="0"/>
    <x v="14"/>
  </r>
  <r>
    <s v="KORNIICHUK Yehor"/>
    <x v="0"/>
    <s v="KS AZS AWFiS Gdańsk"/>
    <n v="2"/>
    <x v="0"/>
    <x v="1"/>
    <x v="14"/>
  </r>
  <r>
    <s v="KORNIICHUK Yehor"/>
    <x v="0"/>
    <s v="KS AZS AWFiS Gdańsk"/>
    <n v="2"/>
    <x v="0"/>
    <x v="2"/>
    <x v="14"/>
  </r>
  <r>
    <s v="KORNIICHUK Yehor"/>
    <x v="0"/>
    <s v="KS AZS AWFiS Gdańsk"/>
    <n v="2"/>
    <x v="1"/>
    <x v="0"/>
    <x v="201"/>
  </r>
  <r>
    <s v="KORNIICHUK Yehor"/>
    <x v="0"/>
    <s v="KS AZS AWFiS Gdańsk"/>
    <n v="2"/>
    <x v="1"/>
    <x v="1"/>
    <x v="130"/>
  </r>
  <r>
    <s v="KORNIICHUK Yehor"/>
    <x v="0"/>
    <s v="KS AZS AWFiS Gdańsk"/>
    <n v="2"/>
    <x v="1"/>
    <x v="2"/>
    <x v="202"/>
  </r>
  <r>
    <s v="KORNIICHUK Yehor"/>
    <x v="0"/>
    <s v="KS AZS AWFiS Gdańsk"/>
    <n v="2"/>
    <x v="2"/>
    <x v="0"/>
    <x v="201"/>
  </r>
  <r>
    <s v="KORNIICHUK Yehor"/>
    <x v="0"/>
    <s v="KS AZS AWFiS Gdańsk"/>
    <n v="2"/>
    <x v="2"/>
    <x v="1"/>
    <x v="16"/>
  </r>
  <r>
    <s v="KORNIICHUK Yehor"/>
    <x v="0"/>
    <s v="KS AZS AWFiS Gdańsk"/>
    <n v="2"/>
    <x v="2"/>
    <x v="2"/>
    <x v="45"/>
  </r>
  <r>
    <s v="KORNIICHUK Yehor"/>
    <x v="0"/>
    <s v="KS AZS AWFiS Gdańsk"/>
    <n v="2"/>
    <x v="3"/>
    <x v="0"/>
    <x v="14"/>
  </r>
  <r>
    <s v="KORNIICHUK Yehor"/>
    <x v="0"/>
    <s v="KS AZS AWFiS Gdańsk"/>
    <n v="2"/>
    <x v="3"/>
    <x v="1"/>
    <x v="14"/>
  </r>
  <r>
    <s v="KORNIICHUK Yehor"/>
    <x v="0"/>
    <s v="KS AZS AWFiS Gdańsk"/>
    <n v="2"/>
    <x v="3"/>
    <x v="2"/>
    <x v="14"/>
  </r>
  <r>
    <s v="KORNIICHUK Yehor"/>
    <x v="0"/>
    <s v="KS AZS AWFiS Gdańsk"/>
    <n v="2"/>
    <x v="4"/>
    <x v="0"/>
    <x v="16"/>
  </r>
  <r>
    <s v="KORNIICHUK Yehor"/>
    <x v="0"/>
    <s v="KS AZS AWFiS Gdańsk"/>
    <n v="2"/>
    <x v="4"/>
    <x v="1"/>
    <x v="203"/>
  </r>
  <r>
    <s v="KORNIICHUK Yehor"/>
    <x v="0"/>
    <s v="KS AZS AWFiS Gdańsk"/>
    <n v="2"/>
    <x v="4"/>
    <x v="2"/>
    <x v="204"/>
  </r>
  <r>
    <s v="KORNIICHUK Yehor"/>
    <x v="0"/>
    <s v="KS AZS AWFiS Gdańsk"/>
    <n v="2"/>
    <x v="5"/>
    <x v="0"/>
    <x v="14"/>
  </r>
  <r>
    <s v="KORNIICHUK Yehor"/>
    <x v="0"/>
    <s v="KS AZS AWFiS Gdańsk"/>
    <n v="2"/>
    <x v="5"/>
    <x v="1"/>
    <x v="14"/>
  </r>
  <r>
    <s v="KORNIICHUK Yehor"/>
    <x v="0"/>
    <s v="KS AZS AWFiS Gdańsk"/>
    <n v="2"/>
    <x v="5"/>
    <x v="2"/>
    <x v="14"/>
  </r>
  <r>
    <s v="WROŃSKI Filip"/>
    <x v="0"/>
    <s v="NTG Nysa"/>
    <n v="2"/>
    <x v="0"/>
    <x v="0"/>
    <x v="14"/>
  </r>
  <r>
    <s v="WROŃSKI Filip"/>
    <x v="0"/>
    <s v="NTG Nysa"/>
    <n v="2"/>
    <x v="0"/>
    <x v="1"/>
    <x v="14"/>
  </r>
  <r>
    <s v="WROŃSKI Filip"/>
    <x v="0"/>
    <s v="NTG Nysa"/>
    <n v="2"/>
    <x v="0"/>
    <x v="2"/>
    <x v="14"/>
  </r>
  <r>
    <s v="WROŃSKI Filip"/>
    <x v="0"/>
    <s v="NTG Nysa"/>
    <n v="2"/>
    <x v="1"/>
    <x v="0"/>
    <x v="205"/>
  </r>
  <r>
    <s v="WROŃSKI Filip"/>
    <x v="0"/>
    <s v="NTG Nysa"/>
    <n v="2"/>
    <x v="1"/>
    <x v="1"/>
    <x v="206"/>
  </r>
  <r>
    <s v="WROŃSKI Filip"/>
    <x v="0"/>
    <s v="NTG Nysa"/>
    <n v="2"/>
    <x v="1"/>
    <x v="2"/>
    <x v="160"/>
  </r>
  <r>
    <s v="WROŃSKI Filip"/>
    <x v="0"/>
    <s v="NTG Nysa"/>
    <n v="2"/>
    <x v="2"/>
    <x v="0"/>
    <x v="14"/>
  </r>
  <r>
    <s v="WROŃSKI Filip"/>
    <x v="0"/>
    <s v="NTG Nysa"/>
    <n v="2"/>
    <x v="2"/>
    <x v="1"/>
    <x v="14"/>
  </r>
  <r>
    <s v="WROŃSKI Filip"/>
    <x v="0"/>
    <s v="NTG Nysa"/>
    <n v="2"/>
    <x v="2"/>
    <x v="2"/>
    <x v="14"/>
  </r>
  <r>
    <s v="WROŃSKI Filip"/>
    <x v="0"/>
    <s v="NTG Nysa"/>
    <n v="2"/>
    <x v="3"/>
    <x v="0"/>
    <x v="205"/>
  </r>
  <r>
    <s v="WROŃSKI Filip"/>
    <x v="0"/>
    <s v="NTG Nysa"/>
    <n v="2"/>
    <x v="3"/>
    <x v="1"/>
    <x v="207"/>
  </r>
  <r>
    <s v="WROŃSKI Filip"/>
    <x v="0"/>
    <s v="NTG Nysa"/>
    <n v="2"/>
    <x v="3"/>
    <x v="2"/>
    <x v="208"/>
  </r>
  <r>
    <s v="WROŃSKI Filip"/>
    <x v="0"/>
    <s v="NTG Nysa"/>
    <n v="2"/>
    <x v="4"/>
    <x v="0"/>
    <x v="67"/>
  </r>
  <r>
    <s v="WROŃSKI Filip"/>
    <x v="0"/>
    <s v="NTG Nysa"/>
    <n v="2"/>
    <x v="4"/>
    <x v="1"/>
    <x v="209"/>
  </r>
  <r>
    <s v="WROŃSKI Filip"/>
    <x v="0"/>
    <s v="NTG Nysa"/>
    <n v="2"/>
    <x v="4"/>
    <x v="2"/>
    <x v="210"/>
  </r>
  <r>
    <s v="WROŃSKI Filip"/>
    <x v="0"/>
    <s v="NTG Nysa"/>
    <n v="2"/>
    <x v="5"/>
    <x v="0"/>
    <x v="14"/>
  </r>
  <r>
    <s v="WROŃSKI Filip"/>
    <x v="0"/>
    <s v="NTG Nysa"/>
    <n v="2"/>
    <x v="5"/>
    <x v="1"/>
    <x v="14"/>
  </r>
  <r>
    <s v="WROŃSKI Filip"/>
    <x v="0"/>
    <s v="NTG Nysa"/>
    <n v="2"/>
    <x v="5"/>
    <x v="2"/>
    <x v="14"/>
  </r>
  <r>
    <s v="AZUMI Vincent"/>
    <x v="1"/>
    <s v="MKS Gdańsk"/>
    <n v="2"/>
    <x v="0"/>
    <x v="0"/>
    <x v="14"/>
  </r>
  <r>
    <s v="AZUMI Vincent"/>
    <x v="1"/>
    <s v="MKS Gdańsk"/>
    <n v="2"/>
    <x v="0"/>
    <x v="1"/>
    <x v="14"/>
  </r>
  <r>
    <s v="AZUMI Vincent"/>
    <x v="1"/>
    <s v="MKS Gdańsk"/>
    <n v="2"/>
    <x v="0"/>
    <x v="2"/>
    <x v="14"/>
  </r>
  <r>
    <s v="AZUMI Vincent"/>
    <x v="1"/>
    <s v="MKS Gdańsk"/>
    <n v="2"/>
    <x v="1"/>
    <x v="0"/>
    <x v="32"/>
  </r>
  <r>
    <s v="AZUMI Vincent"/>
    <x v="1"/>
    <s v="MKS Gdańsk"/>
    <n v="2"/>
    <x v="1"/>
    <x v="1"/>
    <x v="1"/>
  </r>
  <r>
    <s v="AZUMI Vincent"/>
    <x v="1"/>
    <s v="MKS Gdańsk"/>
    <n v="2"/>
    <x v="1"/>
    <x v="2"/>
    <x v="160"/>
  </r>
  <r>
    <s v="AZUMI Vincent"/>
    <x v="1"/>
    <s v="MKS Gdańsk"/>
    <n v="2"/>
    <x v="2"/>
    <x v="0"/>
    <x v="32"/>
  </r>
  <r>
    <s v="AZUMI Vincent"/>
    <x v="1"/>
    <s v="MKS Gdańsk"/>
    <n v="2"/>
    <x v="2"/>
    <x v="1"/>
    <x v="33"/>
  </r>
  <r>
    <s v="AZUMI Vincent"/>
    <x v="1"/>
    <s v="MKS Gdańsk"/>
    <n v="2"/>
    <x v="2"/>
    <x v="2"/>
    <x v="22"/>
  </r>
  <r>
    <s v="AZUMI Vincent"/>
    <x v="1"/>
    <s v="MKS Gdańsk"/>
    <n v="2"/>
    <x v="3"/>
    <x v="0"/>
    <x v="14"/>
  </r>
  <r>
    <s v="AZUMI Vincent"/>
    <x v="1"/>
    <s v="MKS Gdańsk"/>
    <n v="2"/>
    <x v="3"/>
    <x v="1"/>
    <x v="14"/>
  </r>
  <r>
    <s v="AZUMI Vincent"/>
    <x v="1"/>
    <s v="MKS Gdańsk"/>
    <n v="2"/>
    <x v="3"/>
    <x v="2"/>
    <x v="14"/>
  </r>
  <r>
    <s v="AZUMI Vincent"/>
    <x v="1"/>
    <s v="MKS Gdańsk"/>
    <n v="2"/>
    <x v="4"/>
    <x v="0"/>
    <x v="169"/>
  </r>
  <r>
    <s v="AZUMI Vincent"/>
    <x v="1"/>
    <s v="MKS Gdańsk"/>
    <n v="2"/>
    <x v="4"/>
    <x v="1"/>
    <x v="211"/>
  </r>
  <r>
    <s v="AZUMI Vincent"/>
    <x v="1"/>
    <s v="MKS Gdańsk"/>
    <n v="2"/>
    <x v="4"/>
    <x v="2"/>
    <x v="156"/>
  </r>
  <r>
    <s v="AZUMI Vincent"/>
    <x v="1"/>
    <s v="MKS Gdańsk"/>
    <n v="2"/>
    <x v="5"/>
    <x v="0"/>
    <x v="14"/>
  </r>
  <r>
    <s v="AZUMI Vincent"/>
    <x v="1"/>
    <s v="MKS Gdańsk"/>
    <n v="2"/>
    <x v="5"/>
    <x v="1"/>
    <x v="14"/>
  </r>
  <r>
    <s v="AZUMI Vincent"/>
    <x v="1"/>
    <s v="MKS Gdańsk"/>
    <n v="2"/>
    <x v="5"/>
    <x v="2"/>
    <x v="14"/>
  </r>
  <r>
    <s v="GAWROŃSKI Sebastian"/>
    <x v="0"/>
    <s v="KS AZS AWF Katowice"/>
    <n v="2"/>
    <x v="0"/>
    <x v="0"/>
    <x v="14"/>
  </r>
  <r>
    <s v="GAWROŃSKI Sebastian"/>
    <x v="0"/>
    <s v="KS AZS AWF Katowice"/>
    <n v="2"/>
    <x v="0"/>
    <x v="1"/>
    <x v="14"/>
  </r>
  <r>
    <s v="GAWROŃSKI Sebastian"/>
    <x v="0"/>
    <s v="KS AZS AWF Katowice"/>
    <n v="2"/>
    <x v="0"/>
    <x v="2"/>
    <x v="14"/>
  </r>
  <r>
    <s v="GAWROŃSKI Sebastian"/>
    <x v="0"/>
    <s v="KS AZS AWF Katowice"/>
    <n v="2"/>
    <x v="1"/>
    <x v="0"/>
    <x v="14"/>
  </r>
  <r>
    <s v="GAWROŃSKI Sebastian"/>
    <x v="0"/>
    <s v="KS AZS AWF Katowice"/>
    <n v="2"/>
    <x v="1"/>
    <x v="1"/>
    <x v="14"/>
  </r>
  <r>
    <s v="GAWROŃSKI Sebastian"/>
    <x v="0"/>
    <s v="KS AZS AWF Katowice"/>
    <n v="2"/>
    <x v="1"/>
    <x v="2"/>
    <x v="14"/>
  </r>
  <r>
    <s v="GAWROŃSKI Sebastian"/>
    <x v="0"/>
    <s v="KS AZS AWF Katowice"/>
    <n v="2"/>
    <x v="2"/>
    <x v="0"/>
    <x v="15"/>
  </r>
  <r>
    <s v="GAWROŃSKI Sebastian"/>
    <x v="0"/>
    <s v="KS AZS AWF Katowice"/>
    <n v="2"/>
    <x v="2"/>
    <x v="1"/>
    <x v="212"/>
  </r>
  <r>
    <s v="GAWROŃSKI Sebastian"/>
    <x v="0"/>
    <s v="KS AZS AWF Katowice"/>
    <n v="2"/>
    <x v="2"/>
    <x v="2"/>
    <x v="213"/>
  </r>
  <r>
    <s v="GAWROŃSKI Sebastian"/>
    <x v="0"/>
    <s v="KS AZS AWF Katowice"/>
    <n v="2"/>
    <x v="3"/>
    <x v="0"/>
    <x v="214"/>
  </r>
  <r>
    <s v="GAWROŃSKI Sebastian"/>
    <x v="0"/>
    <s v="KS AZS AWF Katowice"/>
    <n v="2"/>
    <x v="3"/>
    <x v="1"/>
    <x v="215"/>
  </r>
  <r>
    <s v="GAWROŃSKI Sebastian"/>
    <x v="0"/>
    <s v="KS AZS AWF Katowice"/>
    <n v="2"/>
    <x v="3"/>
    <x v="2"/>
    <x v="45"/>
  </r>
  <r>
    <s v="GAWROŃSKI Sebastian"/>
    <x v="0"/>
    <s v="KS AZS AWF Katowice"/>
    <n v="2"/>
    <x v="4"/>
    <x v="0"/>
    <x v="216"/>
  </r>
  <r>
    <s v="GAWROŃSKI Sebastian"/>
    <x v="0"/>
    <s v="KS AZS AWF Katowice"/>
    <n v="2"/>
    <x v="4"/>
    <x v="1"/>
    <x v="217"/>
  </r>
  <r>
    <s v="GAWROŃSKI Sebastian"/>
    <x v="0"/>
    <s v="KS AZS AWF Katowice"/>
    <n v="2"/>
    <x v="4"/>
    <x v="2"/>
    <x v="218"/>
  </r>
  <r>
    <s v="GAWROŃSKI Sebastian"/>
    <x v="0"/>
    <s v="KS AZS AWF Katowice"/>
    <n v="2"/>
    <x v="5"/>
    <x v="0"/>
    <x v="14"/>
  </r>
  <r>
    <s v="GAWROŃSKI Sebastian"/>
    <x v="0"/>
    <s v="KS AZS AWF Katowice"/>
    <n v="2"/>
    <x v="5"/>
    <x v="1"/>
    <x v="14"/>
  </r>
  <r>
    <s v="GAWROŃSKI Sebastian"/>
    <x v="0"/>
    <s v="KS AZS AWF Katowice"/>
    <n v="2"/>
    <x v="5"/>
    <x v="2"/>
    <x v="14"/>
  </r>
  <r>
    <s v="MISHCHENKO Oleksandr"/>
    <x v="1"/>
    <s v="MKS Kusy Szczecin"/>
    <n v="2"/>
    <x v="0"/>
    <x v="0"/>
    <x v="56"/>
  </r>
  <r>
    <s v="MISHCHENKO Oleksandr"/>
    <x v="1"/>
    <s v="MKS Kusy Szczecin"/>
    <n v="2"/>
    <x v="0"/>
    <x v="1"/>
    <x v="44"/>
  </r>
  <r>
    <s v="MISHCHENKO Oleksandr"/>
    <x v="1"/>
    <s v="MKS Kusy Szczecin"/>
    <n v="2"/>
    <x v="0"/>
    <x v="2"/>
    <x v="4"/>
  </r>
  <r>
    <s v="MISHCHENKO Oleksandr"/>
    <x v="1"/>
    <s v="MKS Kusy Szczecin"/>
    <n v="2"/>
    <x v="1"/>
    <x v="0"/>
    <x v="14"/>
  </r>
  <r>
    <s v="MISHCHENKO Oleksandr"/>
    <x v="1"/>
    <s v="MKS Kusy Szczecin"/>
    <n v="2"/>
    <x v="1"/>
    <x v="1"/>
    <x v="14"/>
  </r>
  <r>
    <s v="MISHCHENKO Oleksandr"/>
    <x v="1"/>
    <s v="MKS Kusy Szczecin"/>
    <n v="2"/>
    <x v="1"/>
    <x v="2"/>
    <x v="14"/>
  </r>
  <r>
    <s v="MISHCHENKO Oleksandr"/>
    <x v="1"/>
    <s v="MKS Kusy Szczecin"/>
    <n v="2"/>
    <x v="2"/>
    <x v="0"/>
    <x v="14"/>
  </r>
  <r>
    <s v="MISHCHENKO Oleksandr"/>
    <x v="1"/>
    <s v="MKS Kusy Szczecin"/>
    <n v="2"/>
    <x v="2"/>
    <x v="1"/>
    <x v="14"/>
  </r>
  <r>
    <s v="MISHCHENKO Oleksandr"/>
    <x v="1"/>
    <s v="MKS Kusy Szczecin"/>
    <n v="2"/>
    <x v="2"/>
    <x v="2"/>
    <x v="14"/>
  </r>
  <r>
    <s v="MISHCHENKO Oleksandr"/>
    <x v="1"/>
    <s v="MKS Kusy Szczecin"/>
    <n v="2"/>
    <x v="3"/>
    <x v="0"/>
    <x v="66"/>
  </r>
  <r>
    <s v="MISHCHENKO Oleksandr"/>
    <x v="1"/>
    <s v="MKS Kusy Szczecin"/>
    <n v="2"/>
    <x v="3"/>
    <x v="1"/>
    <x v="58"/>
  </r>
  <r>
    <s v="MISHCHENKO Oleksandr"/>
    <x v="1"/>
    <s v="MKS Kusy Szczecin"/>
    <n v="2"/>
    <x v="3"/>
    <x v="2"/>
    <x v="160"/>
  </r>
  <r>
    <s v="MISHCHENKO Oleksandr"/>
    <x v="1"/>
    <s v="MKS Kusy Szczecin"/>
    <n v="2"/>
    <x v="4"/>
    <x v="0"/>
    <x v="219"/>
  </r>
  <r>
    <s v="MISHCHENKO Oleksandr"/>
    <x v="1"/>
    <s v="MKS Kusy Szczecin"/>
    <n v="2"/>
    <x v="4"/>
    <x v="1"/>
    <x v="220"/>
  </r>
  <r>
    <s v="MISHCHENKO Oleksandr"/>
    <x v="1"/>
    <s v="MKS Kusy Szczecin"/>
    <n v="2"/>
    <x v="4"/>
    <x v="2"/>
    <x v="221"/>
  </r>
  <r>
    <s v="MISHCHENKO Oleksandr"/>
    <x v="1"/>
    <s v="MKS Kusy Szczecin"/>
    <n v="2"/>
    <x v="5"/>
    <x v="0"/>
    <x v="14"/>
  </r>
  <r>
    <s v="MISHCHENKO Oleksandr"/>
    <x v="1"/>
    <s v="MKS Kusy Szczecin"/>
    <n v="2"/>
    <x v="5"/>
    <x v="1"/>
    <x v="14"/>
  </r>
  <r>
    <s v="MISHCHENKO Oleksandr"/>
    <x v="1"/>
    <s v="MKS Kusy Szczecin"/>
    <n v="2"/>
    <x v="5"/>
    <x v="2"/>
    <x v="14"/>
  </r>
  <r>
    <s v="LAKHIN Yaroslav"/>
    <x v="0"/>
    <s v="CWZS Zawisza KG Bydgoszcz"/>
    <n v="2"/>
    <x v="0"/>
    <x v="0"/>
    <x v="14"/>
  </r>
  <r>
    <s v="LAKHIN Yaroslav"/>
    <x v="0"/>
    <s v="CWZS Zawisza KG Bydgoszcz"/>
    <n v="2"/>
    <x v="0"/>
    <x v="1"/>
    <x v="14"/>
  </r>
  <r>
    <s v="LAKHIN Yaroslav"/>
    <x v="0"/>
    <s v="CWZS Zawisza KG Bydgoszcz"/>
    <n v="2"/>
    <x v="0"/>
    <x v="2"/>
    <x v="14"/>
  </r>
  <r>
    <s v="LAKHIN Yaroslav"/>
    <x v="0"/>
    <s v="CWZS Zawisza KG Bydgoszcz"/>
    <n v="2"/>
    <x v="1"/>
    <x v="0"/>
    <x v="83"/>
  </r>
  <r>
    <s v="LAKHIN Yaroslav"/>
    <x v="0"/>
    <s v="CWZS Zawisza KG Bydgoszcz"/>
    <n v="2"/>
    <x v="1"/>
    <x v="1"/>
    <x v="115"/>
  </r>
  <r>
    <s v="LAKHIN Yaroslav"/>
    <x v="0"/>
    <s v="CWZS Zawisza KG Bydgoszcz"/>
    <n v="2"/>
    <x v="1"/>
    <x v="2"/>
    <x v="124"/>
  </r>
  <r>
    <s v="LAKHIN Yaroslav"/>
    <x v="0"/>
    <s v="CWZS Zawisza KG Bydgoszcz"/>
    <n v="2"/>
    <x v="2"/>
    <x v="0"/>
    <x v="73"/>
  </r>
  <r>
    <s v="LAKHIN Yaroslav"/>
    <x v="0"/>
    <s v="CWZS Zawisza KG Bydgoszcz"/>
    <n v="2"/>
    <x v="2"/>
    <x v="1"/>
    <x v="18"/>
  </r>
  <r>
    <s v="LAKHIN Yaroslav"/>
    <x v="0"/>
    <s v="CWZS Zawisza KG Bydgoszcz"/>
    <n v="2"/>
    <x v="2"/>
    <x v="2"/>
    <x v="222"/>
  </r>
  <r>
    <s v="LAKHIN Yaroslav"/>
    <x v="0"/>
    <s v="CWZS Zawisza KG Bydgoszcz"/>
    <n v="2"/>
    <x v="3"/>
    <x v="0"/>
    <x v="14"/>
  </r>
  <r>
    <s v="LAKHIN Yaroslav"/>
    <x v="0"/>
    <s v="CWZS Zawisza KG Bydgoszcz"/>
    <n v="2"/>
    <x v="3"/>
    <x v="1"/>
    <x v="14"/>
  </r>
  <r>
    <s v="LAKHIN Yaroslav"/>
    <x v="0"/>
    <s v="CWZS Zawisza KG Bydgoszcz"/>
    <n v="2"/>
    <x v="3"/>
    <x v="2"/>
    <x v="14"/>
  </r>
  <r>
    <s v="LAKHIN Yaroslav"/>
    <x v="0"/>
    <s v="CWZS Zawisza KG Bydgoszcz"/>
    <n v="2"/>
    <x v="4"/>
    <x v="0"/>
    <x v="26"/>
  </r>
  <r>
    <s v="LAKHIN Yaroslav"/>
    <x v="0"/>
    <s v="CWZS Zawisza KG Bydgoszcz"/>
    <n v="2"/>
    <x v="4"/>
    <x v="1"/>
    <x v="223"/>
  </r>
  <r>
    <s v="LAKHIN Yaroslav"/>
    <x v="0"/>
    <s v="CWZS Zawisza KG Bydgoszcz"/>
    <n v="2"/>
    <x v="4"/>
    <x v="2"/>
    <x v="224"/>
  </r>
  <r>
    <s v="LAKHIN Yaroslav"/>
    <x v="0"/>
    <s v="CWZS Zawisza KG Bydgoszcz"/>
    <n v="2"/>
    <x v="5"/>
    <x v="0"/>
    <x v="14"/>
  </r>
  <r>
    <s v="LAKHIN Yaroslav"/>
    <x v="0"/>
    <s v="CWZS Zawisza KG Bydgoszcz"/>
    <n v="2"/>
    <x v="5"/>
    <x v="1"/>
    <x v="14"/>
  </r>
  <r>
    <s v="LAKHIN Yaroslav"/>
    <x v="0"/>
    <s v="CWZS Zawisza KG Bydgoszcz"/>
    <n v="2"/>
    <x v="5"/>
    <x v="2"/>
    <x v="14"/>
  </r>
  <r>
    <s v="KUZDRA Konrad"/>
    <x v="0"/>
    <s v="MKS Gdańsk"/>
    <n v="2"/>
    <x v="0"/>
    <x v="0"/>
    <x v="14"/>
  </r>
  <r>
    <s v="KUZDRA Konrad"/>
    <x v="0"/>
    <s v="MKS Gdańsk"/>
    <n v="2"/>
    <x v="0"/>
    <x v="1"/>
    <x v="14"/>
  </r>
  <r>
    <s v="KUZDRA Konrad"/>
    <x v="0"/>
    <s v="MKS Gdańsk"/>
    <n v="2"/>
    <x v="0"/>
    <x v="2"/>
    <x v="14"/>
  </r>
  <r>
    <s v="KUZDRA Konrad"/>
    <x v="0"/>
    <s v="MKS Gdańsk"/>
    <n v="2"/>
    <x v="1"/>
    <x v="0"/>
    <x v="81"/>
  </r>
  <r>
    <s v="KUZDRA Konrad"/>
    <x v="0"/>
    <s v="MKS Gdańsk"/>
    <n v="2"/>
    <x v="1"/>
    <x v="1"/>
    <x v="21"/>
  </r>
  <r>
    <s v="KUZDRA Konrad"/>
    <x v="0"/>
    <s v="MKS Gdańsk"/>
    <n v="2"/>
    <x v="1"/>
    <x v="2"/>
    <x v="30"/>
  </r>
  <r>
    <s v="KUZDRA Konrad"/>
    <x v="0"/>
    <s v="MKS Gdańsk"/>
    <n v="2"/>
    <x v="2"/>
    <x v="0"/>
    <x v="14"/>
  </r>
  <r>
    <s v="KUZDRA Konrad"/>
    <x v="0"/>
    <s v="MKS Gdańsk"/>
    <n v="2"/>
    <x v="2"/>
    <x v="1"/>
    <x v="14"/>
  </r>
  <r>
    <s v="KUZDRA Konrad"/>
    <x v="0"/>
    <s v="MKS Gdańsk"/>
    <n v="2"/>
    <x v="2"/>
    <x v="2"/>
    <x v="14"/>
  </r>
  <r>
    <s v="KUZDRA Konrad"/>
    <x v="0"/>
    <s v="MKS Gdańsk"/>
    <n v="2"/>
    <x v="3"/>
    <x v="0"/>
    <x v="141"/>
  </r>
  <r>
    <s v="KUZDRA Konrad"/>
    <x v="0"/>
    <s v="MKS Gdańsk"/>
    <n v="2"/>
    <x v="3"/>
    <x v="1"/>
    <x v="7"/>
  </r>
  <r>
    <s v="KUZDRA Konrad"/>
    <x v="0"/>
    <s v="MKS Gdańsk"/>
    <n v="2"/>
    <x v="3"/>
    <x v="2"/>
    <x v="225"/>
  </r>
  <r>
    <s v="KUZDRA Konrad"/>
    <x v="0"/>
    <s v="MKS Gdańsk"/>
    <n v="2"/>
    <x v="4"/>
    <x v="0"/>
    <x v="46"/>
  </r>
  <r>
    <s v="KUZDRA Konrad"/>
    <x v="0"/>
    <s v="MKS Gdańsk"/>
    <n v="2"/>
    <x v="4"/>
    <x v="1"/>
    <x v="226"/>
  </r>
  <r>
    <s v="KUZDRA Konrad"/>
    <x v="0"/>
    <s v="MKS Gdańsk"/>
    <n v="2"/>
    <x v="4"/>
    <x v="2"/>
    <x v="227"/>
  </r>
  <r>
    <s v="KUZDRA Konrad"/>
    <x v="0"/>
    <s v="MKS Gdańsk"/>
    <n v="2"/>
    <x v="5"/>
    <x v="0"/>
    <x v="14"/>
  </r>
  <r>
    <s v="KUZDRA Konrad"/>
    <x v="0"/>
    <s v="MKS Gdańsk"/>
    <n v="2"/>
    <x v="5"/>
    <x v="1"/>
    <x v="14"/>
  </r>
  <r>
    <s v="KUZDRA Konrad"/>
    <x v="0"/>
    <s v="MKS Gdańsk"/>
    <n v="2"/>
    <x v="5"/>
    <x v="2"/>
    <x v="14"/>
  </r>
  <r>
    <s v="LUKIANIENKO Illia"/>
    <x v="0"/>
    <s v="MKS Kusy Szczecin"/>
    <n v="1"/>
    <x v="0"/>
    <x v="0"/>
    <x v="14"/>
  </r>
  <r>
    <s v="LUKIANIENKO Illia"/>
    <x v="0"/>
    <s v="MKS Kusy Szczecin"/>
    <n v="1"/>
    <x v="0"/>
    <x v="1"/>
    <x v="14"/>
  </r>
  <r>
    <s v="LUKIANIENKO Illia"/>
    <x v="0"/>
    <s v="MKS Kusy Szczecin"/>
    <n v="1"/>
    <x v="0"/>
    <x v="2"/>
    <x v="14"/>
  </r>
  <r>
    <s v="LUKIANIENKO Illia"/>
    <x v="0"/>
    <s v="MKS Kusy Szczecin"/>
    <n v="1"/>
    <x v="1"/>
    <x v="0"/>
    <x v="14"/>
  </r>
  <r>
    <s v="LUKIANIENKO Illia"/>
    <x v="0"/>
    <s v="MKS Kusy Szczecin"/>
    <n v="1"/>
    <x v="1"/>
    <x v="1"/>
    <x v="14"/>
  </r>
  <r>
    <s v="LUKIANIENKO Illia"/>
    <x v="0"/>
    <s v="MKS Kusy Szczecin"/>
    <n v="1"/>
    <x v="1"/>
    <x v="2"/>
    <x v="14"/>
  </r>
  <r>
    <s v="LUKIANIENKO Illia"/>
    <x v="0"/>
    <s v="MKS Kusy Szczecin"/>
    <n v="1"/>
    <x v="2"/>
    <x v="0"/>
    <x v="201"/>
  </r>
  <r>
    <s v="LUKIANIENKO Illia"/>
    <x v="0"/>
    <s v="MKS Kusy Szczecin"/>
    <n v="1"/>
    <x v="2"/>
    <x v="1"/>
    <x v="18"/>
  </r>
  <r>
    <s v="LUKIANIENKO Illia"/>
    <x v="0"/>
    <s v="MKS Kusy Szczecin"/>
    <n v="1"/>
    <x v="2"/>
    <x v="2"/>
    <x v="228"/>
  </r>
  <r>
    <s v="LUKIANIENKO Illia"/>
    <x v="0"/>
    <s v="MKS Kusy Szczecin"/>
    <n v="1"/>
    <x v="3"/>
    <x v="0"/>
    <x v="14"/>
  </r>
  <r>
    <s v="LUKIANIENKO Illia"/>
    <x v="0"/>
    <s v="MKS Kusy Szczecin"/>
    <n v="1"/>
    <x v="3"/>
    <x v="1"/>
    <x v="14"/>
  </r>
  <r>
    <s v="LUKIANIENKO Illia"/>
    <x v="0"/>
    <s v="MKS Kusy Szczecin"/>
    <n v="1"/>
    <x v="3"/>
    <x v="2"/>
    <x v="14"/>
  </r>
  <r>
    <s v="LUKIANIENKO Illia"/>
    <x v="0"/>
    <s v="MKS Kusy Szczecin"/>
    <n v="1"/>
    <x v="4"/>
    <x v="0"/>
    <x v="201"/>
  </r>
  <r>
    <s v="LUKIANIENKO Illia"/>
    <x v="0"/>
    <s v="MKS Kusy Szczecin"/>
    <n v="1"/>
    <x v="4"/>
    <x v="1"/>
    <x v="18"/>
  </r>
  <r>
    <s v="LUKIANIENKO Illia"/>
    <x v="0"/>
    <s v="MKS Kusy Szczecin"/>
    <n v="1"/>
    <x v="4"/>
    <x v="2"/>
    <x v="228"/>
  </r>
  <r>
    <s v="LUKIANIENKO Illia"/>
    <x v="0"/>
    <s v="MKS Kusy Szczecin"/>
    <n v="1"/>
    <x v="5"/>
    <x v="0"/>
    <x v="14"/>
  </r>
  <r>
    <s v="LUKIANIENKO Illia"/>
    <x v="0"/>
    <s v="MKS Kusy Szczecin"/>
    <n v="1"/>
    <x v="5"/>
    <x v="1"/>
    <x v="14"/>
  </r>
  <r>
    <s v="LUKIANIENKO Illia"/>
    <x v="0"/>
    <s v="MKS Kusy Szczecin"/>
    <n v="1"/>
    <x v="5"/>
    <x v="2"/>
    <x v="14"/>
  </r>
  <r>
    <s v="NOWAK Maciej"/>
    <x v="0"/>
    <s v="KS AZS AWF Katowice"/>
    <n v="1"/>
    <x v="0"/>
    <x v="0"/>
    <x v="205"/>
  </r>
  <r>
    <s v="NOWAK Maciej"/>
    <x v="0"/>
    <s v="KS AZS AWF Katowice"/>
    <n v="1"/>
    <x v="0"/>
    <x v="1"/>
    <x v="1"/>
  </r>
  <r>
    <s v="NOWAK Maciej"/>
    <x v="0"/>
    <s v="KS AZS AWF Katowice"/>
    <n v="1"/>
    <x v="0"/>
    <x v="2"/>
    <x v="31"/>
  </r>
  <r>
    <s v="NOWAK Maciej"/>
    <x v="0"/>
    <s v="KS AZS AWF Katowice"/>
    <n v="1"/>
    <x v="1"/>
    <x v="0"/>
    <x v="14"/>
  </r>
  <r>
    <s v="NOWAK Maciej"/>
    <x v="0"/>
    <s v="KS AZS AWF Katowice"/>
    <n v="1"/>
    <x v="1"/>
    <x v="1"/>
    <x v="14"/>
  </r>
  <r>
    <s v="NOWAK Maciej"/>
    <x v="0"/>
    <s v="KS AZS AWF Katowice"/>
    <n v="1"/>
    <x v="1"/>
    <x v="2"/>
    <x v="14"/>
  </r>
  <r>
    <s v="NOWAK Maciej"/>
    <x v="0"/>
    <s v="KS AZS AWF Katowice"/>
    <n v="1"/>
    <x v="2"/>
    <x v="0"/>
    <x v="14"/>
  </r>
  <r>
    <s v="NOWAK Maciej"/>
    <x v="0"/>
    <s v="KS AZS AWF Katowice"/>
    <n v="1"/>
    <x v="2"/>
    <x v="1"/>
    <x v="14"/>
  </r>
  <r>
    <s v="NOWAK Maciej"/>
    <x v="0"/>
    <s v="KS AZS AWF Katowice"/>
    <n v="1"/>
    <x v="2"/>
    <x v="2"/>
    <x v="14"/>
  </r>
  <r>
    <s v="NOWAK Maciej"/>
    <x v="0"/>
    <s v="KS AZS AWF Katowice"/>
    <n v="1"/>
    <x v="3"/>
    <x v="0"/>
    <x v="14"/>
  </r>
  <r>
    <s v="NOWAK Maciej"/>
    <x v="0"/>
    <s v="KS AZS AWF Katowice"/>
    <n v="1"/>
    <x v="3"/>
    <x v="1"/>
    <x v="14"/>
  </r>
  <r>
    <s v="NOWAK Maciej"/>
    <x v="0"/>
    <s v="KS AZS AWF Katowice"/>
    <n v="1"/>
    <x v="3"/>
    <x v="2"/>
    <x v="14"/>
  </r>
  <r>
    <s v="NOWAK Maciej"/>
    <x v="0"/>
    <s v="KS AZS AWF Katowice"/>
    <n v="1"/>
    <x v="4"/>
    <x v="0"/>
    <x v="205"/>
  </r>
  <r>
    <s v="NOWAK Maciej"/>
    <x v="0"/>
    <s v="KS AZS AWF Katowice"/>
    <n v="1"/>
    <x v="4"/>
    <x v="1"/>
    <x v="1"/>
  </r>
  <r>
    <s v="NOWAK Maciej"/>
    <x v="0"/>
    <s v="KS AZS AWF Katowice"/>
    <n v="1"/>
    <x v="4"/>
    <x v="2"/>
    <x v="31"/>
  </r>
  <r>
    <s v="NOWAK Maciej"/>
    <x v="0"/>
    <s v="KS AZS AWF Katowice"/>
    <n v="1"/>
    <x v="5"/>
    <x v="0"/>
    <x v="14"/>
  </r>
  <r>
    <s v="NOWAK Maciej"/>
    <x v="0"/>
    <s v="KS AZS AWF Katowice"/>
    <n v="1"/>
    <x v="5"/>
    <x v="1"/>
    <x v="14"/>
  </r>
  <r>
    <s v="NOWAK Maciej"/>
    <x v="0"/>
    <s v="KS AZS AWF Katowice"/>
    <n v="1"/>
    <x v="5"/>
    <x v="2"/>
    <x v="14"/>
  </r>
  <r>
    <s v="SZCZUBIAŁ Bartłomiej"/>
    <x v="1"/>
    <s v="KS AZS AWF Kraków"/>
    <n v="1"/>
    <x v="0"/>
    <x v="0"/>
    <x v="122"/>
  </r>
  <r>
    <s v="SZCZUBIAŁ Bartłomiej"/>
    <x v="1"/>
    <s v="KS AZS AWF Kraków"/>
    <n v="1"/>
    <x v="0"/>
    <x v="1"/>
    <x v="33"/>
  </r>
  <r>
    <s v="SZCZUBIAŁ Bartłomiej"/>
    <x v="1"/>
    <s v="KS AZS AWF Kraków"/>
    <n v="1"/>
    <x v="0"/>
    <x v="2"/>
    <x v="87"/>
  </r>
  <r>
    <s v="SZCZUBIAŁ Bartłomiej"/>
    <x v="1"/>
    <s v="KS AZS AWF Kraków"/>
    <n v="1"/>
    <x v="1"/>
    <x v="0"/>
    <x v="14"/>
  </r>
  <r>
    <s v="SZCZUBIAŁ Bartłomiej"/>
    <x v="1"/>
    <s v="KS AZS AWF Kraków"/>
    <n v="1"/>
    <x v="1"/>
    <x v="1"/>
    <x v="14"/>
  </r>
  <r>
    <s v="SZCZUBIAŁ Bartłomiej"/>
    <x v="1"/>
    <s v="KS AZS AWF Kraków"/>
    <n v="1"/>
    <x v="1"/>
    <x v="2"/>
    <x v="14"/>
  </r>
  <r>
    <s v="SZCZUBIAŁ Bartłomiej"/>
    <x v="1"/>
    <s v="KS AZS AWF Kraków"/>
    <n v="1"/>
    <x v="2"/>
    <x v="0"/>
    <x v="14"/>
  </r>
  <r>
    <s v="SZCZUBIAŁ Bartłomiej"/>
    <x v="1"/>
    <s v="KS AZS AWF Kraków"/>
    <n v="1"/>
    <x v="2"/>
    <x v="1"/>
    <x v="14"/>
  </r>
  <r>
    <s v="SZCZUBIAŁ Bartłomiej"/>
    <x v="1"/>
    <s v="KS AZS AWF Kraków"/>
    <n v="1"/>
    <x v="2"/>
    <x v="2"/>
    <x v="14"/>
  </r>
  <r>
    <s v="SZCZUBIAŁ Bartłomiej"/>
    <x v="1"/>
    <s v="KS AZS AWF Kraków"/>
    <n v="1"/>
    <x v="3"/>
    <x v="0"/>
    <x v="14"/>
  </r>
  <r>
    <s v="SZCZUBIAŁ Bartłomiej"/>
    <x v="1"/>
    <s v="KS AZS AWF Kraków"/>
    <n v="1"/>
    <x v="3"/>
    <x v="1"/>
    <x v="14"/>
  </r>
  <r>
    <s v="SZCZUBIAŁ Bartłomiej"/>
    <x v="1"/>
    <s v="KS AZS AWF Kraków"/>
    <n v="1"/>
    <x v="3"/>
    <x v="2"/>
    <x v="14"/>
  </r>
  <r>
    <s v="SZCZUBIAŁ Bartłomiej"/>
    <x v="1"/>
    <s v="KS AZS AWF Kraków"/>
    <n v="1"/>
    <x v="4"/>
    <x v="0"/>
    <x v="122"/>
  </r>
  <r>
    <s v="SZCZUBIAŁ Bartłomiej"/>
    <x v="1"/>
    <s v="KS AZS AWF Kraków"/>
    <n v="1"/>
    <x v="4"/>
    <x v="1"/>
    <x v="33"/>
  </r>
  <r>
    <s v="SZCZUBIAŁ Bartłomiej"/>
    <x v="1"/>
    <s v="KS AZS AWF Kraków"/>
    <n v="1"/>
    <x v="4"/>
    <x v="2"/>
    <x v="87"/>
  </r>
  <r>
    <s v="SZCZUBIAŁ Bartłomiej"/>
    <x v="1"/>
    <s v="KS AZS AWF Kraków"/>
    <n v="1"/>
    <x v="5"/>
    <x v="0"/>
    <x v="14"/>
  </r>
  <r>
    <s v="SZCZUBIAŁ Bartłomiej"/>
    <x v="1"/>
    <s v="KS AZS AWF Kraków"/>
    <n v="1"/>
    <x v="5"/>
    <x v="1"/>
    <x v="14"/>
  </r>
  <r>
    <s v="SZCZUBIAŁ Bartłomiej"/>
    <x v="1"/>
    <s v="KS AZS AWF Kraków"/>
    <n v="1"/>
    <x v="5"/>
    <x v="2"/>
    <x v="14"/>
  </r>
  <r>
    <s v="MARCZEWSKI Stanisław"/>
    <x v="1"/>
    <s v="MKS Gdańsk"/>
    <n v="1"/>
    <x v="0"/>
    <x v="0"/>
    <x v="141"/>
  </r>
  <r>
    <s v="MARCZEWSKI Stanisław"/>
    <x v="1"/>
    <s v="MKS Gdańsk"/>
    <n v="1"/>
    <x v="0"/>
    <x v="1"/>
    <x v="115"/>
  </r>
  <r>
    <s v="MARCZEWSKI Stanisław"/>
    <x v="1"/>
    <s v="MKS Gdańsk"/>
    <n v="1"/>
    <x v="0"/>
    <x v="2"/>
    <x v="178"/>
  </r>
  <r>
    <s v="MARCZEWSKI Stanisław"/>
    <x v="1"/>
    <s v="MKS Gdańsk"/>
    <n v="1"/>
    <x v="1"/>
    <x v="0"/>
    <x v="14"/>
  </r>
  <r>
    <s v="MARCZEWSKI Stanisław"/>
    <x v="1"/>
    <s v="MKS Gdańsk"/>
    <n v="1"/>
    <x v="1"/>
    <x v="1"/>
    <x v="14"/>
  </r>
  <r>
    <s v="MARCZEWSKI Stanisław"/>
    <x v="1"/>
    <s v="MKS Gdańsk"/>
    <n v="1"/>
    <x v="1"/>
    <x v="2"/>
    <x v="14"/>
  </r>
  <r>
    <s v="MARCZEWSKI Stanisław"/>
    <x v="1"/>
    <s v="MKS Gdańsk"/>
    <n v="1"/>
    <x v="2"/>
    <x v="0"/>
    <x v="14"/>
  </r>
  <r>
    <s v="MARCZEWSKI Stanisław"/>
    <x v="1"/>
    <s v="MKS Gdańsk"/>
    <n v="1"/>
    <x v="2"/>
    <x v="1"/>
    <x v="14"/>
  </r>
  <r>
    <s v="MARCZEWSKI Stanisław"/>
    <x v="1"/>
    <s v="MKS Gdańsk"/>
    <n v="1"/>
    <x v="2"/>
    <x v="2"/>
    <x v="14"/>
  </r>
  <r>
    <s v="MARCZEWSKI Stanisław"/>
    <x v="1"/>
    <s v="MKS Gdańsk"/>
    <n v="1"/>
    <x v="3"/>
    <x v="0"/>
    <x v="14"/>
  </r>
  <r>
    <s v="MARCZEWSKI Stanisław"/>
    <x v="1"/>
    <s v="MKS Gdańsk"/>
    <n v="1"/>
    <x v="3"/>
    <x v="1"/>
    <x v="14"/>
  </r>
  <r>
    <s v="MARCZEWSKI Stanisław"/>
    <x v="1"/>
    <s v="MKS Gdańsk"/>
    <n v="1"/>
    <x v="3"/>
    <x v="2"/>
    <x v="14"/>
  </r>
  <r>
    <s v="MARCZEWSKI Stanisław"/>
    <x v="1"/>
    <s v="MKS Gdańsk"/>
    <n v="1"/>
    <x v="4"/>
    <x v="0"/>
    <x v="141"/>
  </r>
  <r>
    <s v="MARCZEWSKI Stanisław"/>
    <x v="1"/>
    <s v="MKS Gdańsk"/>
    <n v="1"/>
    <x v="4"/>
    <x v="1"/>
    <x v="115"/>
  </r>
  <r>
    <s v="MARCZEWSKI Stanisław"/>
    <x v="1"/>
    <s v="MKS Gdańsk"/>
    <n v="1"/>
    <x v="4"/>
    <x v="2"/>
    <x v="178"/>
  </r>
  <r>
    <s v="MARCZEWSKI Stanisław"/>
    <x v="1"/>
    <s v="MKS Gdańsk"/>
    <n v="1"/>
    <x v="5"/>
    <x v="0"/>
    <x v="14"/>
  </r>
  <r>
    <s v="MARCZEWSKI Stanisław"/>
    <x v="1"/>
    <s v="MKS Gdańsk"/>
    <n v="1"/>
    <x v="5"/>
    <x v="1"/>
    <x v="14"/>
  </r>
  <r>
    <s v="MARCZEWSKI Stanisław"/>
    <x v="1"/>
    <s v="MKS Gdańsk"/>
    <n v="1"/>
    <x v="5"/>
    <x v="2"/>
    <x v="14"/>
  </r>
  <r>
    <s v="HERASYMOV Mykyta"/>
    <x v="0"/>
    <s v="KS AZS AWFiS Gdańsk"/>
    <n v="1"/>
    <x v="0"/>
    <x v="0"/>
    <x v="14"/>
  </r>
  <r>
    <s v="HERASYMOV Mykyta"/>
    <x v="0"/>
    <s v="KS AZS AWFiS Gdańsk"/>
    <n v="1"/>
    <x v="0"/>
    <x v="1"/>
    <x v="14"/>
  </r>
  <r>
    <s v="HERASYMOV Mykyta"/>
    <x v="0"/>
    <s v="KS AZS AWFiS Gdańsk"/>
    <n v="1"/>
    <x v="0"/>
    <x v="2"/>
    <x v="14"/>
  </r>
  <r>
    <s v="HERASYMOV Mykyta"/>
    <x v="0"/>
    <s v="KS AZS AWFiS Gdańsk"/>
    <n v="1"/>
    <x v="1"/>
    <x v="0"/>
    <x v="14"/>
  </r>
  <r>
    <s v="HERASYMOV Mykyta"/>
    <x v="0"/>
    <s v="KS AZS AWFiS Gdańsk"/>
    <n v="1"/>
    <x v="1"/>
    <x v="1"/>
    <x v="14"/>
  </r>
  <r>
    <s v="HERASYMOV Mykyta"/>
    <x v="0"/>
    <s v="KS AZS AWFiS Gdańsk"/>
    <n v="1"/>
    <x v="1"/>
    <x v="2"/>
    <x v="14"/>
  </r>
  <r>
    <s v="HERASYMOV Mykyta"/>
    <x v="0"/>
    <s v="KS AZS AWFiS Gdańsk"/>
    <n v="1"/>
    <x v="2"/>
    <x v="0"/>
    <x v="29"/>
  </r>
  <r>
    <s v="HERASYMOV Mykyta"/>
    <x v="0"/>
    <s v="KS AZS AWFiS Gdańsk"/>
    <n v="1"/>
    <x v="2"/>
    <x v="1"/>
    <x v="229"/>
  </r>
  <r>
    <s v="HERASYMOV Mykyta"/>
    <x v="0"/>
    <s v="KS AZS AWFiS Gdańsk"/>
    <n v="1"/>
    <x v="2"/>
    <x v="2"/>
    <x v="230"/>
  </r>
  <r>
    <s v="HERASYMOV Mykyta"/>
    <x v="0"/>
    <s v="KS AZS AWFiS Gdańsk"/>
    <n v="1"/>
    <x v="3"/>
    <x v="0"/>
    <x v="14"/>
  </r>
  <r>
    <s v="HERASYMOV Mykyta"/>
    <x v="0"/>
    <s v="KS AZS AWFiS Gdańsk"/>
    <n v="1"/>
    <x v="3"/>
    <x v="1"/>
    <x v="14"/>
  </r>
  <r>
    <s v="HERASYMOV Mykyta"/>
    <x v="0"/>
    <s v="KS AZS AWFiS Gdańsk"/>
    <n v="1"/>
    <x v="3"/>
    <x v="2"/>
    <x v="14"/>
  </r>
  <r>
    <s v="HERASYMOV Mykyta"/>
    <x v="0"/>
    <s v="KS AZS AWFiS Gdańsk"/>
    <n v="1"/>
    <x v="4"/>
    <x v="0"/>
    <x v="29"/>
  </r>
  <r>
    <s v="HERASYMOV Mykyta"/>
    <x v="0"/>
    <s v="KS AZS AWFiS Gdańsk"/>
    <n v="1"/>
    <x v="4"/>
    <x v="1"/>
    <x v="229"/>
  </r>
  <r>
    <s v="HERASYMOV Mykyta"/>
    <x v="0"/>
    <s v="KS AZS AWFiS Gdańsk"/>
    <n v="1"/>
    <x v="4"/>
    <x v="2"/>
    <x v="230"/>
  </r>
  <r>
    <s v="HERASYMOV Mykyta"/>
    <x v="0"/>
    <s v="KS AZS AWFiS Gdańsk"/>
    <n v="1"/>
    <x v="5"/>
    <x v="0"/>
    <x v="14"/>
  </r>
  <r>
    <s v="HERASYMOV Mykyta"/>
    <x v="0"/>
    <s v="KS AZS AWFiS Gdańsk"/>
    <n v="1"/>
    <x v="5"/>
    <x v="1"/>
    <x v="14"/>
  </r>
  <r>
    <s v="HERASYMOV Mykyta"/>
    <x v="0"/>
    <s v="KS AZS AWFiS Gdańsk"/>
    <n v="1"/>
    <x v="5"/>
    <x v="2"/>
    <x v="14"/>
  </r>
  <r>
    <s v="ŁUCKI Miłosz"/>
    <x v="1"/>
    <s v="KG Radlin"/>
    <n v="1"/>
    <x v="0"/>
    <x v="0"/>
    <x v="14"/>
  </r>
  <r>
    <s v="ŁUCKI Miłosz"/>
    <x v="1"/>
    <s v="KG Radlin"/>
    <n v="1"/>
    <x v="0"/>
    <x v="1"/>
    <x v="14"/>
  </r>
  <r>
    <s v="ŁUCKI Miłosz"/>
    <x v="1"/>
    <s v="KG Radlin"/>
    <n v="1"/>
    <x v="0"/>
    <x v="2"/>
    <x v="14"/>
  </r>
  <r>
    <s v="ŁUCKI Miłosz"/>
    <x v="1"/>
    <s v="KG Radlin"/>
    <n v="1"/>
    <x v="1"/>
    <x v="0"/>
    <x v="14"/>
  </r>
  <r>
    <s v="ŁUCKI Miłosz"/>
    <x v="1"/>
    <s v="KG Radlin"/>
    <n v="1"/>
    <x v="1"/>
    <x v="1"/>
    <x v="14"/>
  </r>
  <r>
    <s v="ŁUCKI Miłosz"/>
    <x v="1"/>
    <s v="KG Radlin"/>
    <n v="1"/>
    <x v="1"/>
    <x v="2"/>
    <x v="14"/>
  </r>
  <r>
    <s v="ŁUCKI Miłosz"/>
    <x v="1"/>
    <s v="KG Radlin"/>
    <n v="1"/>
    <x v="2"/>
    <x v="0"/>
    <x v="180"/>
  </r>
  <r>
    <s v="ŁUCKI Miłosz"/>
    <x v="1"/>
    <s v="KG Radlin"/>
    <n v="1"/>
    <x v="2"/>
    <x v="1"/>
    <x v="219"/>
  </r>
  <r>
    <s v="ŁUCKI Miłosz"/>
    <x v="1"/>
    <s v="KG Radlin"/>
    <n v="1"/>
    <x v="2"/>
    <x v="2"/>
    <x v="60"/>
  </r>
  <r>
    <s v="ŁUCKI Miłosz"/>
    <x v="1"/>
    <s v="KG Radlin"/>
    <n v="1"/>
    <x v="3"/>
    <x v="0"/>
    <x v="14"/>
  </r>
  <r>
    <s v="ŁUCKI Miłosz"/>
    <x v="1"/>
    <s v="KG Radlin"/>
    <n v="1"/>
    <x v="3"/>
    <x v="1"/>
    <x v="14"/>
  </r>
  <r>
    <s v="ŁUCKI Miłosz"/>
    <x v="1"/>
    <s v="KG Radlin"/>
    <n v="1"/>
    <x v="3"/>
    <x v="2"/>
    <x v="14"/>
  </r>
  <r>
    <s v="ŁUCKI Miłosz"/>
    <x v="1"/>
    <s v="KG Radlin"/>
    <n v="1"/>
    <x v="4"/>
    <x v="0"/>
    <x v="180"/>
  </r>
  <r>
    <s v="ŁUCKI Miłosz"/>
    <x v="1"/>
    <s v="KG Radlin"/>
    <n v="1"/>
    <x v="4"/>
    <x v="1"/>
    <x v="219"/>
  </r>
  <r>
    <s v="ŁUCKI Miłosz"/>
    <x v="1"/>
    <s v="KG Radlin"/>
    <n v="1"/>
    <x v="4"/>
    <x v="2"/>
    <x v="60"/>
  </r>
  <r>
    <s v="ŁUCKI Miłosz"/>
    <x v="1"/>
    <s v="KG Radlin"/>
    <n v="1"/>
    <x v="5"/>
    <x v="0"/>
    <x v="14"/>
  </r>
  <r>
    <s v="ŁUCKI Miłosz"/>
    <x v="1"/>
    <s v="KG Radlin"/>
    <n v="1"/>
    <x v="5"/>
    <x v="1"/>
    <x v="14"/>
  </r>
  <r>
    <s v="ŁUCKI Miłosz"/>
    <x v="1"/>
    <s v="KG Radlin"/>
    <n v="1"/>
    <x v="5"/>
    <x v="2"/>
    <x v="14"/>
  </r>
  <r>
    <s v="KOLORZ Maks"/>
    <x v="1"/>
    <s v="KG Radlin"/>
    <n v="1"/>
    <x v="0"/>
    <x v="0"/>
    <x v="195"/>
  </r>
  <r>
    <s v="KOLORZ Maks"/>
    <x v="1"/>
    <s v="KG Radlin"/>
    <n v="1"/>
    <x v="0"/>
    <x v="1"/>
    <x v="231"/>
  </r>
  <r>
    <s v="KOLORZ Maks"/>
    <x v="1"/>
    <s v="KG Radlin"/>
    <n v="1"/>
    <x v="0"/>
    <x v="2"/>
    <x v="98"/>
  </r>
  <r>
    <s v="KOLORZ Maks"/>
    <x v="1"/>
    <s v="KG Radlin"/>
    <n v="1"/>
    <x v="1"/>
    <x v="0"/>
    <x v="14"/>
  </r>
  <r>
    <s v="KOLORZ Maks"/>
    <x v="1"/>
    <s v="KG Radlin"/>
    <n v="1"/>
    <x v="1"/>
    <x v="1"/>
    <x v="14"/>
  </r>
  <r>
    <s v="KOLORZ Maks"/>
    <x v="1"/>
    <s v="KG Radlin"/>
    <n v="1"/>
    <x v="1"/>
    <x v="2"/>
    <x v="14"/>
  </r>
  <r>
    <s v="KOLORZ Maks"/>
    <x v="1"/>
    <s v="KG Radlin"/>
    <n v="1"/>
    <x v="2"/>
    <x v="0"/>
    <x v="14"/>
  </r>
  <r>
    <s v="KOLORZ Maks"/>
    <x v="1"/>
    <s v="KG Radlin"/>
    <n v="1"/>
    <x v="2"/>
    <x v="1"/>
    <x v="14"/>
  </r>
  <r>
    <s v="KOLORZ Maks"/>
    <x v="1"/>
    <s v="KG Radlin"/>
    <n v="1"/>
    <x v="2"/>
    <x v="2"/>
    <x v="14"/>
  </r>
  <r>
    <s v="KOLORZ Maks"/>
    <x v="1"/>
    <s v="KG Radlin"/>
    <n v="1"/>
    <x v="3"/>
    <x v="0"/>
    <x v="14"/>
  </r>
  <r>
    <s v="KOLORZ Maks"/>
    <x v="1"/>
    <s v="KG Radlin"/>
    <n v="1"/>
    <x v="3"/>
    <x v="1"/>
    <x v="14"/>
  </r>
  <r>
    <s v="KOLORZ Maks"/>
    <x v="1"/>
    <s v="KG Radlin"/>
    <n v="1"/>
    <x v="3"/>
    <x v="2"/>
    <x v="14"/>
  </r>
  <r>
    <s v="KOLORZ Maks"/>
    <x v="1"/>
    <s v="KG Radlin"/>
    <n v="1"/>
    <x v="4"/>
    <x v="0"/>
    <x v="195"/>
  </r>
  <r>
    <s v="KOLORZ Maks"/>
    <x v="1"/>
    <s v="KG Radlin"/>
    <n v="1"/>
    <x v="4"/>
    <x v="1"/>
    <x v="231"/>
  </r>
  <r>
    <s v="KOLORZ Maks"/>
    <x v="1"/>
    <s v="KG Radlin"/>
    <n v="1"/>
    <x v="4"/>
    <x v="2"/>
    <x v="98"/>
  </r>
  <r>
    <s v="KOLORZ Maks"/>
    <x v="1"/>
    <s v="KG Radlin"/>
    <n v="1"/>
    <x v="5"/>
    <x v="0"/>
    <x v="14"/>
  </r>
  <r>
    <s v="KOLORZ Maks"/>
    <x v="1"/>
    <s v="KG Radlin"/>
    <n v="1"/>
    <x v="5"/>
    <x v="1"/>
    <x v="14"/>
  </r>
  <r>
    <s v="KOLORZ Maks"/>
    <x v="1"/>
    <s v="KG Radlin"/>
    <n v="1"/>
    <x v="5"/>
    <x v="2"/>
    <x v="14"/>
  </r>
  <r>
    <s v="MYSZI Dominik"/>
    <x v="1"/>
    <s v="KG Radlin"/>
    <n v="1"/>
    <x v="0"/>
    <x v="0"/>
    <x v="149"/>
  </r>
  <r>
    <s v="MYSZI Dominik"/>
    <x v="1"/>
    <s v="KG Radlin"/>
    <n v="1"/>
    <x v="0"/>
    <x v="1"/>
    <x v="95"/>
  </r>
  <r>
    <s v="MYSZI Dominik"/>
    <x v="1"/>
    <s v="KG Radlin"/>
    <n v="1"/>
    <x v="0"/>
    <x v="2"/>
    <x v="187"/>
  </r>
  <r>
    <s v="MYSZI Dominik"/>
    <x v="1"/>
    <s v="KG Radlin"/>
    <n v="1"/>
    <x v="1"/>
    <x v="0"/>
    <x v="14"/>
  </r>
  <r>
    <s v="MYSZI Dominik"/>
    <x v="1"/>
    <s v="KG Radlin"/>
    <n v="1"/>
    <x v="1"/>
    <x v="1"/>
    <x v="14"/>
  </r>
  <r>
    <s v="MYSZI Dominik"/>
    <x v="1"/>
    <s v="KG Radlin"/>
    <n v="1"/>
    <x v="1"/>
    <x v="2"/>
    <x v="14"/>
  </r>
  <r>
    <s v="MYSZI Dominik"/>
    <x v="1"/>
    <s v="KG Radlin"/>
    <n v="1"/>
    <x v="2"/>
    <x v="0"/>
    <x v="14"/>
  </r>
  <r>
    <s v="MYSZI Dominik"/>
    <x v="1"/>
    <s v="KG Radlin"/>
    <n v="1"/>
    <x v="2"/>
    <x v="1"/>
    <x v="14"/>
  </r>
  <r>
    <s v="MYSZI Dominik"/>
    <x v="1"/>
    <s v="KG Radlin"/>
    <n v="1"/>
    <x v="2"/>
    <x v="2"/>
    <x v="14"/>
  </r>
  <r>
    <s v="MYSZI Dominik"/>
    <x v="1"/>
    <s v="KG Radlin"/>
    <n v="1"/>
    <x v="3"/>
    <x v="0"/>
    <x v="14"/>
  </r>
  <r>
    <s v="MYSZI Dominik"/>
    <x v="1"/>
    <s v="KG Radlin"/>
    <n v="1"/>
    <x v="3"/>
    <x v="1"/>
    <x v="14"/>
  </r>
  <r>
    <s v="MYSZI Dominik"/>
    <x v="1"/>
    <s v="KG Radlin"/>
    <n v="1"/>
    <x v="3"/>
    <x v="2"/>
    <x v="14"/>
  </r>
  <r>
    <s v="MYSZI Dominik"/>
    <x v="1"/>
    <s v="KG Radlin"/>
    <n v="1"/>
    <x v="4"/>
    <x v="0"/>
    <x v="149"/>
  </r>
  <r>
    <s v="MYSZI Dominik"/>
    <x v="1"/>
    <s v="KG Radlin"/>
    <n v="1"/>
    <x v="4"/>
    <x v="1"/>
    <x v="95"/>
  </r>
  <r>
    <s v="MYSZI Dominik"/>
    <x v="1"/>
    <s v="KG Radlin"/>
    <n v="1"/>
    <x v="4"/>
    <x v="2"/>
    <x v="187"/>
  </r>
  <r>
    <s v="MYSZI Dominik"/>
    <x v="1"/>
    <s v="KG Radlin"/>
    <n v="1"/>
    <x v="5"/>
    <x v="0"/>
    <x v="14"/>
  </r>
  <r>
    <s v="MYSZI Dominik"/>
    <x v="1"/>
    <s v="KG Radlin"/>
    <n v="1"/>
    <x v="5"/>
    <x v="1"/>
    <x v="14"/>
  </r>
  <r>
    <s v="MYSZI Dominik"/>
    <x v="1"/>
    <s v="KG Radlin"/>
    <n v="1"/>
    <x v="5"/>
    <x v="2"/>
    <x v="14"/>
  </r>
  <r>
    <s v="RUS Gracjan"/>
    <x v="1"/>
    <s v="KG Radlin"/>
    <n v="1"/>
    <x v="0"/>
    <x v="0"/>
    <x v="232"/>
  </r>
  <r>
    <s v="RUS Gracjan"/>
    <x v="1"/>
    <s v="KG Radlin"/>
    <n v="1"/>
    <x v="0"/>
    <x v="1"/>
    <x v="149"/>
  </r>
  <r>
    <s v="RUS Gracjan"/>
    <x v="1"/>
    <s v="KG Radlin"/>
    <n v="1"/>
    <x v="0"/>
    <x v="2"/>
    <x v="233"/>
  </r>
  <r>
    <s v="RUS Gracjan"/>
    <x v="1"/>
    <s v="KG Radlin"/>
    <n v="1"/>
    <x v="1"/>
    <x v="0"/>
    <x v="14"/>
  </r>
  <r>
    <s v="RUS Gracjan"/>
    <x v="1"/>
    <s v="KG Radlin"/>
    <n v="1"/>
    <x v="1"/>
    <x v="1"/>
    <x v="14"/>
  </r>
  <r>
    <s v="RUS Gracjan"/>
    <x v="1"/>
    <s v="KG Radlin"/>
    <n v="1"/>
    <x v="1"/>
    <x v="2"/>
    <x v="14"/>
  </r>
  <r>
    <s v="RUS Gracjan"/>
    <x v="1"/>
    <s v="KG Radlin"/>
    <n v="1"/>
    <x v="2"/>
    <x v="0"/>
    <x v="14"/>
  </r>
  <r>
    <s v="RUS Gracjan"/>
    <x v="1"/>
    <s v="KG Radlin"/>
    <n v="1"/>
    <x v="2"/>
    <x v="1"/>
    <x v="14"/>
  </r>
  <r>
    <s v="RUS Gracjan"/>
    <x v="1"/>
    <s v="KG Radlin"/>
    <n v="1"/>
    <x v="2"/>
    <x v="2"/>
    <x v="14"/>
  </r>
  <r>
    <s v="RUS Gracjan"/>
    <x v="1"/>
    <s v="KG Radlin"/>
    <n v="1"/>
    <x v="3"/>
    <x v="0"/>
    <x v="14"/>
  </r>
  <r>
    <s v="RUS Gracjan"/>
    <x v="1"/>
    <s v="KG Radlin"/>
    <n v="1"/>
    <x v="3"/>
    <x v="1"/>
    <x v="14"/>
  </r>
  <r>
    <s v="RUS Gracjan"/>
    <x v="1"/>
    <s v="KG Radlin"/>
    <n v="1"/>
    <x v="3"/>
    <x v="2"/>
    <x v="14"/>
  </r>
  <r>
    <s v="RUS Gracjan"/>
    <x v="1"/>
    <s v="KG Radlin"/>
    <n v="1"/>
    <x v="4"/>
    <x v="0"/>
    <x v="232"/>
  </r>
  <r>
    <s v="RUS Gracjan"/>
    <x v="1"/>
    <s v="KG Radlin"/>
    <n v="1"/>
    <x v="4"/>
    <x v="1"/>
    <x v="149"/>
  </r>
  <r>
    <s v="RUS Gracjan"/>
    <x v="1"/>
    <s v="KG Radlin"/>
    <n v="1"/>
    <x v="4"/>
    <x v="2"/>
    <x v="233"/>
  </r>
  <r>
    <s v="RUS Gracjan"/>
    <x v="1"/>
    <s v="KG Radlin"/>
    <n v="1"/>
    <x v="5"/>
    <x v="0"/>
    <x v="14"/>
  </r>
  <r>
    <s v="RUS Gracjan"/>
    <x v="1"/>
    <s v="KG Radlin"/>
    <n v="1"/>
    <x v="5"/>
    <x v="1"/>
    <x v="14"/>
  </r>
  <r>
    <s v="RUS Gracjan"/>
    <x v="1"/>
    <s v="KG Radlin"/>
    <n v="1"/>
    <x v="5"/>
    <x v="2"/>
    <x v="14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6">
  <r>
    <s v="GARNCZAREK Kacper"/>
    <x v="0"/>
    <s v="KS AZS AWF Katowice"/>
    <x v="0"/>
    <x v="0"/>
    <x v="0"/>
    <x v="0"/>
  </r>
  <r>
    <s v="GARNCZAREK Kacper"/>
    <x v="0"/>
    <s v="KS AZS AWF Katowice"/>
    <x v="0"/>
    <x v="0"/>
    <x v="1"/>
    <x v="0"/>
  </r>
  <r>
    <s v="GARNCZAREK Kacper"/>
    <x v="0"/>
    <s v="KS AZS AWF Katowice"/>
    <x v="0"/>
    <x v="0"/>
    <x v="2"/>
    <x v="0"/>
  </r>
  <r>
    <s v="GARNCZAREK Kacper"/>
    <x v="0"/>
    <s v="KS AZS AWF Katowice"/>
    <x v="0"/>
    <x v="1"/>
    <x v="0"/>
    <x v="1"/>
  </r>
  <r>
    <s v="GARNCZAREK Kacper"/>
    <x v="0"/>
    <s v="KS AZS AWF Katowice"/>
    <x v="0"/>
    <x v="1"/>
    <x v="1"/>
    <x v="2"/>
  </r>
  <r>
    <s v="GARNCZAREK Kacper"/>
    <x v="0"/>
    <s v="KS AZS AWF Katowice"/>
    <x v="0"/>
    <x v="1"/>
    <x v="2"/>
    <x v="3"/>
  </r>
  <r>
    <s v="GARNCZAREK Kacper"/>
    <x v="0"/>
    <s v="KS AZS AWF Katowice"/>
    <x v="0"/>
    <x v="2"/>
    <x v="0"/>
    <x v="4"/>
  </r>
  <r>
    <s v="GARNCZAREK Kacper"/>
    <x v="0"/>
    <s v="KS AZS AWF Katowice"/>
    <x v="0"/>
    <x v="2"/>
    <x v="1"/>
    <x v="5"/>
  </r>
  <r>
    <s v="GARNCZAREK Kacper"/>
    <x v="0"/>
    <s v="KS AZS AWF Katowice"/>
    <x v="0"/>
    <x v="2"/>
    <x v="2"/>
    <x v="6"/>
  </r>
  <r>
    <s v="GARNCZAREK Kacper"/>
    <x v="0"/>
    <s v="KS AZS AWF Katowice"/>
    <x v="0"/>
    <x v="3"/>
    <x v="0"/>
    <x v="7"/>
  </r>
  <r>
    <s v="GARNCZAREK Kacper"/>
    <x v="0"/>
    <s v="KS AZS AWF Katowice"/>
    <x v="0"/>
    <x v="3"/>
    <x v="1"/>
    <x v="8"/>
  </r>
  <r>
    <s v="GARNCZAREK Kacper"/>
    <x v="0"/>
    <s v="KS AZS AWF Katowice"/>
    <x v="0"/>
    <x v="3"/>
    <x v="2"/>
    <x v="9"/>
  </r>
  <r>
    <s v="GARNCZAREK Kacper"/>
    <x v="0"/>
    <s v="KS AZS AWF Katowice"/>
    <x v="0"/>
    <x v="4"/>
    <x v="0"/>
    <x v="10"/>
  </r>
  <r>
    <s v="GARNCZAREK Kacper"/>
    <x v="0"/>
    <s v="KS AZS AWF Katowice"/>
    <x v="0"/>
    <x v="4"/>
    <x v="1"/>
    <x v="11"/>
  </r>
  <r>
    <s v="GARNCZAREK Kacper"/>
    <x v="0"/>
    <s v="KS AZS AWF Katowice"/>
    <x v="0"/>
    <x v="4"/>
    <x v="2"/>
    <x v="12"/>
  </r>
  <r>
    <s v="GARNCZAREK Kacper"/>
    <x v="0"/>
    <s v="KS AZS AWF Katowice"/>
    <x v="0"/>
    <x v="5"/>
    <x v="0"/>
    <x v="13"/>
  </r>
  <r>
    <s v="GARNCZAREK Kacper"/>
    <x v="0"/>
    <s v="KS AZS AWF Katowice"/>
    <x v="0"/>
    <x v="5"/>
    <x v="1"/>
    <x v="14"/>
  </r>
  <r>
    <s v="GARNCZAREK Kacper"/>
    <x v="0"/>
    <s v="KS AZS AWF Katowice"/>
    <x v="0"/>
    <x v="5"/>
    <x v="2"/>
    <x v="15"/>
  </r>
  <r>
    <s v="SASNAL Filip"/>
    <x v="0"/>
    <s v="KS AZS AWF Kraków"/>
    <x v="1"/>
    <x v="0"/>
    <x v="0"/>
    <x v="16"/>
  </r>
  <r>
    <s v="SASNAL Filip"/>
    <x v="0"/>
    <s v="KS AZS AWF Kraków"/>
    <x v="1"/>
    <x v="0"/>
    <x v="1"/>
    <x v="17"/>
  </r>
  <r>
    <s v="SASNAL Filip"/>
    <x v="0"/>
    <s v="KS AZS AWF Kraków"/>
    <x v="1"/>
    <x v="0"/>
    <x v="2"/>
    <x v="18"/>
  </r>
  <r>
    <s v="SASNAL Filip"/>
    <x v="0"/>
    <s v="KS AZS AWF Kraków"/>
    <x v="1"/>
    <x v="1"/>
    <x v="0"/>
    <x v="1"/>
  </r>
  <r>
    <s v="SASNAL Filip"/>
    <x v="0"/>
    <s v="KS AZS AWF Kraków"/>
    <x v="1"/>
    <x v="1"/>
    <x v="1"/>
    <x v="19"/>
  </r>
  <r>
    <s v="SASNAL Filip"/>
    <x v="0"/>
    <s v="KS AZS AWF Kraków"/>
    <x v="1"/>
    <x v="1"/>
    <x v="2"/>
    <x v="20"/>
  </r>
  <r>
    <s v="SASNAL Filip"/>
    <x v="0"/>
    <s v="KS AZS AWF Kraków"/>
    <x v="1"/>
    <x v="2"/>
    <x v="0"/>
    <x v="21"/>
  </r>
  <r>
    <s v="SASNAL Filip"/>
    <x v="0"/>
    <s v="KS AZS AWF Kraków"/>
    <x v="1"/>
    <x v="2"/>
    <x v="1"/>
    <x v="22"/>
  </r>
  <r>
    <s v="SASNAL Filip"/>
    <x v="0"/>
    <s v="KS AZS AWF Kraków"/>
    <x v="1"/>
    <x v="2"/>
    <x v="2"/>
    <x v="6"/>
  </r>
  <r>
    <s v="SASNAL Filip"/>
    <x v="0"/>
    <s v="KS AZS AWF Kraków"/>
    <x v="1"/>
    <x v="3"/>
    <x v="0"/>
    <x v="23"/>
  </r>
  <r>
    <s v="SASNAL Filip"/>
    <x v="0"/>
    <s v="KS AZS AWF Kraków"/>
    <x v="1"/>
    <x v="3"/>
    <x v="1"/>
    <x v="24"/>
  </r>
  <r>
    <s v="SASNAL Filip"/>
    <x v="0"/>
    <s v="KS AZS AWF Kraków"/>
    <x v="1"/>
    <x v="3"/>
    <x v="2"/>
    <x v="25"/>
  </r>
  <r>
    <s v="SASNAL Filip"/>
    <x v="0"/>
    <s v="KS AZS AWF Kraków"/>
    <x v="1"/>
    <x v="4"/>
    <x v="0"/>
    <x v="26"/>
  </r>
  <r>
    <s v="SASNAL Filip"/>
    <x v="0"/>
    <s v="KS AZS AWF Kraków"/>
    <x v="1"/>
    <x v="4"/>
    <x v="1"/>
    <x v="27"/>
  </r>
  <r>
    <s v="SASNAL Filip"/>
    <x v="0"/>
    <s v="KS AZS AWF Kraków"/>
    <x v="1"/>
    <x v="4"/>
    <x v="2"/>
    <x v="28"/>
  </r>
  <r>
    <s v="SASNAL Filip"/>
    <x v="0"/>
    <s v="KS AZS AWF Kraków"/>
    <x v="1"/>
    <x v="5"/>
    <x v="0"/>
    <x v="29"/>
  </r>
  <r>
    <s v="SASNAL Filip"/>
    <x v="0"/>
    <s v="KS AZS AWF Kraków"/>
    <x v="1"/>
    <x v="5"/>
    <x v="1"/>
    <x v="30"/>
  </r>
  <r>
    <s v="SASNAL Filip"/>
    <x v="0"/>
    <s v="KS AZS AWF Kraków"/>
    <x v="1"/>
    <x v="5"/>
    <x v="2"/>
    <x v="31"/>
  </r>
  <r>
    <s v="BOBER Michał"/>
    <x v="0"/>
    <s v="UKS SP7 Łódź"/>
    <x v="1"/>
    <x v="0"/>
    <x v="0"/>
    <x v="32"/>
  </r>
  <r>
    <s v="BOBER Michał"/>
    <x v="0"/>
    <s v="UKS SP7 Łódź"/>
    <x v="1"/>
    <x v="0"/>
    <x v="1"/>
    <x v="33"/>
  </r>
  <r>
    <s v="BOBER Michał"/>
    <x v="0"/>
    <s v="UKS SP7 Łódź"/>
    <x v="1"/>
    <x v="0"/>
    <x v="2"/>
    <x v="34"/>
  </r>
  <r>
    <s v="BOBER Michał"/>
    <x v="0"/>
    <s v="UKS SP7 Łódź"/>
    <x v="1"/>
    <x v="1"/>
    <x v="0"/>
    <x v="35"/>
  </r>
  <r>
    <s v="BOBER Michał"/>
    <x v="0"/>
    <s v="UKS SP7 Łódź"/>
    <x v="1"/>
    <x v="1"/>
    <x v="1"/>
    <x v="2"/>
  </r>
  <r>
    <s v="BOBER Michał"/>
    <x v="0"/>
    <s v="UKS SP7 Łódź"/>
    <x v="1"/>
    <x v="1"/>
    <x v="2"/>
    <x v="36"/>
  </r>
  <r>
    <s v="BOBER Michał"/>
    <x v="0"/>
    <s v="UKS SP7 Łódź"/>
    <x v="1"/>
    <x v="2"/>
    <x v="0"/>
    <x v="37"/>
  </r>
  <r>
    <s v="BOBER Michał"/>
    <x v="0"/>
    <s v="UKS SP7 Łódź"/>
    <x v="1"/>
    <x v="2"/>
    <x v="1"/>
    <x v="38"/>
  </r>
  <r>
    <s v="BOBER Michał"/>
    <x v="0"/>
    <s v="UKS SP7 Łódź"/>
    <x v="1"/>
    <x v="2"/>
    <x v="2"/>
    <x v="39"/>
  </r>
  <r>
    <s v="BOBER Michał"/>
    <x v="0"/>
    <s v="UKS SP7 Łódź"/>
    <x v="1"/>
    <x v="3"/>
    <x v="0"/>
    <x v="40"/>
  </r>
  <r>
    <s v="BOBER Michał"/>
    <x v="0"/>
    <s v="UKS SP7 Łódź"/>
    <x v="1"/>
    <x v="3"/>
    <x v="1"/>
    <x v="41"/>
  </r>
  <r>
    <s v="BOBER Michał"/>
    <x v="0"/>
    <s v="UKS SP7 Łódź"/>
    <x v="1"/>
    <x v="3"/>
    <x v="2"/>
    <x v="42"/>
  </r>
  <r>
    <s v="BOBER Michał"/>
    <x v="0"/>
    <s v="UKS SP7 Łódź"/>
    <x v="1"/>
    <x v="4"/>
    <x v="0"/>
    <x v="43"/>
  </r>
  <r>
    <s v="BOBER Michał"/>
    <x v="0"/>
    <s v="UKS SP7 Łódź"/>
    <x v="1"/>
    <x v="4"/>
    <x v="1"/>
    <x v="44"/>
  </r>
  <r>
    <s v="BOBER Michał"/>
    <x v="0"/>
    <s v="UKS SP7 Łódź"/>
    <x v="1"/>
    <x v="4"/>
    <x v="2"/>
    <x v="45"/>
  </r>
  <r>
    <s v="BOBER Michał"/>
    <x v="0"/>
    <s v="UKS SP7 Łódź"/>
    <x v="1"/>
    <x v="5"/>
    <x v="0"/>
    <x v="46"/>
  </r>
  <r>
    <s v="BOBER Michał"/>
    <x v="0"/>
    <s v="UKS SP7 Łódź"/>
    <x v="1"/>
    <x v="5"/>
    <x v="1"/>
    <x v="47"/>
  </r>
  <r>
    <s v="BOBER Michał"/>
    <x v="0"/>
    <s v="UKS SP7 Łódź"/>
    <x v="1"/>
    <x v="5"/>
    <x v="2"/>
    <x v="48"/>
  </r>
  <r>
    <s v="KUROWSKI Jakub"/>
    <x v="0"/>
    <s v="MKS Kusy Szczecin"/>
    <x v="0"/>
    <x v="0"/>
    <x v="0"/>
    <x v="49"/>
  </r>
  <r>
    <s v="KUROWSKI Jakub"/>
    <x v="0"/>
    <s v="MKS Kusy Szczecin"/>
    <x v="0"/>
    <x v="0"/>
    <x v="1"/>
    <x v="50"/>
  </r>
  <r>
    <s v="KUROWSKI Jakub"/>
    <x v="0"/>
    <s v="MKS Kusy Szczecin"/>
    <x v="0"/>
    <x v="0"/>
    <x v="2"/>
    <x v="51"/>
  </r>
  <r>
    <s v="KUROWSKI Jakub"/>
    <x v="0"/>
    <s v="MKS Kusy Szczecin"/>
    <x v="0"/>
    <x v="1"/>
    <x v="0"/>
    <x v="52"/>
  </r>
  <r>
    <s v="KUROWSKI Jakub"/>
    <x v="0"/>
    <s v="MKS Kusy Szczecin"/>
    <x v="0"/>
    <x v="1"/>
    <x v="1"/>
    <x v="53"/>
  </r>
  <r>
    <s v="KUROWSKI Jakub"/>
    <x v="0"/>
    <s v="MKS Kusy Szczecin"/>
    <x v="0"/>
    <x v="1"/>
    <x v="2"/>
    <x v="54"/>
  </r>
  <r>
    <s v="KUROWSKI Jakub"/>
    <x v="0"/>
    <s v="MKS Kusy Szczecin"/>
    <x v="0"/>
    <x v="2"/>
    <x v="0"/>
    <x v="55"/>
  </r>
  <r>
    <s v="KUROWSKI Jakub"/>
    <x v="0"/>
    <s v="MKS Kusy Szczecin"/>
    <x v="0"/>
    <x v="2"/>
    <x v="1"/>
    <x v="56"/>
  </r>
  <r>
    <s v="KUROWSKI Jakub"/>
    <x v="0"/>
    <s v="MKS Kusy Szczecin"/>
    <x v="0"/>
    <x v="2"/>
    <x v="2"/>
    <x v="57"/>
  </r>
  <r>
    <s v="KUROWSKI Jakub"/>
    <x v="0"/>
    <s v="MKS Kusy Szczecin"/>
    <x v="0"/>
    <x v="3"/>
    <x v="0"/>
    <x v="58"/>
  </r>
  <r>
    <s v="KUROWSKI Jakub"/>
    <x v="0"/>
    <s v="MKS Kusy Szczecin"/>
    <x v="0"/>
    <x v="3"/>
    <x v="1"/>
    <x v="59"/>
  </r>
  <r>
    <s v="KUROWSKI Jakub"/>
    <x v="0"/>
    <s v="MKS Kusy Szczecin"/>
    <x v="0"/>
    <x v="3"/>
    <x v="2"/>
    <x v="60"/>
  </r>
  <r>
    <s v="KUROWSKI Jakub"/>
    <x v="0"/>
    <s v="MKS Kusy Szczecin"/>
    <x v="0"/>
    <x v="4"/>
    <x v="0"/>
    <x v="61"/>
  </r>
  <r>
    <s v="KUROWSKI Jakub"/>
    <x v="0"/>
    <s v="MKS Kusy Szczecin"/>
    <x v="0"/>
    <x v="4"/>
    <x v="1"/>
    <x v="62"/>
  </r>
  <r>
    <s v="KUROWSKI Jakub"/>
    <x v="0"/>
    <s v="MKS Kusy Szczecin"/>
    <x v="0"/>
    <x v="4"/>
    <x v="2"/>
    <x v="63"/>
  </r>
  <r>
    <s v="KUROWSKI Jakub"/>
    <x v="0"/>
    <s v="MKS Kusy Szczecin"/>
    <x v="0"/>
    <x v="5"/>
    <x v="0"/>
    <x v="64"/>
  </r>
  <r>
    <s v="KUROWSKI Jakub"/>
    <x v="0"/>
    <s v="MKS Kusy Szczecin"/>
    <x v="0"/>
    <x v="5"/>
    <x v="1"/>
    <x v="65"/>
  </r>
  <r>
    <s v="KUROWSKI Jakub"/>
    <x v="0"/>
    <s v="MKS Kusy Szczecin"/>
    <x v="0"/>
    <x v="5"/>
    <x v="2"/>
    <x v="66"/>
  </r>
  <r>
    <s v="BRACKI Borys"/>
    <x v="0"/>
    <s v="KS AZS AWF Katowice"/>
    <x v="1"/>
    <x v="0"/>
    <x v="0"/>
    <x v="37"/>
  </r>
  <r>
    <s v="BRACKI Borys"/>
    <x v="0"/>
    <s v="KS AZS AWF Katowice"/>
    <x v="1"/>
    <x v="0"/>
    <x v="1"/>
    <x v="17"/>
  </r>
  <r>
    <s v="BRACKI Borys"/>
    <x v="0"/>
    <s v="KS AZS AWF Katowice"/>
    <x v="1"/>
    <x v="0"/>
    <x v="2"/>
    <x v="67"/>
  </r>
  <r>
    <s v="BRACKI Borys"/>
    <x v="0"/>
    <s v="KS AZS AWF Katowice"/>
    <x v="1"/>
    <x v="1"/>
    <x v="0"/>
    <x v="68"/>
  </r>
  <r>
    <s v="BRACKI Borys"/>
    <x v="0"/>
    <s v="KS AZS AWF Katowice"/>
    <x v="1"/>
    <x v="1"/>
    <x v="1"/>
    <x v="69"/>
  </r>
  <r>
    <s v="BRACKI Borys"/>
    <x v="0"/>
    <s v="KS AZS AWF Katowice"/>
    <x v="1"/>
    <x v="1"/>
    <x v="2"/>
    <x v="70"/>
  </r>
  <r>
    <s v="BRACKI Borys"/>
    <x v="0"/>
    <s v="KS AZS AWF Katowice"/>
    <x v="1"/>
    <x v="2"/>
    <x v="0"/>
    <x v="71"/>
  </r>
  <r>
    <s v="BRACKI Borys"/>
    <x v="0"/>
    <s v="KS AZS AWF Katowice"/>
    <x v="1"/>
    <x v="2"/>
    <x v="1"/>
    <x v="72"/>
  </r>
  <r>
    <s v="BRACKI Borys"/>
    <x v="0"/>
    <s v="KS AZS AWF Katowice"/>
    <x v="1"/>
    <x v="2"/>
    <x v="2"/>
    <x v="73"/>
  </r>
  <r>
    <s v="BRACKI Borys"/>
    <x v="0"/>
    <s v="KS AZS AWF Katowice"/>
    <x v="1"/>
    <x v="3"/>
    <x v="0"/>
    <x v="74"/>
  </r>
  <r>
    <s v="BRACKI Borys"/>
    <x v="0"/>
    <s v="KS AZS AWF Katowice"/>
    <x v="1"/>
    <x v="3"/>
    <x v="1"/>
    <x v="75"/>
  </r>
  <r>
    <s v="BRACKI Borys"/>
    <x v="0"/>
    <s v="KS AZS AWF Katowice"/>
    <x v="1"/>
    <x v="3"/>
    <x v="2"/>
    <x v="76"/>
  </r>
  <r>
    <s v="BRACKI Borys"/>
    <x v="0"/>
    <s v="KS AZS AWF Katowice"/>
    <x v="1"/>
    <x v="4"/>
    <x v="0"/>
    <x v="77"/>
  </r>
  <r>
    <s v="BRACKI Borys"/>
    <x v="0"/>
    <s v="KS AZS AWF Katowice"/>
    <x v="1"/>
    <x v="4"/>
    <x v="1"/>
    <x v="62"/>
  </r>
  <r>
    <s v="BRACKI Borys"/>
    <x v="0"/>
    <s v="KS AZS AWF Katowice"/>
    <x v="1"/>
    <x v="4"/>
    <x v="2"/>
    <x v="78"/>
  </r>
  <r>
    <s v="BRACKI Borys"/>
    <x v="0"/>
    <s v="KS AZS AWF Katowice"/>
    <x v="1"/>
    <x v="5"/>
    <x v="0"/>
    <x v="79"/>
  </r>
  <r>
    <s v="BRACKI Borys"/>
    <x v="0"/>
    <s v="KS AZS AWF Katowice"/>
    <x v="1"/>
    <x v="5"/>
    <x v="1"/>
    <x v="65"/>
  </r>
  <r>
    <s v="BRACKI Borys"/>
    <x v="0"/>
    <s v="KS AZS AWF Katowice"/>
    <x v="1"/>
    <x v="5"/>
    <x v="2"/>
    <x v="80"/>
  </r>
  <r>
    <s v="LUDYNIA Marceli"/>
    <x v="0"/>
    <s v="KS AZS AWF Katowice"/>
    <x v="1"/>
    <x v="0"/>
    <x v="0"/>
    <x v="81"/>
  </r>
  <r>
    <s v="LUDYNIA Marceli"/>
    <x v="0"/>
    <s v="KS AZS AWF Katowice"/>
    <x v="1"/>
    <x v="0"/>
    <x v="1"/>
    <x v="82"/>
  </r>
  <r>
    <s v="LUDYNIA Marceli"/>
    <x v="0"/>
    <s v="KS AZS AWF Katowice"/>
    <x v="1"/>
    <x v="0"/>
    <x v="2"/>
    <x v="83"/>
  </r>
  <r>
    <s v="LUDYNIA Marceli"/>
    <x v="0"/>
    <s v="KS AZS AWF Katowice"/>
    <x v="1"/>
    <x v="1"/>
    <x v="0"/>
    <x v="84"/>
  </r>
  <r>
    <s v="LUDYNIA Marceli"/>
    <x v="0"/>
    <s v="KS AZS AWF Katowice"/>
    <x v="1"/>
    <x v="1"/>
    <x v="1"/>
    <x v="85"/>
  </r>
  <r>
    <s v="LUDYNIA Marceli"/>
    <x v="0"/>
    <s v="KS AZS AWF Katowice"/>
    <x v="1"/>
    <x v="1"/>
    <x v="2"/>
    <x v="86"/>
  </r>
  <r>
    <s v="LUDYNIA Marceli"/>
    <x v="0"/>
    <s v="KS AZS AWF Katowice"/>
    <x v="1"/>
    <x v="2"/>
    <x v="0"/>
    <x v="87"/>
  </r>
  <r>
    <s v="LUDYNIA Marceli"/>
    <x v="0"/>
    <s v="KS AZS AWF Katowice"/>
    <x v="1"/>
    <x v="2"/>
    <x v="1"/>
    <x v="88"/>
  </r>
  <r>
    <s v="LUDYNIA Marceli"/>
    <x v="0"/>
    <s v="KS AZS AWF Katowice"/>
    <x v="1"/>
    <x v="2"/>
    <x v="2"/>
    <x v="89"/>
  </r>
  <r>
    <s v="LUDYNIA Marceli"/>
    <x v="0"/>
    <s v="KS AZS AWF Katowice"/>
    <x v="1"/>
    <x v="3"/>
    <x v="0"/>
    <x v="90"/>
  </r>
  <r>
    <s v="LUDYNIA Marceli"/>
    <x v="0"/>
    <s v="KS AZS AWF Katowice"/>
    <x v="1"/>
    <x v="3"/>
    <x v="1"/>
    <x v="91"/>
  </r>
  <r>
    <s v="LUDYNIA Marceli"/>
    <x v="0"/>
    <s v="KS AZS AWF Katowice"/>
    <x v="1"/>
    <x v="3"/>
    <x v="2"/>
    <x v="92"/>
  </r>
  <r>
    <s v="LUDYNIA Marceli"/>
    <x v="0"/>
    <s v="KS AZS AWF Katowice"/>
    <x v="1"/>
    <x v="4"/>
    <x v="0"/>
    <x v="93"/>
  </r>
  <r>
    <s v="LUDYNIA Marceli"/>
    <x v="0"/>
    <s v="KS AZS AWF Katowice"/>
    <x v="1"/>
    <x v="4"/>
    <x v="1"/>
    <x v="94"/>
  </r>
  <r>
    <s v="LUDYNIA Marceli"/>
    <x v="0"/>
    <s v="KS AZS AWF Katowice"/>
    <x v="1"/>
    <x v="4"/>
    <x v="2"/>
    <x v="95"/>
  </r>
  <r>
    <s v="LUDYNIA Marceli"/>
    <x v="0"/>
    <s v="KS AZS AWF Katowice"/>
    <x v="1"/>
    <x v="5"/>
    <x v="0"/>
    <x v="96"/>
  </r>
  <r>
    <s v="LUDYNIA Marceli"/>
    <x v="0"/>
    <s v="KS AZS AWF Katowice"/>
    <x v="1"/>
    <x v="5"/>
    <x v="1"/>
    <x v="97"/>
  </r>
  <r>
    <s v="LUDYNIA Marceli"/>
    <x v="0"/>
    <s v="KS AZS AWF Katowice"/>
    <x v="1"/>
    <x v="5"/>
    <x v="2"/>
    <x v="98"/>
  </r>
  <r>
    <s v="CHRUŚCIEL Szymon"/>
    <x v="0"/>
    <s v="KS AZS AWF Kraków"/>
    <x v="1"/>
    <x v="0"/>
    <x v="0"/>
    <x v="99"/>
  </r>
  <r>
    <s v="CHRUŚCIEL Szymon"/>
    <x v="0"/>
    <s v="KS AZS AWF Kraków"/>
    <x v="1"/>
    <x v="0"/>
    <x v="1"/>
    <x v="100"/>
  </r>
  <r>
    <s v="CHRUŚCIEL Szymon"/>
    <x v="0"/>
    <s v="KS AZS AWF Kraków"/>
    <x v="1"/>
    <x v="0"/>
    <x v="2"/>
    <x v="101"/>
  </r>
  <r>
    <s v="CHRUŚCIEL Szymon"/>
    <x v="0"/>
    <s v="KS AZS AWF Kraków"/>
    <x v="1"/>
    <x v="1"/>
    <x v="0"/>
    <x v="68"/>
  </r>
  <r>
    <s v="CHRUŚCIEL Szymon"/>
    <x v="0"/>
    <s v="KS AZS AWF Kraków"/>
    <x v="1"/>
    <x v="1"/>
    <x v="1"/>
    <x v="102"/>
  </r>
  <r>
    <s v="CHRUŚCIEL Szymon"/>
    <x v="0"/>
    <s v="KS AZS AWF Kraków"/>
    <x v="1"/>
    <x v="1"/>
    <x v="2"/>
    <x v="103"/>
  </r>
  <r>
    <s v="CHRUŚCIEL Szymon"/>
    <x v="0"/>
    <s v="KS AZS AWF Kraków"/>
    <x v="1"/>
    <x v="2"/>
    <x v="0"/>
    <x v="104"/>
  </r>
  <r>
    <s v="CHRUŚCIEL Szymon"/>
    <x v="0"/>
    <s v="KS AZS AWF Kraków"/>
    <x v="1"/>
    <x v="2"/>
    <x v="1"/>
    <x v="105"/>
  </r>
  <r>
    <s v="CHRUŚCIEL Szymon"/>
    <x v="0"/>
    <s v="KS AZS AWF Kraków"/>
    <x v="1"/>
    <x v="2"/>
    <x v="2"/>
    <x v="106"/>
  </r>
  <r>
    <s v="CHRUŚCIEL Szymon"/>
    <x v="0"/>
    <s v="KS AZS AWF Kraków"/>
    <x v="1"/>
    <x v="3"/>
    <x v="0"/>
    <x v="107"/>
  </r>
  <r>
    <s v="CHRUŚCIEL Szymon"/>
    <x v="0"/>
    <s v="KS AZS AWF Kraków"/>
    <x v="1"/>
    <x v="3"/>
    <x v="1"/>
    <x v="108"/>
  </r>
  <r>
    <s v="CHRUŚCIEL Szymon"/>
    <x v="0"/>
    <s v="KS AZS AWF Kraków"/>
    <x v="1"/>
    <x v="3"/>
    <x v="2"/>
    <x v="109"/>
  </r>
  <r>
    <s v="CHRUŚCIEL Szymon"/>
    <x v="0"/>
    <s v="KS AZS AWF Kraków"/>
    <x v="1"/>
    <x v="4"/>
    <x v="0"/>
    <x v="110"/>
  </r>
  <r>
    <s v="CHRUŚCIEL Szymon"/>
    <x v="0"/>
    <s v="KS AZS AWF Kraków"/>
    <x v="1"/>
    <x v="4"/>
    <x v="1"/>
    <x v="111"/>
  </r>
  <r>
    <s v="CHRUŚCIEL Szymon"/>
    <x v="0"/>
    <s v="KS AZS AWF Kraków"/>
    <x v="1"/>
    <x v="4"/>
    <x v="2"/>
    <x v="112"/>
  </r>
  <r>
    <s v="CHRUŚCIEL Szymon"/>
    <x v="0"/>
    <s v="KS AZS AWF Kraków"/>
    <x v="1"/>
    <x v="5"/>
    <x v="0"/>
    <x v="113"/>
  </r>
  <r>
    <s v="CHRUŚCIEL Szymon"/>
    <x v="0"/>
    <s v="KS AZS AWF Kraków"/>
    <x v="1"/>
    <x v="5"/>
    <x v="1"/>
    <x v="114"/>
  </r>
  <r>
    <s v="CHRUŚCIEL Szymon"/>
    <x v="0"/>
    <s v="KS AZS AWF Kraków"/>
    <x v="1"/>
    <x v="5"/>
    <x v="2"/>
    <x v="115"/>
  </r>
  <r>
    <s v="KUZDRA Christian"/>
    <x v="1"/>
    <s v="MKS Gdańsk"/>
    <x v="1"/>
    <x v="0"/>
    <x v="0"/>
    <x v="116"/>
  </r>
  <r>
    <s v="KUZDRA Christian"/>
    <x v="1"/>
    <s v="MKS Gdańsk"/>
    <x v="1"/>
    <x v="0"/>
    <x v="1"/>
    <x v="117"/>
  </r>
  <r>
    <s v="KUZDRA Christian"/>
    <x v="1"/>
    <s v="MKS Gdańsk"/>
    <x v="1"/>
    <x v="0"/>
    <x v="2"/>
    <x v="118"/>
  </r>
  <r>
    <s v="KUZDRA Christian"/>
    <x v="1"/>
    <s v="MKS Gdańsk"/>
    <x v="1"/>
    <x v="1"/>
    <x v="0"/>
    <x v="81"/>
  </r>
  <r>
    <s v="KUZDRA Christian"/>
    <x v="1"/>
    <s v="MKS Gdańsk"/>
    <x v="1"/>
    <x v="1"/>
    <x v="1"/>
    <x v="119"/>
  </r>
  <r>
    <s v="KUZDRA Christian"/>
    <x v="1"/>
    <s v="MKS Gdańsk"/>
    <x v="1"/>
    <x v="1"/>
    <x v="2"/>
    <x v="120"/>
  </r>
  <r>
    <s v="KUZDRA Christian"/>
    <x v="1"/>
    <s v="MKS Gdańsk"/>
    <x v="1"/>
    <x v="2"/>
    <x v="0"/>
    <x v="99"/>
  </r>
  <r>
    <s v="KUZDRA Christian"/>
    <x v="1"/>
    <s v="MKS Gdańsk"/>
    <x v="1"/>
    <x v="2"/>
    <x v="1"/>
    <x v="121"/>
  </r>
  <r>
    <s v="KUZDRA Christian"/>
    <x v="1"/>
    <s v="MKS Gdańsk"/>
    <x v="1"/>
    <x v="2"/>
    <x v="2"/>
    <x v="122"/>
  </r>
  <r>
    <s v="KUZDRA Christian"/>
    <x v="1"/>
    <s v="MKS Gdańsk"/>
    <x v="1"/>
    <x v="3"/>
    <x v="0"/>
    <x v="123"/>
  </r>
  <r>
    <s v="KUZDRA Christian"/>
    <x v="1"/>
    <s v="MKS Gdańsk"/>
    <x v="1"/>
    <x v="3"/>
    <x v="1"/>
    <x v="124"/>
  </r>
  <r>
    <s v="KUZDRA Christian"/>
    <x v="1"/>
    <s v="MKS Gdańsk"/>
    <x v="1"/>
    <x v="3"/>
    <x v="2"/>
    <x v="125"/>
  </r>
  <r>
    <s v="KUZDRA Christian"/>
    <x v="1"/>
    <s v="MKS Gdańsk"/>
    <x v="1"/>
    <x v="4"/>
    <x v="0"/>
    <x v="126"/>
  </r>
  <r>
    <s v="KUZDRA Christian"/>
    <x v="1"/>
    <s v="MKS Gdańsk"/>
    <x v="1"/>
    <x v="4"/>
    <x v="1"/>
    <x v="127"/>
  </r>
  <r>
    <s v="KUZDRA Christian"/>
    <x v="1"/>
    <s v="MKS Gdańsk"/>
    <x v="1"/>
    <x v="4"/>
    <x v="2"/>
    <x v="128"/>
  </r>
  <r>
    <s v="KUZDRA Christian"/>
    <x v="1"/>
    <s v="MKS Gdańsk"/>
    <x v="1"/>
    <x v="5"/>
    <x v="0"/>
    <x v="129"/>
  </r>
  <r>
    <s v="KUZDRA Christian"/>
    <x v="1"/>
    <s v="MKS Gdańsk"/>
    <x v="1"/>
    <x v="5"/>
    <x v="1"/>
    <x v="130"/>
  </r>
  <r>
    <s v="KUZDRA Christian"/>
    <x v="1"/>
    <s v="MKS Gdańsk"/>
    <x v="1"/>
    <x v="5"/>
    <x v="2"/>
    <x v="131"/>
  </r>
  <r>
    <s v="KWIATKOWSKI Michał"/>
    <x v="1"/>
    <s v="MKS Kusy Szczecin"/>
    <x v="1"/>
    <x v="0"/>
    <x v="0"/>
    <x v="132"/>
  </r>
  <r>
    <s v="KWIATKOWSKI Michał"/>
    <x v="1"/>
    <s v="MKS Kusy Szczecin"/>
    <x v="1"/>
    <x v="0"/>
    <x v="1"/>
    <x v="133"/>
  </r>
  <r>
    <s v="KWIATKOWSKI Michał"/>
    <x v="1"/>
    <s v="MKS Kusy Szczecin"/>
    <x v="1"/>
    <x v="0"/>
    <x v="2"/>
    <x v="134"/>
  </r>
  <r>
    <s v="KWIATKOWSKI Michał"/>
    <x v="1"/>
    <s v="MKS Kusy Szczecin"/>
    <x v="1"/>
    <x v="1"/>
    <x v="0"/>
    <x v="87"/>
  </r>
  <r>
    <s v="KWIATKOWSKI Michał"/>
    <x v="1"/>
    <s v="MKS Kusy Szczecin"/>
    <x v="1"/>
    <x v="1"/>
    <x v="1"/>
    <x v="135"/>
  </r>
  <r>
    <s v="KWIATKOWSKI Michał"/>
    <x v="1"/>
    <s v="MKS Kusy Szczecin"/>
    <x v="1"/>
    <x v="1"/>
    <x v="2"/>
    <x v="136"/>
  </r>
  <r>
    <s v="KWIATKOWSKI Michał"/>
    <x v="1"/>
    <s v="MKS Kusy Szczecin"/>
    <x v="1"/>
    <x v="2"/>
    <x v="0"/>
    <x v="137"/>
  </r>
  <r>
    <s v="KWIATKOWSKI Michał"/>
    <x v="1"/>
    <s v="MKS Kusy Szczecin"/>
    <x v="1"/>
    <x v="2"/>
    <x v="1"/>
    <x v="138"/>
  </r>
  <r>
    <s v="KWIATKOWSKI Michał"/>
    <x v="1"/>
    <s v="MKS Kusy Szczecin"/>
    <x v="1"/>
    <x v="2"/>
    <x v="2"/>
    <x v="139"/>
  </r>
  <r>
    <s v="KWIATKOWSKI Michał"/>
    <x v="1"/>
    <s v="MKS Kusy Szczecin"/>
    <x v="1"/>
    <x v="3"/>
    <x v="0"/>
    <x v="140"/>
  </r>
  <r>
    <s v="KWIATKOWSKI Michał"/>
    <x v="1"/>
    <s v="MKS Kusy Szczecin"/>
    <x v="1"/>
    <x v="3"/>
    <x v="1"/>
    <x v="141"/>
  </r>
  <r>
    <s v="KWIATKOWSKI Michał"/>
    <x v="1"/>
    <s v="MKS Kusy Szczecin"/>
    <x v="1"/>
    <x v="3"/>
    <x v="2"/>
    <x v="142"/>
  </r>
  <r>
    <s v="KWIATKOWSKI Michał"/>
    <x v="1"/>
    <s v="MKS Kusy Szczecin"/>
    <x v="1"/>
    <x v="4"/>
    <x v="0"/>
    <x v="143"/>
  </r>
  <r>
    <s v="KWIATKOWSKI Michał"/>
    <x v="1"/>
    <s v="MKS Kusy Szczecin"/>
    <x v="1"/>
    <x v="4"/>
    <x v="1"/>
    <x v="144"/>
  </r>
  <r>
    <s v="KWIATKOWSKI Michał"/>
    <x v="1"/>
    <s v="MKS Kusy Szczecin"/>
    <x v="1"/>
    <x v="4"/>
    <x v="2"/>
    <x v="145"/>
  </r>
  <r>
    <s v="KWIATKOWSKI Michał"/>
    <x v="1"/>
    <s v="MKS Kusy Szczecin"/>
    <x v="1"/>
    <x v="5"/>
    <x v="0"/>
    <x v="146"/>
  </r>
  <r>
    <s v="KWIATKOWSKI Michał"/>
    <x v="1"/>
    <s v="MKS Kusy Szczecin"/>
    <x v="1"/>
    <x v="5"/>
    <x v="1"/>
    <x v="147"/>
  </r>
  <r>
    <s v="KWIATKOWSKI Michał"/>
    <x v="1"/>
    <s v="MKS Kusy Szczecin"/>
    <x v="1"/>
    <x v="5"/>
    <x v="2"/>
    <x v="148"/>
  </r>
  <r>
    <s v="CZARNECKI Aleksander"/>
    <x v="1"/>
    <s v="MKS Kusy Szczecin"/>
    <x v="0"/>
    <x v="0"/>
    <x v="0"/>
    <x v="149"/>
  </r>
  <r>
    <s v="CZARNECKI Aleksander"/>
    <x v="1"/>
    <s v="MKS Kusy Szczecin"/>
    <x v="0"/>
    <x v="0"/>
    <x v="1"/>
    <x v="150"/>
  </r>
  <r>
    <s v="CZARNECKI Aleksander"/>
    <x v="1"/>
    <s v="MKS Kusy Szczecin"/>
    <x v="0"/>
    <x v="0"/>
    <x v="2"/>
    <x v="151"/>
  </r>
  <r>
    <s v="CZARNECKI Aleksander"/>
    <x v="1"/>
    <s v="MKS Kusy Szczecin"/>
    <x v="0"/>
    <x v="1"/>
    <x v="0"/>
    <x v="99"/>
  </r>
  <r>
    <s v="CZARNECKI Aleksander"/>
    <x v="1"/>
    <s v="MKS Kusy Szczecin"/>
    <x v="0"/>
    <x v="1"/>
    <x v="1"/>
    <x v="152"/>
  </r>
  <r>
    <s v="CZARNECKI Aleksander"/>
    <x v="1"/>
    <s v="MKS Kusy Szczecin"/>
    <x v="0"/>
    <x v="1"/>
    <x v="2"/>
    <x v="153"/>
  </r>
  <r>
    <s v="CZARNECKI Aleksander"/>
    <x v="1"/>
    <s v="MKS Kusy Szczecin"/>
    <x v="0"/>
    <x v="2"/>
    <x v="0"/>
    <x v="0"/>
  </r>
  <r>
    <s v="CZARNECKI Aleksander"/>
    <x v="1"/>
    <s v="MKS Kusy Szczecin"/>
    <x v="0"/>
    <x v="2"/>
    <x v="1"/>
    <x v="0"/>
  </r>
  <r>
    <s v="CZARNECKI Aleksander"/>
    <x v="1"/>
    <s v="MKS Kusy Szczecin"/>
    <x v="0"/>
    <x v="2"/>
    <x v="2"/>
    <x v="0"/>
  </r>
  <r>
    <s v="CZARNECKI Aleksander"/>
    <x v="1"/>
    <s v="MKS Kusy Szczecin"/>
    <x v="0"/>
    <x v="3"/>
    <x v="0"/>
    <x v="137"/>
  </r>
  <r>
    <s v="CZARNECKI Aleksander"/>
    <x v="1"/>
    <s v="MKS Kusy Szczecin"/>
    <x v="0"/>
    <x v="3"/>
    <x v="1"/>
    <x v="138"/>
  </r>
  <r>
    <s v="CZARNECKI Aleksander"/>
    <x v="1"/>
    <s v="MKS Kusy Szczecin"/>
    <x v="0"/>
    <x v="3"/>
    <x v="2"/>
    <x v="154"/>
  </r>
  <r>
    <s v="CZARNECKI Aleksander"/>
    <x v="1"/>
    <s v="MKS Kusy Szczecin"/>
    <x v="0"/>
    <x v="4"/>
    <x v="0"/>
    <x v="155"/>
  </r>
  <r>
    <s v="CZARNECKI Aleksander"/>
    <x v="1"/>
    <s v="MKS Kusy Szczecin"/>
    <x v="0"/>
    <x v="4"/>
    <x v="1"/>
    <x v="156"/>
  </r>
  <r>
    <s v="CZARNECKI Aleksander"/>
    <x v="1"/>
    <s v="MKS Kusy Szczecin"/>
    <x v="0"/>
    <x v="4"/>
    <x v="2"/>
    <x v="157"/>
  </r>
  <r>
    <s v="CZARNECKI Aleksander"/>
    <x v="1"/>
    <s v="MKS Kusy Szczecin"/>
    <x v="0"/>
    <x v="5"/>
    <x v="0"/>
    <x v="158"/>
  </r>
  <r>
    <s v="CZARNECKI Aleksander"/>
    <x v="1"/>
    <s v="MKS Kusy Szczecin"/>
    <x v="0"/>
    <x v="5"/>
    <x v="1"/>
    <x v="159"/>
  </r>
  <r>
    <s v="CZARNECKI Aleksander"/>
    <x v="1"/>
    <s v="MKS Kusy Szczecin"/>
    <x v="0"/>
    <x v="5"/>
    <x v="2"/>
    <x v="160"/>
  </r>
  <r>
    <s v="LEKHAC Tomasz"/>
    <x v="1"/>
    <s v="CWZS Zawisza KG Bydgoszcz"/>
    <x v="1"/>
    <x v="0"/>
    <x v="0"/>
    <x v="161"/>
  </r>
  <r>
    <s v="LEKHAC Tomasz"/>
    <x v="1"/>
    <s v="CWZS Zawisza KG Bydgoszcz"/>
    <x v="1"/>
    <x v="0"/>
    <x v="1"/>
    <x v="162"/>
  </r>
  <r>
    <s v="LEKHAC Tomasz"/>
    <x v="1"/>
    <s v="CWZS Zawisza KG Bydgoszcz"/>
    <x v="1"/>
    <x v="0"/>
    <x v="2"/>
    <x v="163"/>
  </r>
  <r>
    <s v="LEKHAC Tomasz"/>
    <x v="1"/>
    <s v="CWZS Zawisza KG Bydgoszcz"/>
    <x v="1"/>
    <x v="1"/>
    <x v="0"/>
    <x v="161"/>
  </r>
  <r>
    <s v="LEKHAC Tomasz"/>
    <x v="1"/>
    <s v="CWZS Zawisza KG Bydgoszcz"/>
    <x v="1"/>
    <x v="1"/>
    <x v="1"/>
    <x v="164"/>
  </r>
  <r>
    <s v="LEKHAC Tomasz"/>
    <x v="1"/>
    <s v="CWZS Zawisza KG Bydgoszcz"/>
    <x v="1"/>
    <x v="1"/>
    <x v="2"/>
    <x v="25"/>
  </r>
  <r>
    <s v="LEKHAC Tomasz"/>
    <x v="1"/>
    <s v="CWZS Zawisza KG Bydgoszcz"/>
    <x v="1"/>
    <x v="2"/>
    <x v="0"/>
    <x v="165"/>
  </r>
  <r>
    <s v="LEKHAC Tomasz"/>
    <x v="1"/>
    <s v="CWZS Zawisza KG Bydgoszcz"/>
    <x v="1"/>
    <x v="2"/>
    <x v="1"/>
    <x v="166"/>
  </r>
  <r>
    <s v="LEKHAC Tomasz"/>
    <x v="1"/>
    <s v="CWZS Zawisza KG Bydgoszcz"/>
    <x v="1"/>
    <x v="2"/>
    <x v="2"/>
    <x v="167"/>
  </r>
  <r>
    <s v="LEKHAC Tomasz"/>
    <x v="1"/>
    <s v="CWZS Zawisza KG Bydgoszcz"/>
    <x v="1"/>
    <x v="3"/>
    <x v="0"/>
    <x v="168"/>
  </r>
  <r>
    <s v="LEKHAC Tomasz"/>
    <x v="1"/>
    <s v="CWZS Zawisza KG Bydgoszcz"/>
    <x v="1"/>
    <x v="3"/>
    <x v="1"/>
    <x v="169"/>
  </r>
  <r>
    <s v="LEKHAC Tomasz"/>
    <x v="1"/>
    <s v="CWZS Zawisza KG Bydgoszcz"/>
    <x v="1"/>
    <x v="3"/>
    <x v="2"/>
    <x v="170"/>
  </r>
  <r>
    <s v="LEKHAC Tomasz"/>
    <x v="1"/>
    <s v="CWZS Zawisza KG Bydgoszcz"/>
    <x v="1"/>
    <x v="4"/>
    <x v="0"/>
    <x v="171"/>
  </r>
  <r>
    <s v="LEKHAC Tomasz"/>
    <x v="1"/>
    <s v="CWZS Zawisza KG Bydgoszcz"/>
    <x v="1"/>
    <x v="4"/>
    <x v="1"/>
    <x v="172"/>
  </r>
  <r>
    <s v="LEKHAC Tomasz"/>
    <x v="1"/>
    <s v="CWZS Zawisza KG Bydgoszcz"/>
    <x v="1"/>
    <x v="4"/>
    <x v="2"/>
    <x v="173"/>
  </r>
  <r>
    <s v="LEKHAC Tomasz"/>
    <x v="1"/>
    <s v="CWZS Zawisza KG Bydgoszcz"/>
    <x v="1"/>
    <x v="5"/>
    <x v="0"/>
    <x v="168"/>
  </r>
  <r>
    <s v="LEKHAC Tomasz"/>
    <x v="1"/>
    <s v="CWZS Zawisza KG Bydgoszcz"/>
    <x v="1"/>
    <x v="5"/>
    <x v="1"/>
    <x v="174"/>
  </r>
  <r>
    <s v="LEKHAC Tomasz"/>
    <x v="1"/>
    <s v="CWZS Zawisza KG Bydgoszcz"/>
    <x v="1"/>
    <x v="5"/>
    <x v="2"/>
    <x v="175"/>
  </r>
  <r>
    <s v="KORBIEL Franciszek"/>
    <x v="1"/>
    <s v="KS AZS AWF Kraków"/>
    <x v="1"/>
    <x v="0"/>
    <x v="0"/>
    <x v="74"/>
  </r>
  <r>
    <s v="KORBIEL Franciszek"/>
    <x v="1"/>
    <s v="KS AZS AWF Kraków"/>
    <x v="1"/>
    <x v="0"/>
    <x v="1"/>
    <x v="176"/>
  </r>
  <r>
    <s v="KORBIEL Franciszek"/>
    <x v="1"/>
    <s v="KS AZS AWF Kraków"/>
    <x v="1"/>
    <x v="0"/>
    <x v="2"/>
    <x v="177"/>
  </r>
  <r>
    <s v="KORBIEL Franciszek"/>
    <x v="1"/>
    <s v="KS AZS AWF Kraków"/>
    <x v="1"/>
    <x v="1"/>
    <x v="0"/>
    <x v="178"/>
  </r>
  <r>
    <s v="KORBIEL Franciszek"/>
    <x v="1"/>
    <s v="KS AZS AWF Kraków"/>
    <x v="1"/>
    <x v="1"/>
    <x v="1"/>
    <x v="179"/>
  </r>
  <r>
    <s v="KORBIEL Franciszek"/>
    <x v="1"/>
    <s v="KS AZS AWF Kraków"/>
    <x v="1"/>
    <x v="1"/>
    <x v="2"/>
    <x v="180"/>
  </r>
  <r>
    <s v="KORBIEL Franciszek"/>
    <x v="1"/>
    <s v="KS AZS AWF Kraków"/>
    <x v="1"/>
    <x v="2"/>
    <x v="0"/>
    <x v="181"/>
  </r>
  <r>
    <s v="KORBIEL Franciszek"/>
    <x v="1"/>
    <s v="KS AZS AWF Kraków"/>
    <x v="1"/>
    <x v="2"/>
    <x v="1"/>
    <x v="182"/>
  </r>
  <r>
    <s v="KORBIEL Franciszek"/>
    <x v="1"/>
    <s v="KS AZS AWF Kraków"/>
    <x v="1"/>
    <x v="2"/>
    <x v="2"/>
    <x v="183"/>
  </r>
  <r>
    <s v="KORBIEL Franciszek"/>
    <x v="1"/>
    <s v="KS AZS AWF Kraków"/>
    <x v="1"/>
    <x v="3"/>
    <x v="0"/>
    <x v="184"/>
  </r>
  <r>
    <s v="KORBIEL Franciszek"/>
    <x v="1"/>
    <s v="KS AZS AWF Kraków"/>
    <x v="1"/>
    <x v="3"/>
    <x v="1"/>
    <x v="185"/>
  </r>
  <r>
    <s v="KORBIEL Franciszek"/>
    <x v="1"/>
    <s v="KS AZS AWF Kraków"/>
    <x v="1"/>
    <x v="3"/>
    <x v="2"/>
    <x v="186"/>
  </r>
  <r>
    <s v="KORBIEL Franciszek"/>
    <x v="1"/>
    <s v="KS AZS AWF Kraków"/>
    <x v="1"/>
    <x v="4"/>
    <x v="0"/>
    <x v="187"/>
  </r>
  <r>
    <s v="KORBIEL Franciszek"/>
    <x v="1"/>
    <s v="KS AZS AWF Kraków"/>
    <x v="1"/>
    <x v="4"/>
    <x v="1"/>
    <x v="188"/>
  </r>
  <r>
    <s v="KORBIEL Franciszek"/>
    <x v="1"/>
    <s v="KS AZS AWF Kraków"/>
    <x v="1"/>
    <x v="4"/>
    <x v="2"/>
    <x v="189"/>
  </r>
  <r>
    <s v="KORBIEL Franciszek"/>
    <x v="1"/>
    <s v="KS AZS AWF Kraków"/>
    <x v="1"/>
    <x v="5"/>
    <x v="0"/>
    <x v="190"/>
  </r>
  <r>
    <s v="KORBIEL Franciszek"/>
    <x v="1"/>
    <s v="KS AZS AWF Kraków"/>
    <x v="1"/>
    <x v="5"/>
    <x v="1"/>
    <x v="191"/>
  </r>
  <r>
    <s v="KORBIEL Franciszek"/>
    <x v="1"/>
    <s v="KS AZS AWF Kraków"/>
    <x v="1"/>
    <x v="5"/>
    <x v="2"/>
    <x v="192"/>
  </r>
  <r>
    <s v="KOPERSKI Filip"/>
    <x v="1"/>
    <s v="KS AZS AWF Kraków"/>
    <x v="0"/>
    <x v="0"/>
    <x v="0"/>
    <x v="0"/>
  </r>
  <r>
    <s v="KOPERSKI Filip"/>
    <x v="1"/>
    <s v="KS AZS AWF Kraków"/>
    <x v="0"/>
    <x v="0"/>
    <x v="1"/>
    <x v="0"/>
  </r>
  <r>
    <s v="KOPERSKI Filip"/>
    <x v="1"/>
    <s v="KS AZS AWF Kraków"/>
    <x v="0"/>
    <x v="0"/>
    <x v="2"/>
    <x v="0"/>
  </r>
  <r>
    <s v="KOPERSKI Filip"/>
    <x v="1"/>
    <s v="KS AZS AWF Kraków"/>
    <x v="0"/>
    <x v="1"/>
    <x v="0"/>
    <x v="193"/>
  </r>
  <r>
    <s v="KOPERSKI Filip"/>
    <x v="1"/>
    <s v="KS AZS AWF Kraków"/>
    <x v="0"/>
    <x v="1"/>
    <x v="1"/>
    <x v="22"/>
  </r>
  <r>
    <s v="KOPERSKI Filip"/>
    <x v="1"/>
    <s v="KS AZS AWF Kraków"/>
    <x v="0"/>
    <x v="1"/>
    <x v="2"/>
    <x v="194"/>
  </r>
  <r>
    <s v="KOPERSKI Filip"/>
    <x v="1"/>
    <s v="KS AZS AWF Kraków"/>
    <x v="0"/>
    <x v="2"/>
    <x v="0"/>
    <x v="195"/>
  </r>
  <r>
    <s v="KOPERSKI Filip"/>
    <x v="1"/>
    <s v="KS AZS AWF Kraków"/>
    <x v="0"/>
    <x v="2"/>
    <x v="1"/>
    <x v="196"/>
  </r>
  <r>
    <s v="KOPERSKI Filip"/>
    <x v="1"/>
    <s v="KS AZS AWF Kraków"/>
    <x v="0"/>
    <x v="2"/>
    <x v="2"/>
    <x v="197"/>
  </r>
  <r>
    <s v="KOPERSKI Filip"/>
    <x v="1"/>
    <s v="KS AZS AWF Kraków"/>
    <x v="0"/>
    <x v="3"/>
    <x v="0"/>
    <x v="198"/>
  </r>
  <r>
    <s v="KOPERSKI Filip"/>
    <x v="1"/>
    <s v="KS AZS AWF Kraków"/>
    <x v="0"/>
    <x v="3"/>
    <x v="1"/>
    <x v="199"/>
  </r>
  <r>
    <s v="KOPERSKI Filip"/>
    <x v="1"/>
    <s v="KS AZS AWF Kraków"/>
    <x v="0"/>
    <x v="3"/>
    <x v="2"/>
    <x v="200"/>
  </r>
  <r>
    <s v="KOPERSKI Filip"/>
    <x v="1"/>
    <s v="KS AZS AWF Kraków"/>
    <x v="0"/>
    <x v="4"/>
    <x v="0"/>
    <x v="201"/>
  </r>
  <r>
    <s v="KOPERSKI Filip"/>
    <x v="1"/>
    <s v="KS AZS AWF Kraków"/>
    <x v="0"/>
    <x v="4"/>
    <x v="1"/>
    <x v="188"/>
  </r>
  <r>
    <s v="KOPERSKI Filip"/>
    <x v="1"/>
    <s v="KS AZS AWF Kraków"/>
    <x v="0"/>
    <x v="4"/>
    <x v="2"/>
    <x v="202"/>
  </r>
  <r>
    <s v="KOPERSKI Filip"/>
    <x v="1"/>
    <s v="KS AZS AWF Kraków"/>
    <x v="0"/>
    <x v="5"/>
    <x v="0"/>
    <x v="203"/>
  </r>
  <r>
    <s v="KOPERSKI Filip"/>
    <x v="1"/>
    <s v="KS AZS AWF Kraków"/>
    <x v="0"/>
    <x v="5"/>
    <x v="1"/>
    <x v="191"/>
  </r>
  <r>
    <s v="KOPERSKI Filip"/>
    <x v="1"/>
    <s v="KS AZS AWF Kraków"/>
    <x v="0"/>
    <x v="5"/>
    <x v="2"/>
    <x v="204"/>
  </r>
  <r>
    <s v="KOŁODZIEJCZYK Karol"/>
    <x v="1"/>
    <s v="KS AZS AWF Kraków"/>
    <x v="1"/>
    <x v="0"/>
    <x v="0"/>
    <x v="205"/>
  </r>
  <r>
    <s v="KOŁODZIEJCZYK Karol"/>
    <x v="1"/>
    <s v="KS AZS AWF Kraków"/>
    <x v="1"/>
    <x v="0"/>
    <x v="1"/>
    <x v="206"/>
  </r>
  <r>
    <s v="KOŁODZIEJCZYK Karol"/>
    <x v="1"/>
    <s v="KS AZS AWF Kraków"/>
    <x v="1"/>
    <x v="0"/>
    <x v="2"/>
    <x v="139"/>
  </r>
  <r>
    <s v="KOŁODZIEJCZYK Karol"/>
    <x v="1"/>
    <s v="KS AZS AWF Kraków"/>
    <x v="1"/>
    <x v="1"/>
    <x v="0"/>
    <x v="207"/>
  </r>
  <r>
    <s v="KOŁODZIEJCZYK Karol"/>
    <x v="1"/>
    <s v="KS AZS AWF Kraków"/>
    <x v="1"/>
    <x v="1"/>
    <x v="1"/>
    <x v="121"/>
  </r>
  <r>
    <s v="KOŁODZIEJCZYK Karol"/>
    <x v="1"/>
    <s v="KS AZS AWF Kraków"/>
    <x v="1"/>
    <x v="1"/>
    <x v="2"/>
    <x v="109"/>
  </r>
  <r>
    <s v="KOŁODZIEJCZYK Karol"/>
    <x v="1"/>
    <s v="KS AZS AWF Kraków"/>
    <x v="1"/>
    <x v="2"/>
    <x v="0"/>
    <x v="208"/>
  </r>
  <r>
    <s v="KOŁODZIEJCZYK Karol"/>
    <x v="1"/>
    <s v="KS AZS AWF Kraków"/>
    <x v="1"/>
    <x v="2"/>
    <x v="1"/>
    <x v="191"/>
  </r>
  <r>
    <s v="KOŁODZIEJCZYK Karol"/>
    <x v="1"/>
    <s v="KS AZS AWF Kraków"/>
    <x v="1"/>
    <x v="2"/>
    <x v="2"/>
    <x v="209"/>
  </r>
  <r>
    <s v="KOŁODZIEJCZYK Karol"/>
    <x v="1"/>
    <s v="KS AZS AWF Kraków"/>
    <x v="1"/>
    <x v="3"/>
    <x v="0"/>
    <x v="210"/>
  </r>
  <r>
    <s v="KOŁODZIEJCZYK Karol"/>
    <x v="1"/>
    <s v="KS AZS AWF Kraków"/>
    <x v="1"/>
    <x v="3"/>
    <x v="1"/>
    <x v="211"/>
  </r>
  <r>
    <s v="KOŁODZIEJCZYK Karol"/>
    <x v="1"/>
    <s v="KS AZS AWF Kraków"/>
    <x v="1"/>
    <x v="3"/>
    <x v="2"/>
    <x v="212"/>
  </r>
  <r>
    <s v="KOŁODZIEJCZYK Karol"/>
    <x v="1"/>
    <s v="KS AZS AWF Kraków"/>
    <x v="1"/>
    <x v="4"/>
    <x v="0"/>
    <x v="213"/>
  </r>
  <r>
    <s v="KOŁODZIEJCZYK Karol"/>
    <x v="1"/>
    <s v="KS AZS AWF Kraków"/>
    <x v="1"/>
    <x v="4"/>
    <x v="1"/>
    <x v="214"/>
  </r>
  <r>
    <s v="KOŁODZIEJCZYK Karol"/>
    <x v="1"/>
    <s v="KS AZS AWF Kraków"/>
    <x v="1"/>
    <x v="4"/>
    <x v="2"/>
    <x v="215"/>
  </r>
  <r>
    <s v="KOŁODZIEJCZYK Karol"/>
    <x v="1"/>
    <s v="KS AZS AWF Kraków"/>
    <x v="1"/>
    <x v="5"/>
    <x v="0"/>
    <x v="216"/>
  </r>
  <r>
    <s v="KOŁODZIEJCZYK Karol"/>
    <x v="1"/>
    <s v="KS AZS AWF Kraków"/>
    <x v="1"/>
    <x v="5"/>
    <x v="1"/>
    <x v="217"/>
  </r>
  <r>
    <s v="KOŁODZIEJCZYK Karol"/>
    <x v="1"/>
    <s v="KS AZS AWF Kraków"/>
    <x v="1"/>
    <x v="5"/>
    <x v="2"/>
    <x v="218"/>
  </r>
  <r>
    <s v="JANKOWSKI Dominik"/>
    <x v="1"/>
    <s v="MKS Gdańsk"/>
    <x v="0"/>
    <x v="0"/>
    <x v="0"/>
    <x v="219"/>
  </r>
  <r>
    <s v="JANKOWSKI Dominik"/>
    <x v="1"/>
    <s v="MKS Gdańsk"/>
    <x v="0"/>
    <x v="0"/>
    <x v="1"/>
    <x v="220"/>
  </r>
  <r>
    <s v="JANKOWSKI Dominik"/>
    <x v="1"/>
    <s v="MKS Gdańsk"/>
    <x v="0"/>
    <x v="0"/>
    <x v="2"/>
    <x v="221"/>
  </r>
  <r>
    <s v="JANKOWSKI Dominik"/>
    <x v="1"/>
    <s v="MKS Gdańsk"/>
    <x v="0"/>
    <x v="1"/>
    <x v="0"/>
    <x v="222"/>
  </r>
  <r>
    <s v="JANKOWSKI Dominik"/>
    <x v="1"/>
    <s v="MKS Gdańsk"/>
    <x v="0"/>
    <x v="1"/>
    <x v="1"/>
    <x v="223"/>
  </r>
  <r>
    <s v="JANKOWSKI Dominik"/>
    <x v="1"/>
    <s v="MKS Gdańsk"/>
    <x v="0"/>
    <x v="1"/>
    <x v="2"/>
    <x v="224"/>
  </r>
  <r>
    <s v="JANKOWSKI Dominik"/>
    <x v="1"/>
    <s v="MKS Gdańsk"/>
    <x v="0"/>
    <x v="2"/>
    <x v="0"/>
    <x v="225"/>
  </r>
  <r>
    <s v="JANKOWSKI Dominik"/>
    <x v="1"/>
    <s v="MKS Gdańsk"/>
    <x v="0"/>
    <x v="2"/>
    <x v="1"/>
    <x v="191"/>
  </r>
  <r>
    <s v="JANKOWSKI Dominik"/>
    <x v="1"/>
    <s v="MKS Gdańsk"/>
    <x v="0"/>
    <x v="2"/>
    <x v="2"/>
    <x v="226"/>
  </r>
  <r>
    <s v="JANKOWSKI Dominik"/>
    <x v="1"/>
    <s v="MKS Gdańsk"/>
    <x v="0"/>
    <x v="3"/>
    <x v="0"/>
    <x v="227"/>
  </r>
  <r>
    <s v="JANKOWSKI Dominik"/>
    <x v="1"/>
    <s v="MKS Gdańsk"/>
    <x v="0"/>
    <x v="3"/>
    <x v="1"/>
    <x v="228"/>
  </r>
  <r>
    <s v="JANKOWSKI Dominik"/>
    <x v="1"/>
    <s v="MKS Gdańsk"/>
    <x v="0"/>
    <x v="3"/>
    <x v="2"/>
    <x v="229"/>
  </r>
  <r>
    <s v="JANKOWSKI Dominik"/>
    <x v="1"/>
    <s v="MKS Gdańsk"/>
    <x v="0"/>
    <x v="4"/>
    <x v="0"/>
    <x v="230"/>
  </r>
  <r>
    <s v="JANKOWSKI Dominik"/>
    <x v="1"/>
    <s v="MKS Gdańsk"/>
    <x v="0"/>
    <x v="4"/>
    <x v="1"/>
    <x v="231"/>
  </r>
  <r>
    <s v="JANKOWSKI Dominik"/>
    <x v="1"/>
    <s v="MKS Gdańsk"/>
    <x v="0"/>
    <x v="4"/>
    <x v="2"/>
    <x v="232"/>
  </r>
  <r>
    <s v="JANKOWSKI Dominik"/>
    <x v="1"/>
    <s v="MKS Gdańsk"/>
    <x v="0"/>
    <x v="5"/>
    <x v="0"/>
    <x v="233"/>
  </r>
  <r>
    <s v="JANKOWSKI Dominik"/>
    <x v="1"/>
    <s v="MKS Gdańsk"/>
    <x v="0"/>
    <x v="5"/>
    <x v="1"/>
    <x v="234"/>
  </r>
  <r>
    <s v="JANKOWSKI Dominik"/>
    <x v="1"/>
    <s v="MKS Gdańsk"/>
    <x v="0"/>
    <x v="5"/>
    <x v="2"/>
    <x v="235"/>
  </r>
  <r>
    <s v="MOSKAL Błażej"/>
    <x v="1"/>
    <s v="MKS Gdańsk"/>
    <x v="1"/>
    <x v="0"/>
    <x v="0"/>
    <x v="236"/>
  </r>
  <r>
    <s v="MOSKAL Błażej"/>
    <x v="1"/>
    <s v="MKS Gdańsk"/>
    <x v="1"/>
    <x v="0"/>
    <x v="1"/>
    <x v="237"/>
  </r>
  <r>
    <s v="MOSKAL Błażej"/>
    <x v="1"/>
    <s v="MKS Gdańsk"/>
    <x v="1"/>
    <x v="0"/>
    <x v="2"/>
    <x v="238"/>
  </r>
  <r>
    <s v="MOSKAL Błażej"/>
    <x v="1"/>
    <s v="MKS Gdańsk"/>
    <x v="1"/>
    <x v="1"/>
    <x v="0"/>
    <x v="239"/>
  </r>
  <r>
    <s v="MOSKAL Błażej"/>
    <x v="1"/>
    <s v="MKS Gdańsk"/>
    <x v="1"/>
    <x v="1"/>
    <x v="1"/>
    <x v="240"/>
  </r>
  <r>
    <s v="MOSKAL Błażej"/>
    <x v="1"/>
    <s v="MKS Gdańsk"/>
    <x v="1"/>
    <x v="1"/>
    <x v="2"/>
    <x v="241"/>
  </r>
  <r>
    <s v="MOSKAL Błażej"/>
    <x v="1"/>
    <s v="MKS Gdańsk"/>
    <x v="1"/>
    <x v="2"/>
    <x v="0"/>
    <x v="242"/>
  </r>
  <r>
    <s v="MOSKAL Błażej"/>
    <x v="1"/>
    <s v="MKS Gdańsk"/>
    <x v="1"/>
    <x v="2"/>
    <x v="1"/>
    <x v="243"/>
  </r>
  <r>
    <s v="MOSKAL Błażej"/>
    <x v="1"/>
    <s v="MKS Gdańsk"/>
    <x v="1"/>
    <x v="2"/>
    <x v="2"/>
    <x v="244"/>
  </r>
  <r>
    <s v="MOSKAL Błażej"/>
    <x v="1"/>
    <s v="MKS Gdańsk"/>
    <x v="1"/>
    <x v="3"/>
    <x v="0"/>
    <x v="245"/>
  </r>
  <r>
    <s v="MOSKAL Błażej"/>
    <x v="1"/>
    <s v="MKS Gdańsk"/>
    <x v="1"/>
    <x v="3"/>
    <x v="1"/>
    <x v="246"/>
  </r>
  <r>
    <s v="MOSKAL Błażej"/>
    <x v="1"/>
    <s v="MKS Gdańsk"/>
    <x v="1"/>
    <x v="3"/>
    <x v="2"/>
    <x v="143"/>
  </r>
  <r>
    <s v="MOSKAL Błażej"/>
    <x v="1"/>
    <s v="MKS Gdańsk"/>
    <x v="1"/>
    <x v="4"/>
    <x v="0"/>
    <x v="247"/>
  </r>
  <r>
    <s v="MOSKAL Błażej"/>
    <x v="1"/>
    <s v="MKS Gdańsk"/>
    <x v="1"/>
    <x v="4"/>
    <x v="1"/>
    <x v="248"/>
  </r>
  <r>
    <s v="MOSKAL Błażej"/>
    <x v="1"/>
    <s v="MKS Gdańsk"/>
    <x v="1"/>
    <x v="4"/>
    <x v="2"/>
    <x v="249"/>
  </r>
  <r>
    <s v="MOSKAL Błażej"/>
    <x v="1"/>
    <s v="MKS Gdańsk"/>
    <x v="1"/>
    <x v="5"/>
    <x v="0"/>
    <x v="250"/>
  </r>
  <r>
    <s v="MOSKAL Błażej"/>
    <x v="1"/>
    <s v="MKS Gdańsk"/>
    <x v="1"/>
    <x v="5"/>
    <x v="1"/>
    <x v="251"/>
  </r>
  <r>
    <s v="MOSKAL Błażej"/>
    <x v="1"/>
    <s v="MKS Gdańsk"/>
    <x v="1"/>
    <x v="5"/>
    <x v="2"/>
    <x v="252"/>
  </r>
  <r>
    <s v="ŻEMEŁKA Dawid"/>
    <x v="1"/>
    <s v="MKS Gdańsk"/>
    <x v="0"/>
    <x v="0"/>
    <x v="0"/>
    <x v="0"/>
  </r>
  <r>
    <s v="ŻEMEŁKA Dawid"/>
    <x v="1"/>
    <s v="MKS Gdańsk"/>
    <x v="0"/>
    <x v="0"/>
    <x v="1"/>
    <x v="0"/>
  </r>
  <r>
    <s v="ŻEMEŁKA Dawid"/>
    <x v="1"/>
    <s v="MKS Gdańsk"/>
    <x v="0"/>
    <x v="0"/>
    <x v="2"/>
    <x v="0"/>
  </r>
  <r>
    <s v="ŻEMEŁKA Dawid"/>
    <x v="1"/>
    <s v="MKS Gdańsk"/>
    <x v="0"/>
    <x v="1"/>
    <x v="0"/>
    <x v="253"/>
  </r>
  <r>
    <s v="ŻEMEŁKA Dawid"/>
    <x v="1"/>
    <s v="MKS Gdańsk"/>
    <x v="0"/>
    <x v="1"/>
    <x v="1"/>
    <x v="254"/>
  </r>
  <r>
    <s v="ŻEMEŁKA Dawid"/>
    <x v="1"/>
    <s v="MKS Gdańsk"/>
    <x v="0"/>
    <x v="1"/>
    <x v="2"/>
    <x v="255"/>
  </r>
  <r>
    <s v="ŻEMEŁKA Dawid"/>
    <x v="1"/>
    <s v="MKS Gdańsk"/>
    <x v="0"/>
    <x v="2"/>
    <x v="0"/>
    <x v="256"/>
  </r>
  <r>
    <s v="ŻEMEŁKA Dawid"/>
    <x v="1"/>
    <s v="MKS Gdańsk"/>
    <x v="0"/>
    <x v="2"/>
    <x v="1"/>
    <x v="257"/>
  </r>
  <r>
    <s v="ŻEMEŁKA Dawid"/>
    <x v="1"/>
    <s v="MKS Gdańsk"/>
    <x v="0"/>
    <x v="2"/>
    <x v="2"/>
    <x v="258"/>
  </r>
  <r>
    <s v="ŻEMEŁKA Dawid"/>
    <x v="1"/>
    <s v="MKS Gdańsk"/>
    <x v="0"/>
    <x v="3"/>
    <x v="0"/>
    <x v="253"/>
  </r>
  <r>
    <s v="ŻEMEŁKA Dawid"/>
    <x v="1"/>
    <s v="MKS Gdańsk"/>
    <x v="0"/>
    <x v="3"/>
    <x v="1"/>
    <x v="259"/>
  </r>
  <r>
    <s v="ŻEMEŁKA Dawid"/>
    <x v="1"/>
    <s v="MKS Gdańsk"/>
    <x v="0"/>
    <x v="3"/>
    <x v="2"/>
    <x v="260"/>
  </r>
  <r>
    <s v="ŻEMEŁKA Dawid"/>
    <x v="1"/>
    <s v="MKS Gdańsk"/>
    <x v="0"/>
    <x v="4"/>
    <x v="0"/>
    <x v="261"/>
  </r>
  <r>
    <s v="ŻEMEŁKA Dawid"/>
    <x v="1"/>
    <s v="MKS Gdańsk"/>
    <x v="0"/>
    <x v="4"/>
    <x v="1"/>
    <x v="262"/>
  </r>
  <r>
    <s v="ŻEMEŁKA Dawid"/>
    <x v="1"/>
    <s v="MKS Gdańsk"/>
    <x v="0"/>
    <x v="4"/>
    <x v="2"/>
    <x v="263"/>
  </r>
  <r>
    <s v="ŻEMEŁKA Dawid"/>
    <x v="1"/>
    <s v="MKS Gdańsk"/>
    <x v="0"/>
    <x v="5"/>
    <x v="0"/>
    <x v="264"/>
  </r>
  <r>
    <s v="ŻEMEŁKA Dawid"/>
    <x v="1"/>
    <s v="MKS Gdańsk"/>
    <x v="0"/>
    <x v="5"/>
    <x v="1"/>
    <x v="265"/>
  </r>
  <r>
    <s v="ŻEMEŁKA Dawid"/>
    <x v="1"/>
    <s v="MKS Gdańsk"/>
    <x v="0"/>
    <x v="5"/>
    <x v="2"/>
    <x v="266"/>
  </r>
  <r>
    <s v="WIERZBA Kacper"/>
    <x v="0"/>
    <s v="MKS Gdańsk"/>
    <x v="2"/>
    <x v="0"/>
    <x v="0"/>
    <x v="0"/>
  </r>
  <r>
    <s v="WIERZBA Kacper"/>
    <x v="0"/>
    <s v="MKS Gdańsk"/>
    <x v="2"/>
    <x v="0"/>
    <x v="1"/>
    <x v="0"/>
  </r>
  <r>
    <s v="WIERZBA Kacper"/>
    <x v="0"/>
    <s v="MKS Gdańsk"/>
    <x v="2"/>
    <x v="0"/>
    <x v="2"/>
    <x v="0"/>
  </r>
  <r>
    <s v="WIERZBA Kacper"/>
    <x v="0"/>
    <s v="MKS Gdańsk"/>
    <x v="2"/>
    <x v="1"/>
    <x v="0"/>
    <x v="267"/>
  </r>
  <r>
    <s v="WIERZBA Kacper"/>
    <x v="0"/>
    <s v="MKS Gdańsk"/>
    <x v="2"/>
    <x v="1"/>
    <x v="1"/>
    <x v="268"/>
  </r>
  <r>
    <s v="WIERZBA Kacper"/>
    <x v="0"/>
    <s v="MKS Gdańsk"/>
    <x v="2"/>
    <x v="1"/>
    <x v="2"/>
    <x v="269"/>
  </r>
  <r>
    <s v="WIERZBA Kacper"/>
    <x v="0"/>
    <s v="MKS Gdańsk"/>
    <x v="2"/>
    <x v="2"/>
    <x v="0"/>
    <x v="270"/>
  </r>
  <r>
    <s v="WIERZBA Kacper"/>
    <x v="0"/>
    <s v="MKS Gdańsk"/>
    <x v="2"/>
    <x v="2"/>
    <x v="1"/>
    <x v="271"/>
  </r>
  <r>
    <s v="WIERZBA Kacper"/>
    <x v="0"/>
    <s v="MKS Gdańsk"/>
    <x v="2"/>
    <x v="2"/>
    <x v="2"/>
    <x v="272"/>
  </r>
  <r>
    <s v="WIERZBA Kacper"/>
    <x v="0"/>
    <s v="MKS Gdańsk"/>
    <x v="2"/>
    <x v="3"/>
    <x v="0"/>
    <x v="273"/>
  </r>
  <r>
    <s v="WIERZBA Kacper"/>
    <x v="0"/>
    <s v="MKS Gdańsk"/>
    <x v="2"/>
    <x v="3"/>
    <x v="1"/>
    <x v="274"/>
  </r>
  <r>
    <s v="WIERZBA Kacper"/>
    <x v="0"/>
    <s v="MKS Gdańsk"/>
    <x v="2"/>
    <x v="3"/>
    <x v="2"/>
    <x v="275"/>
  </r>
  <r>
    <s v="WIERZBA Kacper"/>
    <x v="0"/>
    <s v="MKS Gdańsk"/>
    <x v="2"/>
    <x v="4"/>
    <x v="0"/>
    <x v="0"/>
  </r>
  <r>
    <s v="WIERZBA Kacper"/>
    <x v="0"/>
    <s v="MKS Gdańsk"/>
    <x v="2"/>
    <x v="4"/>
    <x v="1"/>
    <x v="0"/>
  </r>
  <r>
    <s v="WIERZBA Kacper"/>
    <x v="0"/>
    <s v="MKS Gdańsk"/>
    <x v="2"/>
    <x v="4"/>
    <x v="2"/>
    <x v="0"/>
  </r>
  <r>
    <s v="WIERZBA Kacper"/>
    <x v="0"/>
    <s v="MKS Gdańsk"/>
    <x v="2"/>
    <x v="5"/>
    <x v="0"/>
    <x v="0"/>
  </r>
  <r>
    <s v="WIERZBA Kacper"/>
    <x v="0"/>
    <s v="MKS Gdańsk"/>
    <x v="2"/>
    <x v="5"/>
    <x v="1"/>
    <x v="0"/>
  </r>
  <r>
    <s v="WIERZBA Kacper"/>
    <x v="0"/>
    <s v="MKS Gdańsk"/>
    <x v="2"/>
    <x v="5"/>
    <x v="2"/>
    <x v="0"/>
  </r>
  <r>
    <s v="KAŚKÓW Paweł"/>
    <x v="0"/>
    <s v="KS AZS AWFiS Gdańsk"/>
    <x v="2"/>
    <x v="0"/>
    <x v="0"/>
    <x v="276"/>
  </r>
  <r>
    <s v="KAŚKÓW Paweł"/>
    <x v="0"/>
    <s v="KS AZS AWFiS Gdańsk"/>
    <x v="2"/>
    <x v="0"/>
    <x v="1"/>
    <x v="277"/>
  </r>
  <r>
    <s v="KAŚKÓW Paweł"/>
    <x v="0"/>
    <s v="KS AZS AWFiS Gdańsk"/>
    <x v="2"/>
    <x v="0"/>
    <x v="2"/>
    <x v="278"/>
  </r>
  <r>
    <s v="KAŚKÓW Paweł"/>
    <x v="0"/>
    <s v="KS AZS AWFiS Gdańsk"/>
    <x v="2"/>
    <x v="1"/>
    <x v="0"/>
    <x v="0"/>
  </r>
  <r>
    <s v="KAŚKÓW Paweł"/>
    <x v="0"/>
    <s v="KS AZS AWFiS Gdańsk"/>
    <x v="2"/>
    <x v="1"/>
    <x v="1"/>
    <x v="0"/>
  </r>
  <r>
    <s v="KAŚKÓW Paweł"/>
    <x v="0"/>
    <s v="KS AZS AWFiS Gdańsk"/>
    <x v="2"/>
    <x v="1"/>
    <x v="2"/>
    <x v="0"/>
  </r>
  <r>
    <s v="KAŚKÓW Paweł"/>
    <x v="0"/>
    <s v="KS AZS AWFiS Gdańsk"/>
    <x v="2"/>
    <x v="2"/>
    <x v="0"/>
    <x v="279"/>
  </r>
  <r>
    <s v="KAŚKÓW Paweł"/>
    <x v="0"/>
    <s v="KS AZS AWFiS Gdańsk"/>
    <x v="2"/>
    <x v="2"/>
    <x v="1"/>
    <x v="280"/>
  </r>
  <r>
    <s v="KAŚKÓW Paweł"/>
    <x v="0"/>
    <s v="KS AZS AWFiS Gdańsk"/>
    <x v="2"/>
    <x v="2"/>
    <x v="2"/>
    <x v="281"/>
  </r>
  <r>
    <s v="KAŚKÓW Paweł"/>
    <x v="0"/>
    <s v="KS AZS AWFiS Gdańsk"/>
    <x v="2"/>
    <x v="3"/>
    <x v="0"/>
    <x v="0"/>
  </r>
  <r>
    <s v="KAŚKÓW Paweł"/>
    <x v="0"/>
    <s v="KS AZS AWFiS Gdańsk"/>
    <x v="2"/>
    <x v="3"/>
    <x v="1"/>
    <x v="0"/>
  </r>
  <r>
    <s v="KAŚKÓW Paweł"/>
    <x v="0"/>
    <s v="KS AZS AWFiS Gdańsk"/>
    <x v="2"/>
    <x v="3"/>
    <x v="2"/>
    <x v="0"/>
  </r>
  <r>
    <s v="KAŚKÓW Paweł"/>
    <x v="0"/>
    <s v="KS AZS AWFiS Gdańsk"/>
    <x v="2"/>
    <x v="4"/>
    <x v="0"/>
    <x v="0"/>
  </r>
  <r>
    <s v="KAŚKÓW Paweł"/>
    <x v="0"/>
    <s v="KS AZS AWFiS Gdańsk"/>
    <x v="2"/>
    <x v="4"/>
    <x v="1"/>
    <x v="0"/>
  </r>
  <r>
    <s v="KAŚKÓW Paweł"/>
    <x v="0"/>
    <s v="KS AZS AWFiS Gdańsk"/>
    <x v="2"/>
    <x v="4"/>
    <x v="2"/>
    <x v="0"/>
  </r>
  <r>
    <s v="KAŚKÓW Paweł"/>
    <x v="0"/>
    <s v="KS AZS AWFiS Gdańsk"/>
    <x v="2"/>
    <x v="5"/>
    <x v="0"/>
    <x v="0"/>
  </r>
  <r>
    <s v="KAŚKÓW Paweł"/>
    <x v="0"/>
    <s v="KS AZS AWFiS Gdańsk"/>
    <x v="2"/>
    <x v="5"/>
    <x v="1"/>
    <x v="0"/>
  </r>
  <r>
    <s v="KAŚKÓW Paweł"/>
    <x v="0"/>
    <s v="KS AZS AWFiS Gdańsk"/>
    <x v="2"/>
    <x v="5"/>
    <x v="2"/>
    <x v="0"/>
  </r>
  <r>
    <s v="GAWROŃSKI Sebastian"/>
    <x v="0"/>
    <s v="KS AZS AWF Katowice"/>
    <x v="2"/>
    <x v="0"/>
    <x v="0"/>
    <x v="0"/>
  </r>
  <r>
    <s v="GAWROŃSKI Sebastian"/>
    <x v="0"/>
    <s v="KS AZS AWF Katowice"/>
    <x v="2"/>
    <x v="0"/>
    <x v="1"/>
    <x v="0"/>
  </r>
  <r>
    <s v="GAWROŃSKI Sebastian"/>
    <x v="0"/>
    <s v="KS AZS AWF Katowice"/>
    <x v="2"/>
    <x v="0"/>
    <x v="2"/>
    <x v="0"/>
  </r>
  <r>
    <s v="GAWROŃSKI Sebastian"/>
    <x v="0"/>
    <s v="KS AZS AWF Katowice"/>
    <x v="2"/>
    <x v="1"/>
    <x v="0"/>
    <x v="0"/>
  </r>
  <r>
    <s v="GAWROŃSKI Sebastian"/>
    <x v="0"/>
    <s v="KS AZS AWF Katowice"/>
    <x v="2"/>
    <x v="1"/>
    <x v="1"/>
    <x v="0"/>
  </r>
  <r>
    <s v="GAWROŃSKI Sebastian"/>
    <x v="0"/>
    <s v="KS AZS AWF Katowice"/>
    <x v="2"/>
    <x v="1"/>
    <x v="2"/>
    <x v="0"/>
  </r>
  <r>
    <s v="GAWROŃSKI Sebastian"/>
    <x v="0"/>
    <s v="KS AZS AWF Katowice"/>
    <x v="2"/>
    <x v="2"/>
    <x v="0"/>
    <x v="4"/>
  </r>
  <r>
    <s v="GAWROŃSKI Sebastian"/>
    <x v="0"/>
    <s v="KS AZS AWF Katowice"/>
    <x v="2"/>
    <x v="2"/>
    <x v="1"/>
    <x v="282"/>
  </r>
  <r>
    <s v="GAWROŃSKI Sebastian"/>
    <x v="0"/>
    <s v="KS AZS AWF Katowice"/>
    <x v="2"/>
    <x v="2"/>
    <x v="2"/>
    <x v="283"/>
  </r>
  <r>
    <s v="GAWROŃSKI Sebastian"/>
    <x v="0"/>
    <s v="KS AZS AWF Katowice"/>
    <x v="2"/>
    <x v="3"/>
    <x v="0"/>
    <x v="284"/>
  </r>
  <r>
    <s v="GAWROŃSKI Sebastian"/>
    <x v="0"/>
    <s v="KS AZS AWF Katowice"/>
    <x v="2"/>
    <x v="3"/>
    <x v="1"/>
    <x v="285"/>
  </r>
  <r>
    <s v="GAWROŃSKI Sebastian"/>
    <x v="0"/>
    <s v="KS AZS AWF Katowice"/>
    <x v="2"/>
    <x v="3"/>
    <x v="2"/>
    <x v="286"/>
  </r>
  <r>
    <s v="GAWROŃSKI Sebastian"/>
    <x v="0"/>
    <s v="KS AZS AWF Katowice"/>
    <x v="2"/>
    <x v="4"/>
    <x v="0"/>
    <x v="0"/>
  </r>
  <r>
    <s v="GAWROŃSKI Sebastian"/>
    <x v="0"/>
    <s v="KS AZS AWF Katowice"/>
    <x v="2"/>
    <x v="4"/>
    <x v="1"/>
    <x v="0"/>
  </r>
  <r>
    <s v="GAWROŃSKI Sebastian"/>
    <x v="0"/>
    <s v="KS AZS AWF Katowice"/>
    <x v="2"/>
    <x v="4"/>
    <x v="2"/>
    <x v="0"/>
  </r>
  <r>
    <s v="GAWROŃSKI Sebastian"/>
    <x v="0"/>
    <s v="KS AZS AWF Katowice"/>
    <x v="2"/>
    <x v="5"/>
    <x v="0"/>
    <x v="0"/>
  </r>
  <r>
    <s v="GAWROŃSKI Sebastian"/>
    <x v="0"/>
    <s v="KS AZS AWF Katowice"/>
    <x v="2"/>
    <x v="5"/>
    <x v="1"/>
    <x v="0"/>
  </r>
  <r>
    <s v="GAWROŃSKI Sebastian"/>
    <x v="0"/>
    <s v="KS AZS AWF Katowice"/>
    <x v="2"/>
    <x v="5"/>
    <x v="2"/>
    <x v="0"/>
  </r>
  <r>
    <s v="WROŃSKI Filip"/>
    <x v="0"/>
    <s v="NTG Nysa"/>
    <x v="2"/>
    <x v="0"/>
    <x v="0"/>
    <x v="0"/>
  </r>
  <r>
    <s v="WROŃSKI Filip"/>
    <x v="0"/>
    <s v="NTG Nysa"/>
    <x v="2"/>
    <x v="0"/>
    <x v="1"/>
    <x v="0"/>
  </r>
  <r>
    <s v="WROŃSKI Filip"/>
    <x v="0"/>
    <s v="NTG Nysa"/>
    <x v="2"/>
    <x v="0"/>
    <x v="2"/>
    <x v="0"/>
  </r>
  <r>
    <s v="WROŃSKI Filip"/>
    <x v="0"/>
    <s v="NTG Nysa"/>
    <x v="2"/>
    <x v="1"/>
    <x v="0"/>
    <x v="79"/>
  </r>
  <r>
    <s v="WROŃSKI Filip"/>
    <x v="0"/>
    <s v="NTG Nysa"/>
    <x v="2"/>
    <x v="1"/>
    <x v="1"/>
    <x v="287"/>
  </r>
  <r>
    <s v="WROŃSKI Filip"/>
    <x v="0"/>
    <s v="NTG Nysa"/>
    <x v="2"/>
    <x v="1"/>
    <x v="2"/>
    <x v="288"/>
  </r>
  <r>
    <s v="WROŃSKI Filip"/>
    <x v="0"/>
    <s v="NTG Nysa"/>
    <x v="2"/>
    <x v="2"/>
    <x v="0"/>
    <x v="0"/>
  </r>
  <r>
    <s v="WROŃSKI Filip"/>
    <x v="0"/>
    <s v="NTG Nysa"/>
    <x v="2"/>
    <x v="2"/>
    <x v="1"/>
    <x v="0"/>
  </r>
  <r>
    <s v="WROŃSKI Filip"/>
    <x v="0"/>
    <s v="NTG Nysa"/>
    <x v="2"/>
    <x v="2"/>
    <x v="2"/>
    <x v="0"/>
  </r>
  <r>
    <s v="WROŃSKI Filip"/>
    <x v="0"/>
    <s v="NTG Nysa"/>
    <x v="2"/>
    <x v="3"/>
    <x v="0"/>
    <x v="289"/>
  </r>
  <r>
    <s v="WROŃSKI Filip"/>
    <x v="0"/>
    <s v="NTG Nysa"/>
    <x v="2"/>
    <x v="3"/>
    <x v="1"/>
    <x v="206"/>
  </r>
  <r>
    <s v="WROŃSKI Filip"/>
    <x v="0"/>
    <s v="NTG Nysa"/>
    <x v="2"/>
    <x v="3"/>
    <x v="2"/>
    <x v="290"/>
  </r>
  <r>
    <s v="WROŃSKI Filip"/>
    <x v="0"/>
    <s v="NTG Nysa"/>
    <x v="2"/>
    <x v="4"/>
    <x v="0"/>
    <x v="0"/>
  </r>
  <r>
    <s v="WROŃSKI Filip"/>
    <x v="0"/>
    <s v="NTG Nysa"/>
    <x v="2"/>
    <x v="4"/>
    <x v="1"/>
    <x v="0"/>
  </r>
  <r>
    <s v="WROŃSKI Filip"/>
    <x v="0"/>
    <s v="NTG Nysa"/>
    <x v="2"/>
    <x v="4"/>
    <x v="2"/>
    <x v="0"/>
  </r>
  <r>
    <s v="WROŃSKI Filip"/>
    <x v="0"/>
    <s v="NTG Nysa"/>
    <x v="2"/>
    <x v="5"/>
    <x v="0"/>
    <x v="0"/>
  </r>
  <r>
    <s v="WROŃSKI Filip"/>
    <x v="0"/>
    <s v="NTG Nysa"/>
    <x v="2"/>
    <x v="5"/>
    <x v="1"/>
    <x v="0"/>
  </r>
  <r>
    <s v="WROŃSKI Filip"/>
    <x v="0"/>
    <s v="NTG Nysa"/>
    <x v="2"/>
    <x v="5"/>
    <x v="2"/>
    <x v="0"/>
  </r>
  <r>
    <s v="LAKHIN Yaroslav"/>
    <x v="0"/>
    <s v="CWZS Zawisza KG Bydgoszcz"/>
    <x v="2"/>
    <x v="0"/>
    <x v="0"/>
    <x v="0"/>
  </r>
  <r>
    <s v="LAKHIN Yaroslav"/>
    <x v="0"/>
    <s v="CWZS Zawisza KG Bydgoszcz"/>
    <x v="2"/>
    <x v="0"/>
    <x v="1"/>
    <x v="0"/>
  </r>
  <r>
    <s v="LAKHIN Yaroslav"/>
    <x v="0"/>
    <s v="CWZS Zawisza KG Bydgoszcz"/>
    <x v="2"/>
    <x v="0"/>
    <x v="2"/>
    <x v="0"/>
  </r>
  <r>
    <s v="LAKHIN Yaroslav"/>
    <x v="0"/>
    <s v="CWZS Zawisza KG Bydgoszcz"/>
    <x v="2"/>
    <x v="1"/>
    <x v="0"/>
    <x v="146"/>
  </r>
  <r>
    <s v="LAKHIN Yaroslav"/>
    <x v="0"/>
    <s v="CWZS Zawisza KG Bydgoszcz"/>
    <x v="2"/>
    <x v="1"/>
    <x v="1"/>
    <x v="291"/>
  </r>
  <r>
    <s v="LAKHIN Yaroslav"/>
    <x v="0"/>
    <s v="CWZS Zawisza KG Bydgoszcz"/>
    <x v="2"/>
    <x v="1"/>
    <x v="2"/>
    <x v="292"/>
  </r>
  <r>
    <s v="LAKHIN Yaroslav"/>
    <x v="0"/>
    <s v="CWZS Zawisza KG Bydgoszcz"/>
    <x v="2"/>
    <x v="2"/>
    <x v="0"/>
    <x v="146"/>
  </r>
  <r>
    <s v="LAKHIN Yaroslav"/>
    <x v="0"/>
    <s v="CWZS Zawisza KG Bydgoszcz"/>
    <x v="2"/>
    <x v="2"/>
    <x v="1"/>
    <x v="293"/>
  </r>
  <r>
    <s v="LAKHIN Yaroslav"/>
    <x v="0"/>
    <s v="CWZS Zawisza KG Bydgoszcz"/>
    <x v="2"/>
    <x v="2"/>
    <x v="2"/>
    <x v="294"/>
  </r>
  <r>
    <s v="LAKHIN Yaroslav"/>
    <x v="0"/>
    <s v="CWZS Zawisza KG Bydgoszcz"/>
    <x v="2"/>
    <x v="3"/>
    <x v="0"/>
    <x v="0"/>
  </r>
  <r>
    <s v="LAKHIN Yaroslav"/>
    <x v="0"/>
    <s v="CWZS Zawisza KG Bydgoszcz"/>
    <x v="2"/>
    <x v="3"/>
    <x v="1"/>
    <x v="0"/>
  </r>
  <r>
    <s v="LAKHIN Yaroslav"/>
    <x v="0"/>
    <s v="CWZS Zawisza KG Bydgoszcz"/>
    <x v="2"/>
    <x v="3"/>
    <x v="2"/>
    <x v="0"/>
  </r>
  <r>
    <s v="LAKHIN Yaroslav"/>
    <x v="0"/>
    <s v="CWZS Zawisza KG Bydgoszcz"/>
    <x v="2"/>
    <x v="4"/>
    <x v="0"/>
    <x v="0"/>
  </r>
  <r>
    <s v="LAKHIN Yaroslav"/>
    <x v="0"/>
    <s v="CWZS Zawisza KG Bydgoszcz"/>
    <x v="2"/>
    <x v="4"/>
    <x v="1"/>
    <x v="0"/>
  </r>
  <r>
    <s v="LAKHIN Yaroslav"/>
    <x v="0"/>
    <s v="CWZS Zawisza KG Bydgoszcz"/>
    <x v="2"/>
    <x v="4"/>
    <x v="2"/>
    <x v="0"/>
  </r>
  <r>
    <s v="LAKHIN Yaroslav"/>
    <x v="0"/>
    <s v="CWZS Zawisza KG Bydgoszcz"/>
    <x v="2"/>
    <x v="5"/>
    <x v="0"/>
    <x v="0"/>
  </r>
  <r>
    <s v="LAKHIN Yaroslav"/>
    <x v="0"/>
    <s v="CWZS Zawisza KG Bydgoszcz"/>
    <x v="2"/>
    <x v="5"/>
    <x v="1"/>
    <x v="0"/>
  </r>
  <r>
    <s v="LAKHIN Yaroslav"/>
    <x v="0"/>
    <s v="CWZS Zawisza KG Bydgoszcz"/>
    <x v="2"/>
    <x v="5"/>
    <x v="2"/>
    <x v="0"/>
  </r>
  <r>
    <s v="MISHCHENKO Oleksandr"/>
    <x v="1"/>
    <s v="MKS Kusy Szczecin"/>
    <x v="2"/>
    <x v="0"/>
    <x v="0"/>
    <x v="295"/>
  </r>
  <r>
    <s v="MISHCHENKO Oleksandr"/>
    <x v="1"/>
    <s v="MKS Kusy Szczecin"/>
    <x v="2"/>
    <x v="0"/>
    <x v="1"/>
    <x v="296"/>
  </r>
  <r>
    <s v="MISHCHENKO Oleksandr"/>
    <x v="1"/>
    <s v="MKS Kusy Szczecin"/>
    <x v="2"/>
    <x v="0"/>
    <x v="2"/>
    <x v="70"/>
  </r>
  <r>
    <s v="MISHCHENKO Oleksandr"/>
    <x v="1"/>
    <s v="MKS Kusy Szczecin"/>
    <x v="2"/>
    <x v="1"/>
    <x v="0"/>
    <x v="0"/>
  </r>
  <r>
    <s v="MISHCHENKO Oleksandr"/>
    <x v="1"/>
    <s v="MKS Kusy Szczecin"/>
    <x v="2"/>
    <x v="1"/>
    <x v="1"/>
    <x v="0"/>
  </r>
  <r>
    <s v="MISHCHENKO Oleksandr"/>
    <x v="1"/>
    <s v="MKS Kusy Szczecin"/>
    <x v="2"/>
    <x v="1"/>
    <x v="2"/>
    <x v="0"/>
  </r>
  <r>
    <s v="MISHCHENKO Oleksandr"/>
    <x v="1"/>
    <s v="MKS Kusy Szczecin"/>
    <x v="2"/>
    <x v="2"/>
    <x v="0"/>
    <x v="0"/>
  </r>
  <r>
    <s v="MISHCHENKO Oleksandr"/>
    <x v="1"/>
    <s v="MKS Kusy Szczecin"/>
    <x v="2"/>
    <x v="2"/>
    <x v="1"/>
    <x v="0"/>
  </r>
  <r>
    <s v="MISHCHENKO Oleksandr"/>
    <x v="1"/>
    <s v="MKS Kusy Szczecin"/>
    <x v="2"/>
    <x v="2"/>
    <x v="2"/>
    <x v="0"/>
  </r>
  <r>
    <s v="MISHCHENKO Oleksandr"/>
    <x v="1"/>
    <s v="MKS Kusy Szczecin"/>
    <x v="2"/>
    <x v="3"/>
    <x v="0"/>
    <x v="161"/>
  </r>
  <r>
    <s v="MISHCHENKO Oleksandr"/>
    <x v="1"/>
    <s v="MKS Kusy Szczecin"/>
    <x v="2"/>
    <x v="3"/>
    <x v="1"/>
    <x v="297"/>
  </r>
  <r>
    <s v="MISHCHENKO Oleksandr"/>
    <x v="1"/>
    <s v="MKS Kusy Szczecin"/>
    <x v="2"/>
    <x v="3"/>
    <x v="2"/>
    <x v="298"/>
  </r>
  <r>
    <s v="MISHCHENKO Oleksandr"/>
    <x v="1"/>
    <s v="MKS Kusy Szczecin"/>
    <x v="2"/>
    <x v="4"/>
    <x v="0"/>
    <x v="0"/>
  </r>
  <r>
    <s v="MISHCHENKO Oleksandr"/>
    <x v="1"/>
    <s v="MKS Kusy Szczecin"/>
    <x v="2"/>
    <x v="4"/>
    <x v="1"/>
    <x v="0"/>
  </r>
  <r>
    <s v="MISHCHENKO Oleksandr"/>
    <x v="1"/>
    <s v="MKS Kusy Szczecin"/>
    <x v="2"/>
    <x v="4"/>
    <x v="2"/>
    <x v="0"/>
  </r>
  <r>
    <s v="MISHCHENKO Oleksandr"/>
    <x v="1"/>
    <s v="MKS Kusy Szczecin"/>
    <x v="2"/>
    <x v="5"/>
    <x v="0"/>
    <x v="0"/>
  </r>
  <r>
    <s v="MISHCHENKO Oleksandr"/>
    <x v="1"/>
    <s v="MKS Kusy Szczecin"/>
    <x v="2"/>
    <x v="5"/>
    <x v="1"/>
    <x v="0"/>
  </r>
  <r>
    <s v="MISHCHENKO Oleksandr"/>
    <x v="1"/>
    <s v="MKS Kusy Szczecin"/>
    <x v="2"/>
    <x v="5"/>
    <x v="2"/>
    <x v="0"/>
  </r>
  <r>
    <s v="SIEDZIAKO Igor"/>
    <x v="0"/>
    <s v="MKS Kusy Szczecin"/>
    <x v="3"/>
    <x v="0"/>
    <x v="0"/>
    <x v="299"/>
  </r>
  <r>
    <s v="SIEDZIAKO Igor"/>
    <x v="0"/>
    <s v="MKS Kusy Szczecin"/>
    <x v="3"/>
    <x v="0"/>
    <x v="1"/>
    <x v="300"/>
  </r>
  <r>
    <s v="SIEDZIAKO Igor"/>
    <x v="0"/>
    <s v="MKS Kusy Szczecin"/>
    <x v="3"/>
    <x v="0"/>
    <x v="2"/>
    <x v="301"/>
  </r>
  <r>
    <s v="SIEDZIAKO Igor"/>
    <x v="0"/>
    <s v="MKS Kusy Szczecin"/>
    <x v="3"/>
    <x v="1"/>
    <x v="0"/>
    <x v="302"/>
  </r>
  <r>
    <s v="SIEDZIAKO Igor"/>
    <x v="0"/>
    <s v="MKS Kusy Szczecin"/>
    <x v="3"/>
    <x v="1"/>
    <x v="1"/>
    <x v="303"/>
  </r>
  <r>
    <s v="SIEDZIAKO Igor"/>
    <x v="0"/>
    <s v="MKS Kusy Szczecin"/>
    <x v="3"/>
    <x v="1"/>
    <x v="2"/>
    <x v="304"/>
  </r>
  <r>
    <s v="SIEDZIAKO Igor"/>
    <x v="0"/>
    <s v="MKS Kusy Szczecin"/>
    <x v="3"/>
    <x v="2"/>
    <x v="0"/>
    <x v="305"/>
  </r>
  <r>
    <s v="SIEDZIAKO Igor"/>
    <x v="0"/>
    <s v="MKS Kusy Szczecin"/>
    <x v="3"/>
    <x v="2"/>
    <x v="1"/>
    <x v="306"/>
  </r>
  <r>
    <s v="SIEDZIAKO Igor"/>
    <x v="0"/>
    <s v="MKS Kusy Szczecin"/>
    <x v="3"/>
    <x v="2"/>
    <x v="2"/>
    <x v="307"/>
  </r>
  <r>
    <s v="SIEDZIAKO Igor"/>
    <x v="0"/>
    <s v="MKS Kusy Szczecin"/>
    <x v="3"/>
    <x v="3"/>
    <x v="0"/>
    <x v="0"/>
  </r>
  <r>
    <s v="SIEDZIAKO Igor"/>
    <x v="0"/>
    <s v="MKS Kusy Szczecin"/>
    <x v="3"/>
    <x v="3"/>
    <x v="1"/>
    <x v="0"/>
  </r>
  <r>
    <s v="SIEDZIAKO Igor"/>
    <x v="0"/>
    <s v="MKS Kusy Szczecin"/>
    <x v="3"/>
    <x v="3"/>
    <x v="2"/>
    <x v="0"/>
  </r>
  <r>
    <s v="SIEDZIAKO Igor"/>
    <x v="0"/>
    <s v="MKS Kusy Szczecin"/>
    <x v="3"/>
    <x v="4"/>
    <x v="0"/>
    <x v="0"/>
  </r>
  <r>
    <s v="SIEDZIAKO Igor"/>
    <x v="0"/>
    <s v="MKS Kusy Szczecin"/>
    <x v="3"/>
    <x v="4"/>
    <x v="1"/>
    <x v="0"/>
  </r>
  <r>
    <s v="SIEDZIAKO Igor"/>
    <x v="0"/>
    <s v="MKS Kusy Szczecin"/>
    <x v="3"/>
    <x v="4"/>
    <x v="2"/>
    <x v="0"/>
  </r>
  <r>
    <s v="SIEDZIAKO Igor"/>
    <x v="0"/>
    <s v="MKS Kusy Szczecin"/>
    <x v="3"/>
    <x v="5"/>
    <x v="0"/>
    <x v="0"/>
  </r>
  <r>
    <s v="SIEDZIAKO Igor"/>
    <x v="0"/>
    <s v="MKS Kusy Szczecin"/>
    <x v="3"/>
    <x v="5"/>
    <x v="1"/>
    <x v="0"/>
  </r>
  <r>
    <s v="SIEDZIAKO Igor"/>
    <x v="0"/>
    <s v="MKS Kusy Szczecin"/>
    <x v="3"/>
    <x v="5"/>
    <x v="2"/>
    <x v="0"/>
  </r>
  <r>
    <s v="KORNIICHUK Yehor"/>
    <x v="0"/>
    <s v="KS AZS AWFiS Gdańsk"/>
    <x v="3"/>
    <x v="0"/>
    <x v="0"/>
    <x v="0"/>
  </r>
  <r>
    <s v="KORNIICHUK Yehor"/>
    <x v="0"/>
    <s v="KS AZS AWFiS Gdańsk"/>
    <x v="3"/>
    <x v="0"/>
    <x v="1"/>
    <x v="0"/>
  </r>
  <r>
    <s v="KORNIICHUK Yehor"/>
    <x v="0"/>
    <s v="KS AZS AWFiS Gdańsk"/>
    <x v="3"/>
    <x v="0"/>
    <x v="2"/>
    <x v="0"/>
  </r>
  <r>
    <s v="KORNIICHUK Yehor"/>
    <x v="0"/>
    <s v="KS AZS AWFiS Gdańsk"/>
    <x v="3"/>
    <x v="1"/>
    <x v="0"/>
    <x v="295"/>
  </r>
  <r>
    <s v="KORNIICHUK Yehor"/>
    <x v="0"/>
    <s v="KS AZS AWFiS Gdańsk"/>
    <x v="3"/>
    <x v="1"/>
    <x v="1"/>
    <x v="108"/>
  </r>
  <r>
    <s v="KORNIICHUK Yehor"/>
    <x v="0"/>
    <s v="KS AZS AWFiS Gdańsk"/>
    <x v="3"/>
    <x v="1"/>
    <x v="2"/>
    <x v="308"/>
  </r>
  <r>
    <s v="KORNIICHUK Yehor"/>
    <x v="0"/>
    <s v="KS AZS AWFiS Gdańsk"/>
    <x v="3"/>
    <x v="2"/>
    <x v="0"/>
    <x v="52"/>
  </r>
  <r>
    <s v="KORNIICHUK Yehor"/>
    <x v="0"/>
    <s v="KS AZS AWFiS Gdańsk"/>
    <x v="3"/>
    <x v="2"/>
    <x v="1"/>
    <x v="309"/>
  </r>
  <r>
    <s v="KORNIICHUK Yehor"/>
    <x v="0"/>
    <s v="KS AZS AWFiS Gdańsk"/>
    <x v="3"/>
    <x v="2"/>
    <x v="2"/>
    <x v="310"/>
  </r>
  <r>
    <s v="KORNIICHUK Yehor"/>
    <x v="0"/>
    <s v="KS AZS AWFiS Gdańsk"/>
    <x v="3"/>
    <x v="3"/>
    <x v="0"/>
    <x v="0"/>
  </r>
  <r>
    <s v="KORNIICHUK Yehor"/>
    <x v="0"/>
    <s v="KS AZS AWFiS Gdańsk"/>
    <x v="3"/>
    <x v="3"/>
    <x v="1"/>
    <x v="0"/>
  </r>
  <r>
    <s v="KORNIICHUK Yehor"/>
    <x v="0"/>
    <s v="KS AZS AWFiS Gdańsk"/>
    <x v="3"/>
    <x v="3"/>
    <x v="2"/>
    <x v="0"/>
  </r>
  <r>
    <s v="KORNIICHUK Yehor"/>
    <x v="0"/>
    <s v="KS AZS AWFiS Gdańsk"/>
    <x v="3"/>
    <x v="4"/>
    <x v="0"/>
    <x v="0"/>
  </r>
  <r>
    <s v="KORNIICHUK Yehor"/>
    <x v="0"/>
    <s v="KS AZS AWFiS Gdańsk"/>
    <x v="3"/>
    <x v="4"/>
    <x v="1"/>
    <x v="0"/>
  </r>
  <r>
    <s v="KORNIICHUK Yehor"/>
    <x v="0"/>
    <s v="KS AZS AWFiS Gdańsk"/>
    <x v="3"/>
    <x v="4"/>
    <x v="2"/>
    <x v="0"/>
  </r>
  <r>
    <s v="KORNIICHUK Yehor"/>
    <x v="0"/>
    <s v="KS AZS AWFiS Gdańsk"/>
    <x v="3"/>
    <x v="5"/>
    <x v="0"/>
    <x v="0"/>
  </r>
  <r>
    <s v="KORNIICHUK Yehor"/>
    <x v="0"/>
    <s v="KS AZS AWFiS Gdańsk"/>
    <x v="3"/>
    <x v="5"/>
    <x v="1"/>
    <x v="0"/>
  </r>
  <r>
    <s v="KORNIICHUK Yehor"/>
    <x v="0"/>
    <s v="KS AZS AWFiS Gdańsk"/>
    <x v="3"/>
    <x v="5"/>
    <x v="2"/>
    <x v="0"/>
  </r>
  <r>
    <s v="KUZDRA Konrad"/>
    <x v="0"/>
    <s v="MKS Gdańsk"/>
    <x v="3"/>
    <x v="0"/>
    <x v="0"/>
    <x v="0"/>
  </r>
  <r>
    <s v="KUZDRA Konrad"/>
    <x v="0"/>
    <s v="MKS Gdańsk"/>
    <x v="3"/>
    <x v="0"/>
    <x v="1"/>
    <x v="0"/>
  </r>
  <r>
    <s v="KUZDRA Konrad"/>
    <x v="0"/>
    <s v="MKS Gdańsk"/>
    <x v="3"/>
    <x v="0"/>
    <x v="2"/>
    <x v="0"/>
  </r>
  <r>
    <s v="KUZDRA Konrad"/>
    <x v="0"/>
    <s v="MKS Gdańsk"/>
    <x v="3"/>
    <x v="1"/>
    <x v="0"/>
    <x v="311"/>
  </r>
  <r>
    <s v="KUZDRA Konrad"/>
    <x v="0"/>
    <s v="MKS Gdańsk"/>
    <x v="3"/>
    <x v="1"/>
    <x v="1"/>
    <x v="312"/>
  </r>
  <r>
    <s v="KUZDRA Konrad"/>
    <x v="0"/>
    <s v="MKS Gdańsk"/>
    <x v="3"/>
    <x v="1"/>
    <x v="2"/>
    <x v="313"/>
  </r>
  <r>
    <s v="KUZDRA Konrad"/>
    <x v="0"/>
    <s v="MKS Gdańsk"/>
    <x v="3"/>
    <x v="2"/>
    <x v="0"/>
    <x v="0"/>
  </r>
  <r>
    <s v="KUZDRA Konrad"/>
    <x v="0"/>
    <s v="MKS Gdańsk"/>
    <x v="3"/>
    <x v="2"/>
    <x v="1"/>
    <x v="0"/>
  </r>
  <r>
    <s v="KUZDRA Konrad"/>
    <x v="0"/>
    <s v="MKS Gdańsk"/>
    <x v="3"/>
    <x v="2"/>
    <x v="2"/>
    <x v="0"/>
  </r>
  <r>
    <s v="KUZDRA Konrad"/>
    <x v="0"/>
    <s v="MKS Gdańsk"/>
    <x v="3"/>
    <x v="3"/>
    <x v="0"/>
    <x v="314"/>
  </r>
  <r>
    <s v="KUZDRA Konrad"/>
    <x v="0"/>
    <s v="MKS Gdańsk"/>
    <x v="3"/>
    <x v="3"/>
    <x v="1"/>
    <x v="315"/>
  </r>
  <r>
    <s v="KUZDRA Konrad"/>
    <x v="0"/>
    <s v="MKS Gdańsk"/>
    <x v="3"/>
    <x v="3"/>
    <x v="2"/>
    <x v="316"/>
  </r>
  <r>
    <s v="KUZDRA Konrad"/>
    <x v="0"/>
    <s v="MKS Gdańsk"/>
    <x v="3"/>
    <x v="4"/>
    <x v="0"/>
    <x v="0"/>
  </r>
  <r>
    <s v="KUZDRA Konrad"/>
    <x v="0"/>
    <s v="MKS Gdańsk"/>
    <x v="3"/>
    <x v="4"/>
    <x v="1"/>
    <x v="0"/>
  </r>
  <r>
    <s v="KUZDRA Konrad"/>
    <x v="0"/>
    <s v="MKS Gdańsk"/>
    <x v="3"/>
    <x v="4"/>
    <x v="2"/>
    <x v="0"/>
  </r>
  <r>
    <s v="KUZDRA Konrad"/>
    <x v="0"/>
    <s v="MKS Gdańsk"/>
    <x v="3"/>
    <x v="5"/>
    <x v="0"/>
    <x v="0"/>
  </r>
  <r>
    <s v="KUZDRA Konrad"/>
    <x v="0"/>
    <s v="MKS Gdańsk"/>
    <x v="3"/>
    <x v="5"/>
    <x v="1"/>
    <x v="0"/>
  </r>
  <r>
    <s v="KUZDRA Konrad"/>
    <x v="0"/>
    <s v="MKS Gdańsk"/>
    <x v="3"/>
    <x v="5"/>
    <x v="2"/>
    <x v="0"/>
  </r>
  <r>
    <s v="LUKIANIENKO Illia"/>
    <x v="0"/>
    <s v="MKS Kusy Szczecin"/>
    <x v="3"/>
    <x v="0"/>
    <x v="0"/>
    <x v="0"/>
  </r>
  <r>
    <s v="LUKIANIENKO Illia"/>
    <x v="0"/>
    <s v="MKS Kusy Szczecin"/>
    <x v="3"/>
    <x v="0"/>
    <x v="1"/>
    <x v="0"/>
  </r>
  <r>
    <s v="LUKIANIENKO Illia"/>
    <x v="0"/>
    <s v="MKS Kusy Szczecin"/>
    <x v="3"/>
    <x v="0"/>
    <x v="2"/>
    <x v="0"/>
  </r>
  <r>
    <s v="LUKIANIENKO Illia"/>
    <x v="0"/>
    <s v="MKS Kusy Szczecin"/>
    <x v="3"/>
    <x v="1"/>
    <x v="0"/>
    <x v="0"/>
  </r>
  <r>
    <s v="LUKIANIENKO Illia"/>
    <x v="0"/>
    <s v="MKS Kusy Szczecin"/>
    <x v="3"/>
    <x v="1"/>
    <x v="1"/>
    <x v="0"/>
  </r>
  <r>
    <s v="LUKIANIENKO Illia"/>
    <x v="0"/>
    <s v="MKS Kusy Szczecin"/>
    <x v="3"/>
    <x v="1"/>
    <x v="2"/>
    <x v="0"/>
  </r>
  <r>
    <s v="LUKIANIENKO Illia"/>
    <x v="0"/>
    <s v="MKS Kusy Szczecin"/>
    <x v="3"/>
    <x v="2"/>
    <x v="0"/>
    <x v="317"/>
  </r>
  <r>
    <s v="LUKIANIENKO Illia"/>
    <x v="0"/>
    <s v="MKS Kusy Szczecin"/>
    <x v="3"/>
    <x v="2"/>
    <x v="1"/>
    <x v="318"/>
  </r>
  <r>
    <s v="LUKIANIENKO Illia"/>
    <x v="0"/>
    <s v="MKS Kusy Szczecin"/>
    <x v="3"/>
    <x v="2"/>
    <x v="2"/>
    <x v="319"/>
  </r>
  <r>
    <s v="LUKIANIENKO Illia"/>
    <x v="0"/>
    <s v="MKS Kusy Szczecin"/>
    <x v="3"/>
    <x v="3"/>
    <x v="0"/>
    <x v="0"/>
  </r>
  <r>
    <s v="LUKIANIENKO Illia"/>
    <x v="0"/>
    <s v="MKS Kusy Szczecin"/>
    <x v="3"/>
    <x v="3"/>
    <x v="1"/>
    <x v="0"/>
  </r>
  <r>
    <s v="LUKIANIENKO Illia"/>
    <x v="0"/>
    <s v="MKS Kusy Szczecin"/>
    <x v="3"/>
    <x v="3"/>
    <x v="2"/>
    <x v="0"/>
  </r>
  <r>
    <s v="LUKIANIENKO Illia"/>
    <x v="0"/>
    <s v="MKS Kusy Szczecin"/>
    <x v="3"/>
    <x v="4"/>
    <x v="0"/>
    <x v="0"/>
  </r>
  <r>
    <s v="LUKIANIENKO Illia"/>
    <x v="0"/>
    <s v="MKS Kusy Szczecin"/>
    <x v="3"/>
    <x v="4"/>
    <x v="1"/>
    <x v="0"/>
  </r>
  <r>
    <s v="LUKIANIENKO Illia"/>
    <x v="0"/>
    <s v="MKS Kusy Szczecin"/>
    <x v="3"/>
    <x v="4"/>
    <x v="2"/>
    <x v="0"/>
  </r>
  <r>
    <s v="LUKIANIENKO Illia"/>
    <x v="0"/>
    <s v="MKS Kusy Szczecin"/>
    <x v="3"/>
    <x v="5"/>
    <x v="0"/>
    <x v="0"/>
  </r>
  <r>
    <s v="LUKIANIENKO Illia"/>
    <x v="0"/>
    <s v="MKS Kusy Szczecin"/>
    <x v="3"/>
    <x v="5"/>
    <x v="1"/>
    <x v="0"/>
  </r>
  <r>
    <s v="LUKIANIENKO Illia"/>
    <x v="0"/>
    <s v="MKS Kusy Szczecin"/>
    <x v="3"/>
    <x v="5"/>
    <x v="2"/>
    <x v="0"/>
  </r>
  <r>
    <s v="NOWAK Maciej"/>
    <x v="0"/>
    <s v="KS AZS AWF Katowice"/>
    <x v="3"/>
    <x v="0"/>
    <x v="0"/>
    <x v="99"/>
  </r>
  <r>
    <s v="NOWAK Maciej"/>
    <x v="0"/>
    <s v="KS AZS AWF Katowice"/>
    <x v="3"/>
    <x v="0"/>
    <x v="1"/>
    <x v="320"/>
  </r>
  <r>
    <s v="NOWAK Maciej"/>
    <x v="0"/>
    <s v="KS AZS AWF Katowice"/>
    <x v="3"/>
    <x v="0"/>
    <x v="2"/>
    <x v="321"/>
  </r>
  <r>
    <s v="NOWAK Maciej"/>
    <x v="0"/>
    <s v="KS AZS AWF Katowice"/>
    <x v="3"/>
    <x v="1"/>
    <x v="0"/>
    <x v="0"/>
  </r>
  <r>
    <s v="NOWAK Maciej"/>
    <x v="0"/>
    <s v="KS AZS AWF Katowice"/>
    <x v="3"/>
    <x v="1"/>
    <x v="1"/>
    <x v="0"/>
  </r>
  <r>
    <s v="NOWAK Maciej"/>
    <x v="0"/>
    <s v="KS AZS AWF Katowice"/>
    <x v="3"/>
    <x v="1"/>
    <x v="2"/>
    <x v="0"/>
  </r>
  <r>
    <s v="NOWAK Maciej"/>
    <x v="0"/>
    <s v="KS AZS AWF Katowice"/>
    <x v="3"/>
    <x v="2"/>
    <x v="0"/>
    <x v="0"/>
  </r>
  <r>
    <s v="NOWAK Maciej"/>
    <x v="0"/>
    <s v="KS AZS AWF Katowice"/>
    <x v="3"/>
    <x v="2"/>
    <x v="1"/>
    <x v="0"/>
  </r>
  <r>
    <s v="NOWAK Maciej"/>
    <x v="0"/>
    <s v="KS AZS AWF Katowice"/>
    <x v="3"/>
    <x v="2"/>
    <x v="2"/>
    <x v="0"/>
  </r>
  <r>
    <s v="NOWAK Maciej"/>
    <x v="0"/>
    <s v="KS AZS AWF Katowice"/>
    <x v="3"/>
    <x v="3"/>
    <x v="0"/>
    <x v="0"/>
  </r>
  <r>
    <s v="NOWAK Maciej"/>
    <x v="0"/>
    <s v="KS AZS AWF Katowice"/>
    <x v="3"/>
    <x v="3"/>
    <x v="1"/>
    <x v="0"/>
  </r>
  <r>
    <s v="NOWAK Maciej"/>
    <x v="0"/>
    <s v="KS AZS AWF Katowice"/>
    <x v="3"/>
    <x v="3"/>
    <x v="2"/>
    <x v="0"/>
  </r>
  <r>
    <s v="NOWAK Maciej"/>
    <x v="0"/>
    <s v="KS AZS AWF Katowice"/>
    <x v="3"/>
    <x v="4"/>
    <x v="0"/>
    <x v="0"/>
  </r>
  <r>
    <s v="NOWAK Maciej"/>
    <x v="0"/>
    <s v="KS AZS AWF Katowice"/>
    <x v="3"/>
    <x v="4"/>
    <x v="1"/>
    <x v="0"/>
  </r>
  <r>
    <s v="NOWAK Maciej"/>
    <x v="0"/>
    <s v="KS AZS AWF Katowice"/>
    <x v="3"/>
    <x v="4"/>
    <x v="2"/>
    <x v="0"/>
  </r>
  <r>
    <s v="NOWAK Maciej"/>
    <x v="0"/>
    <s v="KS AZS AWF Katowice"/>
    <x v="3"/>
    <x v="5"/>
    <x v="0"/>
    <x v="0"/>
  </r>
  <r>
    <s v="NOWAK Maciej"/>
    <x v="0"/>
    <s v="KS AZS AWF Katowice"/>
    <x v="3"/>
    <x v="5"/>
    <x v="1"/>
    <x v="0"/>
  </r>
  <r>
    <s v="NOWAK Maciej"/>
    <x v="0"/>
    <s v="KS AZS AWF Katowice"/>
    <x v="3"/>
    <x v="5"/>
    <x v="2"/>
    <x v="0"/>
  </r>
  <r>
    <s v="SZCZUBIAŁ Bartłomiej"/>
    <x v="1"/>
    <s v="KS AZS AWF Kraków"/>
    <x v="3"/>
    <x v="0"/>
    <x v="0"/>
    <x v="322"/>
  </r>
  <r>
    <s v="SZCZUBIAŁ Bartłomiej"/>
    <x v="1"/>
    <s v="KS AZS AWF Kraków"/>
    <x v="3"/>
    <x v="0"/>
    <x v="1"/>
    <x v="323"/>
  </r>
  <r>
    <s v="SZCZUBIAŁ Bartłomiej"/>
    <x v="1"/>
    <s v="KS AZS AWF Kraków"/>
    <x v="3"/>
    <x v="0"/>
    <x v="2"/>
    <x v="324"/>
  </r>
  <r>
    <s v="SZCZUBIAŁ Bartłomiej"/>
    <x v="1"/>
    <s v="KS AZS AWF Kraków"/>
    <x v="3"/>
    <x v="1"/>
    <x v="0"/>
    <x v="0"/>
  </r>
  <r>
    <s v="SZCZUBIAŁ Bartłomiej"/>
    <x v="1"/>
    <s v="KS AZS AWF Kraków"/>
    <x v="3"/>
    <x v="1"/>
    <x v="1"/>
    <x v="0"/>
  </r>
  <r>
    <s v="SZCZUBIAŁ Bartłomiej"/>
    <x v="1"/>
    <s v="KS AZS AWF Kraków"/>
    <x v="3"/>
    <x v="1"/>
    <x v="2"/>
    <x v="0"/>
  </r>
  <r>
    <s v="SZCZUBIAŁ Bartłomiej"/>
    <x v="1"/>
    <s v="KS AZS AWF Kraków"/>
    <x v="3"/>
    <x v="2"/>
    <x v="0"/>
    <x v="0"/>
  </r>
  <r>
    <s v="SZCZUBIAŁ Bartłomiej"/>
    <x v="1"/>
    <s v="KS AZS AWF Kraków"/>
    <x v="3"/>
    <x v="2"/>
    <x v="1"/>
    <x v="0"/>
  </r>
  <r>
    <s v="SZCZUBIAŁ Bartłomiej"/>
    <x v="1"/>
    <s v="KS AZS AWF Kraków"/>
    <x v="3"/>
    <x v="2"/>
    <x v="2"/>
    <x v="0"/>
  </r>
  <r>
    <s v="SZCZUBIAŁ Bartłomiej"/>
    <x v="1"/>
    <s v="KS AZS AWF Kraków"/>
    <x v="3"/>
    <x v="3"/>
    <x v="0"/>
    <x v="0"/>
  </r>
  <r>
    <s v="SZCZUBIAŁ Bartłomiej"/>
    <x v="1"/>
    <s v="KS AZS AWF Kraków"/>
    <x v="3"/>
    <x v="3"/>
    <x v="1"/>
    <x v="0"/>
  </r>
  <r>
    <s v="SZCZUBIAŁ Bartłomiej"/>
    <x v="1"/>
    <s v="KS AZS AWF Kraków"/>
    <x v="3"/>
    <x v="3"/>
    <x v="2"/>
    <x v="0"/>
  </r>
  <r>
    <s v="SZCZUBIAŁ Bartłomiej"/>
    <x v="1"/>
    <s v="KS AZS AWF Kraków"/>
    <x v="3"/>
    <x v="4"/>
    <x v="0"/>
    <x v="0"/>
  </r>
  <r>
    <s v="SZCZUBIAŁ Bartłomiej"/>
    <x v="1"/>
    <s v="KS AZS AWF Kraków"/>
    <x v="3"/>
    <x v="4"/>
    <x v="1"/>
    <x v="0"/>
  </r>
  <r>
    <s v="SZCZUBIAŁ Bartłomiej"/>
    <x v="1"/>
    <s v="KS AZS AWF Kraków"/>
    <x v="3"/>
    <x v="4"/>
    <x v="2"/>
    <x v="0"/>
  </r>
  <r>
    <s v="SZCZUBIAŁ Bartłomiej"/>
    <x v="1"/>
    <s v="KS AZS AWF Kraków"/>
    <x v="3"/>
    <x v="5"/>
    <x v="0"/>
    <x v="0"/>
  </r>
  <r>
    <s v="SZCZUBIAŁ Bartłomiej"/>
    <x v="1"/>
    <s v="KS AZS AWF Kraków"/>
    <x v="3"/>
    <x v="5"/>
    <x v="1"/>
    <x v="0"/>
  </r>
  <r>
    <s v="SZCZUBIAŁ Bartłomiej"/>
    <x v="1"/>
    <s v="KS AZS AWF Kraków"/>
    <x v="3"/>
    <x v="5"/>
    <x v="2"/>
    <x v="0"/>
  </r>
  <r>
    <s v="MARCZEWSKI Stanisław"/>
    <x v="1"/>
    <s v="MKS Gdańsk"/>
    <x v="3"/>
    <x v="0"/>
    <x v="0"/>
    <x v="325"/>
  </r>
  <r>
    <s v="MARCZEWSKI Stanisław"/>
    <x v="1"/>
    <s v="MKS Gdańsk"/>
    <x v="3"/>
    <x v="0"/>
    <x v="1"/>
    <x v="326"/>
  </r>
  <r>
    <s v="MARCZEWSKI Stanisław"/>
    <x v="1"/>
    <s v="MKS Gdańsk"/>
    <x v="3"/>
    <x v="0"/>
    <x v="2"/>
    <x v="327"/>
  </r>
  <r>
    <s v="MARCZEWSKI Stanisław"/>
    <x v="1"/>
    <s v="MKS Gdańsk"/>
    <x v="3"/>
    <x v="1"/>
    <x v="0"/>
    <x v="0"/>
  </r>
  <r>
    <s v="MARCZEWSKI Stanisław"/>
    <x v="1"/>
    <s v="MKS Gdańsk"/>
    <x v="3"/>
    <x v="1"/>
    <x v="1"/>
    <x v="0"/>
  </r>
  <r>
    <s v="MARCZEWSKI Stanisław"/>
    <x v="1"/>
    <s v="MKS Gdańsk"/>
    <x v="3"/>
    <x v="1"/>
    <x v="2"/>
    <x v="0"/>
  </r>
  <r>
    <s v="MARCZEWSKI Stanisław"/>
    <x v="1"/>
    <s v="MKS Gdańsk"/>
    <x v="3"/>
    <x v="2"/>
    <x v="0"/>
    <x v="0"/>
  </r>
  <r>
    <s v="MARCZEWSKI Stanisław"/>
    <x v="1"/>
    <s v="MKS Gdańsk"/>
    <x v="3"/>
    <x v="2"/>
    <x v="1"/>
    <x v="0"/>
  </r>
  <r>
    <s v="MARCZEWSKI Stanisław"/>
    <x v="1"/>
    <s v="MKS Gdańsk"/>
    <x v="3"/>
    <x v="2"/>
    <x v="2"/>
    <x v="0"/>
  </r>
  <r>
    <s v="MARCZEWSKI Stanisław"/>
    <x v="1"/>
    <s v="MKS Gdańsk"/>
    <x v="3"/>
    <x v="3"/>
    <x v="0"/>
    <x v="0"/>
  </r>
  <r>
    <s v="MARCZEWSKI Stanisław"/>
    <x v="1"/>
    <s v="MKS Gdańsk"/>
    <x v="3"/>
    <x v="3"/>
    <x v="1"/>
    <x v="0"/>
  </r>
  <r>
    <s v="MARCZEWSKI Stanisław"/>
    <x v="1"/>
    <s v="MKS Gdańsk"/>
    <x v="3"/>
    <x v="3"/>
    <x v="2"/>
    <x v="0"/>
  </r>
  <r>
    <s v="MARCZEWSKI Stanisław"/>
    <x v="1"/>
    <s v="MKS Gdańsk"/>
    <x v="3"/>
    <x v="4"/>
    <x v="0"/>
    <x v="0"/>
  </r>
  <r>
    <s v="MARCZEWSKI Stanisław"/>
    <x v="1"/>
    <s v="MKS Gdańsk"/>
    <x v="3"/>
    <x v="4"/>
    <x v="1"/>
    <x v="0"/>
  </r>
  <r>
    <s v="MARCZEWSKI Stanisław"/>
    <x v="1"/>
    <s v="MKS Gdańsk"/>
    <x v="3"/>
    <x v="4"/>
    <x v="2"/>
    <x v="0"/>
  </r>
  <r>
    <s v="MARCZEWSKI Stanisław"/>
    <x v="1"/>
    <s v="MKS Gdańsk"/>
    <x v="3"/>
    <x v="5"/>
    <x v="0"/>
    <x v="0"/>
  </r>
  <r>
    <s v="MARCZEWSKI Stanisław"/>
    <x v="1"/>
    <s v="MKS Gdańsk"/>
    <x v="3"/>
    <x v="5"/>
    <x v="1"/>
    <x v="0"/>
  </r>
  <r>
    <s v="MARCZEWSKI Stanisław"/>
    <x v="1"/>
    <s v="MKS Gdańsk"/>
    <x v="3"/>
    <x v="5"/>
    <x v="2"/>
    <x v="0"/>
  </r>
  <r>
    <s v="KOLORZ Maks"/>
    <x v="1"/>
    <s v="KG Radlin"/>
    <x v="3"/>
    <x v="0"/>
    <x v="0"/>
    <x v="328"/>
  </r>
  <r>
    <s v="KOLORZ Maks"/>
    <x v="1"/>
    <s v="KG Radlin"/>
    <x v="3"/>
    <x v="0"/>
    <x v="1"/>
    <x v="329"/>
  </r>
  <r>
    <s v="KOLORZ Maks"/>
    <x v="1"/>
    <s v="KG Radlin"/>
    <x v="3"/>
    <x v="0"/>
    <x v="2"/>
    <x v="330"/>
  </r>
  <r>
    <s v="KOLORZ Maks"/>
    <x v="1"/>
    <s v="KG Radlin"/>
    <x v="3"/>
    <x v="1"/>
    <x v="0"/>
    <x v="0"/>
  </r>
  <r>
    <s v="KOLORZ Maks"/>
    <x v="1"/>
    <s v="KG Radlin"/>
    <x v="3"/>
    <x v="1"/>
    <x v="1"/>
    <x v="0"/>
  </r>
  <r>
    <s v="KOLORZ Maks"/>
    <x v="1"/>
    <s v="KG Radlin"/>
    <x v="3"/>
    <x v="1"/>
    <x v="2"/>
    <x v="0"/>
  </r>
  <r>
    <s v="KOLORZ Maks"/>
    <x v="1"/>
    <s v="KG Radlin"/>
    <x v="3"/>
    <x v="2"/>
    <x v="0"/>
    <x v="0"/>
  </r>
  <r>
    <s v="KOLORZ Maks"/>
    <x v="1"/>
    <s v="KG Radlin"/>
    <x v="3"/>
    <x v="2"/>
    <x v="1"/>
    <x v="0"/>
  </r>
  <r>
    <s v="KOLORZ Maks"/>
    <x v="1"/>
    <s v="KG Radlin"/>
    <x v="3"/>
    <x v="2"/>
    <x v="2"/>
    <x v="0"/>
  </r>
  <r>
    <s v="KOLORZ Maks"/>
    <x v="1"/>
    <s v="KG Radlin"/>
    <x v="3"/>
    <x v="3"/>
    <x v="0"/>
    <x v="0"/>
  </r>
  <r>
    <s v="KOLORZ Maks"/>
    <x v="1"/>
    <s v="KG Radlin"/>
    <x v="3"/>
    <x v="3"/>
    <x v="1"/>
    <x v="0"/>
  </r>
  <r>
    <s v="KOLORZ Maks"/>
    <x v="1"/>
    <s v="KG Radlin"/>
    <x v="3"/>
    <x v="3"/>
    <x v="2"/>
    <x v="0"/>
  </r>
  <r>
    <s v="KOLORZ Maks"/>
    <x v="1"/>
    <s v="KG Radlin"/>
    <x v="3"/>
    <x v="4"/>
    <x v="0"/>
    <x v="0"/>
  </r>
  <r>
    <s v="KOLORZ Maks"/>
    <x v="1"/>
    <s v="KG Radlin"/>
    <x v="3"/>
    <x v="4"/>
    <x v="1"/>
    <x v="0"/>
  </r>
  <r>
    <s v="KOLORZ Maks"/>
    <x v="1"/>
    <s v="KG Radlin"/>
    <x v="3"/>
    <x v="4"/>
    <x v="2"/>
    <x v="0"/>
  </r>
  <r>
    <s v="KOLORZ Maks"/>
    <x v="1"/>
    <s v="KG Radlin"/>
    <x v="3"/>
    <x v="5"/>
    <x v="0"/>
    <x v="0"/>
  </r>
  <r>
    <s v="KOLORZ Maks"/>
    <x v="1"/>
    <s v="KG Radlin"/>
    <x v="3"/>
    <x v="5"/>
    <x v="1"/>
    <x v="0"/>
  </r>
  <r>
    <s v="KOLORZ Maks"/>
    <x v="1"/>
    <s v="KG Radlin"/>
    <x v="3"/>
    <x v="5"/>
    <x v="2"/>
    <x v="0"/>
  </r>
  <r>
    <s v="RUS Gracjan"/>
    <x v="1"/>
    <s v="KG Radlin"/>
    <x v="3"/>
    <x v="0"/>
    <x v="0"/>
    <x v="331"/>
  </r>
  <r>
    <s v="RUS Gracjan"/>
    <x v="1"/>
    <s v="KG Radlin"/>
    <x v="3"/>
    <x v="0"/>
    <x v="1"/>
    <x v="332"/>
  </r>
  <r>
    <s v="RUS Gracjan"/>
    <x v="1"/>
    <s v="KG Radlin"/>
    <x v="3"/>
    <x v="0"/>
    <x v="2"/>
    <x v="333"/>
  </r>
  <r>
    <s v="RUS Gracjan"/>
    <x v="1"/>
    <s v="KG Radlin"/>
    <x v="3"/>
    <x v="1"/>
    <x v="0"/>
    <x v="0"/>
  </r>
  <r>
    <s v="RUS Gracjan"/>
    <x v="1"/>
    <s v="KG Radlin"/>
    <x v="3"/>
    <x v="1"/>
    <x v="1"/>
    <x v="0"/>
  </r>
  <r>
    <s v="RUS Gracjan"/>
    <x v="1"/>
    <s v="KG Radlin"/>
    <x v="3"/>
    <x v="1"/>
    <x v="2"/>
    <x v="0"/>
  </r>
  <r>
    <s v="RUS Gracjan"/>
    <x v="1"/>
    <s v="KG Radlin"/>
    <x v="3"/>
    <x v="2"/>
    <x v="0"/>
    <x v="0"/>
  </r>
  <r>
    <s v="RUS Gracjan"/>
    <x v="1"/>
    <s v="KG Radlin"/>
    <x v="3"/>
    <x v="2"/>
    <x v="1"/>
    <x v="0"/>
  </r>
  <r>
    <s v="RUS Gracjan"/>
    <x v="1"/>
    <s v="KG Radlin"/>
    <x v="3"/>
    <x v="2"/>
    <x v="2"/>
    <x v="0"/>
  </r>
  <r>
    <s v="RUS Gracjan"/>
    <x v="1"/>
    <s v="KG Radlin"/>
    <x v="3"/>
    <x v="3"/>
    <x v="0"/>
    <x v="0"/>
  </r>
  <r>
    <s v="RUS Gracjan"/>
    <x v="1"/>
    <s v="KG Radlin"/>
    <x v="3"/>
    <x v="3"/>
    <x v="1"/>
    <x v="0"/>
  </r>
  <r>
    <s v="RUS Gracjan"/>
    <x v="1"/>
    <s v="KG Radlin"/>
    <x v="3"/>
    <x v="3"/>
    <x v="2"/>
    <x v="0"/>
  </r>
  <r>
    <s v="RUS Gracjan"/>
    <x v="1"/>
    <s v="KG Radlin"/>
    <x v="3"/>
    <x v="4"/>
    <x v="0"/>
    <x v="0"/>
  </r>
  <r>
    <s v="RUS Gracjan"/>
    <x v="1"/>
    <s v="KG Radlin"/>
    <x v="3"/>
    <x v="4"/>
    <x v="1"/>
    <x v="0"/>
  </r>
  <r>
    <s v="RUS Gracjan"/>
    <x v="1"/>
    <s v="KG Radlin"/>
    <x v="3"/>
    <x v="4"/>
    <x v="2"/>
    <x v="0"/>
  </r>
  <r>
    <s v="RUS Gracjan"/>
    <x v="1"/>
    <s v="KG Radlin"/>
    <x v="3"/>
    <x v="5"/>
    <x v="0"/>
    <x v="0"/>
  </r>
  <r>
    <s v="RUS Gracjan"/>
    <x v="1"/>
    <s v="KG Radlin"/>
    <x v="3"/>
    <x v="5"/>
    <x v="1"/>
    <x v="0"/>
  </r>
  <r>
    <s v="RUS Gracjan"/>
    <x v="1"/>
    <s v="KG Radlin"/>
    <x v="3"/>
    <x v="5"/>
    <x v="2"/>
    <x v="0"/>
  </r>
  <r>
    <s v="JAKUBOWSKI Jakub"/>
    <x v="0"/>
    <s v="KS AZS AWFiS Gdańsk"/>
    <x v="4"/>
    <x v="0"/>
    <x v="0"/>
    <x v="334"/>
  </r>
  <r>
    <s v="JAKUBOWSKI Jakub"/>
    <x v="0"/>
    <s v="KS AZS AWFiS Gdańsk"/>
    <x v="4"/>
    <x v="0"/>
    <x v="1"/>
    <x v="335"/>
  </r>
  <r>
    <s v="JAKUBOWSKI Jakub"/>
    <x v="0"/>
    <s v="KS AZS AWFiS Gdańsk"/>
    <x v="4"/>
    <x v="0"/>
    <x v="2"/>
    <x v="336"/>
  </r>
  <r>
    <s v="JAKUBOWSKI Jakub"/>
    <x v="0"/>
    <s v="KS AZS AWFiS Gdańsk"/>
    <x v="4"/>
    <x v="1"/>
    <x v="0"/>
    <x v="337"/>
  </r>
  <r>
    <s v="JAKUBOWSKI Jakub"/>
    <x v="0"/>
    <s v="KS AZS AWFiS Gdańsk"/>
    <x v="4"/>
    <x v="1"/>
    <x v="1"/>
    <x v="338"/>
  </r>
  <r>
    <s v="JAKUBOWSKI Jakub"/>
    <x v="0"/>
    <s v="KS AZS AWFiS Gdańsk"/>
    <x v="4"/>
    <x v="1"/>
    <x v="2"/>
    <x v="339"/>
  </r>
  <r>
    <s v="JAKUBOWSKI Jakub"/>
    <x v="0"/>
    <s v="KS AZS AWFiS Gdańsk"/>
    <x v="4"/>
    <x v="2"/>
    <x v="0"/>
    <x v="340"/>
  </r>
  <r>
    <s v="JAKUBOWSKI Jakub"/>
    <x v="0"/>
    <s v="KS AZS AWFiS Gdańsk"/>
    <x v="4"/>
    <x v="2"/>
    <x v="1"/>
    <x v="341"/>
  </r>
  <r>
    <s v="JAKUBOWSKI Jakub"/>
    <x v="0"/>
    <s v="KS AZS AWFiS Gdańsk"/>
    <x v="4"/>
    <x v="2"/>
    <x v="2"/>
    <x v="342"/>
  </r>
  <r>
    <s v="JAKUBOWSKI Jakub"/>
    <x v="0"/>
    <s v="KS AZS AWFiS Gdańsk"/>
    <x v="4"/>
    <x v="3"/>
    <x v="0"/>
    <x v="242"/>
  </r>
  <r>
    <s v="JAKUBOWSKI Jakub"/>
    <x v="0"/>
    <s v="KS AZS AWFiS Gdańsk"/>
    <x v="4"/>
    <x v="3"/>
    <x v="1"/>
    <x v="343"/>
  </r>
  <r>
    <s v="JAKUBOWSKI Jakub"/>
    <x v="0"/>
    <s v="KS AZS AWFiS Gdańsk"/>
    <x v="4"/>
    <x v="3"/>
    <x v="2"/>
    <x v="344"/>
  </r>
  <r>
    <s v="JAKUBOWSKI Jakub"/>
    <x v="0"/>
    <s v="KS AZS AWFiS Gdańsk"/>
    <x v="4"/>
    <x v="4"/>
    <x v="0"/>
    <x v="0"/>
  </r>
  <r>
    <s v="JAKUBOWSKI Jakub"/>
    <x v="0"/>
    <s v="KS AZS AWFiS Gdańsk"/>
    <x v="4"/>
    <x v="4"/>
    <x v="1"/>
    <x v="0"/>
  </r>
  <r>
    <s v="JAKUBOWSKI Jakub"/>
    <x v="0"/>
    <s v="KS AZS AWFiS Gdańsk"/>
    <x v="4"/>
    <x v="4"/>
    <x v="2"/>
    <x v="0"/>
  </r>
  <r>
    <s v="JAKUBOWSKI Jakub"/>
    <x v="0"/>
    <s v="KS AZS AWFiS Gdańsk"/>
    <x v="4"/>
    <x v="5"/>
    <x v="0"/>
    <x v="0"/>
  </r>
  <r>
    <s v="JAKUBOWSKI Jakub"/>
    <x v="0"/>
    <s v="KS AZS AWFiS Gdańsk"/>
    <x v="4"/>
    <x v="5"/>
    <x v="1"/>
    <x v="0"/>
  </r>
  <r>
    <s v="JAKUBOWSKI Jakub"/>
    <x v="0"/>
    <s v="KS AZS AWFiS Gdańsk"/>
    <x v="4"/>
    <x v="5"/>
    <x v="2"/>
    <x v="0"/>
  </r>
  <r>
    <s v="PAWŁOWSKI Jakub"/>
    <x v="0"/>
    <s v="MKS Gdańsk"/>
    <x v="4"/>
    <x v="0"/>
    <x v="0"/>
    <x v="0"/>
  </r>
  <r>
    <s v="PAWŁOWSKI Jakub"/>
    <x v="0"/>
    <s v="MKS Gdańsk"/>
    <x v="4"/>
    <x v="0"/>
    <x v="1"/>
    <x v="0"/>
  </r>
  <r>
    <s v="PAWŁOWSKI Jakub"/>
    <x v="0"/>
    <s v="MKS Gdańsk"/>
    <x v="4"/>
    <x v="0"/>
    <x v="2"/>
    <x v="0"/>
  </r>
  <r>
    <s v="PAWŁOWSKI Jakub"/>
    <x v="0"/>
    <s v="MKS Gdańsk"/>
    <x v="4"/>
    <x v="1"/>
    <x v="0"/>
    <x v="345"/>
  </r>
  <r>
    <s v="PAWŁOWSKI Jakub"/>
    <x v="0"/>
    <s v="MKS Gdańsk"/>
    <x v="4"/>
    <x v="1"/>
    <x v="1"/>
    <x v="346"/>
  </r>
  <r>
    <s v="PAWŁOWSKI Jakub"/>
    <x v="0"/>
    <s v="MKS Gdańsk"/>
    <x v="4"/>
    <x v="1"/>
    <x v="2"/>
    <x v="347"/>
  </r>
  <r>
    <s v="PAWŁOWSKI Jakub"/>
    <x v="0"/>
    <s v="MKS Gdańsk"/>
    <x v="4"/>
    <x v="2"/>
    <x v="0"/>
    <x v="348"/>
  </r>
  <r>
    <s v="PAWŁOWSKI Jakub"/>
    <x v="0"/>
    <s v="MKS Gdańsk"/>
    <x v="4"/>
    <x v="2"/>
    <x v="1"/>
    <x v="349"/>
  </r>
  <r>
    <s v="PAWŁOWSKI Jakub"/>
    <x v="0"/>
    <s v="MKS Gdańsk"/>
    <x v="4"/>
    <x v="2"/>
    <x v="2"/>
    <x v="350"/>
  </r>
  <r>
    <s v="PAWŁOWSKI Jakub"/>
    <x v="0"/>
    <s v="MKS Gdańsk"/>
    <x v="4"/>
    <x v="3"/>
    <x v="0"/>
    <x v="351"/>
  </r>
  <r>
    <s v="PAWŁOWSKI Jakub"/>
    <x v="0"/>
    <s v="MKS Gdańsk"/>
    <x v="4"/>
    <x v="3"/>
    <x v="1"/>
    <x v="352"/>
  </r>
  <r>
    <s v="PAWŁOWSKI Jakub"/>
    <x v="0"/>
    <s v="MKS Gdańsk"/>
    <x v="4"/>
    <x v="3"/>
    <x v="2"/>
    <x v="353"/>
  </r>
  <r>
    <s v="PAWŁOWSKI Jakub"/>
    <x v="0"/>
    <s v="MKS Gdańsk"/>
    <x v="4"/>
    <x v="4"/>
    <x v="0"/>
    <x v="0"/>
  </r>
  <r>
    <s v="PAWŁOWSKI Jakub"/>
    <x v="0"/>
    <s v="MKS Gdańsk"/>
    <x v="4"/>
    <x v="4"/>
    <x v="1"/>
    <x v="0"/>
  </r>
  <r>
    <s v="PAWŁOWSKI Jakub"/>
    <x v="0"/>
    <s v="MKS Gdańsk"/>
    <x v="4"/>
    <x v="4"/>
    <x v="2"/>
    <x v="0"/>
  </r>
  <r>
    <s v="PAWŁOWSKI Jakub"/>
    <x v="0"/>
    <s v="MKS Gdańsk"/>
    <x v="4"/>
    <x v="5"/>
    <x v="0"/>
    <x v="0"/>
  </r>
  <r>
    <s v="PAWŁOWSKI Jakub"/>
    <x v="0"/>
    <s v="MKS Gdańsk"/>
    <x v="4"/>
    <x v="5"/>
    <x v="1"/>
    <x v="0"/>
  </r>
  <r>
    <s v="PAWŁOWSKI Jakub"/>
    <x v="0"/>
    <s v="MKS Gdańsk"/>
    <x v="4"/>
    <x v="5"/>
    <x v="2"/>
    <x v="0"/>
  </r>
  <r>
    <s v="SZYMCZYK Radosław"/>
    <x v="0"/>
    <s v="KS AZS AWF Kraków"/>
    <x v="4"/>
    <x v="0"/>
    <x v="0"/>
    <x v="354"/>
  </r>
  <r>
    <s v="SZYMCZYK Radosław"/>
    <x v="0"/>
    <s v="KS AZS AWF Kraków"/>
    <x v="4"/>
    <x v="0"/>
    <x v="1"/>
    <x v="355"/>
  </r>
  <r>
    <s v="SZYMCZYK Radosław"/>
    <x v="0"/>
    <s v="KS AZS AWF Kraków"/>
    <x v="4"/>
    <x v="0"/>
    <x v="2"/>
    <x v="356"/>
  </r>
  <r>
    <s v="SZYMCZYK Radosław"/>
    <x v="0"/>
    <s v="KS AZS AWF Kraków"/>
    <x v="4"/>
    <x v="1"/>
    <x v="0"/>
    <x v="357"/>
  </r>
  <r>
    <s v="SZYMCZYK Radosław"/>
    <x v="0"/>
    <s v="KS AZS AWF Kraków"/>
    <x v="4"/>
    <x v="1"/>
    <x v="1"/>
    <x v="358"/>
  </r>
  <r>
    <s v="SZYMCZYK Radosław"/>
    <x v="0"/>
    <s v="KS AZS AWF Kraków"/>
    <x v="4"/>
    <x v="1"/>
    <x v="2"/>
    <x v="359"/>
  </r>
  <r>
    <s v="SZYMCZYK Radosław"/>
    <x v="0"/>
    <s v="KS AZS AWF Kraków"/>
    <x v="4"/>
    <x v="2"/>
    <x v="0"/>
    <x v="360"/>
  </r>
  <r>
    <s v="SZYMCZYK Radosław"/>
    <x v="0"/>
    <s v="KS AZS AWF Kraków"/>
    <x v="4"/>
    <x v="2"/>
    <x v="1"/>
    <x v="361"/>
  </r>
  <r>
    <s v="SZYMCZYK Radosław"/>
    <x v="0"/>
    <s v="KS AZS AWF Kraków"/>
    <x v="4"/>
    <x v="2"/>
    <x v="2"/>
    <x v="362"/>
  </r>
  <r>
    <s v="SZYMCZYK Radosław"/>
    <x v="0"/>
    <s v="KS AZS AWF Kraków"/>
    <x v="4"/>
    <x v="3"/>
    <x v="0"/>
    <x v="0"/>
  </r>
  <r>
    <s v="SZYMCZYK Radosław"/>
    <x v="0"/>
    <s v="KS AZS AWF Kraków"/>
    <x v="4"/>
    <x v="3"/>
    <x v="1"/>
    <x v="0"/>
  </r>
  <r>
    <s v="SZYMCZYK Radosław"/>
    <x v="0"/>
    <s v="KS AZS AWF Kraków"/>
    <x v="4"/>
    <x v="3"/>
    <x v="2"/>
    <x v="0"/>
  </r>
  <r>
    <s v="SZYMCZYK Radosław"/>
    <x v="0"/>
    <s v="KS AZS AWF Kraków"/>
    <x v="4"/>
    <x v="4"/>
    <x v="0"/>
    <x v="0"/>
  </r>
  <r>
    <s v="SZYMCZYK Radosław"/>
    <x v="0"/>
    <s v="KS AZS AWF Kraków"/>
    <x v="4"/>
    <x v="4"/>
    <x v="1"/>
    <x v="0"/>
  </r>
  <r>
    <s v="SZYMCZYK Radosław"/>
    <x v="0"/>
    <s v="KS AZS AWF Kraków"/>
    <x v="4"/>
    <x v="4"/>
    <x v="2"/>
    <x v="0"/>
  </r>
  <r>
    <s v="SZYMCZYK Radosław"/>
    <x v="0"/>
    <s v="KS AZS AWF Kraków"/>
    <x v="4"/>
    <x v="5"/>
    <x v="0"/>
    <x v="0"/>
  </r>
  <r>
    <s v="SZYMCZYK Radosław"/>
    <x v="0"/>
    <s v="KS AZS AWF Kraków"/>
    <x v="4"/>
    <x v="5"/>
    <x v="1"/>
    <x v="0"/>
  </r>
  <r>
    <s v="SZYMCZYK Radosław"/>
    <x v="0"/>
    <s v="KS AZS AWF Kraków"/>
    <x v="4"/>
    <x v="5"/>
    <x v="2"/>
    <x v="0"/>
  </r>
  <r>
    <s v="FRONT Filip"/>
    <x v="0"/>
    <s v="KS AZS AWFiS Gdańsk"/>
    <x v="4"/>
    <x v="0"/>
    <x v="0"/>
    <x v="0"/>
  </r>
  <r>
    <s v="FRONT Filip"/>
    <x v="0"/>
    <s v="KS AZS AWFiS Gdańsk"/>
    <x v="4"/>
    <x v="0"/>
    <x v="1"/>
    <x v="0"/>
  </r>
  <r>
    <s v="FRONT Filip"/>
    <x v="0"/>
    <s v="KS AZS AWFiS Gdańsk"/>
    <x v="4"/>
    <x v="0"/>
    <x v="2"/>
    <x v="0"/>
  </r>
  <r>
    <s v="FRONT Filip"/>
    <x v="0"/>
    <s v="KS AZS AWFiS Gdańsk"/>
    <x v="4"/>
    <x v="1"/>
    <x v="0"/>
    <x v="363"/>
  </r>
  <r>
    <s v="FRONT Filip"/>
    <x v="0"/>
    <s v="KS AZS AWFiS Gdańsk"/>
    <x v="4"/>
    <x v="1"/>
    <x v="1"/>
    <x v="364"/>
  </r>
  <r>
    <s v="FRONT Filip"/>
    <x v="0"/>
    <s v="KS AZS AWFiS Gdańsk"/>
    <x v="4"/>
    <x v="1"/>
    <x v="2"/>
    <x v="365"/>
  </r>
  <r>
    <s v="FRONT Filip"/>
    <x v="0"/>
    <s v="KS AZS AWFiS Gdańsk"/>
    <x v="4"/>
    <x v="2"/>
    <x v="0"/>
    <x v="366"/>
  </r>
  <r>
    <s v="FRONT Filip"/>
    <x v="0"/>
    <s v="KS AZS AWFiS Gdańsk"/>
    <x v="4"/>
    <x v="2"/>
    <x v="1"/>
    <x v="367"/>
  </r>
  <r>
    <s v="FRONT Filip"/>
    <x v="0"/>
    <s v="KS AZS AWFiS Gdańsk"/>
    <x v="4"/>
    <x v="2"/>
    <x v="2"/>
    <x v="368"/>
  </r>
  <r>
    <s v="FRONT Filip"/>
    <x v="0"/>
    <s v="KS AZS AWFiS Gdańsk"/>
    <x v="4"/>
    <x v="3"/>
    <x v="0"/>
    <x v="369"/>
  </r>
  <r>
    <s v="FRONT Filip"/>
    <x v="0"/>
    <s v="KS AZS AWFiS Gdańsk"/>
    <x v="4"/>
    <x v="3"/>
    <x v="1"/>
    <x v="370"/>
  </r>
  <r>
    <s v="FRONT Filip"/>
    <x v="0"/>
    <s v="KS AZS AWFiS Gdańsk"/>
    <x v="4"/>
    <x v="3"/>
    <x v="2"/>
    <x v="371"/>
  </r>
  <r>
    <s v="FRONT Filip"/>
    <x v="0"/>
    <s v="KS AZS AWFiS Gdańsk"/>
    <x v="4"/>
    <x v="4"/>
    <x v="0"/>
    <x v="0"/>
  </r>
  <r>
    <s v="FRONT Filip"/>
    <x v="0"/>
    <s v="KS AZS AWFiS Gdańsk"/>
    <x v="4"/>
    <x v="4"/>
    <x v="1"/>
    <x v="0"/>
  </r>
  <r>
    <s v="FRONT Filip"/>
    <x v="0"/>
    <s v="KS AZS AWFiS Gdańsk"/>
    <x v="4"/>
    <x v="4"/>
    <x v="2"/>
    <x v="0"/>
  </r>
  <r>
    <s v="FRONT Filip"/>
    <x v="0"/>
    <s v="KS AZS AWFiS Gdańsk"/>
    <x v="4"/>
    <x v="5"/>
    <x v="0"/>
    <x v="0"/>
  </r>
  <r>
    <s v="FRONT Filip"/>
    <x v="0"/>
    <s v="KS AZS AWFiS Gdańsk"/>
    <x v="4"/>
    <x v="5"/>
    <x v="1"/>
    <x v="0"/>
  </r>
  <r>
    <s v="FRONT Filip"/>
    <x v="0"/>
    <s v="KS AZS AWFiS Gdańsk"/>
    <x v="4"/>
    <x v="5"/>
    <x v="2"/>
    <x v="0"/>
  </r>
  <r>
    <s v="KUŹMIŃSKI Bartosz"/>
    <x v="0"/>
    <s v="MKS Kusy Szczecin"/>
    <x v="4"/>
    <x v="0"/>
    <x v="0"/>
    <x v="372"/>
  </r>
  <r>
    <s v="KUŹMIŃSKI Bartosz"/>
    <x v="0"/>
    <s v="MKS Kusy Szczecin"/>
    <x v="4"/>
    <x v="0"/>
    <x v="1"/>
    <x v="373"/>
  </r>
  <r>
    <s v="KUŹMIŃSKI Bartosz"/>
    <x v="0"/>
    <s v="MKS Kusy Szczecin"/>
    <x v="4"/>
    <x v="0"/>
    <x v="2"/>
    <x v="374"/>
  </r>
  <r>
    <s v="KUŹMIŃSKI Bartosz"/>
    <x v="0"/>
    <s v="MKS Kusy Szczecin"/>
    <x v="4"/>
    <x v="1"/>
    <x v="0"/>
    <x v="370"/>
  </r>
  <r>
    <s v="KUŹMIŃSKI Bartosz"/>
    <x v="0"/>
    <s v="MKS Kusy Szczecin"/>
    <x v="4"/>
    <x v="1"/>
    <x v="1"/>
    <x v="375"/>
  </r>
  <r>
    <s v="KUŹMIŃSKI Bartosz"/>
    <x v="0"/>
    <s v="MKS Kusy Szczecin"/>
    <x v="4"/>
    <x v="1"/>
    <x v="2"/>
    <x v="376"/>
  </r>
  <r>
    <s v="KUŹMIŃSKI Bartosz"/>
    <x v="0"/>
    <s v="MKS Kusy Szczecin"/>
    <x v="4"/>
    <x v="2"/>
    <x v="0"/>
    <x v="377"/>
  </r>
  <r>
    <s v="KUŹMIŃSKI Bartosz"/>
    <x v="0"/>
    <s v="MKS Kusy Szczecin"/>
    <x v="4"/>
    <x v="2"/>
    <x v="1"/>
    <x v="378"/>
  </r>
  <r>
    <s v="KUŹMIŃSKI Bartosz"/>
    <x v="0"/>
    <s v="MKS Kusy Szczecin"/>
    <x v="4"/>
    <x v="2"/>
    <x v="2"/>
    <x v="379"/>
  </r>
  <r>
    <s v="KUŹMIŃSKI Bartosz"/>
    <x v="0"/>
    <s v="MKS Kusy Szczecin"/>
    <x v="4"/>
    <x v="3"/>
    <x v="0"/>
    <x v="0"/>
  </r>
  <r>
    <s v="KUŹMIŃSKI Bartosz"/>
    <x v="0"/>
    <s v="MKS Kusy Szczecin"/>
    <x v="4"/>
    <x v="3"/>
    <x v="1"/>
    <x v="0"/>
  </r>
  <r>
    <s v="KUŹMIŃSKI Bartosz"/>
    <x v="0"/>
    <s v="MKS Kusy Szczecin"/>
    <x v="4"/>
    <x v="3"/>
    <x v="2"/>
    <x v="0"/>
  </r>
  <r>
    <s v="KUŹMIŃSKI Bartosz"/>
    <x v="0"/>
    <s v="MKS Kusy Szczecin"/>
    <x v="4"/>
    <x v="4"/>
    <x v="0"/>
    <x v="0"/>
  </r>
  <r>
    <s v="KUŹMIŃSKI Bartosz"/>
    <x v="0"/>
    <s v="MKS Kusy Szczecin"/>
    <x v="4"/>
    <x v="4"/>
    <x v="1"/>
    <x v="0"/>
  </r>
  <r>
    <s v="KUŹMIŃSKI Bartosz"/>
    <x v="0"/>
    <s v="MKS Kusy Szczecin"/>
    <x v="4"/>
    <x v="4"/>
    <x v="2"/>
    <x v="0"/>
  </r>
  <r>
    <s v="KUŹMIŃSKI Bartosz"/>
    <x v="0"/>
    <s v="MKS Kusy Szczecin"/>
    <x v="4"/>
    <x v="5"/>
    <x v="0"/>
    <x v="0"/>
  </r>
  <r>
    <s v="KUŹMIŃSKI Bartosz"/>
    <x v="0"/>
    <s v="MKS Kusy Szczecin"/>
    <x v="4"/>
    <x v="5"/>
    <x v="1"/>
    <x v="0"/>
  </r>
  <r>
    <s v="KUŹMIŃSKI Bartosz"/>
    <x v="0"/>
    <s v="MKS Kusy Szczecin"/>
    <x v="4"/>
    <x v="5"/>
    <x v="2"/>
    <x v="0"/>
  </r>
  <r>
    <s v="HERASYMOV Mykyta"/>
    <x v="0"/>
    <s v="KS AZS AWFiS Gdańsk"/>
    <x v="4"/>
    <x v="0"/>
    <x v="0"/>
    <x v="0"/>
  </r>
  <r>
    <s v="HERASYMOV Mykyta"/>
    <x v="0"/>
    <s v="KS AZS AWFiS Gdańsk"/>
    <x v="4"/>
    <x v="0"/>
    <x v="1"/>
    <x v="0"/>
  </r>
  <r>
    <s v="HERASYMOV Mykyta"/>
    <x v="0"/>
    <s v="KS AZS AWFiS Gdańsk"/>
    <x v="4"/>
    <x v="0"/>
    <x v="2"/>
    <x v="0"/>
  </r>
  <r>
    <s v="HERASYMOV Mykyta"/>
    <x v="0"/>
    <s v="KS AZS AWFiS Gdańsk"/>
    <x v="4"/>
    <x v="1"/>
    <x v="0"/>
    <x v="372"/>
  </r>
  <r>
    <s v="HERASYMOV Mykyta"/>
    <x v="0"/>
    <s v="KS AZS AWFiS Gdańsk"/>
    <x v="4"/>
    <x v="1"/>
    <x v="1"/>
    <x v="380"/>
  </r>
  <r>
    <s v="HERASYMOV Mykyta"/>
    <x v="0"/>
    <s v="KS AZS AWFiS Gdańsk"/>
    <x v="4"/>
    <x v="1"/>
    <x v="2"/>
    <x v="381"/>
  </r>
  <r>
    <s v="HERASYMOV Mykyta"/>
    <x v="0"/>
    <s v="KS AZS AWFiS Gdańsk"/>
    <x v="4"/>
    <x v="2"/>
    <x v="0"/>
    <x v="382"/>
  </r>
  <r>
    <s v="HERASYMOV Mykyta"/>
    <x v="0"/>
    <s v="KS AZS AWFiS Gdańsk"/>
    <x v="4"/>
    <x v="2"/>
    <x v="1"/>
    <x v="383"/>
  </r>
  <r>
    <s v="HERASYMOV Mykyta"/>
    <x v="0"/>
    <s v="KS AZS AWFiS Gdańsk"/>
    <x v="4"/>
    <x v="2"/>
    <x v="2"/>
    <x v="335"/>
  </r>
  <r>
    <s v="HERASYMOV Mykyta"/>
    <x v="0"/>
    <s v="KS AZS AWFiS Gdańsk"/>
    <x v="4"/>
    <x v="3"/>
    <x v="0"/>
    <x v="0"/>
  </r>
  <r>
    <s v="HERASYMOV Mykyta"/>
    <x v="0"/>
    <s v="KS AZS AWFiS Gdańsk"/>
    <x v="4"/>
    <x v="3"/>
    <x v="1"/>
    <x v="0"/>
  </r>
  <r>
    <s v="HERASYMOV Mykyta"/>
    <x v="0"/>
    <s v="KS AZS AWFiS Gdańsk"/>
    <x v="4"/>
    <x v="3"/>
    <x v="2"/>
    <x v="0"/>
  </r>
  <r>
    <s v="HERASYMOV Mykyta"/>
    <x v="0"/>
    <s v="KS AZS AWFiS Gdańsk"/>
    <x v="4"/>
    <x v="4"/>
    <x v="0"/>
    <x v="0"/>
  </r>
  <r>
    <s v="HERASYMOV Mykyta"/>
    <x v="0"/>
    <s v="KS AZS AWFiS Gdańsk"/>
    <x v="4"/>
    <x v="4"/>
    <x v="1"/>
    <x v="0"/>
  </r>
  <r>
    <s v="HERASYMOV Mykyta"/>
    <x v="0"/>
    <s v="KS AZS AWFiS Gdańsk"/>
    <x v="4"/>
    <x v="4"/>
    <x v="2"/>
    <x v="0"/>
  </r>
  <r>
    <s v="HERASYMOV Mykyta"/>
    <x v="0"/>
    <s v="KS AZS AWFiS Gdańsk"/>
    <x v="4"/>
    <x v="5"/>
    <x v="0"/>
    <x v="0"/>
  </r>
  <r>
    <s v="HERASYMOV Mykyta"/>
    <x v="0"/>
    <s v="KS AZS AWFiS Gdańsk"/>
    <x v="4"/>
    <x v="5"/>
    <x v="1"/>
    <x v="0"/>
  </r>
  <r>
    <s v="HERASYMOV Mykyta"/>
    <x v="0"/>
    <s v="KS AZS AWFiS Gdańsk"/>
    <x v="4"/>
    <x v="5"/>
    <x v="2"/>
    <x v="0"/>
  </r>
  <r>
    <s v="IAREMCHUK Vladyslav"/>
    <x v="0"/>
    <s v="KS AZS AWF Katowice"/>
    <x v="4"/>
    <x v="0"/>
    <x v="0"/>
    <x v="0"/>
  </r>
  <r>
    <s v="IAREMCHUK Vladyslav"/>
    <x v="0"/>
    <s v="KS AZS AWF Katowice"/>
    <x v="4"/>
    <x v="0"/>
    <x v="1"/>
    <x v="0"/>
  </r>
  <r>
    <s v="IAREMCHUK Vladyslav"/>
    <x v="0"/>
    <s v="KS AZS AWF Katowice"/>
    <x v="4"/>
    <x v="0"/>
    <x v="2"/>
    <x v="0"/>
  </r>
  <r>
    <s v="IAREMCHUK Vladyslav"/>
    <x v="0"/>
    <s v="KS AZS AWF Katowice"/>
    <x v="4"/>
    <x v="1"/>
    <x v="0"/>
    <x v="384"/>
  </r>
  <r>
    <s v="IAREMCHUK Vladyslav"/>
    <x v="0"/>
    <s v="KS AZS AWF Katowice"/>
    <x v="4"/>
    <x v="1"/>
    <x v="1"/>
    <x v="289"/>
  </r>
  <r>
    <s v="IAREMCHUK Vladyslav"/>
    <x v="0"/>
    <s v="KS AZS AWF Katowice"/>
    <x v="4"/>
    <x v="1"/>
    <x v="2"/>
    <x v="368"/>
  </r>
  <r>
    <s v="IAREMCHUK Vladyslav"/>
    <x v="0"/>
    <s v="KS AZS AWF Katowice"/>
    <x v="4"/>
    <x v="2"/>
    <x v="0"/>
    <x v="385"/>
  </r>
  <r>
    <s v="IAREMCHUK Vladyslav"/>
    <x v="0"/>
    <s v="KS AZS AWF Katowice"/>
    <x v="4"/>
    <x v="2"/>
    <x v="1"/>
    <x v="386"/>
  </r>
  <r>
    <s v="IAREMCHUK Vladyslav"/>
    <x v="0"/>
    <s v="KS AZS AWF Katowice"/>
    <x v="4"/>
    <x v="2"/>
    <x v="2"/>
    <x v="387"/>
  </r>
  <r>
    <s v="IAREMCHUK Vladyslav"/>
    <x v="0"/>
    <s v="KS AZS AWF Katowice"/>
    <x v="4"/>
    <x v="3"/>
    <x v="0"/>
    <x v="0"/>
  </r>
  <r>
    <s v="IAREMCHUK Vladyslav"/>
    <x v="0"/>
    <s v="KS AZS AWF Katowice"/>
    <x v="4"/>
    <x v="3"/>
    <x v="1"/>
    <x v="0"/>
  </r>
  <r>
    <s v="IAREMCHUK Vladyslav"/>
    <x v="0"/>
    <s v="KS AZS AWF Katowice"/>
    <x v="4"/>
    <x v="3"/>
    <x v="2"/>
    <x v="0"/>
  </r>
  <r>
    <s v="IAREMCHUK Vladyslav"/>
    <x v="0"/>
    <s v="KS AZS AWF Katowice"/>
    <x v="4"/>
    <x v="4"/>
    <x v="0"/>
    <x v="0"/>
  </r>
  <r>
    <s v="IAREMCHUK Vladyslav"/>
    <x v="0"/>
    <s v="KS AZS AWF Katowice"/>
    <x v="4"/>
    <x v="4"/>
    <x v="1"/>
    <x v="0"/>
  </r>
  <r>
    <s v="IAREMCHUK Vladyslav"/>
    <x v="0"/>
    <s v="KS AZS AWF Katowice"/>
    <x v="4"/>
    <x v="4"/>
    <x v="2"/>
    <x v="0"/>
  </r>
  <r>
    <s v="IAREMCHUK Vladyslav"/>
    <x v="0"/>
    <s v="KS AZS AWF Katowice"/>
    <x v="4"/>
    <x v="5"/>
    <x v="0"/>
    <x v="0"/>
  </r>
  <r>
    <s v="IAREMCHUK Vladyslav"/>
    <x v="0"/>
    <s v="KS AZS AWF Katowice"/>
    <x v="4"/>
    <x v="5"/>
    <x v="1"/>
    <x v="0"/>
  </r>
  <r>
    <s v="IAREMCHUK Vladyslav"/>
    <x v="0"/>
    <s v="KS AZS AWF Katowice"/>
    <x v="4"/>
    <x v="5"/>
    <x v="2"/>
    <x v="0"/>
  </r>
  <r>
    <s v="SIUTA Jakub"/>
    <x v="0"/>
    <s v="KS AZS AWF Katowice"/>
    <x v="4"/>
    <x v="0"/>
    <x v="0"/>
    <x v="0"/>
  </r>
  <r>
    <s v="SIUTA Jakub"/>
    <x v="0"/>
    <s v="KS AZS AWF Katowice"/>
    <x v="4"/>
    <x v="0"/>
    <x v="1"/>
    <x v="0"/>
  </r>
  <r>
    <s v="SIUTA Jakub"/>
    <x v="0"/>
    <s v="KS AZS AWF Katowice"/>
    <x v="4"/>
    <x v="0"/>
    <x v="2"/>
    <x v="0"/>
  </r>
  <r>
    <s v="SIUTA Jakub"/>
    <x v="0"/>
    <s v="KS AZS AWF Katowice"/>
    <x v="4"/>
    <x v="1"/>
    <x v="0"/>
    <x v="388"/>
  </r>
  <r>
    <s v="SIUTA Jakub"/>
    <x v="0"/>
    <s v="KS AZS AWF Katowice"/>
    <x v="4"/>
    <x v="1"/>
    <x v="1"/>
    <x v="311"/>
  </r>
  <r>
    <s v="SIUTA Jakub"/>
    <x v="0"/>
    <s v="KS AZS AWF Katowice"/>
    <x v="4"/>
    <x v="1"/>
    <x v="2"/>
    <x v="207"/>
  </r>
  <r>
    <s v="SIUTA Jakub"/>
    <x v="0"/>
    <s v="KS AZS AWF Katowice"/>
    <x v="4"/>
    <x v="2"/>
    <x v="0"/>
    <x v="389"/>
  </r>
  <r>
    <s v="SIUTA Jakub"/>
    <x v="0"/>
    <s v="KS AZS AWF Katowice"/>
    <x v="4"/>
    <x v="2"/>
    <x v="1"/>
    <x v="390"/>
  </r>
  <r>
    <s v="SIUTA Jakub"/>
    <x v="0"/>
    <s v="KS AZS AWF Katowice"/>
    <x v="4"/>
    <x v="2"/>
    <x v="2"/>
    <x v="391"/>
  </r>
  <r>
    <s v="SIUTA Jakub"/>
    <x v="0"/>
    <s v="KS AZS AWF Katowice"/>
    <x v="4"/>
    <x v="3"/>
    <x v="0"/>
    <x v="0"/>
  </r>
  <r>
    <s v="SIUTA Jakub"/>
    <x v="0"/>
    <s v="KS AZS AWF Katowice"/>
    <x v="4"/>
    <x v="3"/>
    <x v="1"/>
    <x v="0"/>
  </r>
  <r>
    <s v="SIUTA Jakub"/>
    <x v="0"/>
    <s v="KS AZS AWF Katowice"/>
    <x v="4"/>
    <x v="3"/>
    <x v="2"/>
    <x v="0"/>
  </r>
  <r>
    <s v="SIUTA Jakub"/>
    <x v="0"/>
    <s v="KS AZS AWF Katowice"/>
    <x v="4"/>
    <x v="4"/>
    <x v="0"/>
    <x v="0"/>
  </r>
  <r>
    <s v="SIUTA Jakub"/>
    <x v="0"/>
    <s v="KS AZS AWF Katowice"/>
    <x v="4"/>
    <x v="4"/>
    <x v="1"/>
    <x v="0"/>
  </r>
  <r>
    <s v="SIUTA Jakub"/>
    <x v="0"/>
    <s v="KS AZS AWF Katowice"/>
    <x v="4"/>
    <x v="4"/>
    <x v="2"/>
    <x v="0"/>
  </r>
  <r>
    <s v="SIUTA Jakub"/>
    <x v="0"/>
    <s v="KS AZS AWF Katowice"/>
    <x v="4"/>
    <x v="5"/>
    <x v="0"/>
    <x v="0"/>
  </r>
  <r>
    <s v="SIUTA Jakub"/>
    <x v="0"/>
    <s v="KS AZS AWF Katowice"/>
    <x v="4"/>
    <x v="5"/>
    <x v="1"/>
    <x v="0"/>
  </r>
  <r>
    <s v="SIUTA Jakub"/>
    <x v="0"/>
    <s v="KS AZS AWF Katowice"/>
    <x v="4"/>
    <x v="5"/>
    <x v="2"/>
    <x v="0"/>
  </r>
  <r>
    <s v="BIAŁOWĄS Oliwier"/>
    <x v="0"/>
    <s v="CWZS Zawisza KG Bydgoszcz"/>
    <x v="4"/>
    <x v="0"/>
    <x v="0"/>
    <x v="0"/>
  </r>
  <r>
    <s v="BIAŁOWĄS Oliwier"/>
    <x v="0"/>
    <s v="CWZS Zawisza KG Bydgoszcz"/>
    <x v="4"/>
    <x v="0"/>
    <x v="1"/>
    <x v="0"/>
  </r>
  <r>
    <s v="BIAŁOWĄS Oliwier"/>
    <x v="0"/>
    <s v="CWZS Zawisza KG Bydgoszcz"/>
    <x v="4"/>
    <x v="0"/>
    <x v="2"/>
    <x v="0"/>
  </r>
  <r>
    <s v="BIAŁOWĄS Oliwier"/>
    <x v="0"/>
    <s v="CWZS Zawisza KG Bydgoszcz"/>
    <x v="4"/>
    <x v="1"/>
    <x v="0"/>
    <x v="392"/>
  </r>
  <r>
    <s v="BIAŁOWĄS Oliwier"/>
    <x v="0"/>
    <s v="CWZS Zawisza KG Bydgoszcz"/>
    <x v="4"/>
    <x v="1"/>
    <x v="1"/>
    <x v="239"/>
  </r>
  <r>
    <s v="BIAŁOWĄS Oliwier"/>
    <x v="0"/>
    <s v="CWZS Zawisza KG Bydgoszcz"/>
    <x v="4"/>
    <x v="1"/>
    <x v="2"/>
    <x v="32"/>
  </r>
  <r>
    <s v="BIAŁOWĄS Oliwier"/>
    <x v="0"/>
    <s v="CWZS Zawisza KG Bydgoszcz"/>
    <x v="4"/>
    <x v="2"/>
    <x v="0"/>
    <x v="0"/>
  </r>
  <r>
    <s v="BIAŁOWĄS Oliwier"/>
    <x v="0"/>
    <s v="CWZS Zawisza KG Bydgoszcz"/>
    <x v="4"/>
    <x v="2"/>
    <x v="1"/>
    <x v="0"/>
  </r>
  <r>
    <s v="BIAŁOWĄS Oliwier"/>
    <x v="0"/>
    <s v="CWZS Zawisza KG Bydgoszcz"/>
    <x v="4"/>
    <x v="2"/>
    <x v="2"/>
    <x v="0"/>
  </r>
  <r>
    <s v="BIAŁOWĄS Oliwier"/>
    <x v="0"/>
    <s v="CWZS Zawisza KG Bydgoszcz"/>
    <x v="4"/>
    <x v="3"/>
    <x v="0"/>
    <x v="393"/>
  </r>
  <r>
    <s v="BIAŁOWĄS Oliwier"/>
    <x v="0"/>
    <s v="CWZS Zawisza KG Bydgoszcz"/>
    <x v="4"/>
    <x v="3"/>
    <x v="1"/>
    <x v="394"/>
  </r>
  <r>
    <s v="BIAŁOWĄS Oliwier"/>
    <x v="0"/>
    <s v="CWZS Zawisza KG Bydgoszcz"/>
    <x v="4"/>
    <x v="3"/>
    <x v="2"/>
    <x v="395"/>
  </r>
  <r>
    <s v="BIAŁOWĄS Oliwier"/>
    <x v="0"/>
    <s v="CWZS Zawisza KG Bydgoszcz"/>
    <x v="4"/>
    <x v="4"/>
    <x v="0"/>
    <x v="0"/>
  </r>
  <r>
    <s v="BIAŁOWĄS Oliwier"/>
    <x v="0"/>
    <s v="CWZS Zawisza KG Bydgoszcz"/>
    <x v="4"/>
    <x v="4"/>
    <x v="1"/>
    <x v="0"/>
  </r>
  <r>
    <s v="BIAŁOWĄS Oliwier"/>
    <x v="0"/>
    <s v="CWZS Zawisza KG Bydgoszcz"/>
    <x v="4"/>
    <x v="4"/>
    <x v="2"/>
    <x v="0"/>
  </r>
  <r>
    <s v="BIAŁOWĄS Oliwier"/>
    <x v="0"/>
    <s v="CWZS Zawisza KG Bydgoszcz"/>
    <x v="4"/>
    <x v="5"/>
    <x v="0"/>
    <x v="0"/>
  </r>
  <r>
    <s v="BIAŁOWĄS Oliwier"/>
    <x v="0"/>
    <s v="CWZS Zawisza KG Bydgoszcz"/>
    <x v="4"/>
    <x v="5"/>
    <x v="1"/>
    <x v="0"/>
  </r>
  <r>
    <s v="BIAŁOWĄS Oliwier"/>
    <x v="0"/>
    <s v="CWZS Zawisza KG Bydgoszcz"/>
    <x v="4"/>
    <x v="5"/>
    <x v="2"/>
    <x v="0"/>
  </r>
  <r>
    <s v="LESIŃSKI Piotr"/>
    <x v="0"/>
    <s v="KS AZS AWFiS Gdańsk"/>
    <x v="4"/>
    <x v="0"/>
    <x v="0"/>
    <x v="0"/>
  </r>
  <r>
    <s v="LESIŃSKI Piotr"/>
    <x v="0"/>
    <s v="KS AZS AWFiS Gdańsk"/>
    <x v="4"/>
    <x v="0"/>
    <x v="1"/>
    <x v="0"/>
  </r>
  <r>
    <s v="LESIŃSKI Piotr"/>
    <x v="0"/>
    <s v="KS AZS AWFiS Gdańsk"/>
    <x v="4"/>
    <x v="0"/>
    <x v="2"/>
    <x v="0"/>
  </r>
  <r>
    <s v="LESIŃSKI Piotr"/>
    <x v="0"/>
    <s v="KS AZS AWFiS Gdańsk"/>
    <x v="4"/>
    <x v="1"/>
    <x v="0"/>
    <x v="0"/>
  </r>
  <r>
    <s v="LESIŃSKI Piotr"/>
    <x v="0"/>
    <s v="KS AZS AWFiS Gdańsk"/>
    <x v="4"/>
    <x v="1"/>
    <x v="1"/>
    <x v="0"/>
  </r>
  <r>
    <s v="LESIŃSKI Piotr"/>
    <x v="0"/>
    <s v="KS AZS AWFiS Gdańsk"/>
    <x v="4"/>
    <x v="1"/>
    <x v="2"/>
    <x v="0"/>
  </r>
  <r>
    <s v="LESIŃSKI Piotr"/>
    <x v="0"/>
    <s v="KS AZS AWFiS Gdańsk"/>
    <x v="4"/>
    <x v="2"/>
    <x v="0"/>
    <x v="363"/>
  </r>
  <r>
    <s v="LESIŃSKI Piotr"/>
    <x v="0"/>
    <s v="KS AZS AWFiS Gdańsk"/>
    <x v="4"/>
    <x v="2"/>
    <x v="1"/>
    <x v="396"/>
  </r>
  <r>
    <s v="LESIŃSKI Piotr"/>
    <x v="0"/>
    <s v="KS AZS AWFiS Gdańsk"/>
    <x v="4"/>
    <x v="2"/>
    <x v="2"/>
    <x v="342"/>
  </r>
  <r>
    <s v="LESIŃSKI Piotr"/>
    <x v="0"/>
    <s v="KS AZS AWFiS Gdańsk"/>
    <x v="4"/>
    <x v="3"/>
    <x v="0"/>
    <x v="0"/>
  </r>
  <r>
    <s v="LESIŃSKI Piotr"/>
    <x v="0"/>
    <s v="KS AZS AWFiS Gdańsk"/>
    <x v="4"/>
    <x v="3"/>
    <x v="1"/>
    <x v="0"/>
  </r>
  <r>
    <s v="LESIŃSKI Piotr"/>
    <x v="0"/>
    <s v="KS AZS AWFiS Gdańsk"/>
    <x v="4"/>
    <x v="3"/>
    <x v="2"/>
    <x v="0"/>
  </r>
  <r>
    <s v="LESIŃSKI Piotr"/>
    <x v="0"/>
    <s v="KS AZS AWFiS Gdańsk"/>
    <x v="4"/>
    <x v="4"/>
    <x v="0"/>
    <x v="0"/>
  </r>
  <r>
    <s v="LESIŃSKI Piotr"/>
    <x v="0"/>
    <s v="KS AZS AWFiS Gdańsk"/>
    <x v="4"/>
    <x v="4"/>
    <x v="1"/>
    <x v="0"/>
  </r>
  <r>
    <s v="LESIŃSKI Piotr"/>
    <x v="0"/>
    <s v="KS AZS AWFiS Gdańsk"/>
    <x v="4"/>
    <x v="4"/>
    <x v="2"/>
    <x v="0"/>
  </r>
  <r>
    <s v="LESIŃSKI Piotr"/>
    <x v="0"/>
    <s v="KS AZS AWFiS Gdańsk"/>
    <x v="4"/>
    <x v="5"/>
    <x v="0"/>
    <x v="0"/>
  </r>
  <r>
    <s v="LESIŃSKI Piotr"/>
    <x v="0"/>
    <s v="KS AZS AWFiS Gdańsk"/>
    <x v="4"/>
    <x v="5"/>
    <x v="1"/>
    <x v="0"/>
  </r>
  <r>
    <s v="LESIŃSKI Piotr"/>
    <x v="0"/>
    <s v="KS AZS AWFiS Gdańsk"/>
    <x v="4"/>
    <x v="5"/>
    <x v="2"/>
    <x v="0"/>
  </r>
  <r>
    <s v="KLIMCZUK Paweł"/>
    <x v="0"/>
    <s v="MKS Gdańsk"/>
    <x v="4"/>
    <x v="0"/>
    <x v="0"/>
    <x v="0"/>
  </r>
  <r>
    <s v="KLIMCZUK Paweł"/>
    <x v="0"/>
    <s v="MKS Gdańsk"/>
    <x v="4"/>
    <x v="0"/>
    <x v="1"/>
    <x v="0"/>
  </r>
  <r>
    <s v="KLIMCZUK Paweł"/>
    <x v="0"/>
    <s v="MKS Gdańsk"/>
    <x v="4"/>
    <x v="0"/>
    <x v="2"/>
    <x v="0"/>
  </r>
  <r>
    <s v="KLIMCZUK Paweł"/>
    <x v="0"/>
    <s v="MKS Gdańsk"/>
    <x v="4"/>
    <x v="1"/>
    <x v="0"/>
    <x v="397"/>
  </r>
  <r>
    <s v="KLIMCZUK Paweł"/>
    <x v="0"/>
    <s v="MKS Gdańsk"/>
    <x v="4"/>
    <x v="1"/>
    <x v="1"/>
    <x v="398"/>
  </r>
  <r>
    <s v="KLIMCZUK Paweł"/>
    <x v="0"/>
    <s v="MKS Gdańsk"/>
    <x v="4"/>
    <x v="1"/>
    <x v="2"/>
    <x v="399"/>
  </r>
  <r>
    <s v="KLIMCZUK Paweł"/>
    <x v="0"/>
    <s v="MKS Gdańsk"/>
    <x v="4"/>
    <x v="2"/>
    <x v="0"/>
    <x v="400"/>
  </r>
  <r>
    <s v="KLIMCZUK Paweł"/>
    <x v="0"/>
    <s v="MKS Gdańsk"/>
    <x v="4"/>
    <x v="2"/>
    <x v="1"/>
    <x v="401"/>
  </r>
  <r>
    <s v="KLIMCZUK Paweł"/>
    <x v="0"/>
    <s v="MKS Gdańsk"/>
    <x v="4"/>
    <x v="2"/>
    <x v="2"/>
    <x v="399"/>
  </r>
  <r>
    <s v="KLIMCZUK Paweł"/>
    <x v="0"/>
    <s v="MKS Gdańsk"/>
    <x v="4"/>
    <x v="3"/>
    <x v="0"/>
    <x v="0"/>
  </r>
  <r>
    <s v="KLIMCZUK Paweł"/>
    <x v="0"/>
    <s v="MKS Gdańsk"/>
    <x v="4"/>
    <x v="3"/>
    <x v="1"/>
    <x v="0"/>
  </r>
  <r>
    <s v="KLIMCZUK Paweł"/>
    <x v="0"/>
    <s v="MKS Gdańsk"/>
    <x v="4"/>
    <x v="3"/>
    <x v="2"/>
    <x v="0"/>
  </r>
  <r>
    <s v="KLIMCZUK Paweł"/>
    <x v="0"/>
    <s v="MKS Gdańsk"/>
    <x v="4"/>
    <x v="4"/>
    <x v="0"/>
    <x v="0"/>
  </r>
  <r>
    <s v="KLIMCZUK Paweł"/>
    <x v="0"/>
    <s v="MKS Gdańsk"/>
    <x v="4"/>
    <x v="4"/>
    <x v="1"/>
    <x v="0"/>
  </r>
  <r>
    <s v="KLIMCZUK Paweł"/>
    <x v="0"/>
    <s v="MKS Gdańsk"/>
    <x v="4"/>
    <x v="4"/>
    <x v="2"/>
    <x v="0"/>
  </r>
  <r>
    <s v="KLIMCZUK Paweł"/>
    <x v="0"/>
    <s v="MKS Gdańsk"/>
    <x v="4"/>
    <x v="5"/>
    <x v="0"/>
    <x v="0"/>
  </r>
  <r>
    <s v="KLIMCZUK Paweł"/>
    <x v="0"/>
    <s v="MKS Gdańsk"/>
    <x v="4"/>
    <x v="5"/>
    <x v="1"/>
    <x v="0"/>
  </r>
  <r>
    <s v="KLIMCZUK Paweł"/>
    <x v="0"/>
    <s v="MKS Gdańsk"/>
    <x v="4"/>
    <x v="5"/>
    <x v="2"/>
    <x v="0"/>
  </r>
  <r>
    <s v="PIETRUSZKIEWICZ Jakub"/>
    <x v="0"/>
    <s v="MKS Kusy Szczecin"/>
    <x v="4"/>
    <x v="0"/>
    <x v="0"/>
    <x v="0"/>
  </r>
  <r>
    <s v="PIETRUSZKIEWICZ Jakub"/>
    <x v="0"/>
    <s v="MKS Kusy Szczecin"/>
    <x v="4"/>
    <x v="0"/>
    <x v="1"/>
    <x v="0"/>
  </r>
  <r>
    <s v="PIETRUSZKIEWICZ Jakub"/>
    <x v="0"/>
    <s v="MKS Kusy Szczecin"/>
    <x v="4"/>
    <x v="0"/>
    <x v="2"/>
    <x v="0"/>
  </r>
  <r>
    <s v="PIETRUSZKIEWICZ Jakub"/>
    <x v="0"/>
    <s v="MKS Kusy Szczecin"/>
    <x v="4"/>
    <x v="1"/>
    <x v="0"/>
    <x v="370"/>
  </r>
  <r>
    <s v="PIETRUSZKIEWICZ Jakub"/>
    <x v="0"/>
    <s v="MKS Kusy Szczecin"/>
    <x v="4"/>
    <x v="1"/>
    <x v="1"/>
    <x v="402"/>
  </r>
  <r>
    <s v="PIETRUSZKIEWICZ Jakub"/>
    <x v="0"/>
    <s v="MKS Kusy Szczecin"/>
    <x v="4"/>
    <x v="1"/>
    <x v="2"/>
    <x v="403"/>
  </r>
  <r>
    <s v="PIETRUSZKIEWICZ Jakub"/>
    <x v="0"/>
    <s v="MKS Kusy Szczecin"/>
    <x v="4"/>
    <x v="2"/>
    <x v="0"/>
    <x v="0"/>
  </r>
  <r>
    <s v="PIETRUSZKIEWICZ Jakub"/>
    <x v="0"/>
    <s v="MKS Kusy Szczecin"/>
    <x v="4"/>
    <x v="2"/>
    <x v="1"/>
    <x v="0"/>
  </r>
  <r>
    <s v="PIETRUSZKIEWICZ Jakub"/>
    <x v="0"/>
    <s v="MKS Kusy Szczecin"/>
    <x v="4"/>
    <x v="2"/>
    <x v="2"/>
    <x v="0"/>
  </r>
  <r>
    <s v="PIETRUSZKIEWICZ Jakub"/>
    <x v="0"/>
    <s v="MKS Kusy Szczecin"/>
    <x v="4"/>
    <x v="3"/>
    <x v="0"/>
    <x v="0"/>
  </r>
  <r>
    <s v="PIETRUSZKIEWICZ Jakub"/>
    <x v="0"/>
    <s v="MKS Kusy Szczecin"/>
    <x v="4"/>
    <x v="3"/>
    <x v="1"/>
    <x v="0"/>
  </r>
  <r>
    <s v="PIETRUSZKIEWICZ Jakub"/>
    <x v="0"/>
    <s v="MKS Kusy Szczecin"/>
    <x v="4"/>
    <x v="3"/>
    <x v="2"/>
    <x v="0"/>
  </r>
  <r>
    <s v="PIETRUSZKIEWICZ Jakub"/>
    <x v="0"/>
    <s v="MKS Kusy Szczecin"/>
    <x v="4"/>
    <x v="4"/>
    <x v="0"/>
    <x v="0"/>
  </r>
  <r>
    <s v="PIETRUSZKIEWICZ Jakub"/>
    <x v="0"/>
    <s v="MKS Kusy Szczecin"/>
    <x v="4"/>
    <x v="4"/>
    <x v="1"/>
    <x v="0"/>
  </r>
  <r>
    <s v="PIETRUSZKIEWICZ Jakub"/>
    <x v="0"/>
    <s v="MKS Kusy Szczecin"/>
    <x v="4"/>
    <x v="4"/>
    <x v="2"/>
    <x v="0"/>
  </r>
  <r>
    <s v="PIETRUSZKIEWICZ Jakub"/>
    <x v="0"/>
    <s v="MKS Kusy Szczecin"/>
    <x v="4"/>
    <x v="5"/>
    <x v="0"/>
    <x v="0"/>
  </r>
  <r>
    <s v="PIETRUSZKIEWICZ Jakub"/>
    <x v="0"/>
    <s v="MKS Kusy Szczecin"/>
    <x v="4"/>
    <x v="5"/>
    <x v="1"/>
    <x v="0"/>
  </r>
  <r>
    <s v="PIETRUSZKIEWICZ Jakub"/>
    <x v="0"/>
    <s v="MKS Kusy Szczecin"/>
    <x v="4"/>
    <x v="5"/>
    <x v="2"/>
    <x v="0"/>
  </r>
  <r>
    <s v="KLIMCZUK Michał"/>
    <x v="1"/>
    <s v="MKS Gdańsk"/>
    <x v="4"/>
    <x v="0"/>
    <x v="0"/>
    <x v="404"/>
  </r>
  <r>
    <s v="KLIMCZUK Michał"/>
    <x v="1"/>
    <s v="MKS Gdańsk"/>
    <x v="4"/>
    <x v="0"/>
    <x v="1"/>
    <x v="405"/>
  </r>
  <r>
    <s v="KLIMCZUK Michał"/>
    <x v="1"/>
    <s v="MKS Gdańsk"/>
    <x v="4"/>
    <x v="0"/>
    <x v="2"/>
    <x v="406"/>
  </r>
  <r>
    <s v="KLIMCZUK Michał"/>
    <x v="1"/>
    <s v="MKS Gdańsk"/>
    <x v="4"/>
    <x v="1"/>
    <x v="0"/>
    <x v="0"/>
  </r>
  <r>
    <s v="KLIMCZUK Michał"/>
    <x v="1"/>
    <s v="MKS Gdańsk"/>
    <x v="4"/>
    <x v="1"/>
    <x v="1"/>
    <x v="0"/>
  </r>
  <r>
    <s v="KLIMCZUK Michał"/>
    <x v="1"/>
    <s v="MKS Gdańsk"/>
    <x v="4"/>
    <x v="1"/>
    <x v="2"/>
    <x v="0"/>
  </r>
  <r>
    <s v="KLIMCZUK Michał"/>
    <x v="1"/>
    <s v="MKS Gdańsk"/>
    <x v="4"/>
    <x v="2"/>
    <x v="0"/>
    <x v="407"/>
  </r>
  <r>
    <s v="KLIMCZUK Michał"/>
    <x v="1"/>
    <s v="MKS Gdańsk"/>
    <x v="4"/>
    <x v="2"/>
    <x v="1"/>
    <x v="408"/>
  </r>
  <r>
    <s v="KLIMCZUK Michał"/>
    <x v="1"/>
    <s v="MKS Gdańsk"/>
    <x v="4"/>
    <x v="2"/>
    <x v="2"/>
    <x v="409"/>
  </r>
  <r>
    <s v="KLIMCZUK Michał"/>
    <x v="1"/>
    <s v="MKS Gdańsk"/>
    <x v="4"/>
    <x v="3"/>
    <x v="0"/>
    <x v="410"/>
  </r>
  <r>
    <s v="KLIMCZUK Michał"/>
    <x v="1"/>
    <s v="MKS Gdańsk"/>
    <x v="4"/>
    <x v="3"/>
    <x v="1"/>
    <x v="406"/>
  </r>
  <r>
    <s v="KLIMCZUK Michał"/>
    <x v="1"/>
    <s v="MKS Gdańsk"/>
    <x v="4"/>
    <x v="3"/>
    <x v="2"/>
    <x v="411"/>
  </r>
  <r>
    <s v="KLIMCZUK Michał"/>
    <x v="1"/>
    <s v="MKS Gdańsk"/>
    <x v="4"/>
    <x v="4"/>
    <x v="0"/>
    <x v="0"/>
  </r>
  <r>
    <s v="KLIMCZUK Michał"/>
    <x v="1"/>
    <s v="MKS Gdańsk"/>
    <x v="4"/>
    <x v="4"/>
    <x v="1"/>
    <x v="0"/>
  </r>
  <r>
    <s v="KLIMCZUK Michał"/>
    <x v="1"/>
    <s v="MKS Gdańsk"/>
    <x v="4"/>
    <x v="4"/>
    <x v="2"/>
    <x v="0"/>
  </r>
  <r>
    <s v="KLIMCZUK Michał"/>
    <x v="1"/>
    <s v="MKS Gdańsk"/>
    <x v="4"/>
    <x v="5"/>
    <x v="0"/>
    <x v="0"/>
  </r>
  <r>
    <s v="KLIMCZUK Michał"/>
    <x v="1"/>
    <s v="MKS Gdańsk"/>
    <x v="4"/>
    <x v="5"/>
    <x v="1"/>
    <x v="0"/>
  </r>
  <r>
    <s v="KLIMCZUK Michał"/>
    <x v="1"/>
    <s v="MKS Gdańsk"/>
    <x v="4"/>
    <x v="5"/>
    <x v="2"/>
    <x v="0"/>
  </r>
  <r>
    <s v="KUBALA Kacper"/>
    <x v="1"/>
    <s v="MKS Gdańsk"/>
    <x v="4"/>
    <x v="0"/>
    <x v="0"/>
    <x v="412"/>
  </r>
  <r>
    <s v="KUBALA Kacper"/>
    <x v="1"/>
    <s v="MKS Gdańsk"/>
    <x v="4"/>
    <x v="0"/>
    <x v="1"/>
    <x v="413"/>
  </r>
  <r>
    <s v="KUBALA Kacper"/>
    <x v="1"/>
    <s v="MKS Gdańsk"/>
    <x v="4"/>
    <x v="0"/>
    <x v="2"/>
    <x v="414"/>
  </r>
  <r>
    <s v="KUBALA Kacper"/>
    <x v="1"/>
    <s v="MKS Gdańsk"/>
    <x v="4"/>
    <x v="1"/>
    <x v="0"/>
    <x v="415"/>
  </r>
  <r>
    <s v="KUBALA Kacper"/>
    <x v="1"/>
    <s v="MKS Gdańsk"/>
    <x v="4"/>
    <x v="1"/>
    <x v="1"/>
    <x v="416"/>
  </r>
  <r>
    <s v="KUBALA Kacper"/>
    <x v="1"/>
    <s v="MKS Gdańsk"/>
    <x v="4"/>
    <x v="1"/>
    <x v="2"/>
    <x v="417"/>
  </r>
  <r>
    <s v="KUBALA Kacper"/>
    <x v="1"/>
    <s v="MKS Gdańsk"/>
    <x v="4"/>
    <x v="2"/>
    <x v="0"/>
    <x v="418"/>
  </r>
  <r>
    <s v="KUBALA Kacper"/>
    <x v="1"/>
    <s v="MKS Gdańsk"/>
    <x v="4"/>
    <x v="2"/>
    <x v="1"/>
    <x v="419"/>
  </r>
  <r>
    <s v="KUBALA Kacper"/>
    <x v="1"/>
    <s v="MKS Gdańsk"/>
    <x v="4"/>
    <x v="2"/>
    <x v="2"/>
    <x v="420"/>
  </r>
  <r>
    <s v="KUBALA Kacper"/>
    <x v="1"/>
    <s v="MKS Gdańsk"/>
    <x v="4"/>
    <x v="3"/>
    <x v="0"/>
    <x v="366"/>
  </r>
  <r>
    <s v="KUBALA Kacper"/>
    <x v="1"/>
    <s v="MKS Gdańsk"/>
    <x v="4"/>
    <x v="3"/>
    <x v="1"/>
    <x v="421"/>
  </r>
  <r>
    <s v="KUBALA Kacper"/>
    <x v="1"/>
    <s v="MKS Gdańsk"/>
    <x v="4"/>
    <x v="3"/>
    <x v="2"/>
    <x v="422"/>
  </r>
  <r>
    <s v="KUBALA Kacper"/>
    <x v="1"/>
    <s v="MKS Gdańsk"/>
    <x v="4"/>
    <x v="4"/>
    <x v="0"/>
    <x v="0"/>
  </r>
  <r>
    <s v="KUBALA Kacper"/>
    <x v="1"/>
    <s v="MKS Gdańsk"/>
    <x v="4"/>
    <x v="4"/>
    <x v="1"/>
    <x v="0"/>
  </r>
  <r>
    <s v="KUBALA Kacper"/>
    <x v="1"/>
    <s v="MKS Gdańsk"/>
    <x v="4"/>
    <x v="4"/>
    <x v="2"/>
    <x v="0"/>
  </r>
  <r>
    <s v="KUBALA Kacper"/>
    <x v="1"/>
    <s v="MKS Gdańsk"/>
    <x v="4"/>
    <x v="5"/>
    <x v="0"/>
    <x v="0"/>
  </r>
  <r>
    <s v="KUBALA Kacper"/>
    <x v="1"/>
    <s v="MKS Gdańsk"/>
    <x v="4"/>
    <x v="5"/>
    <x v="1"/>
    <x v="0"/>
  </r>
  <r>
    <s v="KUBALA Kacper"/>
    <x v="1"/>
    <s v="MKS Gdańsk"/>
    <x v="4"/>
    <x v="5"/>
    <x v="2"/>
    <x v="0"/>
  </r>
  <r>
    <s v="ĆWIEK Tymoteusz"/>
    <x v="1"/>
    <s v="KS AZS AWF Kraków"/>
    <x v="4"/>
    <x v="0"/>
    <x v="0"/>
    <x v="314"/>
  </r>
  <r>
    <s v="ĆWIEK Tymoteusz"/>
    <x v="1"/>
    <s v="KS AZS AWF Kraków"/>
    <x v="4"/>
    <x v="0"/>
    <x v="1"/>
    <x v="423"/>
  </r>
  <r>
    <s v="ĆWIEK Tymoteusz"/>
    <x v="1"/>
    <s v="KS AZS AWF Kraków"/>
    <x v="4"/>
    <x v="0"/>
    <x v="2"/>
    <x v="424"/>
  </r>
  <r>
    <s v="ĆWIEK Tymoteusz"/>
    <x v="1"/>
    <s v="KS AZS AWF Kraków"/>
    <x v="4"/>
    <x v="1"/>
    <x v="0"/>
    <x v="0"/>
  </r>
  <r>
    <s v="ĆWIEK Tymoteusz"/>
    <x v="1"/>
    <s v="KS AZS AWF Kraków"/>
    <x v="4"/>
    <x v="1"/>
    <x v="1"/>
    <x v="0"/>
  </r>
  <r>
    <s v="ĆWIEK Tymoteusz"/>
    <x v="1"/>
    <s v="KS AZS AWF Kraków"/>
    <x v="4"/>
    <x v="1"/>
    <x v="2"/>
    <x v="0"/>
  </r>
  <r>
    <s v="ĆWIEK Tymoteusz"/>
    <x v="1"/>
    <s v="KS AZS AWF Kraków"/>
    <x v="4"/>
    <x v="2"/>
    <x v="0"/>
    <x v="371"/>
  </r>
  <r>
    <s v="ĆWIEK Tymoteusz"/>
    <x v="1"/>
    <s v="KS AZS AWF Kraków"/>
    <x v="4"/>
    <x v="2"/>
    <x v="1"/>
    <x v="425"/>
  </r>
  <r>
    <s v="ĆWIEK Tymoteusz"/>
    <x v="1"/>
    <s v="KS AZS AWF Kraków"/>
    <x v="4"/>
    <x v="2"/>
    <x v="2"/>
    <x v="426"/>
  </r>
  <r>
    <s v="ĆWIEK Tymoteusz"/>
    <x v="1"/>
    <s v="KS AZS AWF Kraków"/>
    <x v="4"/>
    <x v="3"/>
    <x v="0"/>
    <x v="0"/>
  </r>
  <r>
    <s v="ĆWIEK Tymoteusz"/>
    <x v="1"/>
    <s v="KS AZS AWF Kraków"/>
    <x v="4"/>
    <x v="3"/>
    <x v="1"/>
    <x v="0"/>
  </r>
  <r>
    <s v="ĆWIEK Tymoteusz"/>
    <x v="1"/>
    <s v="KS AZS AWF Kraków"/>
    <x v="4"/>
    <x v="3"/>
    <x v="2"/>
    <x v="0"/>
  </r>
  <r>
    <s v="ĆWIEK Tymoteusz"/>
    <x v="1"/>
    <s v="KS AZS AWF Kraków"/>
    <x v="4"/>
    <x v="4"/>
    <x v="0"/>
    <x v="0"/>
  </r>
  <r>
    <s v="ĆWIEK Tymoteusz"/>
    <x v="1"/>
    <s v="KS AZS AWF Kraków"/>
    <x v="4"/>
    <x v="4"/>
    <x v="1"/>
    <x v="0"/>
  </r>
  <r>
    <s v="ĆWIEK Tymoteusz"/>
    <x v="1"/>
    <s v="KS AZS AWF Kraków"/>
    <x v="4"/>
    <x v="4"/>
    <x v="2"/>
    <x v="0"/>
  </r>
  <r>
    <s v="ĆWIEK Tymoteusz"/>
    <x v="1"/>
    <s v="KS AZS AWF Kraków"/>
    <x v="4"/>
    <x v="5"/>
    <x v="0"/>
    <x v="0"/>
  </r>
  <r>
    <s v="ĆWIEK Tymoteusz"/>
    <x v="1"/>
    <s v="KS AZS AWF Kraków"/>
    <x v="4"/>
    <x v="5"/>
    <x v="1"/>
    <x v="0"/>
  </r>
  <r>
    <s v="ĆWIEK Tymoteusz"/>
    <x v="1"/>
    <s v="KS AZS AWF Kraków"/>
    <x v="4"/>
    <x v="5"/>
    <x v="2"/>
    <x v="0"/>
  </r>
  <r>
    <s v="AZUMI Vincent"/>
    <x v="1"/>
    <s v="MKS Gdańsk"/>
    <x v="4"/>
    <x v="0"/>
    <x v="0"/>
    <x v="0"/>
  </r>
  <r>
    <s v="AZUMI Vincent"/>
    <x v="1"/>
    <s v="MKS Gdańsk"/>
    <x v="4"/>
    <x v="0"/>
    <x v="1"/>
    <x v="0"/>
  </r>
  <r>
    <s v="AZUMI Vincent"/>
    <x v="1"/>
    <s v="MKS Gdańsk"/>
    <x v="4"/>
    <x v="0"/>
    <x v="2"/>
    <x v="0"/>
  </r>
  <r>
    <s v="AZUMI Vincent"/>
    <x v="1"/>
    <s v="MKS Gdańsk"/>
    <x v="4"/>
    <x v="1"/>
    <x v="0"/>
    <x v="407"/>
  </r>
  <r>
    <s v="AZUMI Vincent"/>
    <x v="1"/>
    <s v="MKS Gdańsk"/>
    <x v="4"/>
    <x v="1"/>
    <x v="1"/>
    <x v="427"/>
  </r>
  <r>
    <s v="AZUMI Vincent"/>
    <x v="1"/>
    <s v="MKS Gdańsk"/>
    <x v="4"/>
    <x v="1"/>
    <x v="2"/>
    <x v="428"/>
  </r>
  <r>
    <s v="AZUMI Vincent"/>
    <x v="1"/>
    <s v="MKS Gdańsk"/>
    <x v="4"/>
    <x v="2"/>
    <x v="0"/>
    <x v="429"/>
  </r>
  <r>
    <s v="AZUMI Vincent"/>
    <x v="1"/>
    <s v="MKS Gdańsk"/>
    <x v="4"/>
    <x v="2"/>
    <x v="1"/>
    <x v="430"/>
  </r>
  <r>
    <s v="AZUMI Vincent"/>
    <x v="1"/>
    <s v="MKS Gdańsk"/>
    <x v="4"/>
    <x v="2"/>
    <x v="2"/>
    <x v="431"/>
  </r>
  <r>
    <s v="AZUMI Vincent"/>
    <x v="1"/>
    <s v="MKS Gdańsk"/>
    <x v="4"/>
    <x v="3"/>
    <x v="0"/>
    <x v="0"/>
  </r>
  <r>
    <s v="AZUMI Vincent"/>
    <x v="1"/>
    <s v="MKS Gdańsk"/>
    <x v="4"/>
    <x v="3"/>
    <x v="1"/>
    <x v="0"/>
  </r>
  <r>
    <s v="AZUMI Vincent"/>
    <x v="1"/>
    <s v="MKS Gdańsk"/>
    <x v="4"/>
    <x v="3"/>
    <x v="2"/>
    <x v="0"/>
  </r>
  <r>
    <s v="AZUMI Vincent"/>
    <x v="1"/>
    <s v="MKS Gdańsk"/>
    <x v="4"/>
    <x v="4"/>
    <x v="0"/>
    <x v="0"/>
  </r>
  <r>
    <s v="AZUMI Vincent"/>
    <x v="1"/>
    <s v="MKS Gdańsk"/>
    <x v="4"/>
    <x v="4"/>
    <x v="1"/>
    <x v="0"/>
  </r>
  <r>
    <s v="AZUMI Vincent"/>
    <x v="1"/>
    <s v="MKS Gdańsk"/>
    <x v="4"/>
    <x v="4"/>
    <x v="2"/>
    <x v="0"/>
  </r>
  <r>
    <s v="AZUMI Vincent"/>
    <x v="1"/>
    <s v="MKS Gdańsk"/>
    <x v="4"/>
    <x v="5"/>
    <x v="0"/>
    <x v="0"/>
  </r>
  <r>
    <s v="AZUMI Vincent"/>
    <x v="1"/>
    <s v="MKS Gdańsk"/>
    <x v="4"/>
    <x v="5"/>
    <x v="1"/>
    <x v="0"/>
  </r>
  <r>
    <s v="AZUMI Vincent"/>
    <x v="1"/>
    <s v="MKS Gdańsk"/>
    <x v="4"/>
    <x v="5"/>
    <x v="2"/>
    <x v="0"/>
  </r>
  <r>
    <s v="MYSZI Dominik"/>
    <x v="1"/>
    <s v="KG Radlin"/>
    <x v="4"/>
    <x v="0"/>
    <x v="0"/>
    <x v="432"/>
  </r>
  <r>
    <s v="MYSZI Dominik"/>
    <x v="1"/>
    <s v="KG Radlin"/>
    <x v="4"/>
    <x v="0"/>
    <x v="1"/>
    <x v="433"/>
  </r>
  <r>
    <s v="MYSZI Dominik"/>
    <x v="1"/>
    <s v="KG Radlin"/>
    <x v="4"/>
    <x v="0"/>
    <x v="2"/>
    <x v="434"/>
  </r>
  <r>
    <s v="MYSZI Dominik"/>
    <x v="1"/>
    <s v="KG Radlin"/>
    <x v="4"/>
    <x v="1"/>
    <x v="0"/>
    <x v="0"/>
  </r>
  <r>
    <s v="MYSZI Dominik"/>
    <x v="1"/>
    <s v="KG Radlin"/>
    <x v="4"/>
    <x v="1"/>
    <x v="1"/>
    <x v="0"/>
  </r>
  <r>
    <s v="MYSZI Dominik"/>
    <x v="1"/>
    <s v="KG Radlin"/>
    <x v="4"/>
    <x v="1"/>
    <x v="2"/>
    <x v="0"/>
  </r>
  <r>
    <s v="MYSZI Dominik"/>
    <x v="1"/>
    <s v="KG Radlin"/>
    <x v="4"/>
    <x v="2"/>
    <x v="0"/>
    <x v="0"/>
  </r>
  <r>
    <s v="MYSZI Dominik"/>
    <x v="1"/>
    <s v="KG Radlin"/>
    <x v="4"/>
    <x v="2"/>
    <x v="1"/>
    <x v="0"/>
  </r>
  <r>
    <s v="MYSZI Dominik"/>
    <x v="1"/>
    <s v="KG Radlin"/>
    <x v="4"/>
    <x v="2"/>
    <x v="2"/>
    <x v="0"/>
  </r>
  <r>
    <s v="MYSZI Dominik"/>
    <x v="1"/>
    <s v="KG Radlin"/>
    <x v="4"/>
    <x v="3"/>
    <x v="0"/>
    <x v="0"/>
  </r>
  <r>
    <s v="MYSZI Dominik"/>
    <x v="1"/>
    <s v="KG Radlin"/>
    <x v="4"/>
    <x v="3"/>
    <x v="1"/>
    <x v="0"/>
  </r>
  <r>
    <s v="MYSZI Dominik"/>
    <x v="1"/>
    <s v="KG Radlin"/>
    <x v="4"/>
    <x v="3"/>
    <x v="2"/>
    <x v="0"/>
  </r>
  <r>
    <s v="MYSZI Dominik"/>
    <x v="1"/>
    <s v="KG Radlin"/>
    <x v="4"/>
    <x v="4"/>
    <x v="0"/>
    <x v="0"/>
  </r>
  <r>
    <s v="MYSZI Dominik"/>
    <x v="1"/>
    <s v="KG Radlin"/>
    <x v="4"/>
    <x v="4"/>
    <x v="1"/>
    <x v="0"/>
  </r>
  <r>
    <s v="MYSZI Dominik"/>
    <x v="1"/>
    <s v="KG Radlin"/>
    <x v="4"/>
    <x v="4"/>
    <x v="2"/>
    <x v="0"/>
  </r>
  <r>
    <s v="MYSZI Dominik"/>
    <x v="1"/>
    <s v="KG Radlin"/>
    <x v="4"/>
    <x v="5"/>
    <x v="0"/>
    <x v="0"/>
  </r>
  <r>
    <s v="MYSZI Dominik"/>
    <x v="1"/>
    <s v="KG Radlin"/>
    <x v="4"/>
    <x v="5"/>
    <x v="1"/>
    <x v="0"/>
  </r>
  <r>
    <s v="MYSZI Dominik"/>
    <x v="1"/>
    <s v="KG Radlin"/>
    <x v="4"/>
    <x v="5"/>
    <x v="2"/>
    <x v="0"/>
  </r>
  <r>
    <s v="ŁUCKI Miłosz"/>
    <x v="1"/>
    <s v="KG Radlin"/>
    <x v="4"/>
    <x v="0"/>
    <x v="0"/>
    <x v="0"/>
  </r>
  <r>
    <s v="ŁUCKI Miłosz"/>
    <x v="1"/>
    <s v="KG Radlin"/>
    <x v="4"/>
    <x v="0"/>
    <x v="1"/>
    <x v="0"/>
  </r>
  <r>
    <s v="ŁUCKI Miłosz"/>
    <x v="1"/>
    <s v="KG Radlin"/>
    <x v="4"/>
    <x v="0"/>
    <x v="2"/>
    <x v="0"/>
  </r>
  <r>
    <s v="ŁUCKI Miłosz"/>
    <x v="1"/>
    <s v="KG Radlin"/>
    <x v="4"/>
    <x v="1"/>
    <x v="0"/>
    <x v="0"/>
  </r>
  <r>
    <s v="ŁUCKI Miłosz"/>
    <x v="1"/>
    <s v="KG Radlin"/>
    <x v="4"/>
    <x v="1"/>
    <x v="1"/>
    <x v="0"/>
  </r>
  <r>
    <s v="ŁUCKI Miłosz"/>
    <x v="1"/>
    <s v="KG Radlin"/>
    <x v="4"/>
    <x v="1"/>
    <x v="2"/>
    <x v="0"/>
  </r>
  <r>
    <s v="ŁUCKI Miłosz"/>
    <x v="1"/>
    <s v="KG Radlin"/>
    <x v="4"/>
    <x v="2"/>
    <x v="0"/>
    <x v="435"/>
  </r>
  <r>
    <s v="ŁUCKI Miłosz"/>
    <x v="1"/>
    <s v="KG Radlin"/>
    <x v="4"/>
    <x v="2"/>
    <x v="1"/>
    <x v="436"/>
  </r>
  <r>
    <s v="ŁUCKI Miłosz"/>
    <x v="1"/>
    <s v="KG Radlin"/>
    <x v="4"/>
    <x v="2"/>
    <x v="2"/>
    <x v="437"/>
  </r>
  <r>
    <s v="ŁUCKI Miłosz"/>
    <x v="1"/>
    <s v="KG Radlin"/>
    <x v="4"/>
    <x v="3"/>
    <x v="0"/>
    <x v="0"/>
  </r>
  <r>
    <s v="ŁUCKI Miłosz"/>
    <x v="1"/>
    <s v="KG Radlin"/>
    <x v="4"/>
    <x v="3"/>
    <x v="1"/>
    <x v="0"/>
  </r>
  <r>
    <s v="ŁUCKI Miłosz"/>
    <x v="1"/>
    <s v="KG Radlin"/>
    <x v="4"/>
    <x v="3"/>
    <x v="2"/>
    <x v="0"/>
  </r>
  <r>
    <s v="ŁUCKI Miłosz"/>
    <x v="1"/>
    <s v="KG Radlin"/>
    <x v="4"/>
    <x v="4"/>
    <x v="0"/>
    <x v="0"/>
  </r>
  <r>
    <s v="ŁUCKI Miłosz"/>
    <x v="1"/>
    <s v="KG Radlin"/>
    <x v="4"/>
    <x v="4"/>
    <x v="1"/>
    <x v="0"/>
  </r>
  <r>
    <s v="ŁUCKI Miłosz"/>
    <x v="1"/>
    <s v="KG Radlin"/>
    <x v="4"/>
    <x v="4"/>
    <x v="2"/>
    <x v="0"/>
  </r>
  <r>
    <s v="ŁUCKI Miłosz"/>
    <x v="1"/>
    <s v="KG Radlin"/>
    <x v="4"/>
    <x v="5"/>
    <x v="0"/>
    <x v="0"/>
  </r>
  <r>
    <s v="ŁUCKI Miłosz"/>
    <x v="1"/>
    <s v="KG Radlin"/>
    <x v="4"/>
    <x v="5"/>
    <x v="1"/>
    <x v="0"/>
  </r>
  <r>
    <s v="ŁUCKI Miłosz"/>
    <x v="1"/>
    <s v="KG Radlin"/>
    <x v="4"/>
    <x v="5"/>
    <x v="2"/>
    <x v="0"/>
  </r>
  <r>
    <s v="SADZA Jakub"/>
    <x v="1"/>
    <s v="NTG Nysa"/>
    <x v="4"/>
    <x v="0"/>
    <x v="0"/>
    <x v="0"/>
  </r>
  <r>
    <s v="SADZA Jakub"/>
    <x v="1"/>
    <s v="NTG Nysa"/>
    <x v="4"/>
    <x v="0"/>
    <x v="1"/>
    <x v="0"/>
  </r>
  <r>
    <s v="SADZA Jakub"/>
    <x v="1"/>
    <s v="NTG Nysa"/>
    <x v="4"/>
    <x v="0"/>
    <x v="2"/>
    <x v="0"/>
  </r>
  <r>
    <s v="SADZA Jakub"/>
    <x v="1"/>
    <s v="NTG Nysa"/>
    <x v="4"/>
    <x v="1"/>
    <x v="0"/>
    <x v="0"/>
  </r>
  <r>
    <s v="SADZA Jakub"/>
    <x v="1"/>
    <s v="NTG Nysa"/>
    <x v="4"/>
    <x v="1"/>
    <x v="1"/>
    <x v="0"/>
  </r>
  <r>
    <s v="SADZA Jakub"/>
    <x v="1"/>
    <s v="NTG Nysa"/>
    <x v="4"/>
    <x v="1"/>
    <x v="2"/>
    <x v="0"/>
  </r>
  <r>
    <s v="SADZA Jakub"/>
    <x v="1"/>
    <s v="NTG Nysa"/>
    <x v="4"/>
    <x v="2"/>
    <x v="0"/>
    <x v="438"/>
  </r>
  <r>
    <s v="SADZA Jakub"/>
    <x v="1"/>
    <s v="NTG Nysa"/>
    <x v="4"/>
    <x v="2"/>
    <x v="1"/>
    <x v="439"/>
  </r>
  <r>
    <s v="SADZA Jakub"/>
    <x v="1"/>
    <s v="NTG Nysa"/>
    <x v="4"/>
    <x v="2"/>
    <x v="2"/>
    <x v="341"/>
  </r>
  <r>
    <s v="SADZA Jakub"/>
    <x v="1"/>
    <s v="NTG Nysa"/>
    <x v="4"/>
    <x v="3"/>
    <x v="0"/>
    <x v="0"/>
  </r>
  <r>
    <s v="SADZA Jakub"/>
    <x v="1"/>
    <s v="NTG Nysa"/>
    <x v="4"/>
    <x v="3"/>
    <x v="1"/>
    <x v="0"/>
  </r>
  <r>
    <s v="SADZA Jakub"/>
    <x v="1"/>
    <s v="NTG Nysa"/>
    <x v="4"/>
    <x v="3"/>
    <x v="2"/>
    <x v="0"/>
  </r>
  <r>
    <s v="SADZA Jakub"/>
    <x v="1"/>
    <s v="NTG Nysa"/>
    <x v="4"/>
    <x v="4"/>
    <x v="0"/>
    <x v="0"/>
  </r>
  <r>
    <s v="SADZA Jakub"/>
    <x v="1"/>
    <s v="NTG Nysa"/>
    <x v="4"/>
    <x v="4"/>
    <x v="1"/>
    <x v="0"/>
  </r>
  <r>
    <s v="SADZA Jakub"/>
    <x v="1"/>
    <s v="NTG Nysa"/>
    <x v="4"/>
    <x v="4"/>
    <x v="2"/>
    <x v="0"/>
  </r>
  <r>
    <s v="SADZA Jakub"/>
    <x v="1"/>
    <s v="NTG Nysa"/>
    <x v="4"/>
    <x v="5"/>
    <x v="0"/>
    <x v="0"/>
  </r>
  <r>
    <s v="SADZA Jakub"/>
    <x v="1"/>
    <s v="NTG Nysa"/>
    <x v="4"/>
    <x v="5"/>
    <x v="1"/>
    <x v="0"/>
  </r>
  <r>
    <s v="SADZA Jakub"/>
    <x v="1"/>
    <s v="NTG Nysa"/>
    <x v="4"/>
    <x v="5"/>
    <x v="2"/>
    <x v="0"/>
  </r>
  <r>
    <s v="RZEŹNICKI Gracjan"/>
    <x v="1"/>
    <s v="KS Iskra Zabrze"/>
    <x v="4"/>
    <x v="0"/>
    <x v="0"/>
    <x v="0"/>
  </r>
  <r>
    <s v="RZEŹNICKI Gracjan"/>
    <x v="1"/>
    <s v="KS Iskra Zabrze"/>
    <x v="4"/>
    <x v="0"/>
    <x v="1"/>
    <x v="0"/>
  </r>
  <r>
    <s v="RZEŹNICKI Gracjan"/>
    <x v="1"/>
    <s v="KS Iskra Zabrze"/>
    <x v="4"/>
    <x v="0"/>
    <x v="2"/>
    <x v="0"/>
  </r>
  <r>
    <s v="RZEŹNICKI Gracjan"/>
    <x v="1"/>
    <s v="KS Iskra Zabrze"/>
    <x v="4"/>
    <x v="1"/>
    <x v="0"/>
    <x v="440"/>
  </r>
  <r>
    <s v="RZEŹNICKI Gracjan"/>
    <x v="1"/>
    <s v="KS Iskra Zabrze"/>
    <x v="4"/>
    <x v="1"/>
    <x v="1"/>
    <x v="441"/>
  </r>
  <r>
    <s v="RZEŹNICKI Gracjan"/>
    <x v="1"/>
    <s v="KS Iskra Zabrze"/>
    <x v="4"/>
    <x v="1"/>
    <x v="2"/>
    <x v="363"/>
  </r>
  <r>
    <s v="RZEŹNICKI Gracjan"/>
    <x v="1"/>
    <s v="KS Iskra Zabrze"/>
    <x v="4"/>
    <x v="2"/>
    <x v="0"/>
    <x v="0"/>
  </r>
  <r>
    <s v="RZEŹNICKI Gracjan"/>
    <x v="1"/>
    <s v="KS Iskra Zabrze"/>
    <x v="4"/>
    <x v="2"/>
    <x v="1"/>
    <x v="0"/>
  </r>
  <r>
    <s v="RZEŹNICKI Gracjan"/>
    <x v="1"/>
    <s v="KS Iskra Zabrze"/>
    <x v="4"/>
    <x v="2"/>
    <x v="2"/>
    <x v="0"/>
  </r>
  <r>
    <s v="RZEŹNICKI Gracjan"/>
    <x v="1"/>
    <s v="KS Iskra Zabrze"/>
    <x v="4"/>
    <x v="3"/>
    <x v="0"/>
    <x v="0"/>
  </r>
  <r>
    <s v="RZEŹNICKI Gracjan"/>
    <x v="1"/>
    <s v="KS Iskra Zabrze"/>
    <x v="4"/>
    <x v="3"/>
    <x v="1"/>
    <x v="0"/>
  </r>
  <r>
    <s v="RZEŹNICKI Gracjan"/>
    <x v="1"/>
    <s v="KS Iskra Zabrze"/>
    <x v="4"/>
    <x v="3"/>
    <x v="2"/>
    <x v="0"/>
  </r>
  <r>
    <s v="RZEŹNICKI Gracjan"/>
    <x v="1"/>
    <s v="KS Iskra Zabrze"/>
    <x v="4"/>
    <x v="4"/>
    <x v="0"/>
    <x v="0"/>
  </r>
  <r>
    <s v="RZEŹNICKI Gracjan"/>
    <x v="1"/>
    <s v="KS Iskra Zabrze"/>
    <x v="4"/>
    <x v="4"/>
    <x v="1"/>
    <x v="0"/>
  </r>
  <r>
    <s v="RZEŹNICKI Gracjan"/>
    <x v="1"/>
    <s v="KS Iskra Zabrze"/>
    <x v="4"/>
    <x v="4"/>
    <x v="2"/>
    <x v="0"/>
  </r>
  <r>
    <s v="RZEŹNICKI Gracjan"/>
    <x v="1"/>
    <s v="KS Iskra Zabrze"/>
    <x v="4"/>
    <x v="5"/>
    <x v="0"/>
    <x v="0"/>
  </r>
  <r>
    <s v="RZEŹNICKI Gracjan"/>
    <x v="1"/>
    <s v="KS Iskra Zabrze"/>
    <x v="4"/>
    <x v="5"/>
    <x v="1"/>
    <x v="0"/>
  </r>
  <r>
    <s v="RZEŹNICKI Gracjan"/>
    <x v="1"/>
    <s v="KS Iskra Zabrze"/>
    <x v="4"/>
    <x v="5"/>
    <x v="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518A03-B57B-4AA9-BC9A-2925CC15224C}" name="Tabela przestawna2" cacheId="106" applyNumberFormats="0" applyBorderFormats="0" applyFontFormats="0" applyPatternFormats="0" applyAlignmentFormats="0" applyWidthHeightFormats="1" dataCaption="Wartości" updatedVersion="8" minRefreshableVersion="3" useAutoFormatting="1" colGrandTotals="0" itemPrintTitles="1" createdVersion="8" indent="0" compact="0" compactData="0" multipleFieldFilters="0" chartFormat="6" rowHeaderCaption="Score Type" colHeaderCaption="Category">
  <location ref="AF19:AI36" firstHeaderRow="1" firstDataRow="3" firstDataCol="2"/>
  <pivotFields count="10">
    <pivotField axis="axisRow" compact="0" outline="0" showAll="0" measureFilter="1" sortType="ascending" defaultSubtotal="0">
      <items count="32">
        <item x="4"/>
        <item x="3"/>
        <item x="6"/>
        <item x="21"/>
        <item x="25"/>
        <item x="9"/>
        <item x="8"/>
        <item x="26"/>
        <item x="1"/>
        <item x="27"/>
        <item x="28"/>
        <item x="20"/>
        <item x="19"/>
        <item x="31"/>
        <item x="12"/>
        <item x="17"/>
        <item x="13"/>
        <item x="18"/>
        <item x="15"/>
        <item x="10"/>
        <item x="5"/>
        <item x="24"/>
        <item x="16"/>
        <item x="23"/>
        <item x="30"/>
        <item x="2"/>
        <item x="29"/>
        <item x="0"/>
        <item x="7"/>
        <item x="22"/>
        <item x="14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compact="0" outline="0" showAll="0" sortType="descending" defaultSubtotal="0">
      <items count="2">
        <item h="1"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>
      <items count="2">
        <item x="1"/>
        <item x="0"/>
      </items>
    </pivotField>
    <pivotField compact="0" outline="0" showAll="0" defaultSubtotal="0"/>
    <pivotField axis="axisRow" compact="0" outline="0" showAll="0" sortType="ascending" defaultSubtotal="0">
      <items count="7">
        <item h="1" x="6"/>
        <item h="1" x="0"/>
        <item x="5"/>
        <item h="1" x="4"/>
        <item h="1" x="1"/>
        <item h="1" x="2"/>
        <item h="1" x="3"/>
      </items>
    </pivotField>
    <pivotField axis="axisCol" compact="0" outline="0" showAll="0" defaultSubtotal="0">
      <items count="6">
        <item x="3"/>
        <item x="4"/>
        <item x="5"/>
        <item x="0"/>
        <item x="1"/>
        <item h="1" x="2"/>
      </items>
    </pivotField>
    <pivotField dataField="1" compact="0" outline="0" showAll="0" defaultSubtotal="0">
      <items count="231">
        <item x="115"/>
        <item x="221"/>
        <item x="218"/>
        <item x="222"/>
        <item x="97"/>
        <item x="208"/>
        <item x="210"/>
        <item x="212"/>
        <item x="159"/>
        <item x="211"/>
        <item x="205"/>
        <item x="191"/>
        <item x="136"/>
        <item x="133"/>
        <item x="146"/>
        <item x="135"/>
        <item x="96"/>
        <item x="120"/>
        <item x="112"/>
        <item x="40"/>
        <item x="110"/>
        <item x="219"/>
        <item x="98"/>
        <item x="60"/>
        <item x="80"/>
        <item x="42"/>
        <item x="117"/>
        <item x="45"/>
        <item x="224"/>
        <item x="79"/>
        <item x="47"/>
        <item x="57"/>
        <item x="22"/>
        <item x="54"/>
        <item x="25"/>
        <item x="30"/>
        <item x="128"/>
        <item x="12"/>
        <item x="94"/>
        <item x="3"/>
        <item x="36"/>
        <item x="6"/>
        <item x="74"/>
        <item x="220"/>
        <item x="9"/>
        <item x="204"/>
        <item x="213"/>
        <item x="209"/>
        <item x="225"/>
        <item x="113"/>
        <item x="196"/>
        <item x="0"/>
        <item x="195"/>
        <item x="86"/>
        <item x="65"/>
        <item x="55"/>
        <item x="214"/>
        <item x="227"/>
        <item x="178"/>
        <item x="109"/>
        <item x="104"/>
        <item x="131"/>
        <item x="179"/>
        <item x="99"/>
        <item x="4"/>
        <item x="183"/>
        <item x="7"/>
        <item x="67"/>
        <item x="84"/>
        <item x="95"/>
        <item x="137"/>
        <item x="87"/>
        <item x="28"/>
        <item x="61"/>
        <item x="118"/>
        <item x="77"/>
        <item x="102"/>
        <item x="1"/>
        <item x="90"/>
        <item x="38"/>
        <item x="129"/>
        <item x="15"/>
        <item x="186"/>
        <item x="75"/>
        <item x="69"/>
        <item x="23"/>
        <item x="114"/>
        <item x="168"/>
        <item x="31"/>
        <item x="58"/>
        <item x="153"/>
        <item x="148"/>
        <item x="13"/>
        <item x="126"/>
        <item x="10"/>
        <item x="229"/>
        <item x="121"/>
        <item x="144"/>
        <item x="141"/>
        <item x="26"/>
        <item x="185"/>
        <item x="111"/>
        <item x="124"/>
        <item x="76"/>
        <item x="147"/>
        <item x="184"/>
        <item x="43"/>
        <item x="132"/>
        <item x="170"/>
        <item x="206"/>
        <item x="100"/>
        <item x="138"/>
        <item x="122"/>
        <item x="228"/>
        <item x="70"/>
        <item x="56"/>
        <item x="78"/>
        <item x="66"/>
        <item x="200"/>
        <item x="62"/>
        <item x="103"/>
        <item x="41"/>
        <item x="152"/>
        <item x="160"/>
        <item x="119"/>
        <item x="108"/>
        <item x="101"/>
        <item x="187"/>
        <item x="88"/>
        <item x="53"/>
        <item x="155"/>
        <item x="171"/>
        <item x="46"/>
        <item x="29"/>
        <item x="68"/>
        <item x="164"/>
        <item x="5"/>
        <item x="91"/>
        <item x="48"/>
        <item x="215"/>
        <item x="145"/>
        <item x="39"/>
        <item x="154"/>
        <item x="8"/>
        <item x="85"/>
        <item x="202"/>
        <item x="24"/>
        <item x="59"/>
        <item x="21"/>
        <item x="169"/>
        <item x="89"/>
        <item x="16"/>
        <item x="32"/>
        <item x="52"/>
        <item x="140"/>
        <item x="44"/>
        <item x="143"/>
        <item x="14"/>
        <item x="142"/>
        <item x="27"/>
        <item x="20"/>
        <item x="37"/>
        <item x="125"/>
        <item x="11"/>
        <item x="2"/>
        <item x="197"/>
        <item x="192"/>
        <item x="188"/>
        <item x="175"/>
        <item x="180"/>
        <item x="105"/>
        <item x="172"/>
        <item x="149"/>
        <item x="161"/>
        <item x="156"/>
        <item x="165"/>
        <item x="81"/>
        <item x="49"/>
        <item x="63"/>
        <item x="71"/>
        <item x="33"/>
        <item x="223"/>
        <item x="139"/>
        <item x="216"/>
        <item x="17"/>
        <item x="230"/>
        <item x="134"/>
        <item x="226"/>
        <item x="130"/>
        <item x="127"/>
        <item x="106"/>
        <item x="217"/>
        <item x="207"/>
        <item x="123"/>
        <item x="193"/>
        <item x="198"/>
        <item x="72"/>
        <item x="203"/>
        <item x="92"/>
        <item x="82"/>
        <item x="166"/>
        <item x="18"/>
        <item x="181"/>
        <item x="162"/>
        <item x="157"/>
        <item x="173"/>
        <item x="189"/>
        <item x="176"/>
        <item x="34"/>
        <item x="50"/>
        <item x="201"/>
        <item x="150"/>
        <item x="116"/>
        <item x="107"/>
        <item x="199"/>
        <item x="194"/>
        <item x="190"/>
        <item x="182"/>
        <item x="177"/>
        <item x="93"/>
        <item x="83"/>
        <item x="174"/>
        <item x="73"/>
        <item x="167"/>
        <item x="163"/>
        <item x="64"/>
        <item x="158"/>
        <item x="51"/>
        <item x="151"/>
        <item x="35"/>
        <item x="19"/>
      </items>
    </pivotField>
    <pivotField compact="0" outline="0" dragToRow="0" dragToCol="0" dragToPage="0" showAll="0" defaultSubtotal="0"/>
  </pivotFields>
  <rowFields count="2">
    <field x="6"/>
    <field x="0"/>
  </rowFields>
  <rowItems count="15">
    <i>
      <x v="2"/>
      <x v="26"/>
    </i>
    <i r="1">
      <x v="24"/>
    </i>
    <i r="1">
      <x v="10"/>
    </i>
    <i r="1">
      <x v="9"/>
    </i>
    <i r="1">
      <x v="23"/>
    </i>
    <i r="1">
      <x v="21"/>
    </i>
    <i r="1">
      <x v="11"/>
    </i>
    <i r="1">
      <x v="3"/>
    </i>
    <i r="1">
      <x v="17"/>
    </i>
    <i r="1">
      <x v="12"/>
    </i>
    <i r="1">
      <x v="15"/>
    </i>
    <i r="1">
      <x v="22"/>
    </i>
    <i r="1">
      <x v="29"/>
    </i>
    <i r="1">
      <x v="18"/>
    </i>
    <i t="grand">
      <x/>
    </i>
  </rowItems>
  <colFields count="2">
    <field x="7"/>
    <field x="1"/>
  </colFields>
  <colItems count="2">
    <i>
      <x v="3"/>
      <x v="1"/>
    </i>
    <i>
      <x v="4"/>
      <x v="1"/>
    </i>
  </colItems>
  <dataFields count="1">
    <dataField name="Średnia z Value" fld="8" subtotal="average" baseField="6" baseItem="0" numFmtId="165"/>
  </dataFields>
  <formats count="17">
    <format dxfId="437">
      <pivotArea type="all" dataOnly="0" outline="0" fieldPosition="0"/>
    </format>
    <format dxfId="438">
      <pivotArea outline="0" collapsedLevelsAreSubtotals="1" fieldPosition="0"/>
    </format>
    <format dxfId="439">
      <pivotArea type="origin" dataOnly="0" labelOnly="1" outline="0" fieldPosition="0"/>
    </format>
    <format dxfId="440">
      <pivotArea field="1" type="button" dataOnly="0" labelOnly="1" outline="0" axis="axisCol" fieldPosition="1"/>
    </format>
    <format dxfId="441">
      <pivotArea field="6" type="button" dataOnly="0" labelOnly="1" outline="0" axis="axisRow" fieldPosition="0"/>
    </format>
    <format dxfId="442">
      <pivotArea dataOnly="0" labelOnly="1" fieldPosition="0">
        <references count="1">
          <reference field="6" count="0"/>
        </references>
      </pivotArea>
    </format>
    <format dxfId="443">
      <pivotArea dataOnly="0" labelOnly="1" fieldPosition="0">
        <references count="2">
          <reference field="6" count="0" selected="0"/>
          <reference field="7" count="0"/>
        </references>
      </pivotArea>
    </format>
    <format dxfId="444">
      <pivotArea dataOnly="0" labelOnly="1" fieldPosition="0">
        <references count="3">
          <reference field="0" count="15">
            <x v="0"/>
            <x v="1"/>
            <x v="2"/>
            <x v="5"/>
            <x v="6"/>
            <x v="8"/>
            <x v="14"/>
            <x v="16"/>
            <x v="19"/>
            <x v="20"/>
            <x v="25"/>
            <x v="27"/>
            <x v="28"/>
            <x v="30"/>
            <x v="31"/>
          </reference>
          <reference field="6" count="0" selected="0"/>
          <reference field="7" count="0" selected="0"/>
        </references>
      </pivotArea>
    </format>
    <format dxfId="445">
      <pivotArea dataOnly="0" labelOnly="1" fieldPosition="0">
        <references count="1">
          <reference field="1" count="0"/>
        </references>
      </pivotArea>
    </format>
    <format dxfId="446">
      <pivotArea collapsedLevelsAreSubtotals="1" fieldPosition="0">
        <references count="1">
          <reference field="6" count="0"/>
        </references>
      </pivotArea>
    </format>
    <format dxfId="447">
      <pivotArea collapsedLevelsAreSubtotals="1" fieldPosition="0">
        <references count="3">
          <reference field="1" count="0" selected="0"/>
          <reference field="6" count="0"/>
          <reference field="7" count="0" selected="0"/>
        </references>
      </pivotArea>
    </format>
    <format dxfId="448">
      <pivotArea collapsedLevelsAreSubtotals="1" fieldPosition="0">
        <references count="2">
          <reference field="6" count="0"/>
          <reference field="7" count="0" selected="0" defaultSubtotal="1"/>
        </references>
      </pivotArea>
    </format>
    <format dxfId="449">
      <pivotArea outline="0" collapsedLevelsAreSubtotals="1" fieldPosition="0"/>
    </format>
    <format dxfId="450">
      <pivotArea outline="0" collapsedLevelsAreSubtotals="1" fieldPosition="0">
        <references count="1">
          <reference field="7" count="1" selected="0" defaultSubtotal="1">
            <x v="3"/>
          </reference>
        </references>
      </pivotArea>
    </format>
    <format dxfId="451">
      <pivotArea outline="0" collapsedLevelsAreSubtotals="1" fieldPosition="0">
        <references count="2">
          <reference field="1" count="0" selected="0"/>
          <reference field="7" count="1" selected="0">
            <x v="3"/>
          </reference>
        </references>
      </pivotArea>
    </format>
    <format dxfId="452">
      <pivotArea collapsedLevelsAreSubtotals="1" fieldPosition="0">
        <references count="3">
          <reference field="0" count="12">
            <x v="3"/>
            <x v="10"/>
            <x v="11"/>
            <x v="12"/>
            <x v="15"/>
            <x v="17"/>
            <x v="18"/>
            <x v="21"/>
            <x v="22"/>
            <x v="23"/>
            <x v="26"/>
            <x v="29"/>
          </reference>
          <reference field="6" count="0" selected="0"/>
          <reference field="7" count="1" selected="0" defaultSubtotal="1">
            <x v="0"/>
          </reference>
        </references>
      </pivotArea>
    </format>
    <format dxfId="453">
      <pivotArea outline="0" collapsedLevelsAreSubtotals="1" fieldPosition="0">
        <references count="1">
          <reference field="7" count="1" selected="0" defaultSubtotal="1">
            <x v="0"/>
          </reference>
        </references>
      </pivotArea>
    </format>
  </formats>
  <chartFormats count="12"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7" count="1" selected="0">
            <x v="3"/>
          </reference>
        </references>
      </pivotArea>
    </chartFormat>
    <chartFormat chart="5" format="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7" count="1" selected="0">
            <x v="4"/>
          </reference>
        </references>
      </pivotArea>
    </chartFormat>
    <chartFormat chart="5" format="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7" count="1" selected="0">
            <x v="5"/>
          </reference>
        </references>
      </pivotArea>
    </chartFormat>
    <chartFormat chart="5" format="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7" count="1" selected="0">
            <x v="4"/>
          </reference>
        </references>
      </pivotArea>
    </chartFormat>
    <chartFormat chart="5" format="7">
      <pivotArea type="data" outline="0" fieldPosition="0">
        <references count="5">
          <reference field="4294967294" count="1" selected="0">
            <x v="0"/>
          </reference>
          <reference field="0" count="1" selected="0">
            <x v="11"/>
          </reference>
          <reference field="1" count="1" selected="0">
            <x v="1"/>
          </reference>
          <reference field="6" count="1" selected="0">
            <x v="5"/>
          </reference>
          <reference field="7" count="1" selected="0">
            <x v="5"/>
          </reference>
        </references>
      </pivotArea>
    </chartFormat>
    <chartFormat chart="5" format="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7" count="1" selected="0">
            <x v="2"/>
          </reference>
        </references>
      </pivotArea>
    </chartFormat>
    <chartFormat chart="5" format="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7" count="1" selected="0">
            <x v="0"/>
          </reference>
        </references>
      </pivotArea>
    </chartFormat>
    <chartFormat chart="5" format="1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7" count="1" selected="0">
            <x v="1"/>
          </reference>
        </references>
      </pivotArea>
    </chartFormat>
    <chartFormat chart="5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</chartFormats>
  <pivotTableStyleInfo name="PivotStyleLight8" showRowHeaders="1" showColHeaders="1" showRowStripes="0" showColStripes="0" showLastColumn="1"/>
  <filters count="1">
    <filter fld="0" type="valueGreaterThan" evalOrder="-1" id="8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AC8A20-7C04-4D04-B35F-1AD266098DDB}" name="Tabela przestawna4" cacheId="109" applyNumberFormats="0" applyBorderFormats="0" applyFontFormats="0" applyPatternFormats="0" applyAlignmentFormats="0" applyWidthHeightFormats="1" dataCaption="Wartości" updatedVersion="8" minRefreshableVersion="3" useAutoFormatting="1" colGrandTotals="0" itemPrintTitles="1" createdVersion="8" indent="0" compact="0" compactData="0" multipleFieldFilters="0" chartFormat="1">
  <location ref="AF19:AJ46" firstHeaderRow="1" firstDataRow="3" firstDataCol="2"/>
  <pivotFields count="9">
    <pivotField axis="axisRow" compact="0" outline="0" showAll="0" measureFilter="1" sortType="ascending" defaultSubtotal="0">
      <items count="37">
        <item x="34"/>
        <item x="20"/>
        <item x="7"/>
        <item x="8"/>
        <item x="10"/>
        <item x="25"/>
        <item x="15"/>
        <item x="0"/>
        <item x="17"/>
        <item x="16"/>
        <item x="11"/>
        <item x="30"/>
        <item x="23"/>
        <item x="31"/>
        <item x="29"/>
        <item x="28"/>
        <item x="4"/>
        <item x="35"/>
        <item x="3"/>
        <item x="27"/>
        <item x="12"/>
        <item x="21"/>
        <item x="26"/>
        <item x="6"/>
        <item x="24"/>
        <item x="5"/>
        <item x="33"/>
        <item x="13"/>
        <item x="19"/>
        <item x="36"/>
        <item x="1"/>
        <item x="18"/>
        <item x="22"/>
        <item x="14"/>
        <item x="9"/>
        <item x="2"/>
        <item x="3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compact="0" outline="0" showAll="0" defaultSubtotal="0">
      <items count="2">
        <item h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2">
        <item x="1"/>
        <item x="0"/>
      </items>
    </pivotField>
    <pivotField axis="axisRow" compact="0" outline="0" showAll="0" defaultSubtotal="0">
      <items count="7">
        <item x="6"/>
        <item h="1" x="0"/>
        <item h="1" x="5"/>
        <item h="1" x="4"/>
        <item h="1" x="1"/>
        <item h="1" x="2"/>
        <item h="1" x="3"/>
      </items>
    </pivotField>
    <pivotField axis="axisCol" compact="0" outline="0" showAll="0" defaultSubtotal="0">
      <items count="6">
        <item x="3"/>
        <item x="4"/>
        <item x="5"/>
        <item x="0"/>
        <item x="1"/>
        <item x="2"/>
      </items>
    </pivotField>
    <pivotField dataField="1" compact="0" outline="0" showAll="0" defaultSubtotal="0">
      <items count="231">
        <item x="140"/>
        <item x="216"/>
        <item x="176"/>
        <item x="206"/>
        <item x="224"/>
        <item x="221"/>
        <item x="168"/>
        <item x="146"/>
        <item x="59"/>
        <item x="165"/>
        <item x="83"/>
        <item x="109"/>
        <item x="86"/>
        <item x="134"/>
        <item x="164"/>
        <item x="39"/>
        <item x="156"/>
        <item x="96"/>
        <item x="66"/>
        <item x="113"/>
        <item x="57"/>
        <item x="45"/>
        <item x="73"/>
        <item x="36"/>
        <item x="24"/>
        <item x="41"/>
        <item x="6"/>
        <item x="29"/>
        <item x="71"/>
        <item x="9"/>
        <item x="160"/>
        <item x="14"/>
        <item x="222"/>
        <item x="79"/>
        <item x="132"/>
        <item x="3"/>
        <item x="12"/>
        <item x="26"/>
        <item x="0"/>
        <item x="123"/>
        <item x="139"/>
        <item x="214"/>
        <item x="19"/>
        <item x="105"/>
        <item x="130"/>
        <item x="22"/>
        <item x="223"/>
        <item x="20"/>
        <item x="115"/>
        <item x="32"/>
        <item x="147"/>
        <item x="142"/>
        <item x="46"/>
        <item x="144"/>
        <item x="92"/>
        <item x="4"/>
        <item x="13"/>
        <item x="81"/>
        <item x="87"/>
        <item x="68"/>
        <item x="54"/>
        <item x="52"/>
        <item x="94"/>
        <item x="60"/>
        <item x="85"/>
        <item x="74"/>
        <item x="135"/>
        <item x="99"/>
        <item x="25"/>
        <item x="1"/>
        <item x="30"/>
        <item x="70"/>
        <item x="199"/>
        <item x="7"/>
        <item x="37"/>
        <item x="215"/>
        <item x="188"/>
        <item x="152"/>
        <item x="117"/>
        <item x="58"/>
        <item x="108"/>
        <item x="172"/>
        <item x="157"/>
        <item x="124"/>
        <item x="182"/>
        <item x="148"/>
        <item x="174"/>
        <item x="10"/>
        <item x="107"/>
        <item x="133"/>
        <item x="67"/>
        <item x="43"/>
        <item x="155"/>
        <item x="97"/>
        <item x="217"/>
        <item x="27"/>
        <item x="143"/>
        <item x="190"/>
        <item x="230"/>
        <item x="106"/>
        <item x="61"/>
        <item x="110"/>
        <item x="211"/>
        <item x="145"/>
        <item x="88"/>
        <item x="100"/>
        <item x="131"/>
        <item x="119"/>
        <item x="167"/>
        <item x="82"/>
        <item x="162"/>
        <item x="84"/>
        <item x="47"/>
        <item x="116"/>
        <item x="184"/>
        <item x="23"/>
        <item x="93"/>
        <item x="195"/>
        <item x="33"/>
        <item x="178"/>
        <item x="125"/>
        <item x="191"/>
        <item x="40"/>
        <item x="210"/>
        <item x="55"/>
        <item x="53"/>
        <item x="95"/>
        <item x="75"/>
        <item x="69"/>
        <item x="104"/>
        <item x="65"/>
        <item x="150"/>
        <item x="138"/>
        <item x="158"/>
        <item x="15"/>
        <item x="114"/>
        <item x="38"/>
        <item x="118"/>
        <item x="5"/>
        <item x="44"/>
        <item x="31"/>
        <item x="8"/>
        <item x="72"/>
        <item x="51"/>
        <item x="21"/>
        <item x="218"/>
        <item x="98"/>
        <item x="161"/>
        <item x="189"/>
        <item x="170"/>
        <item x="153"/>
        <item x="183"/>
        <item x="42"/>
        <item x="126"/>
        <item x="80"/>
        <item x="2"/>
        <item x="11"/>
        <item x="56"/>
        <item x="28"/>
        <item x="225"/>
        <item x="177"/>
        <item x="207"/>
        <item x="203"/>
        <item x="179"/>
        <item x="229"/>
        <item x="200"/>
        <item x="101"/>
        <item x="192"/>
        <item x="120"/>
        <item x="89"/>
        <item x="196"/>
        <item x="111"/>
        <item x="185"/>
        <item x="48"/>
        <item x="62"/>
        <item x="127"/>
        <item x="175"/>
        <item x="173"/>
        <item x="171"/>
        <item x="76"/>
        <item x="16"/>
        <item x="169"/>
        <item x="166"/>
        <item x="228"/>
        <item x="163"/>
        <item x="159"/>
        <item x="154"/>
        <item x="151"/>
        <item x="149"/>
        <item x="141"/>
        <item x="226"/>
        <item x="136"/>
        <item x="77"/>
        <item x="34"/>
        <item x="219"/>
        <item x="128"/>
        <item x="197"/>
        <item x="204"/>
        <item x="17"/>
        <item x="121"/>
        <item x="201"/>
        <item x="90"/>
        <item x="102"/>
        <item x="193"/>
        <item x="212"/>
        <item x="186"/>
        <item x="63"/>
        <item x="49"/>
        <item x="208"/>
        <item x="180"/>
        <item x="227"/>
        <item x="220"/>
        <item x="137"/>
        <item x="213"/>
        <item x="209"/>
        <item x="205"/>
        <item x="202"/>
        <item x="198"/>
        <item x="129"/>
        <item x="122"/>
        <item x="112"/>
        <item x="103"/>
        <item x="194"/>
        <item x="91"/>
        <item x="78"/>
        <item x="187"/>
        <item x="64"/>
        <item x="50"/>
        <item x="181"/>
        <item x="35"/>
        <item x="18"/>
      </items>
    </pivotField>
  </pivotFields>
  <rowFields count="2">
    <field x="6"/>
    <field x="0"/>
  </rowFields>
  <rowItems count="25">
    <i>
      <x/>
      <x v="12"/>
    </i>
    <i r="1">
      <x v="32"/>
    </i>
    <i r="1">
      <x v="21"/>
    </i>
    <i r="1">
      <x v="1"/>
    </i>
    <i r="1">
      <x v="28"/>
    </i>
    <i r="1">
      <x v="31"/>
    </i>
    <i r="1">
      <x v="8"/>
    </i>
    <i r="1">
      <x v="9"/>
    </i>
    <i r="1">
      <x v="6"/>
    </i>
    <i r="1">
      <x v="33"/>
    </i>
    <i r="1">
      <x v="27"/>
    </i>
    <i r="1">
      <x v="20"/>
    </i>
    <i r="1">
      <x v="10"/>
    </i>
    <i r="1">
      <x v="4"/>
    </i>
    <i r="1">
      <x v="34"/>
    </i>
    <i r="1">
      <x v="3"/>
    </i>
    <i r="1">
      <x v="2"/>
    </i>
    <i r="1">
      <x v="23"/>
    </i>
    <i r="1">
      <x v="25"/>
    </i>
    <i r="1">
      <x v="16"/>
    </i>
    <i r="1">
      <x v="18"/>
    </i>
    <i r="1">
      <x v="35"/>
    </i>
    <i r="1">
      <x v="30"/>
    </i>
    <i r="1">
      <x v="7"/>
    </i>
    <i t="grand">
      <x/>
    </i>
  </rowItems>
  <colFields count="2">
    <field x="7"/>
    <field x="1"/>
  </colFields>
  <colItems count="3">
    <i>
      <x/>
      <x v="1"/>
    </i>
    <i>
      <x v="1"/>
      <x v="1"/>
    </i>
    <i>
      <x v="2"/>
      <x v="1"/>
    </i>
  </colItems>
  <dataFields count="1">
    <dataField name="Średnia z Value" fld="8" subtotal="average" baseField="8" baseItem="13"/>
  </dataFields>
  <formats count="16">
    <format dxfId="741">
      <pivotArea type="all" dataOnly="0" outline="0" fieldPosition="0"/>
    </format>
    <format dxfId="460">
      <pivotArea collapsedLevelsAreSubtotals="1" fieldPosition="0">
        <references count="4">
          <reference field="0" count="18">
            <x v="1"/>
            <x v="2"/>
            <x v="3"/>
            <x v="4"/>
            <x v="7"/>
            <x v="10"/>
            <x v="16"/>
            <x v="18"/>
            <x v="21"/>
            <x v="23"/>
            <x v="25"/>
            <x v="27"/>
            <x v="30"/>
            <x v="31"/>
            <x v="32"/>
            <x v="33"/>
            <x v="34"/>
            <x v="35"/>
          </reference>
          <reference field="1" count="0" selected="0"/>
          <reference field="6" count="0" selected="0"/>
          <reference field="7" count="1" selected="0">
            <x v="3"/>
          </reference>
        </references>
      </pivotArea>
    </format>
    <format dxfId="459">
      <pivotArea collapsedLevelsAreSubtotals="1" fieldPosition="0">
        <references count="3">
          <reference field="0" count="18">
            <x v="1"/>
            <x v="2"/>
            <x v="3"/>
            <x v="4"/>
            <x v="7"/>
            <x v="10"/>
            <x v="16"/>
            <x v="18"/>
            <x v="21"/>
            <x v="23"/>
            <x v="25"/>
            <x v="27"/>
            <x v="30"/>
            <x v="31"/>
            <x v="32"/>
            <x v="33"/>
            <x v="34"/>
            <x v="35"/>
          </reference>
          <reference field="6" count="0" selected="0"/>
          <reference field="7" count="2" selected="0">
            <x v="4"/>
            <x v="5"/>
          </reference>
        </references>
      </pivotArea>
    </format>
    <format dxfId="458">
      <pivotArea collapsedLevelsAreSubtotals="1" fieldPosition="0">
        <references count="3">
          <reference field="0" count="17">
            <x v="2"/>
            <x v="3"/>
            <x v="4"/>
            <x v="6"/>
            <x v="7"/>
            <x v="8"/>
            <x v="9"/>
            <x v="10"/>
            <x v="16"/>
            <x v="18"/>
            <x v="20"/>
            <x v="23"/>
            <x v="25"/>
            <x v="30"/>
            <x v="31"/>
            <x v="34"/>
            <x v="35"/>
          </reference>
          <reference field="6" count="0" selected="0"/>
          <reference field="7" count="2" selected="0">
            <x v="4"/>
            <x v="5"/>
          </reference>
        </references>
      </pivotArea>
    </format>
    <format dxfId="457">
      <pivotArea collapsedLevelsAreSubtotals="1" fieldPosition="0">
        <references count="4">
          <reference field="0" count="17">
            <x v="2"/>
            <x v="3"/>
            <x v="4"/>
            <x v="6"/>
            <x v="7"/>
            <x v="8"/>
            <x v="9"/>
            <x v="10"/>
            <x v="16"/>
            <x v="18"/>
            <x v="20"/>
            <x v="23"/>
            <x v="25"/>
            <x v="30"/>
            <x v="31"/>
            <x v="34"/>
            <x v="35"/>
          </reference>
          <reference field="1" count="0" selected="0"/>
          <reference field="6" count="0" selected="0"/>
          <reference field="7" count="1" selected="0">
            <x v="3"/>
          </reference>
        </references>
      </pivotArea>
    </format>
    <format dxfId="456">
      <pivotArea collapsedLevelsAreSubtotals="1" fieldPosition="0">
        <references count="3">
          <reference field="0" count="18">
            <x v="2"/>
            <x v="3"/>
            <x v="4"/>
            <x v="7"/>
            <x v="8"/>
            <x v="9"/>
            <x v="10"/>
            <x v="12"/>
            <x v="16"/>
            <x v="18"/>
            <x v="20"/>
            <x v="23"/>
            <x v="25"/>
            <x v="27"/>
            <x v="30"/>
            <x v="33"/>
            <x v="34"/>
            <x v="35"/>
          </reference>
          <reference field="6" count="0" selected="0"/>
          <reference field="7" count="2" selected="0">
            <x v="4"/>
            <x v="5"/>
          </reference>
        </references>
      </pivotArea>
    </format>
    <format dxfId="455">
      <pivotArea collapsedLevelsAreSubtotals="1" fieldPosition="0">
        <references count="3">
          <reference field="0" count="19">
            <x v="2"/>
            <x v="3"/>
            <x v="4"/>
            <x v="6"/>
            <x v="7"/>
            <x v="8"/>
            <x v="9"/>
            <x v="10"/>
            <x v="16"/>
            <x v="18"/>
            <x v="20"/>
            <x v="23"/>
            <x v="25"/>
            <x v="27"/>
            <x v="28"/>
            <x v="30"/>
            <x v="32"/>
            <x v="34"/>
            <x v="35"/>
          </reference>
          <reference field="6" count="0" selected="0"/>
          <reference field="7" count="2" selected="0">
            <x v="4"/>
            <x v="5"/>
          </reference>
        </references>
      </pivotArea>
    </format>
    <format dxfId="454">
      <pivotArea collapsedLevelsAreSubtotals="1" fieldPosition="0">
        <references count="3">
          <reference field="0" count="17">
            <x v="1"/>
            <x v="2"/>
            <x v="3"/>
            <x v="4"/>
            <x v="6"/>
            <x v="7"/>
            <x v="16"/>
            <x v="18"/>
            <x v="21"/>
            <x v="23"/>
            <x v="25"/>
            <x v="27"/>
            <x v="28"/>
            <x v="30"/>
            <x v="33"/>
            <x v="34"/>
            <x v="35"/>
          </reference>
          <reference field="6" count="0" selected="0"/>
          <reference field="7" count="2" selected="0">
            <x v="4"/>
            <x v="5"/>
          </reference>
        </references>
      </pivotArea>
    </format>
    <format dxfId="436">
      <pivotArea outline="0" fieldPosition="0">
        <references count="4">
          <reference field="0" count="17" selected="0">
            <x v="1"/>
            <x v="2"/>
            <x v="3"/>
            <x v="4"/>
            <x v="6"/>
            <x v="7"/>
            <x v="16"/>
            <x v="18"/>
            <x v="21"/>
            <x v="23"/>
            <x v="25"/>
            <x v="27"/>
            <x v="28"/>
            <x v="30"/>
            <x v="33"/>
            <x v="34"/>
            <x v="35"/>
          </reference>
          <reference field="1" count="0" selected="0"/>
          <reference field="6" count="0" selected="0"/>
          <reference field="7" count="1" selected="0">
            <x v="3"/>
          </reference>
        </references>
      </pivotArea>
    </format>
    <format dxfId="435">
      <pivotArea outline="0" fieldPosition="0">
        <references count="3">
          <reference field="0" count="17" selected="0">
            <x v="1"/>
            <x v="2"/>
            <x v="3"/>
            <x v="4"/>
            <x v="6"/>
            <x v="7"/>
            <x v="16"/>
            <x v="18"/>
            <x v="21"/>
            <x v="23"/>
            <x v="25"/>
            <x v="27"/>
            <x v="28"/>
            <x v="30"/>
            <x v="33"/>
            <x v="34"/>
            <x v="35"/>
          </reference>
          <reference field="6" count="0" selected="0"/>
          <reference field="7" count="2" selected="0">
            <x v="4"/>
            <x v="5"/>
          </reference>
        </references>
      </pivotArea>
    </format>
    <format dxfId="434">
      <pivotArea field="7" grandRow="1" outline="0" axis="axisCol" fieldPosition="0">
        <references count="2">
          <reference field="1" count="0" selected="0"/>
          <reference field="7" count="1" selected="0">
            <x v="3"/>
          </reference>
        </references>
      </pivotArea>
    </format>
    <format dxfId="433">
      <pivotArea field="7" grandRow="1" outline="0" axis="axisCol" fieldPosition="0">
        <references count="1">
          <reference field="7" count="2" selected="0">
            <x v="4"/>
            <x v="5"/>
          </reference>
        </references>
      </pivotArea>
    </format>
    <format dxfId="432">
      <pivotArea outline="0" fieldPosition="0">
        <references count="3">
          <reference field="0" count="18" selected="0">
            <x v="2"/>
            <x v="3"/>
            <x v="4"/>
            <x v="7"/>
            <x v="8"/>
            <x v="9"/>
            <x v="10"/>
            <x v="12"/>
            <x v="16"/>
            <x v="18"/>
            <x v="20"/>
            <x v="23"/>
            <x v="25"/>
            <x v="27"/>
            <x v="30"/>
            <x v="33"/>
            <x v="34"/>
            <x v="35"/>
          </reference>
          <reference field="6" count="0" selected="0"/>
          <reference field="7" count="2" selected="0">
            <x v="4"/>
            <x v="5"/>
          </reference>
        </references>
      </pivotArea>
    </format>
    <format dxfId="431">
      <pivotArea outline="0" fieldPosition="0">
        <references count="3">
          <reference field="0" count="19" selected="0">
            <x v="2"/>
            <x v="3"/>
            <x v="4"/>
            <x v="6"/>
            <x v="7"/>
            <x v="8"/>
            <x v="9"/>
            <x v="10"/>
            <x v="16"/>
            <x v="18"/>
            <x v="20"/>
            <x v="23"/>
            <x v="25"/>
            <x v="27"/>
            <x v="28"/>
            <x v="30"/>
            <x v="32"/>
            <x v="34"/>
            <x v="35"/>
          </reference>
          <reference field="6" count="0" selected="0"/>
          <reference field="7" count="2" selected="0">
            <x v="4"/>
            <x v="5"/>
          </reference>
        </references>
      </pivotArea>
    </format>
    <format dxfId="414">
      <pivotArea outline="0" fieldPosition="0">
        <references count="4">
          <reference field="0" count="24" selected="0">
            <x v="1"/>
            <x v="2"/>
            <x v="3"/>
            <x v="4"/>
            <x v="6"/>
            <x v="7"/>
            <x v="8"/>
            <x v="9"/>
            <x v="10"/>
            <x v="12"/>
            <x v="16"/>
            <x v="18"/>
            <x v="20"/>
            <x v="21"/>
            <x v="23"/>
            <x v="25"/>
            <x v="27"/>
            <x v="28"/>
            <x v="30"/>
            <x v="31"/>
            <x v="32"/>
            <x v="33"/>
            <x v="34"/>
            <x v="35"/>
          </reference>
          <reference field="1" count="0" selected="0"/>
          <reference field="6" count="0" selected="0"/>
          <reference field="7" count="1" selected="0">
            <x v="0"/>
          </reference>
        </references>
      </pivotArea>
    </format>
    <format dxfId="411">
      <pivotArea outline="0" fieldPosition="0">
        <references count="3">
          <reference field="0" count="24" selected="0">
            <x v="1"/>
            <x v="2"/>
            <x v="3"/>
            <x v="4"/>
            <x v="6"/>
            <x v="7"/>
            <x v="8"/>
            <x v="9"/>
            <x v="10"/>
            <x v="12"/>
            <x v="16"/>
            <x v="18"/>
            <x v="20"/>
            <x v="21"/>
            <x v="23"/>
            <x v="25"/>
            <x v="27"/>
            <x v="28"/>
            <x v="30"/>
            <x v="31"/>
            <x v="32"/>
            <x v="33"/>
            <x v="34"/>
            <x v="35"/>
          </reference>
          <reference field="6" count="0" selected="0"/>
          <reference field="7" count="2" selected="0">
            <x v="1"/>
            <x v="2"/>
          </reference>
        </references>
      </pivotArea>
    </format>
  </formats>
  <chartFormats count="1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7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0" format="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7" count="1" selected="0">
            <x v="3"/>
          </reference>
        </references>
      </pivotArea>
    </chartFormat>
    <chartFormat chart="0" format="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7" count="1" selected="0">
            <x v="4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</chartFormats>
  <pivotTableStyleInfo name="PivotStyleLight8" showRowHeaders="1" showColHeaders="1" showRowStripes="0" showColStripes="0" showLastColumn="1"/>
  <filters count="2">
    <filter fld="0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  <filter fld="8" type="captionGreaterThan" evalOrder="-1" id="3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1313C4-174B-4C15-8FE7-6FFBDCE82B2B}" name="Tabela przestawna5" cacheId="112" applyNumberFormats="0" applyBorderFormats="0" applyFontFormats="0" applyPatternFormats="0" applyAlignmentFormats="0" applyWidthHeightFormats="1" dataCaption="Wartości" updatedVersion="8" minRefreshableVersion="3" useAutoFormatting="1" colGrandTotals="0" itemPrintTitles="1" createdVersion="8" indent="0" compact="0" compactData="0" multipleFieldFilters="0" chartFormat="1">
  <location ref="AF20:AI34" firstHeaderRow="1" firstDataRow="3" firstDataCol="2"/>
  <pivotFields count="8">
    <pivotField axis="axisRow" compact="0" outline="0" showAll="0" measureFilter="1" sortType="ascending" defaultSubtotal="0">
      <items count="39">
        <item x="36"/>
        <item x="8"/>
        <item x="7"/>
        <item x="10"/>
        <item x="34"/>
        <item x="17"/>
        <item x="1"/>
        <item x="4"/>
        <item x="15"/>
        <item x="16"/>
        <item x="19"/>
        <item x="29"/>
        <item x="5"/>
        <item x="33"/>
        <item x="23"/>
        <item x="28"/>
        <item x="26"/>
        <item x="30"/>
        <item x="11"/>
        <item x="37"/>
        <item x="2"/>
        <item x="25"/>
        <item x="21"/>
        <item x="27"/>
        <item x="6"/>
        <item x="24"/>
        <item x="18"/>
        <item x="9"/>
        <item x="3"/>
        <item x="35"/>
        <item x="31"/>
        <item x="13"/>
        <item x="38"/>
        <item x="0"/>
        <item x="20"/>
        <item x="22"/>
        <item x="14"/>
        <item x="12"/>
        <item x="3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compact="0" outline="0" showAll="0" defaultSubtotal="0">
      <items count="2">
        <item h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>
      <items count="2">
        <item h="1" x="1"/>
        <item x="0"/>
      </items>
    </pivotField>
    <pivotField axis="axisRow" compact="0" outline="0" multipleItemSelectionAllowed="1" showAll="0" defaultSubtotal="0">
      <items count="7">
        <item h="1" x="6"/>
        <item h="1" x="0"/>
        <item h="1" x="5"/>
        <item h="1" x="4"/>
        <item x="1"/>
        <item h="1" x="2"/>
        <item h="1" x="3"/>
      </items>
    </pivotField>
    <pivotField axis="axisCol" compact="0" outline="0" showAll="0" defaultSubtotal="0">
      <items count="6">
        <item x="3"/>
        <item x="4"/>
        <item x="5"/>
        <item h="1" x="0"/>
        <item x="1"/>
        <item x="2"/>
      </items>
    </pivotField>
    <pivotField dataField="1" compact="0" outline="0" showAll="0" defaultSubtotal="0">
      <items count="247">
        <item x="141"/>
        <item x="228"/>
        <item x="234"/>
        <item x="214"/>
        <item x="222"/>
        <item x="240"/>
        <item x="176"/>
        <item x="184"/>
        <item x="206"/>
        <item x="212"/>
        <item x="99"/>
        <item x="48"/>
        <item x="127"/>
        <item x="227"/>
        <item x="123"/>
        <item x="133"/>
        <item x="116"/>
        <item x="121"/>
        <item x="120"/>
        <item x="93"/>
        <item x="153"/>
        <item x="46"/>
        <item x="96"/>
        <item x="104"/>
        <item x="60"/>
        <item x="39"/>
        <item x="88"/>
        <item x="43"/>
        <item x="24"/>
        <item x="154"/>
        <item x="11"/>
        <item x="6"/>
        <item x="3"/>
        <item x="36"/>
        <item x="31"/>
        <item x="162"/>
        <item x="54"/>
        <item x="137"/>
        <item x="221"/>
        <item x="70"/>
        <item x="9"/>
        <item x="19"/>
        <item x="65"/>
        <item x="0"/>
        <item x="237"/>
        <item x="180"/>
        <item x="122"/>
        <item x="244"/>
        <item x="147"/>
        <item x="72"/>
        <item x="68"/>
        <item x="156"/>
        <item x="29"/>
        <item x="74"/>
        <item x="139"/>
        <item x="163"/>
        <item x="125"/>
        <item x="159"/>
        <item x="4"/>
        <item x="168"/>
        <item x="59"/>
        <item x="144"/>
        <item x="79"/>
        <item x="20"/>
        <item x="241"/>
        <item x="142"/>
        <item x="155"/>
        <item x="172"/>
        <item x="138"/>
        <item x="1"/>
        <item x="22"/>
        <item x="230"/>
        <item x="132"/>
        <item x="7"/>
        <item x="89"/>
        <item x="150"/>
        <item x="37"/>
        <item x="10"/>
        <item x="25"/>
        <item x="32"/>
        <item x="106"/>
        <item x="66"/>
        <item x="83"/>
        <item x="81"/>
        <item x="14"/>
        <item x="182"/>
        <item x="90"/>
        <item x="41"/>
        <item x="185"/>
        <item x="108"/>
        <item x="157"/>
        <item x="47"/>
        <item x="12"/>
        <item x="110"/>
        <item x="49"/>
        <item x="229"/>
        <item x="94"/>
        <item x="97"/>
        <item x="27"/>
        <item x="201"/>
        <item x="148"/>
        <item x="57"/>
        <item x="44"/>
        <item x="186"/>
        <item x="160"/>
        <item x="145"/>
        <item x="112"/>
        <item x="238"/>
        <item x="124"/>
        <item x="174"/>
        <item x="134"/>
        <item x="207"/>
        <item x="197"/>
        <item x="140"/>
        <item x="235"/>
        <item x="213"/>
        <item x="223"/>
        <item x="126"/>
        <item x="177"/>
        <item x="100"/>
        <item x="69"/>
        <item x="217"/>
        <item x="78"/>
        <item x="208"/>
        <item x="128"/>
        <item x="73"/>
        <item x="164"/>
        <item x="195"/>
        <item x="92"/>
        <item x="190"/>
        <item x="158"/>
        <item x="75"/>
        <item x="196"/>
        <item x="170"/>
        <item x="5"/>
        <item x="169"/>
        <item x="50"/>
        <item x="166"/>
        <item x="80"/>
        <item x="56"/>
        <item x="191"/>
        <item x="173"/>
        <item x="40"/>
        <item x="61"/>
        <item x="30"/>
        <item x="175"/>
        <item x="105"/>
        <item x="84"/>
        <item x="107"/>
        <item x="8"/>
        <item x="26"/>
        <item x="95"/>
        <item x="55"/>
        <item x="42"/>
        <item x="202"/>
        <item x="183"/>
        <item x="38"/>
        <item x="21"/>
        <item x="98"/>
        <item x="109"/>
        <item x="91"/>
        <item x="33"/>
        <item x="15"/>
        <item x="111"/>
        <item x="23"/>
        <item x="13"/>
        <item x="71"/>
        <item x="82"/>
        <item x="2"/>
        <item x="58"/>
        <item x="45"/>
        <item x="28"/>
        <item x="67"/>
        <item x="151"/>
        <item x="231"/>
        <item x="224"/>
        <item x="215"/>
        <item x="209"/>
        <item x="218"/>
        <item x="198"/>
        <item x="181"/>
        <item x="187"/>
        <item x="135"/>
        <item x="203"/>
        <item x="101"/>
        <item x="129"/>
        <item x="192"/>
        <item x="117"/>
        <item x="113"/>
        <item x="179"/>
        <item x="51"/>
        <item x="178"/>
        <item x="246"/>
        <item x="85"/>
        <item x="62"/>
        <item x="16"/>
        <item x="34"/>
        <item x="245"/>
        <item x="171"/>
        <item x="243"/>
        <item x="167"/>
        <item x="165"/>
        <item x="161"/>
        <item x="152"/>
        <item x="242"/>
        <item x="232"/>
        <item x="130"/>
        <item x="136"/>
        <item x="76"/>
        <item x="225"/>
        <item x="219"/>
        <item x="204"/>
        <item x="35"/>
        <item x="239"/>
        <item x="210"/>
        <item x="63"/>
        <item x="17"/>
        <item x="86"/>
        <item x="199"/>
        <item x="118"/>
        <item x="114"/>
        <item x="193"/>
        <item x="102"/>
        <item x="236"/>
        <item x="52"/>
        <item x="188"/>
        <item x="149"/>
        <item x="233"/>
        <item x="146"/>
        <item x="143"/>
        <item x="226"/>
        <item x="131"/>
        <item x="220"/>
        <item x="216"/>
        <item x="211"/>
        <item x="205"/>
        <item x="200"/>
        <item x="119"/>
        <item x="194"/>
        <item x="115"/>
        <item x="103"/>
        <item x="87"/>
        <item x="189"/>
        <item x="77"/>
        <item x="64"/>
        <item x="53"/>
        <item x="18"/>
      </items>
    </pivotField>
  </pivotFields>
  <rowFields count="2">
    <field x="5"/>
    <field x="0"/>
  </rowFields>
  <rowItems count="12">
    <i>
      <x v="4"/>
      <x v="27"/>
    </i>
    <i r="1">
      <x v="3"/>
    </i>
    <i r="1">
      <x v="7"/>
    </i>
    <i r="1">
      <x v="1"/>
    </i>
    <i r="1">
      <x v="33"/>
    </i>
    <i r="1">
      <x v="12"/>
    </i>
    <i r="1">
      <x v="2"/>
    </i>
    <i r="1">
      <x v="20"/>
    </i>
    <i r="1">
      <x v="28"/>
    </i>
    <i r="1">
      <x v="6"/>
    </i>
    <i r="1">
      <x v="24"/>
    </i>
    <i t="grand">
      <x/>
    </i>
  </rowItems>
  <colFields count="2">
    <field x="6"/>
    <field x="1"/>
  </colFields>
  <colItems count="2">
    <i>
      <x v="4"/>
      <x v="1"/>
    </i>
    <i>
      <x v="5"/>
      <x v="1"/>
    </i>
  </colItems>
  <dataFields count="1">
    <dataField name="Średnia z Value" fld="7" subtotal="average" baseField="7" baseItem="7"/>
  </dataFields>
  <formats count="15">
    <format dxfId="740">
      <pivotArea type="all" dataOnly="0" outline="0" fieldPosition="0"/>
    </format>
    <format dxfId="472">
      <pivotArea collapsedLevelsAreSubtotals="1" fieldPosition="0">
        <references count="2">
          <reference field="0" count="18">
            <x v="1"/>
            <x v="2"/>
            <x v="3"/>
            <x v="6"/>
            <x v="7"/>
            <x v="8"/>
            <x v="9"/>
            <x v="10"/>
            <x v="12"/>
            <x v="14"/>
            <x v="18"/>
            <x v="20"/>
            <x v="24"/>
            <x v="27"/>
            <x v="28"/>
            <x v="31"/>
            <x v="33"/>
            <x v="36"/>
          </reference>
          <reference field="5" count="0" selected="0"/>
        </references>
      </pivotArea>
    </format>
    <format dxfId="471">
      <pivotArea collapsedLevelsAreSubtotals="1" fieldPosition="0">
        <references count="3">
          <reference field="0" count="24">
            <x v="1"/>
            <x v="2"/>
            <x v="3"/>
            <x v="5"/>
            <x v="6"/>
            <x v="7"/>
            <x v="8"/>
            <x v="9"/>
            <x v="10"/>
            <x v="12"/>
            <x v="14"/>
            <x v="18"/>
            <x v="20"/>
            <x v="22"/>
            <x v="24"/>
            <x v="26"/>
            <x v="27"/>
            <x v="28"/>
            <x v="31"/>
            <x v="33"/>
            <x v="34"/>
            <x v="35"/>
            <x v="36"/>
            <x v="37"/>
          </reference>
          <reference field="5" count="0" selected="0"/>
          <reference field="6" count="1" selected="0" defaultSubtotal="1">
            <x v="0"/>
          </reference>
        </references>
      </pivotArea>
    </format>
    <format dxfId="470">
      <pivotArea collapsedLevelsAreSubtotals="1" fieldPosition="0">
        <references count="3">
          <reference field="0" count="24">
            <x v="1"/>
            <x v="2"/>
            <x v="3"/>
            <x v="5"/>
            <x v="6"/>
            <x v="7"/>
            <x v="8"/>
            <x v="9"/>
            <x v="10"/>
            <x v="12"/>
            <x v="14"/>
            <x v="18"/>
            <x v="20"/>
            <x v="22"/>
            <x v="24"/>
            <x v="26"/>
            <x v="27"/>
            <x v="28"/>
            <x v="31"/>
            <x v="33"/>
            <x v="34"/>
            <x v="35"/>
            <x v="36"/>
            <x v="37"/>
          </reference>
          <reference field="5" count="0" selected="0"/>
          <reference field="6" count="2" selected="0" defaultSubtotal="1">
            <x v="1"/>
            <x v="2"/>
          </reference>
        </references>
      </pivotArea>
    </format>
    <format dxfId="469">
      <pivotArea collapsedLevelsAreSubtotals="1" fieldPosition="0">
        <references count="3">
          <reference field="0" count="11">
            <x v="1"/>
            <x v="2"/>
            <x v="3"/>
            <x v="6"/>
            <x v="7"/>
            <x v="12"/>
            <x v="20"/>
            <x v="24"/>
            <x v="27"/>
            <x v="28"/>
            <x v="33"/>
          </reference>
          <reference field="5" count="0" selected="0"/>
          <reference field="6" count="1" selected="0" defaultSubtotal="1">
            <x v="3"/>
          </reference>
        </references>
      </pivotArea>
    </format>
    <format dxfId="468">
      <pivotArea collapsedLevelsAreSubtotals="1" fieldPosition="0">
        <references count="3">
          <reference field="0" count="11">
            <x v="1"/>
            <x v="2"/>
            <x v="3"/>
            <x v="6"/>
            <x v="7"/>
            <x v="12"/>
            <x v="20"/>
            <x v="24"/>
            <x v="27"/>
            <x v="28"/>
            <x v="33"/>
          </reference>
          <reference field="5" count="0" selected="0"/>
          <reference field="6" count="2" selected="0" defaultSubtotal="1">
            <x v="4"/>
            <x v="5"/>
          </reference>
        </references>
      </pivotArea>
    </format>
    <format dxfId="467">
      <pivotArea collapsedLevelsAreSubtotals="1" fieldPosition="0">
        <references count="4">
          <reference field="0" count="11">
            <x v="1"/>
            <x v="2"/>
            <x v="3"/>
            <x v="6"/>
            <x v="7"/>
            <x v="12"/>
            <x v="20"/>
            <x v="24"/>
            <x v="27"/>
            <x v="28"/>
            <x v="33"/>
          </reference>
          <reference field="1" count="0" selected="0"/>
          <reference field="5" count="0" selected="0"/>
          <reference field="6" count="1" selected="0">
            <x v="5"/>
          </reference>
        </references>
      </pivotArea>
    </format>
    <format dxfId="466">
      <pivotArea collapsedLevelsAreSubtotals="1" fieldPosition="0">
        <references count="4">
          <reference field="0" count="11">
            <x v="1"/>
            <x v="2"/>
            <x v="3"/>
            <x v="6"/>
            <x v="7"/>
            <x v="12"/>
            <x v="20"/>
            <x v="24"/>
            <x v="27"/>
            <x v="28"/>
            <x v="33"/>
          </reference>
          <reference field="1" count="0" selected="0"/>
          <reference field="5" count="0" selected="0"/>
          <reference field="6" count="1" selected="0">
            <x v="2"/>
          </reference>
        </references>
      </pivotArea>
    </format>
    <format dxfId="465">
      <pivotArea collapsedLevelsAreSubtotals="1" fieldPosition="0">
        <references count="4">
          <reference field="0" count="11">
            <x v="1"/>
            <x v="2"/>
            <x v="3"/>
            <x v="6"/>
            <x v="7"/>
            <x v="12"/>
            <x v="20"/>
            <x v="24"/>
            <x v="27"/>
            <x v="28"/>
            <x v="33"/>
          </reference>
          <reference field="1" count="0" selected="0"/>
          <reference field="5" count="0" selected="0"/>
          <reference field="6" count="1" selected="0">
            <x v="1"/>
          </reference>
        </references>
      </pivotArea>
    </format>
    <format dxfId="349">
      <pivotArea outline="0" fieldPosition="0">
        <references count="3">
          <reference field="1" count="0" selected="0"/>
          <reference field="5" count="0" selected="0" defaultSubtotal="1"/>
          <reference field="6" count="1" selected="0">
            <x v="4"/>
          </reference>
        </references>
      </pivotArea>
    </format>
    <format dxfId="331">
      <pivotArea outline="0" fieldPosition="0">
        <references count="2">
          <reference field="5" count="0" selected="0" defaultSubtotal="1"/>
          <reference field="6" count="1" selected="0" defaultSubtotal="1">
            <x v="4"/>
          </reference>
        </references>
      </pivotArea>
    </format>
    <format dxfId="329">
      <pivotArea outline="0" fieldPosition="0">
        <references count="3">
          <reference field="1" count="0" selected="0"/>
          <reference field="5" count="0" selected="0" defaultSubtotal="1"/>
          <reference field="6" count="1" selected="0">
            <x v="5"/>
          </reference>
        </references>
      </pivotArea>
    </format>
    <format dxfId="315">
      <pivotArea field="6" grandRow="1" outline="0" axis="axisCol" fieldPosition="0">
        <references count="2">
          <reference field="1" count="0" selected="0"/>
          <reference field="6" count="1" selected="0">
            <x v="4"/>
          </reference>
        </references>
      </pivotArea>
    </format>
    <format dxfId="305">
      <pivotArea field="6" grandRow="1" outline="0" axis="axisCol" fieldPosition="0">
        <references count="1">
          <reference field="6" count="1" selected="0" defaultSubtotal="1">
            <x v="4"/>
          </reference>
        </references>
      </pivotArea>
    </format>
    <format dxfId="303">
      <pivotArea field="6" grandRow="1" outline="0" axis="axisCol" fieldPosition="0">
        <references count="2">
          <reference field="1" count="0" selected="0"/>
          <reference field="6" count="1" selected="0">
            <x v="5"/>
          </reference>
        </references>
      </pivotArea>
    </format>
  </format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6" count="1" selected="0">
            <x v="4"/>
          </reference>
        </references>
      </pivotArea>
    </chartFormat>
    <chartFormat chart="0" format="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6" count="1" selected="0">
            <x v="5"/>
          </reference>
        </references>
      </pivotArea>
    </chartFormat>
    <chartFormat chart="0" format="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6" count="1" selected="0">
            <x v="2"/>
          </reference>
        </references>
      </pivotArea>
    </chartFormat>
    <chartFormat chart="0" format="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6" count="1" selected="0">
            <x v="1"/>
          </reference>
        </references>
      </pivotArea>
    </chartFormat>
    <chartFormat chart="0" format="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6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</chartFormats>
  <pivotTableStyleInfo name="PivotStyleLight8" showRowHeaders="1" showColHeaders="1" showRowStripes="0" showColStripes="0" showLastColumn="1"/>
  <filters count="2">
    <filter fld="0" type="valueGreaterThan" evalOrder="-1" id="6" iMeasureFld="0">
      <autoFilter ref="A1">
        <filterColumn colId="0">
          <customFilters>
            <customFilter operator="greaterThan" val="0"/>
          </customFilters>
        </filterColumn>
      </autoFilter>
    </filter>
    <filter fld="7" type="captionGreaterThan" evalOrder="-1" id="2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813FC3-0772-45A2-848A-C2F202527717}" name="Tabela przestawna6" cacheId="114" applyNumberFormats="0" applyBorderFormats="0" applyFontFormats="0" applyPatternFormats="0" applyAlignmentFormats="0" applyWidthHeightFormats="1" dataCaption="Wartości" updatedVersion="8" minRefreshableVersion="3" useAutoFormatting="1" colGrandTotals="0" itemPrintTitles="1" createdVersion="8" indent="0" compact="0" compactData="0" multipleFieldFilters="0" chartFormat="1">
  <location ref="AF18:AJ32" firstHeaderRow="1" firstDataRow="3" firstDataCol="2"/>
  <pivotFields count="8">
    <pivotField axis="axisRow" compact="0" outline="0" showAll="0" measureFilter="1" sortType="ascending" defaultSubtotal="0">
      <items count="33">
        <item x="19"/>
        <item x="10"/>
        <item x="11"/>
        <item x="7"/>
        <item x="22"/>
        <item x="18"/>
        <item x="1"/>
        <item x="2"/>
        <item x="15"/>
        <item x="17"/>
        <item x="13"/>
        <item x="28"/>
        <item x="31"/>
        <item x="24"/>
        <item x="25"/>
        <item x="27"/>
        <item x="5"/>
        <item x="32"/>
        <item x="8"/>
        <item x="23"/>
        <item x="12"/>
        <item x="21"/>
        <item x="16"/>
        <item x="20"/>
        <item x="9"/>
        <item x="6"/>
        <item x="26"/>
        <item x="29"/>
        <item x="14"/>
        <item x="0"/>
        <item x="4"/>
        <item x="3"/>
        <item x="3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compact="0" outline="0" showAll="0" defaultSubtotal="0">
      <items count="2">
        <item x="1"/>
        <item h="1" x="0"/>
      </items>
    </pivotField>
    <pivotField compact="0" outline="0" showAll="0" defaultSubtotal="0"/>
    <pivotField compact="0" outline="0" showAll="0" defaultSubtotal="0"/>
    <pivotField compact="0" outline="0" showAll="0" defaultSubtotal="0">
      <items count="2">
        <item h="1" x="1"/>
        <item x="0"/>
      </items>
    </pivotField>
    <pivotField axis="axisRow" compact="0" outline="0" multipleItemSelectionAllowed="1" showAll="0" defaultSubtotal="0">
      <items count="7">
        <item x="6"/>
        <item h="1" x="0"/>
        <item h="1" x="5"/>
        <item h="1" x="4"/>
        <item h="1" x="1"/>
        <item h="1" x="2"/>
        <item h="1" x="3"/>
      </items>
    </pivotField>
    <pivotField axis="axisCol" compact="0" outline="0" showAll="0" defaultSubtotal="0">
      <items count="6">
        <item x="3"/>
        <item x="4"/>
        <item x="5"/>
        <item x="0"/>
        <item h="1" x="1"/>
        <item h="1" x="2"/>
      </items>
    </pivotField>
    <pivotField dataField="1" compact="0" outline="0" showAll="0" defaultSubtotal="0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</items>
    </pivotField>
  </pivotFields>
  <rowFields count="2">
    <field x="5"/>
    <field x="0"/>
  </rowFields>
  <rowItems count="12">
    <i>
      <x/>
      <x v="32"/>
    </i>
    <i r="1">
      <x v="27"/>
    </i>
    <i r="1">
      <x v="11"/>
    </i>
    <i r="1">
      <x v="15"/>
    </i>
    <i r="1">
      <x v="26"/>
    </i>
    <i r="1">
      <x v="14"/>
    </i>
    <i r="1">
      <x v="13"/>
    </i>
    <i r="1">
      <x v="19"/>
    </i>
    <i r="1">
      <x v="4"/>
    </i>
    <i r="1">
      <x v="21"/>
    </i>
    <i r="1">
      <x v="23"/>
    </i>
    <i t="grand">
      <x/>
    </i>
  </rowItems>
  <colFields count="2">
    <field x="6"/>
    <field x="1"/>
  </colFields>
  <colItems count="3">
    <i>
      <x/>
      <x/>
    </i>
    <i>
      <x v="1"/>
      <x/>
    </i>
    <i>
      <x v="2"/>
      <x/>
    </i>
  </colItems>
  <dataFields count="1">
    <dataField name="Średnia z Value" fld="7" subtotal="average" baseField="5" baseItem="0"/>
  </dataFields>
  <formats count="23">
    <format dxfId="739">
      <pivotArea type="all" dataOnly="0" outline="0" fieldPosition="0"/>
    </format>
    <format dxfId="738">
      <pivotArea outline="0" collapsedLevelsAreSubtotals="1" fieldPosition="0"/>
    </format>
    <format dxfId="737">
      <pivotArea type="origin" dataOnly="0" labelOnly="1" outline="0" fieldPosition="0"/>
    </format>
    <format dxfId="736">
      <pivotArea field="6" type="button" dataOnly="0" labelOnly="1" outline="0" axis="axisCol" fieldPosition="0"/>
    </format>
    <format dxfId="735">
      <pivotArea field="1" type="button" dataOnly="0" labelOnly="1" outline="0" axis="axisCol" fieldPosition="1"/>
    </format>
    <format dxfId="734">
      <pivotArea type="topRight" dataOnly="0" labelOnly="1" outline="0" fieldPosition="0"/>
    </format>
    <format dxfId="733">
      <pivotArea field="5" type="button" dataOnly="0" labelOnly="1" outline="0" axis="axisRow" fieldPosition="0"/>
    </format>
    <format dxfId="732">
      <pivotArea dataOnly="0" labelOnly="1" fieldPosition="0">
        <references count="1">
          <reference field="5" count="6">
            <x v="1"/>
            <x v="2"/>
            <x v="3"/>
            <x v="4"/>
            <x v="5"/>
            <x v="6"/>
          </reference>
        </references>
      </pivotArea>
    </format>
    <format dxfId="731">
      <pivotArea dataOnly="0" labelOnly="1" fieldPosition="0">
        <references count="2">
          <reference field="0" count="30">
            <x v="0"/>
            <x v="1"/>
            <x v="2"/>
            <x v="3"/>
            <x v="4"/>
            <x v="6"/>
            <x v="7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3"/>
            <x v="24"/>
            <x v="25"/>
            <x v="26"/>
            <x v="27"/>
            <x v="28"/>
            <x v="29"/>
            <x v="30"/>
            <x v="31"/>
            <x v="32"/>
          </reference>
          <reference field="5" count="1" selected="0">
            <x v="1"/>
          </reference>
        </references>
      </pivotArea>
    </format>
    <format dxfId="730">
      <pivotArea dataOnly="0" labelOnly="1" fieldPosition="0">
        <references count="2">
          <reference field="0" count="25">
            <x v="1"/>
            <x v="2"/>
            <x v="3"/>
            <x v="4"/>
            <x v="6"/>
            <x v="7"/>
            <x v="11"/>
            <x v="12"/>
            <x v="13"/>
            <x v="14"/>
            <x v="15"/>
            <x v="16"/>
            <x v="18"/>
            <x v="19"/>
            <x v="20"/>
            <x v="21"/>
            <x v="23"/>
            <x v="24"/>
            <x v="25"/>
            <x v="26"/>
            <x v="27"/>
            <x v="29"/>
            <x v="30"/>
            <x v="31"/>
            <x v="32"/>
          </reference>
          <reference field="5" count="1" selected="0">
            <x v="2"/>
          </reference>
        </references>
      </pivotArea>
    </format>
    <format dxfId="729">
      <pivotArea dataOnly="0" labelOnly="1" fieldPosition="0">
        <references count="2">
          <reference field="0" count="30">
            <x v="1"/>
            <x v="2"/>
            <x v="3"/>
            <x v="4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9"/>
            <x v="30"/>
            <x v="31"/>
            <x v="32"/>
          </reference>
          <reference field="5" count="1" selected="0">
            <x v="3"/>
          </reference>
        </references>
      </pivotArea>
    </format>
    <format dxfId="728">
      <pivotArea dataOnly="0" labelOnly="1" fieldPosition="0">
        <references count="2">
          <reference field="0" count="31">
            <x v="1"/>
            <x v="2"/>
            <x v="3"/>
            <x v="4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</reference>
          <reference field="5" count="1" selected="0">
            <x v="4"/>
          </reference>
        </references>
      </pivotArea>
    </format>
    <format dxfId="727">
      <pivotArea dataOnly="0" labelOnly="1" fieldPosition="0">
        <references count="2">
          <reference field="0" count="26">
            <x v="1"/>
            <x v="2"/>
            <x v="3"/>
            <x v="4"/>
            <x v="5"/>
            <x v="6"/>
            <x v="7"/>
            <x v="10"/>
            <x v="11"/>
            <x v="13"/>
            <x v="14"/>
            <x v="15"/>
            <x v="16"/>
            <x v="18"/>
            <x v="19"/>
            <x v="20"/>
            <x v="21"/>
            <x v="23"/>
            <x v="24"/>
            <x v="25"/>
            <x v="26"/>
            <x v="27"/>
            <x v="29"/>
            <x v="30"/>
            <x v="31"/>
            <x v="32"/>
          </reference>
          <reference field="5" count="1" selected="0">
            <x v="5"/>
          </reference>
        </references>
      </pivotArea>
    </format>
    <format dxfId="726">
      <pivotArea dataOnly="0" labelOnly="1" fieldPosition="0">
        <references count="2">
          <reference field="0" count="28">
            <x v="1"/>
            <x v="2"/>
            <x v="3"/>
            <x v="4"/>
            <x v="6"/>
            <x v="7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3"/>
            <x v="24"/>
            <x v="25"/>
            <x v="26"/>
            <x v="27"/>
            <x v="28"/>
            <x v="29"/>
            <x v="30"/>
            <x v="31"/>
            <x v="32"/>
          </reference>
          <reference field="5" count="1" selected="0">
            <x v="6"/>
          </reference>
        </references>
      </pivotArea>
    </format>
    <format dxfId="725">
      <pivotArea dataOnly="0" labelOnly="1" fieldPosition="0">
        <references count="1">
          <reference field="6" count="0"/>
        </references>
      </pivotArea>
    </format>
    <format dxfId="724">
      <pivotArea dataOnly="0" labelOnly="1" fieldPosition="0">
        <references count="1">
          <reference field="6" count="0" defaultSubtotal="1"/>
        </references>
      </pivotArea>
    </format>
    <format dxfId="723">
      <pivotArea dataOnly="0" labelOnly="1" fieldPosition="0">
        <references count="2">
          <reference field="1" count="0"/>
          <reference field="6" count="0" selected="0"/>
        </references>
      </pivotArea>
    </format>
    <format dxfId="464">
      <pivotArea collapsedLevelsAreSubtotals="1" fieldPosition="0">
        <references count="2">
          <reference field="0" count="13">
            <x v="4"/>
            <x v="11"/>
            <x v="12"/>
            <x v="13"/>
            <x v="14"/>
            <x v="15"/>
            <x v="17"/>
            <x v="19"/>
            <x v="21"/>
            <x v="23"/>
            <x v="26"/>
            <x v="27"/>
            <x v="32"/>
          </reference>
          <reference field="5" count="0" selected="0"/>
        </references>
      </pivotArea>
    </format>
    <format dxfId="463">
      <pivotArea collapsedLevelsAreSubtotals="1" fieldPosition="0">
        <references count="3">
          <reference field="0" count="13">
            <x v="4"/>
            <x v="11"/>
            <x v="12"/>
            <x v="13"/>
            <x v="14"/>
            <x v="15"/>
            <x v="17"/>
            <x v="19"/>
            <x v="21"/>
            <x v="23"/>
            <x v="26"/>
            <x v="27"/>
            <x v="32"/>
          </reference>
          <reference field="5" count="0" selected="0"/>
          <reference field="6" count="2" selected="0" defaultSubtotal="1">
            <x v="1"/>
            <x v="2"/>
          </reference>
        </references>
      </pivotArea>
    </format>
    <format dxfId="462">
      <pivotArea collapsedLevelsAreSubtotals="1" fieldPosition="0">
        <references count="4">
          <reference field="0" count="13">
            <x v="4"/>
            <x v="11"/>
            <x v="12"/>
            <x v="13"/>
            <x v="14"/>
            <x v="15"/>
            <x v="17"/>
            <x v="19"/>
            <x v="21"/>
            <x v="23"/>
            <x v="26"/>
            <x v="27"/>
            <x v="32"/>
          </reference>
          <reference field="1" count="0" selected="0"/>
          <reference field="5" count="0" selected="0"/>
          <reference field="6" count="1" selected="0">
            <x v="2"/>
          </reference>
        </references>
      </pivotArea>
    </format>
    <format dxfId="461">
      <pivotArea collapsedLevelsAreSubtotals="1" fieldPosition="0">
        <references count="4">
          <reference field="0" count="13">
            <x v="4"/>
            <x v="11"/>
            <x v="12"/>
            <x v="13"/>
            <x v="14"/>
            <x v="15"/>
            <x v="17"/>
            <x v="19"/>
            <x v="21"/>
            <x v="23"/>
            <x v="26"/>
            <x v="27"/>
            <x v="32"/>
          </reference>
          <reference field="1" count="0" selected="0"/>
          <reference field="5" count="0" selected="0"/>
          <reference field="6" count="1" selected="0">
            <x v="1"/>
          </reference>
        </references>
      </pivotArea>
    </format>
    <format dxfId="171">
      <pivotArea field="6" grandRow="1" outline="0" axis="axisCol" fieldPosition="0">
        <references count="2">
          <reference field="1" count="0" selected="0"/>
          <reference field="6" count="1" selected="0">
            <x v="0"/>
          </reference>
        </references>
      </pivotArea>
    </format>
    <format dxfId="162">
      <pivotArea field="6" grandRow="1" outline="0" axis="axisCol" fieldPosition="0">
        <references count="1">
          <reference field="6" count="2" selected="0">
            <x v="1"/>
            <x v="2"/>
          </reference>
        </references>
      </pivotArea>
    </format>
  </format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6" count="1" selected="0">
            <x v="5"/>
          </reference>
        </references>
      </pivotArea>
    </chartFormat>
    <chartFormat chart="0" format="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6" count="1" selected="0">
            <x v="5"/>
          </reference>
        </references>
      </pivotArea>
    </chartFormat>
    <chartFormat chart="0" format="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6" count="1" selected="0">
            <x v="0"/>
          </reference>
        </references>
      </pivotArea>
    </chartFormat>
    <chartFormat chart="0" format="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6" count="1" selected="0">
            <x v="1"/>
          </reference>
        </references>
      </pivotArea>
    </chartFormat>
    <chartFormat chart="0" format="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6" count="1" selected="0">
            <x v="2"/>
          </reference>
        </references>
      </pivotArea>
    </chartFormat>
    <chartFormat chart="0" format="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6" count="1" selected="0">
            <x v="4"/>
          </reference>
        </references>
      </pivotArea>
    </chartFormat>
    <chartFormat chart="0" format="1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6" count="1" selected="0">
            <x v="3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8" showRowHeaders="1" showColHeaders="1" showRowStripes="0" showColStripes="0" showLastColumn="1"/>
  <filters count="2">
    <filter fld="7" type="captionGreaterThan" evalOrder="-1" id="1" stringValue1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DD1E08-B5F3-4F3C-878C-A9DB8584B520}" name="Tabela przestawna8" cacheId="47" applyNumberFormats="0" applyBorderFormats="0" applyFontFormats="0" applyPatternFormats="0" applyAlignmentFormats="0" applyWidthHeightFormats="1" dataCaption="Wartości" updatedVersion="8" minRefreshableVersion="3" useAutoFormatting="1" rowGrandTotals="0" colGrandTotals="0" itemPrintTitles="1" createdVersion="8" indent="0" outline="1" outlineData="1" multipleFieldFilters="0" chartFormat="2" rowHeaderCaption="Score value" colHeaderCaption="Category">
  <location ref="Z27:AB38" firstHeaderRow="1" firstDataRow="2" firstDataCol="1"/>
  <pivotFields count="7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>
      <items count="7">
        <item h="1" x="5"/>
        <item x="0"/>
        <item x="2"/>
        <item x="3"/>
        <item h="1" x="4"/>
        <item x="1"/>
        <item t="default"/>
      </items>
    </pivotField>
    <pivotField axis="axisRow" showAll="0">
      <items count="4">
        <item h="1" x="0"/>
        <item x="1"/>
        <item h="1" x="2"/>
        <item t="default"/>
      </items>
    </pivotField>
    <pivotField axis="axisRow" dataField="1" showAll="0">
      <items count="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t="default"/>
      </items>
    </pivotField>
  </pivotFields>
  <rowFields count="2">
    <field x="5"/>
    <field x="6"/>
  </rowFields>
  <rowItems count="10">
    <i>
      <x v="1"/>
    </i>
    <i r="1">
      <x v="4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</rowItems>
  <colFields count="1">
    <field x="1"/>
  </colFields>
  <colItems count="2">
    <i>
      <x/>
    </i>
    <i>
      <x v="1"/>
    </i>
  </colItems>
  <dataFields count="1">
    <dataField name="Score" fld="6" subtotal="countNums" baseField="5" baseItem="0"/>
  </dataFields>
  <formats count="13">
    <format dxfId="785">
      <pivotArea type="origin" dataOnly="0" labelOnly="1" outline="0" fieldPosition="0"/>
    </format>
    <format dxfId="784">
      <pivotArea field="1" type="button" dataOnly="0" labelOnly="1" outline="0" axis="axisCol" fieldPosition="0"/>
    </format>
    <format dxfId="783">
      <pivotArea type="all" dataOnly="0" outline="0" fieldPosition="0"/>
    </format>
    <format dxfId="782">
      <pivotArea outline="0" collapsedLevelsAreSubtotals="1" fieldPosition="0"/>
    </format>
    <format dxfId="781">
      <pivotArea type="origin" dataOnly="0" labelOnly="1" outline="0" fieldPosition="0"/>
    </format>
    <format dxfId="780">
      <pivotArea field="1" type="button" dataOnly="0" labelOnly="1" outline="0" axis="axisCol" fieldPosition="0"/>
    </format>
    <format dxfId="779">
      <pivotArea type="topRight" dataOnly="0" labelOnly="1" outline="0" fieldPosition="0"/>
    </format>
    <format dxfId="778">
      <pivotArea field="5" type="button" dataOnly="0" labelOnly="1" outline="0" axis="axisRow" fieldPosition="0"/>
    </format>
    <format dxfId="777">
      <pivotArea dataOnly="0" labelOnly="1" fieldPosition="0">
        <references count="1">
          <reference field="5" count="0"/>
        </references>
      </pivotArea>
    </format>
    <format dxfId="776">
      <pivotArea dataOnly="0" labelOnly="1" grandRow="1" outline="0" fieldPosition="0"/>
    </format>
    <format dxfId="775">
      <pivotArea dataOnly="0" labelOnly="1" fieldPosition="0">
        <references count="2">
          <reference field="5" count="0" selected="0"/>
          <reference field="6" count="9">
            <x v="4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74">
      <pivotArea dataOnly="0" labelOnly="1" fieldPosition="0">
        <references count="1">
          <reference field="1" count="0"/>
        </references>
      </pivotArea>
    </format>
    <format dxfId="773">
      <pivotArea dataOnly="0" labelOnly="1" grandCol="1" outline="0" fieldPosition="0"/>
    </format>
  </format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8" showRowHeaders="1" showColHeaders="1" showRowStripes="0" showColStripes="0" showLastColumn="1"/>
  <filters count="1">
    <filter fld="6" type="captionGreaterThan" evalOrder="-1" id="1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65BB8B-F6E3-4D7C-879A-92A3C4C30422}" name="Tabela przestawna9" cacheId="54" applyNumberFormats="0" applyBorderFormats="0" applyFontFormats="0" applyPatternFormats="0" applyAlignmentFormats="0" applyWidthHeightFormats="1" dataCaption="Wartości" updatedVersion="8" minRefreshableVersion="3" useAutoFormatting="1" rowGrandTotals="0" colGrandTotals="0" itemPrintTitles="1" createdVersion="8" indent="0" outline="1" outlineData="1" multipleFieldFilters="0" chartFormat="1" rowHeaderCaption="Score value" colHeaderCaption="Category">
  <location ref="Z26:AB35" firstHeaderRow="1" firstDataRow="2" firstDataCol="1"/>
  <pivotFields count="8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>
      <items count="7">
        <item h="1" x="5"/>
        <item x="0"/>
        <item x="2"/>
        <item x="3"/>
        <item h="1" x="4"/>
        <item x="1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axis="axisRow" dataField="1" showAll="0">
      <items count="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</pivotFields>
  <rowFields count="2">
    <field x="6"/>
    <field x="7"/>
  </rowFields>
  <rowItems count="8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1"/>
  </colFields>
  <colItems count="2">
    <i>
      <x/>
    </i>
    <i>
      <x v="1"/>
    </i>
  </colItems>
  <dataFields count="1">
    <dataField name="Score" fld="7" subtotal="countNums" baseField="6" baseItem="0"/>
  </dataFields>
  <formats count="3">
    <format dxfId="788">
      <pivotArea type="origin" dataOnly="0" labelOnly="1" outline="0" fieldPosition="0"/>
    </format>
    <format dxfId="787">
      <pivotArea field="1" type="button" dataOnly="0" labelOnly="1" outline="0" axis="axisCol" fieldPosition="0"/>
    </format>
    <format dxfId="786">
      <pivotArea type="all" dataOnly="0" outline="0" fieldPosition="0"/>
    </format>
  </format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8" showRowHeaders="1" showColHeaders="1" showRowStripes="0" showColStripes="0" showLastColumn="1"/>
  <filters count="1">
    <filter fld="7" type="captionGreaterThan" evalOrder="-1" id="1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4A8452-1C75-4144-83BC-5AE378146162}" name="Tabela przestawna11" cacheId="63" applyNumberFormats="0" applyBorderFormats="0" applyFontFormats="0" applyPatternFormats="0" applyAlignmentFormats="0" applyWidthHeightFormats="1" dataCaption="Wartości" updatedVersion="8" minRefreshableVersion="3" useAutoFormatting="1" rowGrandTotals="0" colGrandTotals="0" itemPrintTitles="1" createdVersion="8" indent="0" outline="1" outlineData="1" multipleFieldFilters="0" chartFormat="1" rowHeaderCaption="Score value" colHeaderCaption="Category">
  <location ref="Z26:AB35" firstHeaderRow="1" firstDataRow="2" firstDataCol="1"/>
  <pivotFields count="7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>
      <items count="7">
        <item h="1" x="5"/>
        <item x="0"/>
        <item x="2"/>
        <item x="3"/>
        <item h="1" x="4"/>
        <item x="1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axis="axisRow" dataField="1" showAll="0">
      <items count="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t="default"/>
      </items>
    </pivotField>
  </pivotFields>
  <rowFields count="2">
    <field x="5"/>
    <field x="6"/>
  </rowFields>
  <rowItems count="8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1"/>
  </colFields>
  <colItems count="2">
    <i>
      <x/>
    </i>
    <i>
      <x v="1"/>
    </i>
  </colItems>
  <dataFields count="1">
    <dataField name="Score" fld="6" subtotal="countNums" baseField="5" baseItem="0"/>
  </dataFields>
  <formats count="2">
    <format dxfId="790">
      <pivotArea type="all" dataOnly="0" outline="0" fieldPosition="0"/>
    </format>
    <format dxfId="789">
      <pivotArea field="1" type="button" dataOnly="0" labelOnly="1" outline="0" axis="axisCol" fieldPosition="0"/>
    </format>
  </format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8" showRowHeaders="1" showColHeaders="1" showRowStripes="0" showColStripes="0" showLastColumn="1"/>
  <filters count="1">
    <filter fld="6" type="captionGreaterThan" evalOrder="-1" id="1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9AA36E-BB3C-410B-9ECD-FE039720B092}" name="Tabela przestawna12" cacheId="76" applyNumberFormats="0" applyBorderFormats="0" applyFontFormats="0" applyPatternFormats="0" applyAlignmentFormats="0" applyWidthHeightFormats="1" dataCaption="Wartości" updatedVersion="8" minRefreshableVersion="3" useAutoFormatting="1" rowGrandTotals="0" colGrandTotals="0" itemPrintTitles="1" createdVersion="8" indent="0" outline="1" outlineData="1" multipleFieldFilters="0" chartFormat="1" rowHeaderCaption="Score value" colHeaderCaption="Category">
  <location ref="Z26:AB35" firstHeaderRow="1" firstDataRow="2" firstDataCol="1"/>
  <pivotFields count="7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>
      <items count="7">
        <item h="1" x="5"/>
        <item x="0"/>
        <item x="2"/>
        <item x="3"/>
        <item h="1" x="4"/>
        <item x="1"/>
        <item t="default"/>
      </items>
    </pivotField>
    <pivotField axis="axisRow" showAll="0">
      <items count="5">
        <item x="0"/>
        <item h="1" x="1"/>
        <item h="1" m="1" x="3"/>
        <item h="1" x="2"/>
        <item t="default"/>
      </items>
    </pivotField>
    <pivotField axis="axisRow" dataField="1" showAll="0">
      <items count="8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t="default"/>
      </items>
    </pivotField>
  </pivotFields>
  <rowFields count="2">
    <field x="5"/>
    <field x="6"/>
  </rowFields>
  <rowItems count="8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1"/>
  </colFields>
  <colItems count="2">
    <i>
      <x/>
    </i>
    <i>
      <x v="1"/>
    </i>
  </colItems>
  <dataFields count="1">
    <dataField name="Score" fld="6" subtotal="countNums" baseField="5" baseItem="0"/>
  </dataFields>
  <formats count="1">
    <format dxfId="768">
      <pivotArea type="all" dataOnly="0" outline="0" fieldPosition="0"/>
    </format>
  </format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8" showRowHeaders="1" showColHeaders="1" showRowStripes="0" showColStripes="0" showLastColumn="1"/>
  <filters count="1">
    <filter fld="6" type="captionGreaterThan" evalOrder="-1" id="1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49163A-B867-4BB1-BA2E-5ACFEE01E975}" name="Tabela przestawna13" cacheId="83" applyNumberFormats="0" applyBorderFormats="0" applyFontFormats="0" applyPatternFormats="0" applyAlignmentFormats="0" applyWidthHeightFormats="1" dataCaption="Wartości" updatedVersion="8" minRefreshableVersion="3" useAutoFormatting="1" rowGrandTotals="0" colGrandTotals="0" itemPrintTitles="1" createdVersion="8" indent="0" outline="1" outlineData="1" multipleFieldFilters="0" chartFormat="1" rowHeaderCaption="Score value" colHeaderCaption="Category">
  <location ref="Z26:AB35" firstHeaderRow="1" firstDataRow="2" firstDataCol="1"/>
  <pivotFields count="8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>
      <items count="7">
        <item h="1" x="5"/>
        <item x="0"/>
        <item x="2"/>
        <item x="3"/>
        <item h="1" x="4"/>
        <item x="1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axis="axisRow" dataField="1" showAll="0">
      <items count="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t="default"/>
      </items>
    </pivotField>
  </pivotFields>
  <rowFields count="2">
    <field x="6"/>
    <field x="7"/>
  </rowFields>
  <rowItems count="8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1"/>
  </colFields>
  <colItems count="2">
    <i>
      <x/>
    </i>
    <i>
      <x v="1"/>
    </i>
  </colItems>
  <dataFields count="1">
    <dataField name="Score" fld="7" subtotal="countNums" baseField="7" baseItem="4"/>
  </dataFields>
  <formats count="1">
    <format dxfId="762">
      <pivotArea type="all" dataOnly="0" outline="0" fieldPosition="0"/>
    </format>
  </format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8" showRowHeaders="1" showColHeaders="1" showRowStripes="0" showColStripes="0" showLastColumn="1"/>
  <filters count="1">
    <filter fld="7" type="captionGreaterThan" evalOrder="-1" id="1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586D34-1D01-424C-88D2-DE343D0F09C7}" name="Tabela przestawna14" cacheId="92" applyNumberFormats="0" applyBorderFormats="0" applyFontFormats="0" applyPatternFormats="0" applyAlignmentFormats="0" applyWidthHeightFormats="1" dataCaption="Wartości" updatedVersion="8" minRefreshableVersion="3" useAutoFormatting="1" rowGrandTotals="0" colGrandTotals="0" itemPrintTitles="1" createdVersion="8" indent="0" outline="1" outlineData="1" multipleFieldFilters="0" chartFormat="1" rowHeaderCaption="Score value" colHeaderCaption="Category">
  <location ref="Z26:AB34" firstHeaderRow="1" firstDataRow="2" firstDataCol="1"/>
  <pivotFields count="7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>
      <items count="7">
        <item x="5"/>
        <item h="1" x="0"/>
        <item h="1" x="2"/>
        <item h="1" x="3"/>
        <item h="1" x="4"/>
        <item h="1" x="1"/>
        <item t="default"/>
      </items>
    </pivotField>
    <pivotField axis="axisRow" showAll="0">
      <items count="4">
        <item h="1" x="0"/>
        <item x="1"/>
        <item h="1" x="2"/>
        <item t="default"/>
      </items>
    </pivotField>
    <pivotField axis="axisRow" dataField="1" showAll="0">
      <items count="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t="default"/>
      </items>
    </pivotField>
  </pivotFields>
  <rowFields count="2">
    <field x="5"/>
    <field x="6"/>
  </rowFields>
  <rowItems count="7">
    <i>
      <x v="1"/>
    </i>
    <i r="1">
      <x v="7"/>
    </i>
    <i r="1">
      <x v="9"/>
    </i>
    <i r="1">
      <x v="10"/>
    </i>
    <i r="1">
      <x v="11"/>
    </i>
    <i r="1">
      <x v="12"/>
    </i>
    <i r="1">
      <x v="14"/>
    </i>
  </rowItems>
  <colFields count="1">
    <field x="1"/>
  </colFields>
  <colItems count="2">
    <i>
      <x/>
    </i>
    <i>
      <x v="1"/>
    </i>
  </colItems>
  <dataFields count="1">
    <dataField name="Liczba z Value" fld="6" subtotal="countNums" baseField="6" baseItem="0"/>
  </dataFields>
  <formats count="11">
    <format dxfId="757">
      <pivotArea type="all" dataOnly="0" outline="0" fieldPosition="0"/>
    </format>
    <format dxfId="756">
      <pivotArea outline="0" collapsedLevelsAreSubtotals="1" fieldPosition="0"/>
    </format>
    <format dxfId="755">
      <pivotArea type="origin" dataOnly="0" labelOnly="1" outline="0" fieldPosition="0"/>
    </format>
    <format dxfId="754">
      <pivotArea field="1" type="button" dataOnly="0" labelOnly="1" outline="0" axis="axisCol" fieldPosition="0"/>
    </format>
    <format dxfId="753">
      <pivotArea type="topRight" dataOnly="0" labelOnly="1" outline="0" fieldPosition="0"/>
    </format>
    <format dxfId="752">
      <pivotArea field="5" type="button" dataOnly="0" labelOnly="1" outline="0" axis="axisRow" fieldPosition="0"/>
    </format>
    <format dxfId="751">
      <pivotArea dataOnly="0" labelOnly="1" fieldPosition="0">
        <references count="1">
          <reference field="5" count="0"/>
        </references>
      </pivotArea>
    </format>
    <format dxfId="750">
      <pivotArea dataOnly="0" labelOnly="1" fieldPosition="0">
        <references count="2">
          <reference field="5" count="1" selected="0">
            <x v="0"/>
          </reference>
          <reference field="6" count="18">
            <x v="0"/>
            <x v="1"/>
            <x v="2"/>
            <x v="3"/>
            <x v="4"/>
            <x v="5"/>
            <x v="6"/>
            <x v="7"/>
            <x v="9"/>
            <x v="10"/>
            <x v="11"/>
            <x v="12"/>
            <x v="13"/>
            <x v="14"/>
            <x v="16"/>
            <x v="17"/>
            <x v="22"/>
            <x v="24"/>
          </reference>
        </references>
      </pivotArea>
    </format>
    <format dxfId="749">
      <pivotArea dataOnly="0" labelOnly="1" fieldPosition="0">
        <references count="2">
          <reference field="5" count="1" selected="0">
            <x v="1"/>
          </reference>
          <reference field="6" count="28">
            <x v="0"/>
            <x v="2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8"/>
            <x v="21"/>
            <x v="26"/>
            <x v="28"/>
            <x v="30"/>
            <x v="31"/>
            <x v="36"/>
            <x v="39"/>
            <x v="40"/>
            <x v="41"/>
            <x v="43"/>
            <x v="44"/>
            <x v="45"/>
            <x v="46"/>
            <x v="51"/>
          </reference>
        </references>
      </pivotArea>
    </format>
    <format dxfId="748">
      <pivotArea dataOnly="0" labelOnly="1" fieldPosition="0">
        <references count="2">
          <reference field="5" count="1" selected="0">
            <x v="2"/>
          </reference>
          <reference field="6" count="36">
            <x v="0"/>
            <x v="2"/>
            <x v="3"/>
            <x v="4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6"/>
            <x v="37"/>
            <x v="39"/>
            <x v="40"/>
            <x v="41"/>
            <x v="42"/>
            <x v="44"/>
            <x v="50"/>
            <x v="55"/>
            <x v="56"/>
            <x v="57"/>
            <x v="58"/>
            <x v="59"/>
            <x v="60"/>
            <x v="63"/>
            <x v="65"/>
            <x v="67"/>
            <x v="68"/>
            <x v="70"/>
          </reference>
        </references>
      </pivotArea>
    </format>
    <format dxfId="747">
      <pivotArea dataOnly="0" labelOnly="1" fieldPosition="0">
        <references count="1">
          <reference field="1" count="0"/>
        </references>
      </pivotArea>
    </format>
  </format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8" showRowHeaders="1" showColHeaders="1" showRowStripes="0" showColStripes="0" showLastColumn="1"/>
  <filters count="1">
    <filter fld="6" type="captionGreaterThan" evalOrder="-1" id="1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123180-EF26-4EAB-832D-7C4F34B2F64D}" name="Tabela przestawna15" cacheId="102" applyNumberFormats="0" applyBorderFormats="0" applyFontFormats="0" applyPatternFormats="0" applyAlignmentFormats="0" applyWidthHeightFormats="1" dataCaption="Wartości" updatedVersion="8" minRefreshableVersion="3" useAutoFormatting="1" rowGrandTotals="0" colGrandTotals="0" itemPrintTitles="1" createdVersion="8" indent="0" outline="1" outlineData="1" multipleFieldFilters="0" chartFormat="1" rowHeaderCaption="Score value" colHeaderCaption="Category">
  <location ref="CX27:CZ36" firstHeaderRow="1" firstDataRow="2" firstDataCol="1"/>
  <pivotFields count="7">
    <pivotField showAll="0"/>
    <pivotField axis="axisCol" showAll="0">
      <items count="3">
        <item x="1"/>
        <item x="0"/>
        <item t="default"/>
      </items>
    </pivotField>
    <pivotField showAll="0"/>
    <pivotField showAll="0">
      <items count="6">
        <item h="1" x="4"/>
        <item h="1" x="3"/>
        <item h="1" x="2"/>
        <item x="0"/>
        <item x="1"/>
        <item t="default"/>
      </items>
    </pivotField>
    <pivotField showAll="0">
      <items count="7">
        <item x="5"/>
        <item h="1" x="0"/>
        <item h="1" x="2"/>
        <item h="1" x="3"/>
        <item h="1" x="4"/>
        <item h="1" x="1"/>
        <item t="default"/>
      </items>
    </pivotField>
    <pivotField axis="axisRow" showAll="0">
      <items count="4">
        <item h="1" x="0"/>
        <item h="1" x="1"/>
        <item x="2"/>
        <item t="default"/>
      </items>
    </pivotField>
    <pivotField axis="axisRow" dataField="1" showAll="0">
      <items count="7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t="default"/>
      </items>
    </pivotField>
  </pivotFields>
  <rowFields count="2">
    <field x="5"/>
    <field x="6"/>
  </rowFields>
  <rowItems count="8">
    <i>
      <x v="2"/>
    </i>
    <i r="1">
      <x v="19"/>
    </i>
    <i r="1">
      <x v="21"/>
    </i>
    <i r="1">
      <x v="22"/>
    </i>
    <i r="1">
      <x v="23"/>
    </i>
    <i r="1">
      <x v="24"/>
    </i>
    <i r="1">
      <x v="25"/>
    </i>
    <i r="1">
      <x v="26"/>
    </i>
  </rowItems>
  <colFields count="1">
    <field x="1"/>
  </colFields>
  <colItems count="2">
    <i>
      <x/>
    </i>
    <i>
      <x v="1"/>
    </i>
  </colItems>
  <dataFields count="1">
    <dataField name="Score" fld="6" subtotal="countNums" baseField="5" baseItem="0"/>
  </dataFields>
  <formats count="1">
    <format dxfId="742">
      <pivotArea type="all" dataOnly="0" outline="0" fieldPosition="0"/>
    </format>
  </format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8" showRowHeaders="1" showColHeaders="1" showRowStripes="0" showColStripes="0" showLastColumn="1"/>
  <filters count="1">
    <filter fld="6" type="captionGreaterThan" evalOrder="-1" id="1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43F27D00-D44C-EA4B-9582-ED04F3F8DBE0}" autoFormatId="16" applyNumberFormats="0" applyBorderFormats="0" applyFontFormats="0" applyPatternFormats="0" applyAlignmentFormats="0" applyWidthHeightFormats="0">
  <queryTableRefresh nextId="31">
    <queryTableFields count="28">
      <queryTableField id="1" name="Rk" tableColumnId="1"/>
      <queryTableField id="2" name="Name" tableColumnId="2"/>
      <queryTableField id="3" name="Category" tableColumnId="3"/>
      <queryTableField id="4" name="Birth_year" tableColumnId="4"/>
      <queryTableField id="5" name="License_number" tableColumnId="5"/>
      <queryTableField id="6" name="Club" tableColumnId="6"/>
      <queryTableField id="29" dataBound="0" tableColumnId="30"/>
      <queryTableField id="7" name="FX_Dscore" tableColumnId="7"/>
      <queryTableField id="8" name="FX_Escore" tableColumnId="8"/>
      <queryTableField id="9" name="FX_Total_Score" tableColumnId="9"/>
      <queryTableField id="10" name="PH_Dscore" tableColumnId="10"/>
      <queryTableField id="11" name="PH_Escore" tableColumnId="11"/>
      <queryTableField id="12" name="PH_Total_Score" tableColumnId="12"/>
      <queryTableField id="13" name="SR_Dscore" tableColumnId="13"/>
      <queryTableField id="14" name="SR_Escore" tableColumnId="14"/>
      <queryTableField id="15" name="SR_Total_Score" tableColumnId="15"/>
      <queryTableField id="16" name="VT_Dscore" tableColumnId="16"/>
      <queryTableField id="17" name="VT_Escore" tableColumnId="17"/>
      <queryTableField id="18" name="VT_total_score" tableColumnId="18"/>
      <queryTableField id="19" name="PB_Dscore" tableColumnId="19"/>
      <queryTableField id="20" name="PB_Escore" tableColumnId="20"/>
      <queryTableField id="21" name="PB_total_score" tableColumnId="21"/>
      <queryTableField id="22" name="HB_Dscore" tableColumnId="22"/>
      <queryTableField id="23" name="HB_Escore" tableColumnId="23"/>
      <queryTableField id="24" name="HB_total_score" tableColumnId="24"/>
      <queryTableField id="28" dataBound="0" tableColumnId="28"/>
      <queryTableField id="27" dataBound="0" tableColumnId="27"/>
      <queryTableField id="25" name="Total_Score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2873D154-82F5-4709-AECE-4B0CE134B92F}" autoFormatId="16" applyNumberFormats="0" applyBorderFormats="0" applyFontFormats="0" applyPatternFormats="0" applyAlignmentFormats="0" applyWidthHeightFormats="0">
  <queryTableRefresh nextId="10">
    <queryTableFields count="9">
      <queryTableField id="1" name="Name" tableColumnId="1"/>
      <queryTableField id="2" name="Category" tableColumnId="2"/>
      <queryTableField id="3" name="Birth_year" tableColumnId="3"/>
      <queryTableField id="4" name="Club" tableColumnId="4"/>
      <queryTableField id="5" name="All Around" tableColumnId="5"/>
      <queryTableField id="9" dataBound="0" tableColumnId="9"/>
      <queryTableField id="8" dataBound="0" tableColumnId="8"/>
      <queryTableField id="6" name="Atrybut" tableColumnId="6"/>
      <queryTableField id="7" name="Wartość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2" xr16:uid="{4CB61875-A262-0B48-9C46-CDB0C1E6EAFD}" autoFormatId="16" applyNumberFormats="0" applyBorderFormats="0" applyFontFormats="0" applyPatternFormats="0" applyAlignmentFormats="0" applyWidthHeightFormats="0">
  <queryTableRefresh nextId="31">
    <queryTableFields count="28">
      <queryTableField id="1" name="Rk" tableColumnId="1"/>
      <queryTableField id="2" name="Name" tableColumnId="2"/>
      <queryTableField id="3" name="Category" tableColumnId="3"/>
      <queryTableField id="4" name="Birth_year" tableColumnId="4"/>
      <queryTableField id="5" name="License_number" tableColumnId="5"/>
      <queryTableField id="6" name="Club" tableColumnId="6"/>
      <queryTableField id="30" dataBound="0" tableColumnId="30"/>
      <queryTableField id="7" name="FX_Dscore" tableColumnId="7"/>
      <queryTableField id="8" name="FX_Escore" tableColumnId="8"/>
      <queryTableField id="9" name="FX_total_score" tableColumnId="9"/>
      <queryTableField id="10" name="PH_Dscore" tableColumnId="10"/>
      <queryTableField id="11" name="PH_Escore" tableColumnId="11"/>
      <queryTableField id="12" name="PH_Total_Score" tableColumnId="12"/>
      <queryTableField id="13" name="SR_Dscore" tableColumnId="13"/>
      <queryTableField id="14" name="SR_Escore" tableColumnId="14"/>
      <queryTableField id="15" name="SR_Total_Score" tableColumnId="15"/>
      <queryTableField id="16" name="VT_Dscore" tableColumnId="16"/>
      <queryTableField id="17" name="VT_Escore" tableColumnId="17"/>
      <queryTableField id="18" name="VT_total_score" tableColumnId="18"/>
      <queryTableField id="19" name="PB_Dscore" tableColumnId="19"/>
      <queryTableField id="20" name="PB_Escore" tableColumnId="20"/>
      <queryTableField id="21" name="PB_total_score" tableColumnId="21"/>
      <queryTableField id="22" name="HB_Dscore" tableColumnId="22"/>
      <queryTableField id="23" name="HB_Escore" tableColumnId="23"/>
      <queryTableField id="24" name="HB_total_score" tableColumnId="24"/>
      <queryTableField id="29" dataBound="0" tableColumnId="28"/>
      <queryTableField id="28" dataBound="0" tableColumnId="29"/>
      <queryTableField id="25" name="Total_Score" tableColumnId="2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4" xr16:uid="{9E21ACBD-CB28-4D55-9C33-170FEA783132}" autoFormatId="16" applyNumberFormats="0" applyBorderFormats="0" applyFontFormats="0" applyPatternFormats="0" applyAlignmentFormats="0" applyWidthHeightFormats="0">
  <queryTableRefresh nextId="10">
    <queryTableFields count="9">
      <queryTableField id="1" name="Name" tableColumnId="1"/>
      <queryTableField id="2" name="Category" tableColumnId="2"/>
      <queryTableField id="3" name="Birth_year" tableColumnId="3"/>
      <queryTableField id="4" name="Club" tableColumnId="4"/>
      <queryTableField id="8" dataBound="0" tableColumnId="8"/>
      <queryTableField id="5" name="All Around" tableColumnId="5"/>
      <queryTableField id="9" dataBound="0" tableColumnId="9"/>
      <queryTableField id="6" name="Atrybut" tableColumnId="6"/>
      <queryTableField id="7" name="Wartość" tableColumnId="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2" xr16:uid="{705641A3-302C-A24C-A71A-685F4B10771D}" autoFormatId="16" applyNumberFormats="0" applyBorderFormats="0" applyFontFormats="0" applyPatternFormats="0" applyAlignmentFormats="0" applyWidthHeightFormats="0">
  <queryTableRefresh nextId="30">
    <queryTableFields count="28">
      <queryTableField id="1" name="Rk" tableColumnId="1"/>
      <queryTableField id="2" name="Name" tableColumnId="2"/>
      <queryTableField id="3" name="Category" tableColumnId="3"/>
      <queryTableField id="4" name="Birth_year" tableColumnId="4"/>
      <queryTableField id="5" name="License_number" tableColumnId="5"/>
      <queryTableField id="6" name="Club" tableColumnId="6"/>
      <queryTableField id="29" dataBound="0" tableColumnId="29"/>
      <queryTableField id="7" name="FX_Dscore" tableColumnId="7"/>
      <queryTableField id="8" name="FX_Escore" tableColumnId="8"/>
      <queryTableField id="9" name="FX_total_score" tableColumnId="9"/>
      <queryTableField id="10" name="PH_Dscore" tableColumnId="10"/>
      <queryTableField id="11" name="PH_Escore" tableColumnId="11"/>
      <queryTableField id="12" name="PH_Total_Score" tableColumnId="12"/>
      <queryTableField id="13" name="SR_Dscore" tableColumnId="13"/>
      <queryTableField id="14" name="SR_Escore" tableColumnId="14"/>
      <queryTableField id="15" name="SR_Total_Score" tableColumnId="15"/>
      <queryTableField id="16" name="VT_Dscore" tableColumnId="16"/>
      <queryTableField id="17" name="VT_Escore" tableColumnId="17"/>
      <queryTableField id="18" name="VT_total_score" tableColumnId="18"/>
      <queryTableField id="19" name="PB_Dscore" tableColumnId="19"/>
      <queryTableField id="20" name="PB_Escore" tableColumnId="20"/>
      <queryTableField id="21" name="PB_total_score" tableColumnId="21"/>
      <queryTableField id="22" name="HB_Dscore" tableColumnId="22"/>
      <queryTableField id="23" name="HB_Escore" tableColumnId="23"/>
      <queryTableField id="24" name="HB_total_score" tableColumnId="24"/>
      <queryTableField id="28" dataBound="0" tableColumnId="27"/>
      <queryTableField id="27" dataBound="0" tableColumnId="28"/>
      <queryTableField id="25" name="Total_Score" tableColumnId="2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36AB70C7-C5AD-4138-B705-447FFA79A2E1}" autoFormatId="16" applyNumberFormats="0" applyBorderFormats="0" applyFontFormats="0" applyPatternFormats="0" applyAlignmentFormats="0" applyWidthHeightFormats="0">
  <queryTableRefresh nextId="10">
    <queryTableFields count="9">
      <queryTableField id="1" name="Name" tableColumnId="1"/>
      <queryTableField id="2" name="Category" tableColumnId="2"/>
      <queryTableField id="3" name="Birth_year" tableColumnId="3"/>
      <queryTableField id="4" name="Club" tableColumnId="4"/>
      <queryTableField id="9" dataBound="0" tableColumnId="9"/>
      <queryTableField id="5" name="All Around" tableColumnId="5"/>
      <queryTableField id="8" dataBound="0" tableColumnId="8"/>
      <queryTableField id="6" name="Atrybut" tableColumnId="6"/>
      <queryTableField id="7" name="Wartość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6" xr16:uid="{EF69C0F8-E139-5D4B-8558-22ACA44A6D60}" autoFormatId="16" applyNumberFormats="0" applyBorderFormats="0" applyFontFormats="0" applyPatternFormats="0" applyAlignmentFormats="0" applyWidthHeightFormats="0">
  <queryTableRefresh nextId="30">
    <queryTableFields count="28">
      <queryTableField id="1" name="Rk" tableColumnId="1"/>
      <queryTableField id="2" name="Name" tableColumnId="2"/>
      <queryTableField id="3" name="Category" tableColumnId="3"/>
      <queryTableField id="4" name="Birth_year" tableColumnId="4"/>
      <queryTableField id="5" name="License_number" tableColumnId="5"/>
      <queryTableField id="6" name="Club" tableColumnId="6"/>
      <queryTableField id="29" dataBound="0" tableColumnId="29"/>
      <queryTableField id="7" name="FX_Dscore" tableColumnId="7"/>
      <queryTableField id="8" name="FX_Escore" tableColumnId="8"/>
      <queryTableField id="9" name="FX_total_score" tableColumnId="9"/>
      <queryTableField id="10" name="PH_Dscore" tableColumnId="10"/>
      <queryTableField id="11" name="PH_Escore" tableColumnId="11"/>
      <queryTableField id="12" name="PH_Total_Score" tableColumnId="12"/>
      <queryTableField id="13" name="SR_Dscore" tableColumnId="13"/>
      <queryTableField id="14" name="SR_Escore" tableColumnId="14"/>
      <queryTableField id="15" name="SR_Total_Score" tableColumnId="15"/>
      <queryTableField id="16" name="VT_Dscore" tableColumnId="16"/>
      <queryTableField id="17" name="VT_Escore" tableColumnId="17"/>
      <queryTableField id="18" name="VT_total_score" tableColumnId="18"/>
      <queryTableField id="19" name="PB_Dscore" tableColumnId="19"/>
      <queryTableField id="20" name="PB_Escore" tableColumnId="20"/>
      <queryTableField id="21" name="PB_total_score" tableColumnId="21"/>
      <queryTableField id="22" name="HB_Dscore" tableColumnId="22"/>
      <queryTableField id="23" name="HB_Escore" tableColumnId="23"/>
      <queryTableField id="24" name="HB_total_score" tableColumnId="24"/>
      <queryTableField id="28" dataBound="0" tableColumnId="27"/>
      <queryTableField id="27" dataBound="0" tableColumnId="28"/>
      <queryTableField id="25" name="Total_Score" tableColumnId="2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8" xr16:uid="{B5E19BB6-EF6C-4FF7-A207-CF5E76E570EB}" autoFormatId="16" applyNumberFormats="0" applyBorderFormats="0" applyFontFormats="0" applyPatternFormats="0" applyAlignmentFormats="0" applyWidthHeightFormats="0">
  <queryTableRefresh nextId="12">
    <queryTableFields count="9">
      <queryTableField id="1" name="Name" tableColumnId="1"/>
      <queryTableField id="2" name="Category" tableColumnId="2"/>
      <queryTableField id="3" name="Birth_year" tableColumnId="3"/>
      <queryTableField id="4" name="Club" tableColumnId="4"/>
      <queryTableField id="5" name="All Around" tableColumnId="5"/>
      <queryTableField id="9" dataBound="0" tableColumnId="9"/>
      <queryTableField id="8" dataBound="0" tableColumnId="8"/>
      <queryTableField id="6" name="Atrybut" tableColumnId="6"/>
      <queryTableField id="7" name="Wartość" tableColumnId="7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F5F7F399-D524-8A40-98D7-F7A1A044CF29}" autoFormatId="16" applyNumberFormats="0" applyBorderFormats="0" applyFontFormats="0" applyPatternFormats="0" applyAlignmentFormats="0" applyWidthHeightFormats="0">
  <queryTableRefresh nextId="25" unboundColumnsRight="6">
    <queryTableFields count="23">
      <queryTableField id="1" name="Name" tableColumnId="1"/>
      <queryTableField id="2" name="Category" tableColumnId="2"/>
      <queryTableField id="3" name="License_number" tableColumnId="3"/>
      <queryTableField id="4" name="Club" tableColumnId="4"/>
      <queryTableField id="20" dataBound="0" tableColumnId="20"/>
      <queryTableField id="5" name="bydgoszcz_FX_Dscore" tableColumnId="5"/>
      <queryTableField id="6" name="bydgoszcz_FX_Escore" tableColumnId="6"/>
      <queryTableField id="7" name="bydgoszcz_FX_Total_Score" tableColumnId="7"/>
      <queryTableField id="8" name="zabrze_FX_Dscore" tableColumnId="8"/>
      <queryTableField id="9" name="zabrze_FX_Escore" tableColumnId="9"/>
      <queryTableField id="10" name="zabrze_FX_Total_Score" tableColumnId="10"/>
      <queryTableField id="11" name="cracow_FX_Dscore" tableColumnId="11"/>
      <queryTableField id="12" name="cracow_FX_Escore" tableColumnId="12"/>
      <queryTableField id="13" name="cracow_FX_Total_Score" tableColumnId="13"/>
      <queryTableField id="14" name="gdansk_FX_Dscore" tableColumnId="14"/>
      <queryTableField id="15" name="gdansk_FX_Escore" tableColumnId="15"/>
      <queryTableField id="16" name="gdansk_FX_Total_Score" tableColumnId="16"/>
      <queryTableField id="17" dataBound="0" tableColumnId="17"/>
      <queryTableField id="18" dataBound="0" tableColumnId="18"/>
      <queryTableField id="19" dataBound="0" tableColumnId="19"/>
      <queryTableField id="21" dataBound="0" tableColumnId="21"/>
      <queryTableField id="22" dataBound="0" tableColumnId="22"/>
      <queryTableField id="23" dataBound="0" tableColumnId="23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5" xr16:uid="{50C1BA00-D3A5-4847-AAC5-AF7B9D28E92C}" autoFormatId="16" applyNumberFormats="0" applyBorderFormats="0" applyFontFormats="0" applyPatternFormats="0" applyAlignmentFormats="0" applyWidthHeightFormats="0">
  <queryTableRefresh nextId="10">
    <queryTableFields count="7">
      <queryTableField id="1" name="Name" tableColumnId="1"/>
      <queryTableField id="2" name="Category" tableColumnId="2"/>
      <queryTableField id="3" name="Club" tableColumnId="3"/>
      <queryTableField id="4" name="Number_of_competition" tableColumnId="4"/>
      <queryTableField id="5" name="Score Type" tableColumnId="5"/>
      <queryTableField id="8" dataBound="0" tableColumnId="8"/>
      <queryTableField id="6" name="Value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6" xr16:uid="{4FE8CC85-9C97-4146-9178-012ACA0752DE}" autoFormatId="16" applyNumberFormats="0" applyBorderFormats="0" applyFontFormats="0" applyPatternFormats="0" applyAlignmentFormats="0" applyWidthHeightFormats="0">
  <queryTableRefresh nextId="26" unboundColumnsRight="6">
    <queryTableFields count="23">
      <queryTableField id="1" name="Name" tableColumnId="1"/>
      <queryTableField id="2" name="Category" tableColumnId="2"/>
      <queryTableField id="3" name="License_number" tableColumnId="3"/>
      <queryTableField id="4" name="Club" tableColumnId="4"/>
      <queryTableField id="20" dataBound="0" tableColumnId="20"/>
      <queryTableField id="5" name="bydgoszcz_PH_Dscore" tableColumnId="5"/>
      <queryTableField id="6" name="bydgoszcz_PH_Escore" tableColumnId="6"/>
      <queryTableField id="7" name="bydgoszcz_PH_Total_Score" tableColumnId="7"/>
      <queryTableField id="8" name="zabrze_PH_Dscore" tableColumnId="8"/>
      <queryTableField id="9" name="zabrze_PH_Escore" tableColumnId="9"/>
      <queryTableField id="10" name="zabrze_PH_Total_Score" tableColumnId="10"/>
      <queryTableField id="11" name="cracow_PH_Dscore" tableColumnId="11"/>
      <queryTableField id="12" name="cracow_PH_Escore" tableColumnId="12"/>
      <queryTableField id="13" name="cracow_PH_Total_Score" tableColumnId="13"/>
      <queryTableField id="14" name="gdansk_PH_Dscore" tableColumnId="14"/>
      <queryTableField id="15" name="gdansk_PH_Escore" tableColumnId="15"/>
      <queryTableField id="16" name="gdansk_PH_Total_Score" tableColumnId="16"/>
      <queryTableField id="17" dataBound="0" tableColumnId="17"/>
      <queryTableField id="18" dataBound="0" tableColumnId="18"/>
      <queryTableField id="19" dataBound="0" tableColumnId="19"/>
      <queryTableField id="21" dataBound="0" tableColumnId="21"/>
      <queryTableField id="22" dataBound="0" tableColumnId="22"/>
      <queryTableField id="23" dataBound="0" tableColumnId="23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5" xr16:uid="{423CF1D3-B2DC-44E9-8F37-96BD6928CB45}" autoFormatId="16" applyNumberFormats="0" applyBorderFormats="0" applyFontFormats="0" applyPatternFormats="0" applyAlignmentFormats="0" applyWidthHeightFormats="0">
  <queryTableRefresh nextId="14">
    <queryTableFields count="8">
      <queryTableField id="1" name="Name" tableColumnId="1"/>
      <queryTableField id="2" name="Category" tableColumnId="2"/>
      <queryTableField id="3" name="License_number" tableColumnId="3"/>
      <queryTableField id="4" name="Club" tableColumnId="4"/>
      <queryTableField id="5" name="Number_of_Competition" tableColumnId="5"/>
      <queryTableField id="6" dataBound="0" tableColumnId="6"/>
      <queryTableField id="11" dataBound="0" tableColumnId="10"/>
      <queryTableField id="7" name="Wartość" tableColumnId="7"/>
    </queryTableFields>
    <queryTableDeletedFields count="1">
      <deletedField name="Atrybut"/>
    </queryTableDeleted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8" xr16:uid="{E4F10D1F-E2E4-BB44-AE56-4F37E492C640}" autoFormatId="16" applyNumberFormats="0" applyBorderFormats="0" applyFontFormats="0" applyPatternFormats="0" applyAlignmentFormats="0" applyWidthHeightFormats="0">
  <queryTableRefresh nextId="24" unboundColumnsRight="6">
    <queryTableFields count="23">
      <queryTableField id="1" name="Name" tableColumnId="1"/>
      <queryTableField id="2" name="Category" tableColumnId="2"/>
      <queryTableField id="3" name="License_number" tableColumnId="3"/>
      <queryTableField id="4" name="Club" tableColumnId="4"/>
      <queryTableField id="20" dataBound="0" tableColumnId="20"/>
      <queryTableField id="5" name="bydgoszcz_SR_Dscore" tableColumnId="5"/>
      <queryTableField id="6" name="bydgoszcz_SR_Escore" tableColumnId="6"/>
      <queryTableField id="7" name="bydgoszcz_SR_Total_Score" tableColumnId="7"/>
      <queryTableField id="8" name="zabrze_SR_Dscore" tableColumnId="8"/>
      <queryTableField id="9" name="zabrze_SR_Escore" tableColumnId="9"/>
      <queryTableField id="10" name="zabrze_SR_Total_Score" tableColumnId="10"/>
      <queryTableField id="11" name="cracow_SR_Dscore" tableColumnId="11"/>
      <queryTableField id="12" name="cracow_SR_Escore" tableColumnId="12"/>
      <queryTableField id="13" name="cracow_SR_Total_Score" tableColumnId="13"/>
      <queryTableField id="14" name="gdansk_SR_Dscore" tableColumnId="14"/>
      <queryTableField id="15" name="gdansk_SR_Escore" tableColumnId="15"/>
      <queryTableField id="16" name="gdansk_SR_Total_Score" tableColumnId="16"/>
      <queryTableField id="17" dataBound="0" tableColumnId="17"/>
      <queryTableField id="18" dataBound="0" tableColumnId="18"/>
      <queryTableField id="19" dataBound="0" tableColumnId="19"/>
      <queryTableField id="21" dataBound="0" tableColumnId="21"/>
      <queryTableField id="22" dataBound="0" tableColumnId="22"/>
      <queryTableField id="23" dataBound="0" tableColumnId="23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7" xr16:uid="{6D08E33C-E69E-4467-AA34-D50154ADD2BA}" autoFormatId="16" applyNumberFormats="0" applyBorderFormats="0" applyFontFormats="0" applyPatternFormats="0" applyAlignmentFormats="0" applyWidthHeightFormats="0">
  <queryTableRefresh nextId="12">
    <queryTableFields count="7">
      <queryTableField id="1" name="Name" tableColumnId="1"/>
      <queryTableField id="2" name="Category" tableColumnId="2"/>
      <queryTableField id="3" name="Club" tableColumnId="3"/>
      <queryTableField id="4" name="Number_of_competition" tableColumnId="4"/>
      <queryTableField id="7" dataBound="0" tableColumnId="7"/>
      <queryTableField id="10" dataBound="0" tableColumnId="9"/>
      <queryTableField id="6" name="Value" tableColumnId="6"/>
    </queryTableFields>
    <queryTableDeletedFields count="1">
      <deletedField name="Score"/>
    </queryTableDeleted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9" xr16:uid="{93B646AE-B4DB-C447-B6F8-AFB6E4BCBA3D}" autoFormatId="16" applyNumberFormats="0" applyBorderFormats="0" applyFontFormats="0" applyPatternFormats="0" applyAlignmentFormats="0" applyWidthHeightFormats="0">
  <queryTableRefresh nextId="24" unboundColumnsRight="6">
    <queryTableFields count="23">
      <queryTableField id="1" name="Name" tableColumnId="1"/>
      <queryTableField id="2" name="Category" tableColumnId="2"/>
      <queryTableField id="3" name="License_number" tableColumnId="3"/>
      <queryTableField id="4" name="Club" tableColumnId="4"/>
      <queryTableField id="20" dataBound="0" tableColumnId="20"/>
      <queryTableField id="5" name="bydgoszcz_VT_Dscore" tableColumnId="5"/>
      <queryTableField id="6" name="bydgoszcz_VT_Escore" tableColumnId="6"/>
      <queryTableField id="7" name="bydgoszcz_VT_Total_Score" tableColumnId="7"/>
      <queryTableField id="8" name="zabrze_VT_Dscore" tableColumnId="8"/>
      <queryTableField id="9" name="zabrze_VT_Escore" tableColumnId="9"/>
      <queryTableField id="10" name="zabrze_VT_Total_Score" tableColumnId="10"/>
      <queryTableField id="11" name="cracow_VT_Dscore" tableColumnId="11"/>
      <queryTableField id="12" name="cracow_VT_Escore" tableColumnId="12"/>
      <queryTableField id="13" name="cracow_VT_Total_Score" tableColumnId="13"/>
      <queryTableField id="14" name="gdansk_VT_Dscore" tableColumnId="14"/>
      <queryTableField id="15" name="gdansk_VT_Escore" tableColumnId="15"/>
      <queryTableField id="16" name="gdansk_VT_Total_Score" tableColumnId="16"/>
      <queryTableField id="17" dataBound="0" tableColumnId="17"/>
      <queryTableField id="18" dataBound="0" tableColumnId="18"/>
      <queryTableField id="19" dataBound="0" tableColumnId="19"/>
      <queryTableField id="21" dataBound="0" tableColumnId="21"/>
      <queryTableField id="22" dataBound="0" tableColumnId="22"/>
      <queryTableField id="23" dataBound="0" tableColumnId="23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1" xr16:uid="{0CCB8DA7-A03D-49C6-B1D5-65A8FFDB7539}" autoFormatId="16" applyNumberFormats="0" applyBorderFormats="0" applyFontFormats="0" applyPatternFormats="0" applyAlignmentFormats="0" applyWidthHeightFormats="0">
  <queryTableRefresh nextId="10">
    <queryTableFields count="7">
      <queryTableField id="1" name="Name" tableColumnId="1"/>
      <queryTableField id="2" name="Category" tableColumnId="2"/>
      <queryTableField id="3" name="Club" tableColumnId="3"/>
      <queryTableField id="4" name="Number_of_competition" tableColumnId="4"/>
      <queryTableField id="7" dataBound="0" tableColumnId="7"/>
      <queryTableField id="9" dataBound="0" tableColumnId="8"/>
      <queryTableField id="6" name="Wartość" tableColumnId="6"/>
    </queryTableFields>
    <queryTableDeletedFields count="1">
      <deletedField name="Atrybut"/>
    </queryTableDeleted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3" xr16:uid="{FC501E9C-351A-1943-B9F3-F233C1DC8766}" autoFormatId="16" applyNumberFormats="0" applyBorderFormats="0" applyFontFormats="0" applyPatternFormats="0" applyAlignmentFormats="0" applyWidthHeightFormats="0">
  <queryTableRefresh nextId="24" unboundColumnsRight="6">
    <queryTableFields count="23">
      <queryTableField id="1" name="Name" tableColumnId="1"/>
      <queryTableField id="2" name="Category" tableColumnId="2"/>
      <queryTableField id="3" name="License_number" tableColumnId="3"/>
      <queryTableField id="4" name="Club" tableColumnId="4"/>
      <queryTableField id="20" dataBound="0" tableColumnId="20"/>
      <queryTableField id="5" name="bydgoszcz_PB_Dscore" tableColumnId="5"/>
      <queryTableField id="6" name="bydgoszcz_PB_Escore" tableColumnId="6"/>
      <queryTableField id="7" name="bydgoszcz_PB_Total_Score" tableColumnId="7"/>
      <queryTableField id="8" name="zabrze_PB_Dscore" tableColumnId="8"/>
      <queryTableField id="9" name="zabrze_PB_Escore" tableColumnId="9"/>
      <queryTableField id="10" name="zabrze_PB_Total_Score" tableColumnId="10"/>
      <queryTableField id="11" name="cracow_PB_Dscore" tableColumnId="11"/>
      <queryTableField id="12" name="cracow_PB_Escore" tableColumnId="12"/>
      <queryTableField id="13" name="cracow_PB_Total_Score" tableColumnId="13"/>
      <queryTableField id="14" name="gdansk_PB_Dscore" tableColumnId="14"/>
      <queryTableField id="15" name="gdansk_PB_Escore" tableColumnId="15"/>
      <queryTableField id="16" name="gdansk_PB_Total_Score" tableColumnId="16"/>
      <queryTableField id="17" dataBound="0" tableColumnId="17"/>
      <queryTableField id="18" dataBound="0" tableColumnId="18"/>
      <queryTableField id="19" dataBound="0" tableColumnId="19"/>
      <queryTableField id="21" dataBound="0" tableColumnId="21"/>
      <queryTableField id="22" dataBound="0" tableColumnId="22"/>
      <queryTableField id="23" dataBound="0" tableColumnId="23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4" xr16:uid="{072D7A58-690F-492C-A977-E404B3E4297A}" autoFormatId="16" applyNumberFormats="0" applyBorderFormats="0" applyFontFormats="0" applyPatternFormats="0" applyAlignmentFormats="0" applyWidthHeightFormats="0">
  <queryTableRefresh nextId="11">
    <queryTableFields count="8">
      <queryTableField id="1" name="Name" tableColumnId="1"/>
      <queryTableField id="2" name="Category" tableColumnId="2"/>
      <queryTableField id="3" name="License_number" tableColumnId="3"/>
      <queryTableField id="4" name="Club" tableColumnId="4"/>
      <queryTableField id="5" name="Number_of_competition" tableColumnId="5"/>
      <queryTableField id="10" dataBound="0" tableColumnId="10"/>
      <queryTableField id="9" dataBound="0" tableColumnId="9"/>
      <queryTableField id="7" name="Value" tableColumnId="7"/>
    </queryTableFields>
    <queryTableDeletedFields count="1">
      <deletedField name="Score"/>
    </queryTableDeleted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0" xr16:uid="{7C6AA0D9-1A62-2A47-85F0-4D8F56C2EF0D}" autoFormatId="16" applyNumberFormats="0" applyBorderFormats="0" applyFontFormats="0" applyPatternFormats="0" applyAlignmentFormats="0" applyWidthHeightFormats="0">
  <queryTableRefresh nextId="24" unboundColumnsRight="6">
    <queryTableFields count="23">
      <queryTableField id="1" name="Name" tableColumnId="1"/>
      <queryTableField id="2" name="Category" tableColumnId="2"/>
      <queryTableField id="3" name="License_number" tableColumnId="3"/>
      <queryTableField id="4" name="Club" tableColumnId="4"/>
      <queryTableField id="20" dataBound="0" tableColumnId="20"/>
      <queryTableField id="5" name="bydgoszcz_HB_Dscore" tableColumnId="5"/>
      <queryTableField id="6" name="bydgoszcz_HB_Escore" tableColumnId="6"/>
      <queryTableField id="7" name="bydgoszcz_HB_Total_Score" tableColumnId="7"/>
      <queryTableField id="8" name="zabrze_HB_Dscore" tableColumnId="8"/>
      <queryTableField id="9" name="zabrze_HB_Escore" tableColumnId="9"/>
      <queryTableField id="10" name="zabrze_HB_Total_Score" tableColumnId="10"/>
      <queryTableField id="11" name="cracow_HB_Dscore" tableColumnId="11"/>
      <queryTableField id="12" name="cracow_HB_Escore" tableColumnId="12"/>
      <queryTableField id="13" name="cracow_HB_Total_Score" tableColumnId="13"/>
      <queryTableField id="14" name="gdansk_HB_Dscore" tableColumnId="14"/>
      <queryTableField id="15" name="gdansk_HB_Escore" tableColumnId="15"/>
      <queryTableField id="16" name="gdansk_HB_Total_Score" tableColumnId="16"/>
      <queryTableField id="17" dataBound="0" tableColumnId="17"/>
      <queryTableField id="18" dataBound="0" tableColumnId="18"/>
      <queryTableField id="19" dataBound="0" tableColumnId="19"/>
      <queryTableField id="21" dataBound="0" tableColumnId="21"/>
      <queryTableField id="22" dataBound="0" tableColumnId="22"/>
      <queryTableField id="23" dataBound="0" tableColumnId="23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9" xr16:uid="{62501D3F-1432-45D1-A1A4-6FE10BB52BF9}" autoFormatId="16" applyNumberFormats="0" applyBorderFormats="0" applyFontFormats="0" applyPatternFormats="0" applyAlignmentFormats="0" applyWidthHeightFormats="0">
  <queryTableRefresh nextId="11">
    <queryTableFields count="7">
      <queryTableField id="1" name="Name" tableColumnId="1"/>
      <queryTableField id="2" name="Category" tableColumnId="2"/>
      <queryTableField id="3" name="Club" tableColumnId="3"/>
      <queryTableField id="4" name="Number_of_competition" tableColumnId="4"/>
      <queryTableField id="10" dataBound="0" tableColumnId="10"/>
      <queryTableField id="9" dataBound="0" tableColumnId="8"/>
      <queryTableField id="6" name="Wartość" tableColumnId="6"/>
    </queryTableFields>
    <queryTableDeletedFields count="1">
      <deletedField name="Atrybut"/>
    </queryTableDeleted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FF57AECD-6497-264A-8ADC-284F5DE0BF13}" autoFormatId="16" applyNumberFormats="0" applyBorderFormats="0" applyFontFormats="0" applyPatternFormats="0" applyAlignmentFormats="0" applyWidthHeightFormats="0">
  <queryTableRefresh nextId="105" unboundColumnsRight="10">
    <queryTableFields count="99">
      <queryTableField id="1" name="Name" tableColumnId="1"/>
      <queryTableField id="2" name="Category" tableColumnId="2"/>
      <queryTableField id="3" name="License_number" tableColumnId="3"/>
      <queryTableField id="4" name="Club" tableColumnId="4"/>
      <queryTableField id="100" dataBound="0" tableColumnId="77"/>
      <queryTableField id="5" name="bydgoszcz_FX_Dscore" tableColumnId="5"/>
      <queryTableField id="6" name="bydgoszcz_FX_Escore" tableColumnId="6"/>
      <queryTableField id="7" name="bydgoszcz_FX_Total_Score" tableColumnId="7"/>
      <queryTableField id="8" name="bydgoszcz_PH_Dscore" tableColumnId="8"/>
      <queryTableField id="9" name="bydgoszcz_PH_Escore" tableColumnId="9"/>
      <queryTableField id="10" name="bydgoszcz_PH_Total_Score" tableColumnId="10"/>
      <queryTableField id="11" name="bydgoszcz_SR_Dscore" tableColumnId="11"/>
      <queryTableField id="12" name="bydgoszcz_SR_Escore" tableColumnId="12"/>
      <queryTableField id="13" name="bydgoszcz_SR_Total_Score" tableColumnId="13"/>
      <queryTableField id="14" name="bydgoszcz_VT_Dscore" tableColumnId="14"/>
      <queryTableField id="15" name="bydgoszcz_VT_Escore" tableColumnId="15"/>
      <queryTableField id="16" name="bydgoszcz_VT_Total_Score" tableColumnId="16"/>
      <queryTableField id="17" name="bydgoszcz_PB_Dscore" tableColumnId="17"/>
      <queryTableField id="18" name="bydgoszcz_PB_Escore" tableColumnId="18"/>
      <queryTableField id="19" name="bydgoszcz_PB_Total_Score" tableColumnId="19"/>
      <queryTableField id="20" name="bydgoszcz_HB_Dscore" tableColumnId="20"/>
      <queryTableField id="21" name="bydgoszcz_HB_Escore" tableColumnId="21"/>
      <queryTableField id="22" name="bydgoszcz_HB_Total_Score" tableColumnId="22"/>
      <queryTableField id="87" dataBound="0" tableColumnId="92"/>
      <queryTableField id="86" dataBound="0" tableColumnId="91"/>
      <queryTableField id="78" dataBound="0" tableColumnId="79"/>
      <queryTableField id="101" dataBound="0" tableColumnId="78"/>
      <queryTableField id="23" name="zabrze_FX_Dscore" tableColumnId="23"/>
      <queryTableField id="24" name="zabrze_FX_Escore" tableColumnId="24"/>
      <queryTableField id="25" name="zabrze_FX_Total_Score" tableColumnId="25"/>
      <queryTableField id="26" name="zabrze_PH_Dscore" tableColumnId="26"/>
      <queryTableField id="27" name="zabrze_PH_Escore" tableColumnId="27"/>
      <queryTableField id="28" name="zabrze_PH_Total_Score" tableColumnId="28"/>
      <queryTableField id="29" name="zabrze_SR_Dscore" tableColumnId="29"/>
      <queryTableField id="30" name="zabrze_SR_Escore" tableColumnId="30"/>
      <queryTableField id="31" name="zabrze_SR_Total_Score" tableColumnId="31"/>
      <queryTableField id="32" name="zabrze_VT_Dscore" tableColumnId="32"/>
      <queryTableField id="33" name="zabrze_VT_Escore" tableColumnId="33"/>
      <queryTableField id="34" name="zabrze_VT_Total_Score" tableColumnId="34"/>
      <queryTableField id="35" name="zabrze_PB_Dscore" tableColumnId="35"/>
      <queryTableField id="36" name="zabrze_PB_Escore" tableColumnId="36"/>
      <queryTableField id="37" name="zabrze_PB_Total_Score" tableColumnId="37"/>
      <queryTableField id="38" name="zabrze_HB_Dscore" tableColumnId="38"/>
      <queryTableField id="39" name="zabrze_HB_Escore" tableColumnId="39"/>
      <queryTableField id="40" name="zabrze_HB_Total_Score" tableColumnId="40"/>
      <queryTableField id="89" dataBound="0" tableColumnId="94"/>
      <queryTableField id="88" dataBound="0" tableColumnId="93"/>
      <queryTableField id="80" dataBound="0" tableColumnId="81"/>
      <queryTableField id="103" dataBound="0" tableColumnId="87"/>
      <queryTableField id="41" name="cracow_FX_Dscore" tableColumnId="41"/>
      <queryTableField id="42" name="cracow_FX_Escore" tableColumnId="42"/>
      <queryTableField id="43" name="cracow_FX_Total_Score" tableColumnId="43"/>
      <queryTableField id="44" name="cracow_PH_Dscore" tableColumnId="44"/>
      <queryTableField id="45" name="cracow_PH_Escore" tableColumnId="45"/>
      <queryTableField id="46" name="cracow_PH_Total_Score" tableColumnId="46"/>
      <queryTableField id="47" name="cracow_SR_Dscore" tableColumnId="47"/>
      <queryTableField id="48" name="cracow_SR_Escore" tableColumnId="48"/>
      <queryTableField id="49" name="cracow_SR_Total_Score" tableColumnId="49"/>
      <queryTableField id="50" name="cracow_VT_Dscore" tableColumnId="50"/>
      <queryTableField id="51" name="cracow_VT_Escore" tableColumnId="51"/>
      <queryTableField id="52" name="cracow_VT_Total_Score" tableColumnId="52"/>
      <queryTableField id="53" name="cracow_PB_Dscore" tableColumnId="53"/>
      <queryTableField id="54" name="cracow_PB_Escore" tableColumnId="54"/>
      <queryTableField id="55" name="cracow_PB_Total_Score" tableColumnId="55"/>
      <queryTableField id="56" name="cracow_HB_Dscore" tableColumnId="56"/>
      <queryTableField id="57" name="cracow_HB_Escore" tableColumnId="57"/>
      <queryTableField id="58" name="cracow_HB_Total_Score" tableColumnId="58"/>
      <queryTableField id="91" dataBound="0" tableColumnId="96"/>
      <queryTableField id="90" dataBound="0" tableColumnId="95"/>
      <queryTableField id="81" dataBound="0" tableColumnId="82"/>
      <queryTableField id="102" dataBound="0" tableColumnId="80"/>
      <queryTableField id="59" name="gdansk_FX_Dscore" tableColumnId="59"/>
      <queryTableField id="60" name="gdansk_FX_Escore" tableColumnId="60"/>
      <queryTableField id="61" name="gdansk_FX_Total_Score" tableColumnId="61"/>
      <queryTableField id="62" name="gdansk_PH_Dscore" tableColumnId="62"/>
      <queryTableField id="63" name="gdansk_PH_Escore" tableColumnId="63"/>
      <queryTableField id="64" name="gdansk_PH_Total_Score" tableColumnId="64"/>
      <queryTableField id="65" name="gdansk_SR_Dscore" tableColumnId="65"/>
      <queryTableField id="66" name="gdansk_SR_Escore" tableColumnId="66"/>
      <queryTableField id="67" name="gdansk_SR_Total_Score" tableColumnId="67"/>
      <queryTableField id="68" name="gdansk_VT_Dscore" tableColumnId="68"/>
      <queryTableField id="69" name="gdansk_VT_Escore" tableColumnId="69"/>
      <queryTableField id="70" name="gdansk_VT_Total_Score" tableColumnId="70"/>
      <queryTableField id="71" name="gdansk_PB_Dscore" tableColumnId="71"/>
      <queryTableField id="72" name="gdansk_PB_Escore" tableColumnId="72"/>
      <queryTableField id="73" name="gdansk_PB_Total_Score" tableColumnId="73"/>
      <queryTableField id="74" name="gdansk_HB_Dscore" tableColumnId="74"/>
      <queryTableField id="75" name="gdansk_HB_Escore" tableColumnId="75"/>
      <queryTableField id="76" name="gdansk_HB_Total_Score" tableColumnId="76"/>
      <queryTableField id="93" dataBound="0" tableColumnId="98"/>
      <queryTableField id="92" dataBound="0" tableColumnId="97"/>
      <queryTableField id="82" dataBound="0" tableColumnId="83"/>
      <queryTableField id="104" dataBound="0" tableColumnId="88"/>
      <queryTableField id="83" dataBound="0" tableColumnId="84"/>
      <queryTableField id="84" dataBound="0" tableColumnId="85"/>
      <queryTableField id="85" dataBound="0" tableColumnId="86"/>
      <queryTableField id="95" dataBound="0" tableColumnId="100"/>
      <queryTableField id="96" dataBound="0" tableColumnId="101"/>
      <queryTableField id="97" dataBound="0" tableColumnId="10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2B528B63-8055-4053-9F6C-F457E8FA1BC6}" autoFormatId="16" applyNumberFormats="0" applyBorderFormats="0" applyFontFormats="0" applyPatternFormats="0" applyAlignmentFormats="0" applyWidthHeightFormats="0">
  <queryTableRefresh nextId="29">
    <queryTableFields count="7">
      <queryTableField id="1" name="Name" tableColumnId="1"/>
      <queryTableField id="2" name="Category" tableColumnId="2"/>
      <queryTableField id="3" name="Club" tableColumnId="3"/>
      <queryTableField id="4" name="All around competition" tableColumnId="4"/>
      <queryTableField id="28" dataBound="0" tableColumnId="29"/>
      <queryTableField id="27" dataBound="0" tableColumnId="26"/>
      <queryTableField id="24" name="Wartość" tableColumnId="24"/>
    </queryTableFields>
    <queryTableDeletedFields count="1">
      <deletedField name="Atrybut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Apparatus2" xr10:uid="{FB57B5CF-A8CB-47EB-8B4E-37CAB7D7BA25}" sourceName="Apparatus">
  <pivotTables>
    <pivotTable tabId="6" name="Tabela przestawna5"/>
  </pivotTables>
  <data>
    <tabular pivotCacheId="717721964">
      <items count="7">
        <i x="6"/>
        <i x="0"/>
        <i x="5"/>
        <i x="4"/>
        <i x="1" s="1"/>
        <i x="2"/>
        <i x="3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core_Type2" xr10:uid="{B5C474D8-5022-4E7B-BB7D-3C37CDF82599}" sourceName="Score Type ">
  <pivotTables>
    <pivotTable tabId="6" name="Tabela przestawna5"/>
  </pivotTables>
  <data>
    <tabular pivotCacheId="717721964">
      <items count="6">
        <i x="0"/>
        <i x="1" s="1"/>
        <i x="2" s="1"/>
        <i x="3" s="1" nd="1"/>
        <i x="4" s="1" nd="1"/>
        <i x="5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Apparatus3" xr10:uid="{6474D998-6AEE-46A0-A5B2-3886AB8E687F}" sourceName="Apparatus">
  <pivotTables>
    <pivotTable tabId="3" name="Tabela przestawna6"/>
  </pivotTables>
  <data>
    <tabular pivotCacheId="2110073000">
      <items count="7">
        <i x="6" s="1"/>
        <i x="0"/>
        <i x="5"/>
        <i x="4"/>
        <i x="1"/>
        <i x="2"/>
        <i x="3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core_Type3" xr10:uid="{A5AF0887-2477-4AD1-BF5E-6C8A5D263A16}" sourceName="Score Type ">
  <pivotTables>
    <pivotTable tabId="3" name="Tabela przestawna6"/>
  </pivotTables>
  <data>
    <tabular pivotCacheId="2110073000">
      <items count="6">
        <i x="3" s="1"/>
        <i x="4" s="1"/>
        <i x="5" s="1"/>
        <i x="0" s="1" nd="1"/>
        <i x="1" nd="1"/>
        <i x="2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Place_of_competition" xr10:uid="{488A96E1-FD53-4D10-8A96-18E436D0A584}" sourceName="Place of competition">
  <pivotTables>
    <pivotTable tabId="8" name="Tabela przestawna8"/>
  </pivotTables>
  <data>
    <tabular pivotCacheId="2005223396">
      <items count="6">
        <i x="5"/>
        <i x="0" s="1"/>
        <i x="2" s="1"/>
        <i x="3" s="1"/>
        <i x="4"/>
        <i x="1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core_Type4" xr10:uid="{C64864E2-A93E-481E-9E0E-FAFCC709C3AE}" sourceName="Score Type">
  <pivotTables>
    <pivotTable tabId="8" name="Tabela przestawna8"/>
  </pivotTables>
  <data>
    <tabular pivotCacheId="2005223396">
      <items count="3">
        <i x="0"/>
        <i x="1" s="1"/>
        <i x="2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Place_of_competition1" xr10:uid="{9D63D757-6F7A-40D6-881C-537E4E665BF1}" sourceName="Place of competition ">
  <pivotTables>
    <pivotTable tabId="10" name="Tabela przestawna9"/>
  </pivotTables>
  <data>
    <tabular pivotCacheId="273511903">
      <items count="6">
        <i x="5"/>
        <i x="0" s="1"/>
        <i x="2" s="1"/>
        <i x="3" s="1"/>
        <i x="4"/>
        <i x="1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core_Type5" xr10:uid="{721E5D11-76E9-42AB-A999-1C3ED45306F1}" sourceName="Score Type">
  <pivotTables>
    <pivotTable tabId="10" name="Tabela przestawna9"/>
  </pivotTables>
  <data>
    <tabular pivotCacheId="273511903">
      <items count="3">
        <i x="0" s="1"/>
        <i x="1"/>
        <i x="2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Place_of_competition2" xr10:uid="{4F363D18-ABCD-4471-959D-EF86D3FF7BA5}" sourceName="Place of competition">
  <pivotTables>
    <pivotTable tabId="11" name="Tabela przestawna11"/>
  </pivotTables>
  <data>
    <tabular pivotCacheId="1282981771">
      <items count="6">
        <i x="5"/>
        <i x="0" s="1"/>
        <i x="2" s="1"/>
        <i x="3" s="1"/>
        <i x="4"/>
        <i x="1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core_Type6" xr10:uid="{E4238795-DD81-47E7-ACDA-9D50F8E7FAB9}" sourceName="Score Type">
  <pivotTables>
    <pivotTable tabId="11" name="Tabela przestawna11"/>
  </pivotTables>
  <data>
    <tabular pivotCacheId="1282981771">
      <items count="3">
        <i x="0" s="1"/>
        <i x="1"/>
        <i x="2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Place_of_competiton" xr10:uid="{EC1371B6-3AD4-4855-AF02-48FF040ABDA2}" sourceName="Place of competiton">
  <pivotTables>
    <pivotTable tabId="12" name="Tabela przestawna12"/>
  </pivotTables>
  <data>
    <tabular pivotCacheId="1400296048">
      <items count="6">
        <i x="5"/>
        <i x="0" s="1"/>
        <i x="2" s="1"/>
        <i x="3" s="1"/>
        <i x="4"/>
        <i x="1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core_Type7" xr10:uid="{A0C0EA95-1212-4BC7-BFFB-1EF80298D1B5}" sourceName="Score Type">
  <pivotTables>
    <pivotTable tabId="12" name="Tabela przestawna12"/>
  </pivotTables>
  <data>
    <tabular pivotCacheId="1400296048">
      <items count="4">
        <i x="0" s="1"/>
        <i x="1"/>
        <i x="2"/>
        <i x="3" nd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Place_of_competition3" xr10:uid="{8F52A5BE-7A83-4C45-8875-D60FF0970049}" sourceName="Place of competition">
  <pivotTables>
    <pivotTable tabId="13" name="Tabela przestawna13"/>
  </pivotTables>
  <data>
    <tabular pivotCacheId="772747927">
      <items count="6">
        <i x="5"/>
        <i x="0" s="1"/>
        <i x="2" s="1"/>
        <i x="3" s="1"/>
        <i x="4"/>
        <i x="1" s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core_Type8" xr10:uid="{9B6C7547-1F0B-4528-805D-638C19E94F4E}" sourceName="Score Type">
  <pivotTables>
    <pivotTable tabId="13" name="Tabela przestawna13"/>
  </pivotTables>
  <data>
    <tabular pivotCacheId="772747927">
      <items count="3">
        <i x="0" s="1"/>
        <i x="1"/>
        <i x="2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Place_of_Competition4" xr10:uid="{9F5EA6C2-C593-47A4-A220-D6E110230F4A}" sourceName="Place of Competition">
  <pivotTables>
    <pivotTable tabId="14" name="Tabela przestawna14"/>
  </pivotTables>
  <data>
    <tabular pivotCacheId="106865897">
      <items count="6">
        <i x="5" s="1"/>
        <i x="0"/>
        <i x="2"/>
        <i x="3"/>
        <i x="4"/>
        <i x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core_Type9" xr10:uid="{130BAA47-0D8D-4BD7-98DC-61177D2A873A}" sourceName="Score Type">
  <pivotTables>
    <pivotTable tabId="14" name="Tabela przestawna14"/>
  </pivotTables>
  <data>
    <tabular pivotCacheId="106865897">
      <items count="3">
        <i x="0"/>
        <i x="1" s="1"/>
        <i x="2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All_around_competition" xr10:uid="{BA51DFE6-4D29-4088-BD1B-A5FE94D8091F}" sourceName="All around competition">
  <pivotTables>
    <pivotTable tabId="15" name="Tabela przestawna15"/>
  </pivotTables>
  <data>
    <tabular pivotCacheId="745692039">
      <items count="5">
        <i x="4"/>
        <i x="3"/>
        <i x="2"/>
        <i x="0" s="1"/>
        <i x="1" s="1"/>
      </items>
    </tabular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Place_of_competition5" xr10:uid="{FF75879A-6508-42D8-A091-576600FF7F2F}" sourceName="Place of competition">
  <pivotTables>
    <pivotTable tabId="15" name="Tabela przestawna15"/>
  </pivotTables>
  <data>
    <tabular pivotCacheId="745692039">
      <items count="6">
        <i x="5" s="1"/>
        <i x="0"/>
        <i x="2"/>
        <i x="3"/>
        <i x="4"/>
        <i x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core_Type10" xr10:uid="{6EA3D4EE-126D-4244-BD94-42144B785FDF}" sourceName="Score Type">
  <pivotTables>
    <pivotTable tabId="15" name="Tabela przestawna15"/>
  </pivotTables>
  <data>
    <tabular pivotCacheId="745692039">
      <items count="3">
        <i x="0"/>
        <i x="1"/>
        <i x="2" s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Apparatus" xr10:uid="{42E06354-ABD0-4F1C-8CF9-328C9C07F5C5}" sourceName="Apparatus">
  <pivotTables>
    <pivotTable tabId="7" name="Tabela przestawna2"/>
  </pivotTables>
  <data>
    <tabular pivotCacheId="925019263">
      <items count="7">
        <i x="6"/>
        <i x="0"/>
        <i x="5" s="1"/>
        <i x="4"/>
        <i x="1"/>
        <i x="2"/>
        <i x="3"/>
      </items>
    </tabular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core_Type" xr10:uid="{30090B1C-E0B0-4CA3-ADB4-2628581DD5B7}" sourceName="Score Type ">
  <pivotTables>
    <pivotTable tabId="7" name="Tabela przestawna2"/>
  </pivotTables>
  <data>
    <tabular pivotCacheId="925019263">
      <items count="6">
        <i x="0" s="1"/>
        <i x="1" s="1"/>
        <i x="2"/>
        <i x="3" s="1" nd="1"/>
        <i x="4" s="1" nd="1"/>
        <i x="5" s="1" nd="1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Category" xr10:uid="{82789CC3-94E4-467D-873D-A47F1EBFF09E}" sourceName="Category">
  <pivotTables>
    <pivotTable tabId="7" name="Tabela przestawna2"/>
  </pivotTables>
  <data>
    <tabular pivotCacheId="925019263">
      <items count="2">
        <i x="1" s="1"/>
        <i x="0"/>
      </items>
    </tabular>
  </data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All_Around" xr10:uid="{07823414-2A29-491C-8CE1-11A05C1CEF8D}" sourceName="All Around">
  <pivotTables>
    <pivotTable tabId="7" name="Tabela przestawna2"/>
  </pivotTables>
  <data>
    <tabular pivotCacheId="925019263">
      <items count="2">
        <i x="1" s="1"/>
        <i x="0" s="1"/>
      </items>
    </tabular>
  </data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All_Around1" xr10:uid="{62467CD0-92A9-4CE0-9BC6-ABB6B4D8202B}" sourceName="All Around">
  <pivotTables>
    <pivotTable tabId="2" name="Tabela przestawna4"/>
  </pivotTables>
  <data>
    <tabular pivotCacheId="864761450">
      <items count="2">
        <i x="1" s="1"/>
        <i x="0" s="1"/>
      </items>
    </tabular>
  </data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Apparatus1" xr10:uid="{EF515595-5C81-4E8B-AEB6-9F4800F438CB}" sourceName="Apparatus">
  <pivotTables>
    <pivotTable tabId="2" name="Tabela przestawna4"/>
  </pivotTables>
  <data>
    <tabular pivotCacheId="864761450">
      <items count="7">
        <i x="6" s="1"/>
        <i x="0"/>
        <i x="5"/>
        <i x="4"/>
        <i x="1"/>
        <i x="2"/>
        <i x="3"/>
      </items>
    </tabular>
  </data>
</slicerCacheDefinition>
</file>

<file path=xl/slicerCaches/slicerCache2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core_Type1" xr10:uid="{9832E077-2A77-47B3-84B8-4FFF195AF46F}" sourceName="Score Type ">
  <pivotTables>
    <pivotTable tabId="2" name="Tabela przestawna4"/>
  </pivotTables>
  <data>
    <tabular pivotCacheId="864761450">
      <items count="6">
        <i x="3" s="1"/>
        <i x="4" s="1"/>
        <i x="5" s="1"/>
        <i x="0" s="1" nd="1"/>
        <i x="1" s="1" nd="1"/>
        <i x="2" s="1" nd="1"/>
      </items>
    </tabular>
  </data>
</slicerCacheDefinition>
</file>

<file path=xl/slicerCaches/slicerCache2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Category1" xr10:uid="{9A589F58-087B-479B-A5DF-0E48F2A2D310}" sourceName="Category">
  <pivotTables>
    <pivotTable tabId="2" name="Tabela przestawna4"/>
  </pivotTables>
  <data>
    <tabular pivotCacheId="864761450">
      <items count="2">
        <i x="1"/>
        <i x="0" s="1"/>
      </items>
    </tabular>
  </data>
</slicerCacheDefinition>
</file>

<file path=xl/slicerCaches/slicerCache2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Category2" xr10:uid="{BAE3D195-226E-4542-89B2-4FA314CB6AA4}" sourceName="Category">
  <pivotTables>
    <pivotTable tabId="6" name="Tabela przestawna5"/>
  </pivotTables>
  <data>
    <tabular pivotCacheId="717721964">
      <items count="2">
        <i x="1"/>
        <i x="0" s="1"/>
      </items>
    </tabular>
  </data>
</slicerCacheDefinition>
</file>

<file path=xl/slicerCaches/slicerCache2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All_Around2" xr10:uid="{024D6A23-D7CE-4745-8931-FD9376BB2172}" sourceName="All Around">
  <pivotTables>
    <pivotTable tabId="6" name="Tabela przestawna5"/>
  </pivotTables>
  <data>
    <tabular pivotCacheId="717721964">
      <items count="2">
        <i x="1"/>
        <i x="0" s="1"/>
      </items>
    </tabular>
  </data>
</slicerCacheDefinition>
</file>

<file path=xl/slicerCaches/slicerCache3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Category3" xr10:uid="{30D7D03C-5E8C-474D-A98A-C2065509DEF5}" sourceName="Category">
  <pivotTables>
    <pivotTable tabId="3" name="Tabela przestawna6"/>
  </pivotTables>
  <data>
    <tabular pivotCacheId="2110073000">
      <items count="2">
        <i x="1" s="1"/>
        <i x="0"/>
      </items>
    </tabular>
  </data>
</slicerCacheDefinition>
</file>

<file path=xl/slicerCaches/slicerCache3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All_Around3" xr10:uid="{58B17C6E-93EB-44CC-9362-71D38F83FC3D}" sourceName="All Around">
  <pivotTables>
    <pivotTable tabId="3" name="Tabela przestawna6"/>
  </pivotTables>
  <data>
    <tabular pivotCacheId="2110073000">
      <items count="2">
        <i x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pparatus" xr10:uid="{61B38944-E2E8-4C8B-800D-C09CC4A1E61A}" cache="Fragmentator_Apparatus" caption="Apparatus" rowHeight="432000"/>
  <slicer name="Score Type " xr10:uid="{8CBBBAB7-640F-4246-8998-8A8A87C8DB58}" cache="Fragmentator_Score_Type" caption="Score Type " rowHeight="360000"/>
  <slicer name="Category" xr10:uid="{3665F55D-9255-465A-941F-AABF26C3BD91}" cache="Fragmentator_Category" caption="Category" columnCount="2" style="SlicerStyleLight2 2" rowHeight="252000"/>
  <slicer name="All Around" xr10:uid="{8ACE27B0-93D4-447E-8BC1-4325387229A6}" cache="Fragmentator_All_Around" caption="All Around" columnCount="2" style="SlicerStyleLight2 2" rowHeight="216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ll Around 1" xr10:uid="{B24D8359-8A85-430B-B1AF-4E5D525C63B0}" cache="Fragmentator_All_Around1" caption="All Around" columnCount="2" style="SlicerStyleLight2 2" rowHeight="252000"/>
  <slicer name="Apparatus 1" xr10:uid="{6CB2F4D3-586A-4252-9E5B-E915D344F9D2}" cache="Fragmentator_Apparatus1" caption="Apparatus" rowHeight="360000"/>
  <slicer name="Score Type  1" xr10:uid="{312387B7-6243-4B9D-8C08-431209354E34}" cache="Fragmentator_Score_Type1" caption="Score Type " rowHeight="288000"/>
  <slicer name="Category 1" xr10:uid="{81E341E6-3F05-4AB0-9DF5-7026203781FB}" cache="Fragmentator_Category1" caption="Category" columnCount="2" style="SlicerStyleLight2 2" rowHeight="252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pparatus 2" xr10:uid="{A784F055-C212-4C3C-96D8-FA546D772D11}" cache="Fragmentator_Apparatus2" caption="Apparatus" style="SlicerStyleLight1 2" rowHeight="432000"/>
  <slicer name="Score Type  2" xr10:uid="{08BA7665-86F2-4A30-838A-155F83FFA978}" cache="Fragmentator_Score_Type2" caption="Score Type " style="SlicerStyleLight1 2" rowHeight="432000"/>
  <slicer name="Category 2" xr10:uid="{61EDFC9F-2FE6-4644-8B68-E794CC5CB75E}" cache="Fragmentator_Category2" caption="Category" columnCount="2" style="SlicerStyleLight2 2" rowHeight="252000"/>
  <slicer name="All Around 2" xr10:uid="{7080081E-9A48-46EB-904A-8A7084C676E5}" cache="Fragmentator_All_Around2" caption="All Around" columnCount="2" style="SlicerStyleLight2 2" rowHeight="252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pparatus 3" xr10:uid="{AC55C272-ACF3-4C6C-8058-5A5939515721}" cache="Fragmentator_Apparatus3" caption="Apparatus" rowHeight="396000"/>
  <slicer name="Score Type  3" xr10:uid="{A6DDA8D1-1503-40DB-8A87-B1C25E872FED}" cache="Fragmentator_Score_Type3" caption="Score Type " style="SlicerStyleLight1 2" rowHeight="360000"/>
  <slicer name="Category 3" xr10:uid="{740CF0C5-FB32-4E50-B473-439250F90DBB}" cache="Fragmentator_Category3" caption="Category" columnCount="2" style="SlicerStyleLight2 2" rowHeight="252000"/>
  <slicer name="All Around 3" xr10:uid="{6083E588-0CD6-4F01-A0EC-8524C3DF847F}" cache="Fragmentator_All_Around3" caption="All Around" columnCount="2" style="SlicerStyleLight2 2" rowHeight="2520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lace of competition" xr10:uid="{3B82D0F0-3CCB-4AA1-BE10-886AF1D3523C}" cache="Fragmentator_Place_of_competition" caption="Place of competition" rowHeight="432000"/>
  <slicer name="Score Type" xr10:uid="{9390CAEA-AA1F-4587-8168-2FD4DDC7A22E}" cache="Fragmentator_Score_Type4" caption="Score Type" columnCount="3" style="SlicerStyleLight2 2" rowHeight="2160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lace of competition " xr10:uid="{B5C1F0BD-10F2-45DA-8922-989F8890EBFE}" cache="Fragmentator_Place_of_competition1" caption="Place of competition " rowHeight="540000"/>
  <slicer name="Score Type 1" xr10:uid="{DCF39FBF-46D9-4CBF-86C0-4A4428E6CB30}" cache="Fragmentator_Score_Type5" caption="Score Type" columnCount="3" style="SlicerStyleLight2 2" rowHeight="257175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lace of competition 1" xr10:uid="{671C4574-8530-4738-96BD-0CE87379504C}" cache="Fragmentator_Place_of_competition2" caption="Place of competition" rowHeight="540000"/>
  <slicer name="Score Type 2" xr10:uid="{C194BAB4-7FEA-4632-B6CF-AE66F9F5C844}" cache="Fragmentator_Score_Type6" caption="Score Type" columnCount="3" style="SlicerStyleLight2 2" rowHeight="257175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lace of competiton" xr10:uid="{3FC797B0-E030-47F2-9514-93DB2AA8CE97}" cache="Fragmentator_Place_of_competiton" caption="Place of competiton" rowHeight="540000"/>
  <slicer name="Score Type 3" xr10:uid="{2F927932-E6B7-4CEA-A70E-8E2105ACAF3B}" cache="Fragmentator_Score_Type7" caption="Score Type" columnCount="3" style="SlicerStyleLight2 2" rowHeight="257175"/>
</slicers>
</file>

<file path=xl/slicers/slicer9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lace of competition 2" xr10:uid="{6063712C-284C-46F4-BD5C-9EE6EB07A42C}" cache="Fragmentator_Place_of_competition3" caption="Place of competition" rowHeight="540000"/>
  <slicer name="Score Type 4" xr10:uid="{693EEA1B-5B85-4329-9778-44AF7D2DAF34}" cache="Fragmentator_Score_Type8" caption="Score Type" columnCount="3" style="SlicerStyleLight2 2" rowHeight="257175"/>
</slicers>
</file>

<file path=xl/slicers/slicer10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lace of Competition 3" xr10:uid="{3692A755-286E-4E26-81A2-47C495DD8C50}" cache="Fragmentator_Place_of_Competition4" caption="Place of Competition" rowHeight="540000"/>
  <slicer name="Score Type 5" xr10:uid="{D5CDB867-B3A2-4034-95C1-83DAFFB9F765}" cache="Fragmentator_Score_Type9" caption="Score Type" columnCount="3" style="SlicerStyleLight2 2" rowHeight="216000"/>
</slicers>
</file>

<file path=xl/slicers/slicer1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ll around competition" xr10:uid="{5810847E-9674-488C-B2B8-D529EE3484DE}" cache="Fragmentator_All_around_competition" caption="All around competition" columnCount="2" rowHeight="257175"/>
  <slicer name="Place of competition 4" xr10:uid="{B11E64EB-DB15-4D6A-AC63-81C89E3F2864}" cache="Fragmentator_Place_of_competition5" caption="Place of competition" rowHeight="504000"/>
  <slicer name="Score Type 6" xr10:uid="{07517E9F-E5E1-45E8-9536-0DF5754BFCF6}" cache="Fragmentator_Score_Type10" caption="Score Type" columnCount="3" style="SlicerStyleLight2 2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0131D2C-3D19-4F44-9CFC-F4AFE1E4E819}" name="Bydgoszcz_result" displayName="Bydgoszcz_result" ref="A1:AB33" tableType="queryTable" totalsRowShown="0" headerRowDxfId="1326" dataDxfId="1325">
  <autoFilter ref="A1:AB33" xr:uid="{30131D2C-3D19-4F44-9CFC-F4AFE1E4E819}"/>
  <sortState xmlns:xlrd2="http://schemas.microsoft.com/office/spreadsheetml/2017/richdata2" ref="A2:AB33">
    <sortCondition descending="1" ref="C1:C33"/>
  </sortState>
  <tableColumns count="28">
    <tableColumn id="1" xr3:uid="{41C88D74-E43B-F34C-844E-5DE81A4BEA4C}" uniqueName="1" name="Rk" queryTableFieldId="1" dataDxfId="1324"/>
    <tableColumn id="2" xr3:uid="{F4D3E432-82AF-D747-9DBD-C69AC83E4B67}" uniqueName="2" name="Name" queryTableFieldId="2" dataDxfId="1323"/>
    <tableColumn id="3" xr3:uid="{05F792FB-A9D2-3A49-9D71-3988C1B35229}" uniqueName="3" name="Category" queryTableFieldId="3" dataDxfId="1322"/>
    <tableColumn id="4" xr3:uid="{BBB80B46-ACAA-A24F-9465-3BAA3B229503}" uniqueName="4" name="Birth_year" queryTableFieldId="4" dataDxfId="1321"/>
    <tableColumn id="5" xr3:uid="{A1E923F8-9748-334F-B20A-5B34AC110E0A}" uniqueName="5" name="License_number" queryTableFieldId="5" dataDxfId="1320"/>
    <tableColumn id="6" xr3:uid="{FC19ACCC-4D6B-924A-B348-BF3863EB05F2}" uniqueName="6" name="Club" queryTableFieldId="6" dataDxfId="1319"/>
    <tableColumn id="30" xr3:uid="{87CD066C-FE53-4EF4-914C-F4231D9823BF}" uniqueName="30" name="All Around" queryTableFieldId="29" dataDxfId="1318"/>
    <tableColumn id="7" xr3:uid="{4ABF21B8-A897-B840-B1B8-5B905322EA1E}" uniqueName="7" name="FX_Dscore" queryTableFieldId="7" dataDxfId="1317"/>
    <tableColumn id="8" xr3:uid="{60EB3A7D-B5C0-7A4D-91B9-240802617D00}" uniqueName="8" name="FX_Escore" queryTableFieldId="8" dataDxfId="1316"/>
    <tableColumn id="9" xr3:uid="{E1CACB9A-C8DC-424B-B740-14097C894C3D}" uniqueName="9" name="FX_Total_Score" queryTableFieldId="9" dataDxfId="1315"/>
    <tableColumn id="10" xr3:uid="{99611A33-A774-E147-A4E2-658BC5EA9C61}" uniqueName="10" name="PH_Dscore" queryTableFieldId="10" dataDxfId="1314"/>
    <tableColumn id="11" xr3:uid="{DCBCA2E9-2231-5741-AADB-1CBFF0AE71A6}" uniqueName="11" name="PH_Escore" queryTableFieldId="11" dataDxfId="1313"/>
    <tableColumn id="12" xr3:uid="{839C73BA-57D6-BD43-A42A-14057E095F73}" uniqueName="12" name="PH_Total_Score" queryTableFieldId="12" dataDxfId="1312"/>
    <tableColumn id="13" xr3:uid="{F15A8A58-0947-C24E-9DA2-34FA30D97433}" uniqueName="13" name="SR_Dscore" queryTableFieldId="13" dataDxfId="1311"/>
    <tableColumn id="14" xr3:uid="{472EA0DB-D257-7B4A-B54D-01384C221220}" uniqueName="14" name="SR_Escore" queryTableFieldId="14" dataDxfId="1310"/>
    <tableColumn id="15" xr3:uid="{20CAD5F7-8029-C045-ADE8-D958AB9A94F8}" uniqueName="15" name="SR_Total_Score" queryTableFieldId="15" dataDxfId="1309"/>
    <tableColumn id="16" xr3:uid="{68E044EF-5837-D84D-8039-58975609E349}" uniqueName="16" name="VT_Dscore" queryTableFieldId="16" dataDxfId="1308"/>
    <tableColumn id="17" xr3:uid="{D92132C1-D3E1-7B43-9437-B20544563BB8}" uniqueName="17" name="VT_Escore" queryTableFieldId="17" dataDxfId="1307"/>
    <tableColumn id="18" xr3:uid="{6B413F48-D6F4-914B-A188-551370F5C748}" uniqueName="18" name="VT_total_score" queryTableFieldId="18" dataDxfId="1306"/>
    <tableColumn id="19" xr3:uid="{F47816AC-380B-5145-8827-0BFDF571D0EE}" uniqueName="19" name="PB_Dscore" queryTableFieldId="19" dataDxfId="1305"/>
    <tableColumn id="20" xr3:uid="{ECCDC5FC-0A7C-1E4C-8FE8-BA87F18F7A6E}" uniqueName="20" name="PB_Escore" queryTableFieldId="20" dataDxfId="1304"/>
    <tableColumn id="21" xr3:uid="{1C5449E1-BFBC-7746-AEB1-0B8ADACCE01F}" uniqueName="21" name="PB_total_score" queryTableFieldId="21" dataDxfId="1303"/>
    <tableColumn id="22" xr3:uid="{4A920431-7AD5-7942-B922-D2C96EB5FF85}" uniqueName="22" name="HB_Dscore" queryTableFieldId="22" dataDxfId="1302"/>
    <tableColumn id="23" xr3:uid="{4A22EC94-7FDD-AB45-AC35-A1FEFD0D000D}" uniqueName="23" name="HB_Escore" queryTableFieldId="23" dataDxfId="1301"/>
    <tableColumn id="24" xr3:uid="{A036480D-9622-9745-BC99-BE3F88F68AEE}" uniqueName="24" name="HB_total_score" queryTableFieldId="24" dataDxfId="1300"/>
    <tableColumn id="28" xr3:uid="{A494DD3D-7576-47DC-B900-08BD1068CE16}" uniqueName="28" name="AA_Dscore" queryTableFieldId="28" dataDxfId="1299">
      <calculatedColumnFormula>IF(Bydgoszcz_result[[#This Row],[All Around]]="Yes",SUM(H2,K2,N2,Q2,T2,W2),0)</calculatedColumnFormula>
    </tableColumn>
    <tableColumn id="27" xr3:uid="{4C3690A8-95A0-4067-9809-41CD2A611CF0}" uniqueName="27" name="AA_Escore" queryTableFieldId="27" dataDxfId="1298">
      <calculatedColumnFormula>IF(Bydgoszcz_result[[#This Row],[All Around]]="Yes",SUM(I2,L2,O2,R2,U2,X2),0)</calculatedColumnFormula>
    </tableColumn>
    <tableColumn id="25" xr3:uid="{F3B93DAB-6BB7-9740-90D6-D9E3A5ABDCBD}" uniqueName="25" name="Total_Score" queryTableFieldId="25" dataDxfId="1297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C378181-1BFC-48E4-A22A-7361A75E1DB1}" name="Bydgoszcz_calculation" displayName="Bydgoszcz_calculation" ref="A36:J50" totalsRowShown="0" headerRowDxfId="1296" dataDxfId="1295">
  <autoFilter ref="A36:J50" xr:uid="{2C378181-1BFC-48E4-A22A-7361A75E1DB1}"/>
  <sortState xmlns:xlrd2="http://schemas.microsoft.com/office/spreadsheetml/2017/richdata2" ref="A37:J50">
    <sortCondition ref="A36:A50"/>
  </sortState>
  <tableColumns count="10">
    <tableColumn id="1" xr3:uid="{186C9569-841E-4DAB-898B-2C229EA62E03}" name="Category" dataDxfId="1294"/>
    <tableColumn id="2" xr3:uid="{3A857E3E-73D0-4AD0-88FE-CE022FAD2C3B}" name="Apparatus" dataDxfId="1293"/>
    <tableColumn id="3" xr3:uid="{80E258D4-B64E-4084-90E4-28864D4B7083}" name="AVG D Score" dataDxfId="1292"/>
    <tableColumn id="4" xr3:uid="{3FF50968-D373-47D1-9E55-701406F8C368}" name="SD D score" dataDxfId="1291"/>
    <tableColumn id="5" xr3:uid="{48787071-94D9-4E04-8A7B-C360BC796ABD}" name="AVG Escore" dataDxfId="1290"/>
    <tableColumn id="6" xr3:uid="{E31F4AFA-BF3B-4719-9942-51522355DEAE}" name="SD E score" dataDxfId="1289"/>
    <tableColumn id="7" xr3:uid="{EB117FA3-5205-4174-8AEC-7F1D78CED2A4}" name="AVG Total Score" dataDxfId="1288"/>
    <tableColumn id="8" xr3:uid="{D4542F8F-CCE8-464D-8D5F-6EF70E8ABD1B}" name="SD Total Score" dataDxfId="1287"/>
    <tableColumn id="9" xr3:uid="{9746E983-EA1C-42CA-8DE2-71E3333E0BF4}" name="Top Score" dataDxfId="1286"/>
    <tableColumn id="10" xr3:uid="{68B7E615-8863-4084-B113-5FBDD0E3823E}" name="Gymnasts" dataDxfId="128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13AB15B-13D2-4F68-B9E2-581EBF9482EA}" name="Bydgoszcz_Pivoted" displayName="Bydgoszcz_Pivoted" ref="AO1:AW673" tableType="queryTable" totalsRowShown="0">
  <autoFilter ref="AO1:AW673" xr:uid="{F13AB15B-13D2-4F68-B9E2-581EBF9482EA}"/>
  <tableColumns count="9">
    <tableColumn id="1" xr3:uid="{998461CC-1A7D-4616-A7A9-FA93F713505B}" uniqueName="1" name="Name" queryTableFieldId="1" dataDxfId="1284"/>
    <tableColumn id="2" xr3:uid="{CDA9F5DE-C422-4D33-8C7F-83E7ACB61037}" uniqueName="2" name="Category" queryTableFieldId="2" dataDxfId="1283"/>
    <tableColumn id="3" xr3:uid="{FC4E8B92-FEA7-434D-AF86-44DEED2E0CED}" uniqueName="3" name="Birth_year" queryTableFieldId="3"/>
    <tableColumn id="4" xr3:uid="{0420EF9F-AA95-47D6-983E-6B7BE11D455C}" uniqueName="4" name="Club" queryTableFieldId="4" dataDxfId="1282"/>
    <tableColumn id="5" xr3:uid="{8CE1C407-51E1-4395-BFFD-2D8F36E6C80D}" uniqueName="5" name="All Around" queryTableFieldId="5" dataDxfId="1281"/>
    <tableColumn id="9" xr3:uid="{F317CE3E-984A-456A-A132-C8EEF9F93107}" uniqueName="9" name="Competition place" queryTableFieldId="9"/>
    <tableColumn id="8" xr3:uid="{5FBF7818-B65D-40C8-A6CE-F72B58E9A146}" uniqueName="8" name="Apparatus" queryTableFieldId="8" dataDxfId="1280"/>
    <tableColumn id="6" xr3:uid="{5BD5A8BD-24DA-44A4-B55B-D9F7B83C90E0}" uniqueName="6" name="Score Type " queryTableFieldId="6" dataDxfId="1279"/>
    <tableColumn id="7" xr3:uid="{7FA35288-5048-46B4-8682-5BF2173B8376}" uniqueName="7" name="Value" queryTableFieldId="7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AA5FBF-EADD-2249-9227-510E9CAAA0D0}" name="Zabrze_result" displayName="Zabrze_result" ref="A1:AB38" tableType="queryTable" totalsRowShown="0" headerRowDxfId="1278">
  <autoFilter ref="A1:AB38" xr:uid="{B6AA5FBF-EADD-2249-9227-510E9CAAA0D0}"/>
  <sortState xmlns:xlrd2="http://schemas.microsoft.com/office/spreadsheetml/2017/richdata2" ref="A2:AB38">
    <sortCondition descending="1" ref="C1:C38"/>
  </sortState>
  <tableColumns count="28">
    <tableColumn id="1" xr3:uid="{D97EA72A-EF47-2640-8072-A89F0CAE7884}" uniqueName="1" name="Rk" queryTableFieldId="1" dataDxfId="1277"/>
    <tableColumn id="2" xr3:uid="{4D6ADFD1-545E-7F49-92BD-8A5BEC1C8195}" uniqueName="2" name="Name" queryTableFieldId="2" dataDxfId="1276"/>
    <tableColumn id="3" xr3:uid="{8C7A6041-8648-D042-9027-E4DADE54A338}" uniqueName="3" name="Category" queryTableFieldId="3" dataDxfId="1275"/>
    <tableColumn id="4" xr3:uid="{7FE72F44-F769-FF4E-B7C7-62F440E37FDE}" uniqueName="4" name="Birth_year" queryTableFieldId="4" dataDxfId="1274"/>
    <tableColumn id="5" xr3:uid="{EC8A59E5-0EBC-1547-A828-8292F942C0AB}" uniqueName="5" name="License_number" queryTableFieldId="5" dataDxfId="1273"/>
    <tableColumn id="6" xr3:uid="{E547453B-5A2E-B341-AB9E-166B7C6D3401}" uniqueName="6" name="Club" queryTableFieldId="6" dataDxfId="1272"/>
    <tableColumn id="30" xr3:uid="{00C7C859-733B-4427-87CA-FB1A160FD482}" uniqueName="30" name="All Around" queryTableFieldId="30" dataDxfId="1271">
      <calculatedColumnFormula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calculatedColumnFormula>
    </tableColumn>
    <tableColumn id="7" xr3:uid="{B65C1590-E4A1-9743-A0BB-21FEA1A51037}" uniqueName="7" name="FX_Dscore" queryTableFieldId="7" dataDxfId="1270"/>
    <tableColumn id="8" xr3:uid="{B340D8F1-228B-284A-B1F2-DD9B87CC7DB2}" uniqueName="8" name="FX_Escore" queryTableFieldId="8" dataDxfId="1269"/>
    <tableColumn id="9" xr3:uid="{D573B6A7-A73C-6948-8670-5C25148AE5BE}" uniqueName="9" name="FX_total_score" queryTableFieldId="9" dataDxfId="1268"/>
    <tableColumn id="10" xr3:uid="{2D20754C-4A2C-7849-BF7B-9D227B383BDA}" uniqueName="10" name="PH_Dscore" queryTableFieldId="10" dataDxfId="1267"/>
    <tableColumn id="11" xr3:uid="{E11DCF11-1D06-5C44-B767-E98FB121AEEA}" uniqueName="11" name="PH_Escore" queryTableFieldId="11" dataDxfId="1266"/>
    <tableColumn id="12" xr3:uid="{D62A96FA-345A-4F43-8549-9676B05948A3}" uniqueName="12" name="PH_Total_Score" queryTableFieldId="12" dataDxfId="1265"/>
    <tableColumn id="13" xr3:uid="{1DA60288-0CD2-6C45-B1C2-6D6826C7CB5A}" uniqueName="13" name="SR_Dscore" queryTableFieldId="13" dataDxfId="1264"/>
    <tableColumn id="14" xr3:uid="{1E392F02-B88B-E24E-B419-8301197437F8}" uniqueName="14" name="SR_Escore" queryTableFieldId="14" dataDxfId="1263"/>
    <tableColumn id="15" xr3:uid="{6F825AD1-E39E-E44B-B23B-8F64E00E7CD2}" uniqueName="15" name="SR_Total_Score" queryTableFieldId="15" dataDxfId="1262"/>
    <tableColumn id="16" xr3:uid="{55000DB4-E5FB-6D4D-A1D2-0C43434B8C44}" uniqueName="16" name="VT_Dscore" queryTableFieldId="16" dataDxfId="1261"/>
    <tableColumn id="17" xr3:uid="{AD1FB75B-79FF-024A-838F-43DF3E8BFDF7}" uniqueName="17" name="VT_Escore" queryTableFieldId="17" dataDxfId="1260"/>
    <tableColumn id="18" xr3:uid="{924EF7B3-E068-F444-96EF-1444CA95638C}" uniqueName="18" name="VT_total_score" queryTableFieldId="18" dataDxfId="1259"/>
    <tableColumn id="19" xr3:uid="{B6E7FE8D-A046-3048-83C1-FE2FB655C50C}" uniqueName="19" name="PB_Dscore" queryTableFieldId="19" dataDxfId="1258"/>
    <tableColumn id="20" xr3:uid="{49AC68A6-E6E7-7C4B-8B46-8384EE5E3F39}" uniqueName="20" name="PB_Escore" queryTableFieldId="20" dataDxfId="1257"/>
    <tableColumn id="21" xr3:uid="{B55D7462-5135-C84E-8127-87AB9B8A306B}" uniqueName="21" name="PB_total_score" queryTableFieldId="21" dataDxfId="1256"/>
    <tableColumn id="22" xr3:uid="{04EA4746-8687-9C46-BE2E-6B708C12BEB5}" uniqueName="22" name="HB_Dscore" queryTableFieldId="22" dataDxfId="1255"/>
    <tableColumn id="23" xr3:uid="{1050F0AA-7A4F-B345-96CA-8550E43B5B5F}" uniqueName="23" name="HB_Escore" queryTableFieldId="23" dataDxfId="1254"/>
    <tableColumn id="24" xr3:uid="{67F1A074-FE19-F540-BD62-7FFDCB15479C}" uniqueName="24" name="HB_total_score" queryTableFieldId="24" dataDxfId="1253"/>
    <tableColumn id="28" xr3:uid="{BEB1860A-7498-4139-BFFC-E58818E278F9}" uniqueName="28" name="AA_Dscore" queryTableFieldId="29" dataDxfId="1252">
      <calculatedColumnFormula>IF(Zabrze_result[[#This Row],[All Around]]="Yes",SUM(H2,K2,N2,Q2,T2,W2),0)</calculatedColumnFormula>
    </tableColumn>
    <tableColumn id="29" xr3:uid="{BE696937-953A-46AF-8DA6-02009F56B6A5}" uniqueName="29" name="AA_Escore" queryTableFieldId="28" dataDxfId="1251">
      <calculatedColumnFormula>IF(Zabrze_result[[#This Row],[All Around]]="Yes",SUM(I2,L2,O2,R2,U2,X2),0)</calculatedColumnFormula>
    </tableColumn>
    <tableColumn id="25" xr3:uid="{E8D593F8-785A-4F46-9428-D3007C8A4D21}" uniqueName="25" name="Total_Score" queryTableFieldId="25" dataDxfId="1250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83F0FA6-5A53-4E07-89E1-32E2E1014A98}" name="zabrze_calculation" displayName="zabrze_calculation" ref="A42:J56" totalsRowShown="0" headerRowDxfId="1249" dataDxfId="1248">
  <autoFilter ref="A42:J56" xr:uid="{083F0FA6-5A53-4E07-89E1-32E2E1014A98}"/>
  <sortState xmlns:xlrd2="http://schemas.microsoft.com/office/spreadsheetml/2017/richdata2" ref="A43:J56">
    <sortCondition descending="1" ref="A42:A56"/>
  </sortState>
  <tableColumns count="10">
    <tableColumn id="1" xr3:uid="{D2BB67A6-FD9D-49B3-A406-867DF7B3913D}" name="Category" dataDxfId="1247"/>
    <tableColumn id="2" xr3:uid="{941763E5-D6CC-4D19-8CC9-27682D88A7F9}" name="Apparatus" dataDxfId="1246"/>
    <tableColumn id="3" xr3:uid="{70F50FB7-3A9A-4F68-B2F9-8D83D229B0B5}" name="AVG D Score" dataDxfId="1245"/>
    <tableColumn id="4" xr3:uid="{8E81EDEB-E953-4745-89AC-C8E8BD87773B}" name="SD D score" dataDxfId="1244"/>
    <tableColumn id="5" xr3:uid="{5A082B5B-BAC7-45BB-9A85-BFC936D27825}" name="AVG Escore" dataDxfId="1243"/>
    <tableColumn id="6" xr3:uid="{57E0E4A8-5828-4244-B2AB-E24051AA668B}" name="SD E score" dataDxfId="1242"/>
    <tableColumn id="7" xr3:uid="{5D0F1C12-DC92-4AC2-B403-29553B4BE53C}" name="AVG Total Score" dataDxfId="1241"/>
    <tableColumn id="8" xr3:uid="{9F26B60C-3B19-496C-AF63-4F2D0F36796B}" name="SD Total Score" dataDxfId="1240"/>
    <tableColumn id="9" xr3:uid="{AFB5E849-47A5-46D8-92F7-6BA889034645}" name="Top Score" dataDxfId="1239"/>
    <tableColumn id="10" xr3:uid="{586BDCAC-1EC6-4465-9C0B-E1B9F35B3ED0}" name="Gymnasts" dataDxfId="1238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86BFFBC-4B2D-4501-AB31-5947273496D5}" name="Zabrze_pivoted" displayName="Zabrze_pivoted" ref="AQ1:AY778" tableType="queryTable" totalsRowShown="0">
  <autoFilter ref="AQ1:AY778" xr:uid="{F86BFFBC-4B2D-4501-AB31-5947273496D5}"/>
  <tableColumns count="9">
    <tableColumn id="1" xr3:uid="{29FCFFE5-302E-4F12-AB86-C3F521DAA8DB}" uniqueName="1" name="Name" queryTableFieldId="1" dataDxfId="1237"/>
    <tableColumn id="2" xr3:uid="{7FA0FA69-6830-460F-B999-D427C122A59F}" uniqueName="2" name="Category" queryTableFieldId="2" dataDxfId="1236"/>
    <tableColumn id="3" xr3:uid="{60FF4E31-D5FD-48D1-A8F8-2F1F92EC8DF3}" uniqueName="3" name="Birth_year" queryTableFieldId="3"/>
    <tableColumn id="4" xr3:uid="{0E9498F6-72E9-4568-A30A-A3DADA64BD89}" uniqueName="4" name="Club" queryTableFieldId="4" dataDxfId="1235"/>
    <tableColumn id="8" xr3:uid="{680F8C70-1893-48A7-B1A4-B84D5A3CF493}" uniqueName="8" name="Competition place" queryTableFieldId="8" dataDxfId="1234"/>
    <tableColumn id="5" xr3:uid="{5220183B-D2F8-4D46-9318-65D94D205783}" uniqueName="5" name="All Around" queryTableFieldId="5" dataDxfId="1233"/>
    <tableColumn id="9" xr3:uid="{C71F25F5-7055-43AD-A80B-7FA6F068829C}" uniqueName="9" name="Apparatus" queryTableFieldId="9" dataDxfId="1232"/>
    <tableColumn id="6" xr3:uid="{3E2932C3-B750-45A9-A404-D2E13B76D725}" uniqueName="6" name="Score Type " queryTableFieldId="6" dataDxfId="1231"/>
    <tableColumn id="7" xr3:uid="{EAF4E85F-3B21-4B81-A217-ABB2D0F1CEC8}" uniqueName="7" name="Value" queryTableFieldId="7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EEB429-A9D2-6948-998F-11729AF670EF}" name="Cracow_result" displayName="Cracow_result" ref="A1:AB40" tableType="queryTable" totalsRowShown="0" headerRowDxfId="1230">
  <autoFilter ref="A1:AB40" xr:uid="{97EEB429-A9D2-6948-998F-11729AF670EF}"/>
  <sortState xmlns:xlrd2="http://schemas.microsoft.com/office/spreadsheetml/2017/richdata2" ref="A2:AB40">
    <sortCondition descending="1" ref="C1:C40"/>
  </sortState>
  <tableColumns count="28">
    <tableColumn id="1" xr3:uid="{B9B14B59-E4D8-7F48-8B27-7F9393445B8B}" uniqueName="1" name="Rk" queryTableFieldId="1" dataDxfId="1229"/>
    <tableColumn id="2" xr3:uid="{15E13D76-5B67-4E4C-852A-914AB4E08BFC}" uniqueName="2" name="Name" queryTableFieldId="2" dataDxfId="1228"/>
    <tableColumn id="3" xr3:uid="{373E2809-6EE9-3242-B02E-667EC93E37F5}" uniqueName="3" name="Category" queryTableFieldId="3" dataDxfId="1227"/>
    <tableColumn id="4" xr3:uid="{12F09014-CBD3-1346-AA11-6BBB83ED6A38}" uniqueName="4" name="Birth_year" queryTableFieldId="4" dataDxfId="1226"/>
    <tableColumn id="5" xr3:uid="{D5247734-2FDF-B941-81D0-14F13246DD85}" uniqueName="5" name="License_number" queryTableFieldId="5" dataDxfId="1225"/>
    <tableColumn id="6" xr3:uid="{1F26F55C-2C5F-2C41-A1F5-168980CED6E7}" uniqueName="6" name="Club" queryTableFieldId="6" dataDxfId="1224"/>
    <tableColumn id="29" xr3:uid="{1DF87622-F6FA-4EB9-BEC3-16EDED335CCA}" uniqueName="29" name="All Around" queryTableFieldId="29" dataDxfId="1223"/>
    <tableColumn id="7" xr3:uid="{A9059359-F449-BF48-9E18-678606BF7F76}" uniqueName="7" name="FX_Dscore" queryTableFieldId="7" dataDxfId="1222"/>
    <tableColumn id="8" xr3:uid="{506E2BDF-82F2-3A48-9E6A-8D3DEDA751E9}" uniqueName="8" name="FX_Escore" queryTableFieldId="8" dataDxfId="1221"/>
    <tableColumn id="9" xr3:uid="{0679EE3A-2FE1-604D-9DF5-D88143BD9807}" uniqueName="9" name="FX_total_score" queryTableFieldId="9" dataDxfId="1220"/>
    <tableColumn id="10" xr3:uid="{54E6A4DE-7A0A-6744-9171-CC62D459B5B1}" uniqueName="10" name="PH_Dscore" queryTableFieldId="10" dataDxfId="1219"/>
    <tableColumn id="11" xr3:uid="{0AEB978D-B772-F841-B479-04210048AFE6}" uniqueName="11" name="PH_Escore" queryTableFieldId="11" dataDxfId="1218"/>
    <tableColumn id="12" xr3:uid="{1FF8202A-8307-0042-9DE7-FF4E4192CCEC}" uniqueName="12" name="PH_Total_Score" queryTableFieldId="12" dataDxfId="1217"/>
    <tableColumn id="13" xr3:uid="{3EB4FCB2-079D-704D-B2F1-CD49727EF7A4}" uniqueName="13" name="SR_Dscore" queryTableFieldId="13" dataDxfId="1216"/>
    <tableColumn id="14" xr3:uid="{D17C1CFE-1AD4-2249-92B5-76AC2D8776B8}" uniqueName="14" name="SR_Escore" queryTableFieldId="14" dataDxfId="1215"/>
    <tableColumn id="15" xr3:uid="{96FD2CC8-3D97-E44A-A4F6-8F29DA74DF42}" uniqueName="15" name="SR_Total_Score" queryTableFieldId="15" dataDxfId="1214"/>
    <tableColumn id="16" xr3:uid="{FE906BFC-60C4-0549-B6C2-2B3A38887396}" uniqueName="16" name="VT_Dscore" queryTableFieldId="16" dataDxfId="1213"/>
    <tableColumn id="17" xr3:uid="{A32E3E4B-97C0-2542-8B26-A0E27B5F9298}" uniqueName="17" name="VT_Escore" queryTableFieldId="17" dataDxfId="1212"/>
    <tableColumn id="18" xr3:uid="{8BC1FFCA-FF0B-0C4C-9D4E-622100AF9C42}" uniqueName="18" name="VT_total_score" queryTableFieldId="18" dataDxfId="1211"/>
    <tableColumn id="19" xr3:uid="{CFEBCB64-F755-2D41-8482-5FC0F5DC4E0B}" uniqueName="19" name="PB_Dscore" queryTableFieldId="19" dataDxfId="1210"/>
    <tableColumn id="20" xr3:uid="{242DF330-5F44-5E42-AE65-87779F7BD0A2}" uniqueName="20" name="PB_Escore" queryTableFieldId="20" dataDxfId="1209"/>
    <tableColumn id="21" xr3:uid="{E1E6EFF6-9006-F241-910D-38A4D193420C}" uniqueName="21" name="PB_total_score" queryTableFieldId="21" dataDxfId="1208"/>
    <tableColumn id="22" xr3:uid="{078D5425-B5A1-3549-AA14-969F84EF0BB1}" uniqueName="22" name="HB_Dscore" queryTableFieldId="22" dataDxfId="1207"/>
    <tableColumn id="23" xr3:uid="{65B866A3-4D3C-BF43-844C-F3F374D6D260}" uniqueName="23" name="HB_Escore" queryTableFieldId="23" dataDxfId="1206"/>
    <tableColumn id="24" xr3:uid="{CD254058-80C4-0C4E-935E-8E49B7BB3E12}" uniqueName="24" name="HB_total_score" queryTableFieldId="24" dataDxfId="1205"/>
    <tableColumn id="27" xr3:uid="{2C1E0BC3-3FF9-468B-8349-7B46147DC5A0}" uniqueName="27" name="AA_Dscore" queryTableFieldId="28" dataDxfId="1204">
      <calculatedColumnFormula>IF(Cracow_result[[#This Row],[All Around]]="Yes",SUM(H2,K2,N2,Q2,T2,W2),0)</calculatedColumnFormula>
    </tableColumn>
    <tableColumn id="28" xr3:uid="{CFFFC03A-4CEF-4DC7-90D3-AD5D1813FBAF}" uniqueName="28" name="AA_Escore" queryTableFieldId="27" dataDxfId="1203">
      <calculatedColumnFormula>IF(Cracow_result[[#This Row],[All Around]]="Yes",SUM(I2,L2,O2,R2,U2,X2),0)</calculatedColumnFormula>
    </tableColumn>
    <tableColumn id="25" xr3:uid="{5388FCC5-6ECC-294B-BF83-1FA91D26C11B}" uniqueName="25" name="Total_Score" queryTableFieldId="25" dataDxfId="1202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EA889C6-95ED-4B87-8FA6-A8EB86350053}" name="Tabela15" displayName="Tabela15" ref="A43:J57" totalsRowShown="0" headerRowDxfId="1201" dataDxfId="1200">
  <autoFilter ref="A43:J57" xr:uid="{FEA889C6-95ED-4B87-8FA6-A8EB86350053}"/>
  <sortState xmlns:xlrd2="http://schemas.microsoft.com/office/spreadsheetml/2017/richdata2" ref="A44:J57">
    <sortCondition descending="1" ref="A43:A57"/>
  </sortState>
  <tableColumns count="10">
    <tableColumn id="1" xr3:uid="{7A7265EE-B0EC-4125-8D68-CE85DA592810}" name="Category" dataDxfId="1199"/>
    <tableColumn id="2" xr3:uid="{E3A54752-6756-40D7-9166-E47C7EE001A0}" name="Apparatus" dataDxfId="1198"/>
    <tableColumn id="3" xr3:uid="{63F9D75C-B776-4C0D-812C-8DF81AE00F5E}" name="AVG D Score" dataDxfId="1197"/>
    <tableColumn id="4" xr3:uid="{D9B6D2B7-9EE4-4F12-B7E2-21BB07D27031}" name="SD D score" dataDxfId="1196"/>
    <tableColumn id="5" xr3:uid="{15BFA616-66B3-42E7-9F97-729042D160F6}" name="AVG Escore" dataDxfId="1195"/>
    <tableColumn id="6" xr3:uid="{FB793D35-E1E6-46F3-8A4C-6FDD91365969}" name="SD E score" dataDxfId="1194"/>
    <tableColumn id="7" xr3:uid="{42024C39-53CF-40A8-8F07-9F829256621A}" name="AVG Total Score" dataDxfId="1193"/>
    <tableColumn id="8" xr3:uid="{5DC77115-C99D-4897-BFCB-E7B46B3B03D4}" name="SD Total Score" dataDxfId="1192"/>
    <tableColumn id="9" xr3:uid="{454B198B-ADCC-4F58-8A80-82044E1E8B99}" name="Top Score" dataDxfId="1191"/>
    <tableColumn id="10" xr3:uid="{FCDD2AF4-5857-4DBD-A7B0-90D7841C93FE}" name="Gymnasts" dataDxfId="1190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1844728-80B1-4243-86B8-25B79B79A5E2}" name="Cracow_Pivoted" displayName="Cracow_Pivoted" ref="AN1:AV820" tableType="queryTable" totalsRowShown="0">
  <autoFilter ref="AN1:AV820" xr:uid="{51844728-80B1-4243-86B8-25B79B79A5E2}"/>
  <tableColumns count="9">
    <tableColumn id="1" xr3:uid="{793DE1C0-76CB-42D2-B670-AE4CC193AC8F}" uniqueName="1" name="Name" queryTableFieldId="1" dataDxfId="1189"/>
    <tableColumn id="2" xr3:uid="{85B79C81-70B1-4118-B509-B90D1DCFB47C}" uniqueName="2" name="Category" queryTableFieldId="2" dataDxfId="1188"/>
    <tableColumn id="3" xr3:uid="{EC201E8D-05A1-4F5E-9C2D-4D1E848EC6AE}" uniqueName="3" name="Birth_year" queryTableFieldId="3"/>
    <tableColumn id="4" xr3:uid="{6BA7903F-2C04-4E39-9888-414FF36FFA19}" uniqueName="4" name="Club" queryTableFieldId="4" dataDxfId="1187"/>
    <tableColumn id="9" xr3:uid="{77C0E339-F81F-4B80-BBE5-55A1876ED14B}" uniqueName="9" name="Competition place" queryTableFieldId="9"/>
    <tableColumn id="5" xr3:uid="{6A1B5808-7543-406C-AA59-FB0445AA6A45}" uniqueName="5" name="All Around" queryTableFieldId="5" dataDxfId="1186"/>
    <tableColumn id="8" xr3:uid="{7484B12B-814D-49FB-B055-8DBE5AA935C7}" uniqueName="8" name="Apparatus" queryTableFieldId="8" dataDxfId="1185"/>
    <tableColumn id="6" xr3:uid="{A99C0E7C-3FB7-4C08-AAFB-FE2F3AC18949}" uniqueName="6" name="Score Type " queryTableFieldId="6" dataDxfId="1184"/>
    <tableColumn id="7" xr3:uid="{22CAE0B3-E050-4A67-A7F2-FD06B062E8BD}" uniqueName="7" name="Value" queryTableFieldId="7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B9E4A4-87F3-254B-AB43-648B5A9F461C}" name="Gdansk_result" displayName="Gdansk_result" ref="A1:AB34" tableType="queryTable" headerRowDxfId="1183" dataDxfId="1182">
  <autoFilter ref="A1:AB34" xr:uid="{A9B9E4A4-87F3-254B-AB43-648B5A9F461C}"/>
  <sortState xmlns:xlrd2="http://schemas.microsoft.com/office/spreadsheetml/2017/richdata2" ref="A2:AB34">
    <sortCondition descending="1" ref="C1:C34"/>
  </sortState>
  <tableColumns count="28">
    <tableColumn id="1" xr3:uid="{566EBF33-A418-9146-9F0C-E3E0769EAD5C}" uniqueName="1" name="Rk" totalsRowLabel="Suma" queryTableFieldId="1" dataDxfId="1181"/>
    <tableColumn id="2" xr3:uid="{B33BE356-DE22-2341-B2B0-A0364D4AB32F}" uniqueName="2" name="Name" queryTableFieldId="2" dataDxfId="1180"/>
    <tableColumn id="3" xr3:uid="{2CFDB337-D95A-3147-8F05-03A38EE790B4}" uniqueName="3" name="Category" queryTableFieldId="3" dataDxfId="1179"/>
    <tableColumn id="4" xr3:uid="{5E1AE756-0C86-6541-BD3C-B920E07BFFD3}" uniqueName="4" name="Birth_year" queryTableFieldId="4" dataDxfId="1178"/>
    <tableColumn id="5" xr3:uid="{32D2F600-4128-3942-85BF-AD8F03798E04}" uniqueName="5" name="License_number" queryTableFieldId="5" dataDxfId="1177"/>
    <tableColumn id="6" xr3:uid="{8A5FD3CD-DE10-E046-91B6-4898D040CA41}" uniqueName="6" name="Club" queryTableFieldId="6" dataDxfId="1176"/>
    <tableColumn id="29" xr3:uid="{ACEDED59-CDC5-4F90-ABF5-AA43AF4A9DA8}" uniqueName="29" name="All Around" queryTableFieldId="29" dataDxfId="1175"/>
    <tableColumn id="7" xr3:uid="{87DBE679-67A9-714C-9B9D-76CFD2B935D9}" uniqueName="7" name="FX_Dscore" queryTableFieldId="7" dataDxfId="1174"/>
    <tableColumn id="8" xr3:uid="{FB6C41DB-47C2-8F44-8C29-89EB6DB7582C}" uniqueName="8" name="FX_Escore" queryTableFieldId="8" dataDxfId="1173"/>
    <tableColumn id="9" xr3:uid="{09A5C288-302B-1A4D-96CF-AFAEA1695DED}" uniqueName="9" name="FX_total_score" queryTableFieldId="9" dataDxfId="1172"/>
    <tableColumn id="10" xr3:uid="{BC3B7ABA-CD58-B940-9772-6584E8F8208C}" uniqueName="10" name="PH_Dscore" queryTableFieldId="10" dataDxfId="1171"/>
    <tableColumn id="11" xr3:uid="{204ABB3C-6103-FF4D-A2FE-3296AACFD09A}" uniqueName="11" name="PH_Escore" queryTableFieldId="11" dataDxfId="1170"/>
    <tableColumn id="12" xr3:uid="{A90E1BD1-3545-8642-985E-EE79B2E85E35}" uniqueName="12" name="PH_Total_Score" queryTableFieldId="12" dataDxfId="1169"/>
    <tableColumn id="13" xr3:uid="{571E6B19-9386-4044-BC22-A563CB3BF7CD}" uniqueName="13" name="SR_Dscore" queryTableFieldId="13" dataDxfId="1168"/>
    <tableColumn id="14" xr3:uid="{B7114A4C-79E8-414F-B838-9E122B8BE1A1}" uniqueName="14" name="SR_Escore" queryTableFieldId="14" dataDxfId="1167"/>
    <tableColumn id="15" xr3:uid="{DE854385-F0E4-F54C-B28D-52EC503150E2}" uniqueName="15" name="SR_Total_Score" queryTableFieldId="15" dataDxfId="1166"/>
    <tableColumn id="16" xr3:uid="{040105E6-A7CE-EA4E-BF9F-2FD729314B2F}" uniqueName="16" name="VT_Dscore" queryTableFieldId="16" dataDxfId="1165"/>
    <tableColumn id="17" xr3:uid="{80701624-322E-0D42-AD4A-1F3E859B63C3}" uniqueName="17" name="VT_Escore" queryTableFieldId="17" dataDxfId="1164"/>
    <tableColumn id="18" xr3:uid="{398571B9-B4BA-5C4A-A30F-AE3CFFAA8EC7}" uniqueName="18" name="VT_total_score" queryTableFieldId="18" dataDxfId="1163"/>
    <tableColumn id="19" xr3:uid="{D2A46B98-9014-4A4F-A8A5-715E813BC586}" uniqueName="19" name="PB_Dscore" queryTableFieldId="19" dataDxfId="1162"/>
    <tableColumn id="20" xr3:uid="{1F6B6B0C-A090-6F41-AD1E-79DDF1D4A8E0}" uniqueName="20" name="PB_Escore" queryTableFieldId="20" dataDxfId="1161"/>
    <tableColumn id="21" xr3:uid="{A8BEAD0A-624C-8042-96C8-25DE11B79531}" uniqueName="21" name="PB_total_score" queryTableFieldId="21" dataDxfId="1160"/>
    <tableColumn id="22" xr3:uid="{61EF7A91-4115-BE46-954F-A485F5DDD925}" uniqueName="22" name="HB_Dscore" queryTableFieldId="22" dataDxfId="1159"/>
    <tableColumn id="23" xr3:uid="{23CDB0E4-5D29-2A45-9664-7FE5B05E50F2}" uniqueName="23" name="HB_Escore" queryTableFieldId="23" dataDxfId="1158"/>
    <tableColumn id="24" xr3:uid="{E127086E-A80B-A34D-BA92-ABD31A087CEB}" uniqueName="24" name="HB_total_score" queryTableFieldId="24" dataDxfId="1157"/>
    <tableColumn id="27" xr3:uid="{241AEEDF-DA1E-4529-A10D-4C27F3BF8178}" uniqueName="27" name="AA_Dscore" queryTableFieldId="28" dataDxfId="1156">
      <calculatedColumnFormula>IF(Gdansk_result[[#This Row],[All Around]]="Yes",SUM(H2,K2,N2,Q2,T2,W2),0)</calculatedColumnFormula>
    </tableColumn>
    <tableColumn id="28" xr3:uid="{56E94EDC-3D30-44C7-908B-75E8707E927B}" uniqueName="28" name="AA_Escore" queryTableFieldId="27" dataDxfId="1155">
      <calculatedColumnFormula>IF(Gdansk_result[[#This Row],[All Around]]="Yes",SUM(I2,L2,O2,R2,U2,X2),0)</calculatedColumnFormula>
    </tableColumn>
    <tableColumn id="25" xr3:uid="{3BD88BE0-BD5A-504B-9B21-7523009382BF}" uniqueName="25" name="Total_Score" totalsRowFunction="sum" queryTableFieldId="25" dataDxfId="1154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BA2E6E5-609D-4784-912F-EAFB7C2F009A}" name="Tabela16" displayName="Tabela16" ref="A37:J51" totalsRowShown="0" headerRowDxfId="1153" dataDxfId="1152">
  <autoFilter ref="A37:J51" xr:uid="{ABA2E6E5-609D-4784-912F-EAFB7C2F009A}"/>
  <sortState xmlns:xlrd2="http://schemas.microsoft.com/office/spreadsheetml/2017/richdata2" ref="A38:J51">
    <sortCondition descending="1" ref="A37:A51"/>
  </sortState>
  <tableColumns count="10">
    <tableColumn id="1" xr3:uid="{C7864D9A-A229-4A31-A702-1589217B5C9B}" name="Category" dataDxfId="1151"/>
    <tableColumn id="2" xr3:uid="{633408B5-7D75-4905-8B02-507E9C3F3F64}" name="Apparatus" dataDxfId="1150"/>
    <tableColumn id="3" xr3:uid="{304840D9-9292-487D-9232-263E7956CF09}" name="AVG D Score" dataDxfId="1149"/>
    <tableColumn id="4" xr3:uid="{F38558BE-6600-429F-9617-CF13BFE6E303}" name="SD D score" dataDxfId="1148"/>
    <tableColumn id="5" xr3:uid="{C5D03980-853E-4C2C-85A0-7BC125D56C72}" name="AVG Escore" dataDxfId="1147"/>
    <tableColumn id="6" xr3:uid="{55C40660-7935-49A0-82FD-1909DA603134}" name="SD E score" dataDxfId="1146"/>
    <tableColumn id="7" xr3:uid="{D7885AE8-3CF9-47F8-8FD9-F22DF180654B}" name="AVG Total Score" dataDxfId="1145"/>
    <tableColumn id="8" xr3:uid="{9BB97D02-DD15-4A5B-90D4-C5CE940051A4}" name="SD Total Score" dataDxfId="1144"/>
    <tableColumn id="9" xr3:uid="{9216ABC2-67E6-4DB9-9EF0-E348695D4562}" name="Top Score" dataDxfId="1143"/>
    <tableColumn id="10" xr3:uid="{01EDB44A-063F-49AF-BA60-94A168D743E1}" name="Gymnasts" dataDxfId="1142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43C7AAA-A34C-452D-8F4C-BDACAEAE801D}" name="Gdansk_result__2" displayName="Gdansk_result__2" ref="AN1:AV694" tableType="queryTable" totalsRowShown="0">
  <autoFilter ref="AN1:AV694" xr:uid="{043C7AAA-A34C-452D-8F4C-BDACAEAE801D}"/>
  <tableColumns count="9">
    <tableColumn id="1" xr3:uid="{B8951626-9E2F-40EB-99B4-D3EACF43BAB0}" uniqueName="1" name="Name" queryTableFieldId="1" dataDxfId="1141"/>
    <tableColumn id="2" xr3:uid="{242F1755-D027-4FA4-BD05-41E4855EE7B5}" uniqueName="2" name="Category" queryTableFieldId="2" dataDxfId="1140"/>
    <tableColumn id="3" xr3:uid="{3616665E-39AF-4DFC-9548-66A545769AA7}" uniqueName="3" name="Birth_year" queryTableFieldId="3"/>
    <tableColumn id="4" xr3:uid="{7C73A3C3-E0BD-4A46-9373-350731B76DB3}" uniqueName="4" name="Club" queryTableFieldId="4" dataDxfId="1139"/>
    <tableColumn id="5" xr3:uid="{081953FD-D92E-4248-89A9-1A3E6E439F61}" uniqueName="5" name="All Around" queryTableFieldId="5" dataDxfId="1138"/>
    <tableColumn id="9" xr3:uid="{7A68A739-12E3-4178-BEE4-3155CAE96757}" uniqueName="9" name="Competition place" queryTableFieldId="9"/>
    <tableColumn id="8" xr3:uid="{50162CA2-1793-4C92-8768-6572C7DBE35C}" uniqueName="8" name="Apparatus" queryTableFieldId="8" dataDxfId="1137"/>
    <tableColumn id="6" xr3:uid="{302BD222-8A5C-42D7-880F-B1C197BA9E8E}" uniqueName="6" name="Score Type " queryTableFieldId="6" dataDxfId="1136"/>
    <tableColumn id="7" xr3:uid="{8B585802-080F-4183-BA5E-DC99B97B1CFE}" uniqueName="7" name="Value" queryTableFieldId="7"/>
  </tableColumns>
  <tableStyleInfo name="TableStyleMedium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8CB7C11-8ED0-B54B-8DC4-AF36FCBF5E5D}" name="FX" displayName="FX" ref="A1:W47" tableType="queryTable" totalsRowShown="0" headerRowDxfId="1135">
  <autoFilter ref="A1:W47" xr:uid="{C8CB7C11-8ED0-B54B-8DC4-AF36FCBF5E5D}"/>
  <sortState xmlns:xlrd2="http://schemas.microsoft.com/office/spreadsheetml/2017/richdata2" ref="A2:W25">
    <sortCondition descending="1" ref="T1:T47"/>
  </sortState>
  <tableColumns count="23">
    <tableColumn id="1" xr3:uid="{9AF45B17-49E5-4648-AFA4-D4E2F1456175}" uniqueName="1" name="Name" queryTableFieldId="1" dataDxfId="1134"/>
    <tableColumn id="2" xr3:uid="{D4C7DD7F-8CAD-8E4B-B7F4-45435A397D13}" uniqueName="2" name="Category" queryTableFieldId="2" dataDxfId="1133"/>
    <tableColumn id="3" xr3:uid="{951809E0-EA63-504B-9E87-7D1FDA722B45}" uniqueName="3" name="License_number" queryTableFieldId="3" dataDxfId="1132"/>
    <tableColumn id="4" xr3:uid="{2EA5D9CA-54E7-BE49-A565-998DB5CB45A1}" uniqueName="4" name="Club" queryTableFieldId="4" dataDxfId="1131"/>
    <tableColumn id="20" xr3:uid="{A0D7BC17-2227-4B86-AAB4-7EF68867C4ED}" uniqueName="20" name="Number_of_competition" queryTableFieldId="20" dataDxfId="1130"/>
    <tableColumn id="5" xr3:uid="{B6945FE9-7906-FF48-8664-154C06A5E689}" uniqueName="5" name="bydgoszcz_FX_Dscore" queryTableFieldId="5" dataDxfId="1129"/>
    <tableColumn id="6" xr3:uid="{806F8663-C6C2-9048-B19C-ABD67E1C86B5}" uniqueName="6" name="bydgoszcz_FX_Escore" queryTableFieldId="6" dataDxfId="1128"/>
    <tableColumn id="7" xr3:uid="{D95F07AA-26F5-AC49-B335-E2162E7ED783}" uniqueName="7" name="bydgoszcz_FX_Total_Score" queryTableFieldId="7" dataDxfId="1127"/>
    <tableColumn id="8" xr3:uid="{4AAE22CA-C8A2-204E-91E7-A45C483847EA}" uniqueName="8" name="zabrze_FX_Dscore" queryTableFieldId="8" dataDxfId="1126"/>
    <tableColumn id="9" xr3:uid="{ED85FCCA-36D8-5E43-83B7-E2946B2938D0}" uniqueName="9" name="zabrze_FX_Escore" queryTableFieldId="9" dataDxfId="1125"/>
    <tableColumn id="10" xr3:uid="{43B85B3E-AD84-184D-A8BE-7C866C1EE131}" uniqueName="10" name="zabrze_FX_Total_Score" queryTableFieldId="10" dataDxfId="1124"/>
    <tableColumn id="11" xr3:uid="{2FA5A41C-1E78-5B4F-9E5C-D2BB435D8B27}" uniqueName="11" name="cracow_FX_Dscore" queryTableFieldId="11" dataDxfId="1123"/>
    <tableColumn id="12" xr3:uid="{0A724EA0-590B-274A-9216-8524882FFE47}" uniqueName="12" name="cracow_FX_Escore" queryTableFieldId="12" dataDxfId="1122"/>
    <tableColumn id="13" xr3:uid="{73258F73-F532-4246-AEE3-7B5CD76B4A79}" uniqueName="13" name="cracow_FX_Total_Score" queryTableFieldId="13" dataDxfId="1121"/>
    <tableColumn id="14" xr3:uid="{B3842699-63BD-6D41-A40A-E5AE3E167E32}" uniqueName="14" name="gdansk_FX_Dscore" queryTableFieldId="14" dataDxfId="1120"/>
    <tableColumn id="15" xr3:uid="{F80BDCF6-84BD-4A41-990F-C144044A7B7B}" uniqueName="15" name="gdansk_FX_Escore" queryTableFieldId="15" dataDxfId="1119"/>
    <tableColumn id="16" xr3:uid="{CD6FE0C2-8932-2542-99D0-48C69A1795E5}" uniqueName="16" name="gdansk_FX_Total_Score" queryTableFieldId="16" dataDxfId="1118"/>
    <tableColumn id="17" xr3:uid="{DE1FED81-DF40-4D70-ABDD-DD6463D07BBC}" uniqueName="17" name="Year_Dscore" queryTableFieldId="17" dataDxfId="1117">
      <calculatedColumnFormula>LARGE(CHOOSE({1;2;3;4},F2,I2,L2,O2),1)+LARGE(CHOOSE({1;2;3;4},F2,I2,L2,O2),2)+LARGE(CHOOSE({1;2;3;4},F2,I2,L2,O2),3)</calculatedColumnFormula>
    </tableColumn>
    <tableColumn id="18" xr3:uid="{893A1A77-8CEA-42BF-8A67-5686BC5DD23A}" uniqueName="18" name="Year_Escore" queryTableFieldId="18" dataDxfId="1116">
      <calculatedColumnFormula>LARGE(CHOOSE({1;2;3;4},G2,J2,M2,P2),1)+LARGE(CHOOSE({1;2;3;4},G2,J2,M2,P2),2)+LARGE(CHOOSE({1;2;3;4},G2,J2,M2,P2),3)</calculatedColumnFormula>
    </tableColumn>
    <tableColumn id="19" xr3:uid="{5FBBF493-EB3A-4FD5-A1B8-94A84BA041D9}" uniqueName="19" name="Year_Total_Score" queryTableFieldId="19" dataDxfId="1115">
      <calculatedColumnFormula>LARGE(CHOOSE({1;2;3;4},H2,K2,N2,Q2),1)+LARGE(CHOOSE({1;2;3;4},H2,K2,N2,Q2),2)+LARGE(CHOOSE({1;2;3;4},H2,K2,N2,Q2),3)</calculatedColumnFormula>
    </tableColumn>
    <tableColumn id="21" xr3:uid="{BFF58C27-B7F0-4995-B238-D4720664B545}" uniqueName="21" name="AVG_Dscore" queryTableFieldId="21" dataDxfId="1114">
      <calculatedColumnFormula array="1">IF(FX[[#This Row],[Number_of_competition]:[Number_of_competition]]&gt;=3,(LARGE(CHOOSE({1;2;3;4},F2,I2,L2,O2),1)+LARGE(CHOOSE({1;2;3;4},F2,I2,L2,O2),2)+LARGE(CHOOSE({1;2;3;4},F2,I2,L2,O2),3))/3,0)</calculatedColumnFormula>
    </tableColumn>
    <tableColumn id="22" xr3:uid="{9DAC7CE4-5411-445A-B48E-CA07373100E3}" uniqueName="22" name="AVG_Escore" queryTableFieldId="22" dataDxfId="1113">
      <calculatedColumnFormula array="1">IF(FX[[#This Row],[Number_of_competition]:[Number_of_competition]]&gt;=3,(LARGE(CHOOSE({1;2;3;4},G2,J2,M2,P2),1)+LARGE(CHOOSE({1;2;3;4},G2,J2,M2,P2),2)+LARGE(CHOOSE({1;2;3;4},G2,J2,M2,P2),3))/3,0)</calculatedColumnFormula>
    </tableColumn>
    <tableColumn id="23" xr3:uid="{3A9374AF-5D2A-4518-9162-2A6E425F7EA0}" uniqueName="23" name="AVG_Total_Score" queryTableFieldId="23" dataDxfId="1112">
      <calculatedColumnFormula array="1">IF(FX[[#This Row],[Number_of_competition]:[Number_of_competition]]&gt;=3,(LARGE(CHOOSE({1;2;3;4},H2,K2,N2,Q2),1)+LARGE(CHOOSE({1;2;3;4},H2,K2,N2,Q2),2)+LARGE(CHOOSE({1;2;3;4},H2,K2,N2,Q2),3))/3,0)</calculatedColumnFormula>
    </tableColumn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DEF1D84-AF5A-4DE8-9FC7-40B0E21F7E5C}" name="FX_Calculation" displayName="FX_Calculation" ref="A50:F62" totalsRowShown="0" headerRowDxfId="1111" dataDxfId="1110">
  <autoFilter ref="A50:F62" xr:uid="{EDEF1D84-AF5A-4DE8-9FC7-40B0E21F7E5C}"/>
  <sortState xmlns:xlrd2="http://schemas.microsoft.com/office/spreadsheetml/2017/richdata2" ref="A51:F62">
    <sortCondition descending="1" ref="A50:A62"/>
  </sortState>
  <tableColumns count="6">
    <tableColumn id="1" xr3:uid="{F147D65A-5DB3-4F9F-9729-DB66254E78A9}" name="Category" dataDxfId="1109"/>
    <tableColumn id="2" xr3:uid="{27F9F717-FD32-45FA-8C96-28172E890D5D}" name="Score Type" dataDxfId="1108"/>
    <tableColumn id="3" xr3:uid="{C98C6F33-6923-4A54-97B9-1A53E2808D0F}" name="AVG Score" dataDxfId="1107"/>
    <tableColumn id="4" xr3:uid="{9D1800F4-AA13-45E7-A87B-42FE8B1732F2}" name="SD" dataDxfId="1106"/>
    <tableColumn id="5" xr3:uid="{8AC78F63-8142-43F2-AAF4-0E23E0D9C85C}" name="Top" dataDxfId="1105"/>
    <tableColumn id="6" xr3:uid="{A9CD226E-CCEA-4F5A-9D9D-1574D874D07B}" name="Gymnasts" dataDxfId="1104"/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F41570C-D82D-4529-A72B-7D48E16BDE1B}" name="FX__4" displayName="FX__4" ref="AE1:AK829" tableType="queryTable" totalsRowShown="0">
  <autoFilter ref="AE1:AK829" xr:uid="{EF41570C-D82D-4529-A72B-7D48E16BDE1B}"/>
  <tableColumns count="7">
    <tableColumn id="1" xr3:uid="{1332CDD1-9294-447A-B50C-1F1BFEA3D7DF}" uniqueName="1" name="Name" queryTableFieldId="1" dataDxfId="805"/>
    <tableColumn id="2" xr3:uid="{2736E9EE-4375-4141-B4DB-1B01273334B4}" uniqueName="2" name="Category" queryTableFieldId="2" dataDxfId="804"/>
    <tableColumn id="3" xr3:uid="{5EEA4D84-7BE3-43BB-A25C-361EAB63122B}" uniqueName="3" name="Club" queryTableFieldId="3" dataDxfId="803"/>
    <tableColumn id="4" xr3:uid="{D8BF5DA4-EAAC-400E-AEED-04E826B43AD9}" uniqueName="4" name="Number_of_competition" queryTableFieldId="4"/>
    <tableColumn id="5" xr3:uid="{A3E83870-B8D5-4FE4-B2BB-0BDFFF48155F}" uniqueName="5" name="Place of competition" queryTableFieldId="5" dataDxfId="802"/>
    <tableColumn id="8" xr3:uid="{3F7FBE94-B63D-4334-B888-41B0733CF776}" uniqueName="8" name="Score Type" queryTableFieldId="8" dataDxfId="801"/>
    <tableColumn id="6" xr3:uid="{AB740BDA-7D3C-4B2C-884B-7D9E62E5C73C}" uniqueName="6" name="Value" queryTableFieldId="6"/>
  </tableColumns>
  <tableStyleInfo name="TableStyleMedium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FC2F5A5-6876-B744-A30F-1F4F60CA11F3}" name="PH" displayName="PH" ref="A1:W44" tableType="queryTable" totalsRowShown="0" headerRowDxfId="1103">
  <autoFilter ref="A1:W44" xr:uid="{FFC2F5A5-6876-B744-A30F-1F4F60CA11F3}"/>
  <sortState xmlns:xlrd2="http://schemas.microsoft.com/office/spreadsheetml/2017/richdata2" ref="A2:W44">
    <sortCondition descending="1" ref="B1:B44"/>
  </sortState>
  <tableColumns count="23">
    <tableColumn id="1" xr3:uid="{094BBDED-A34A-A14B-A999-2F1CA1EA34C5}" uniqueName="1" name="Name" queryTableFieldId="1" dataDxfId="1102"/>
    <tableColumn id="2" xr3:uid="{BBF8E6A3-EC74-A34D-95E4-153B27A2AF78}" uniqueName="2" name="Category" queryTableFieldId="2" dataDxfId="1101"/>
    <tableColumn id="3" xr3:uid="{8D4BB4FC-636E-FD40-A3A1-C908A4E08FC2}" uniqueName="3" name="License_number" queryTableFieldId="3" dataDxfId="1100"/>
    <tableColumn id="4" xr3:uid="{CE5FF73C-61FC-324C-A2EB-E7F02F691617}" uniqueName="4" name="Club" queryTableFieldId="4" dataDxfId="1099"/>
    <tableColumn id="20" xr3:uid="{72323466-1E52-45AB-9DCF-71F0D38BE019}" uniqueName="20" name="Number_of_Competition" queryTableFieldId="20" dataDxfId="1098"/>
    <tableColumn id="5" xr3:uid="{046A5F7E-1FC2-C04A-90BF-70746BA1061C}" uniqueName="5" name="bydgoszcz_PH_Dscore" queryTableFieldId="5" dataDxfId="1097"/>
    <tableColumn id="6" xr3:uid="{E9849F24-5C23-934C-A7AF-A84360106FE8}" uniqueName="6" name="bydgoszcz_PH_Escore" queryTableFieldId="6" dataDxfId="1096"/>
    <tableColumn id="7" xr3:uid="{3D2BC687-FFA6-9148-8350-B44D46A3903B}" uniqueName="7" name="bydgoszcz_PH_Total_Score" queryTableFieldId="7" dataDxfId="1095"/>
    <tableColumn id="8" xr3:uid="{5F0E7FBC-CA45-2E42-B229-E4AA17B19D66}" uniqueName="8" name="zabrze_PH_Dscore" queryTableFieldId="8" dataDxfId="1094"/>
    <tableColumn id="9" xr3:uid="{108B0774-C055-9244-B344-2BF6B64C0F29}" uniqueName="9" name="zabrze_PH_Escore" queryTableFieldId="9" dataDxfId="1093"/>
    <tableColumn id="10" xr3:uid="{E5CBE0D1-99C7-CA45-8B37-92FD058E95FA}" uniqueName="10" name="zabrze_PH_Total_Score" queryTableFieldId="10" dataDxfId="1092"/>
    <tableColumn id="11" xr3:uid="{0EE9648F-F5F4-1347-A55A-5851FC829F64}" uniqueName="11" name="cracow_PH_Dscore" queryTableFieldId="11" dataDxfId="1091"/>
    <tableColumn id="12" xr3:uid="{7118DF69-0123-5A43-ADE7-39BBDC96CE90}" uniqueName="12" name="cracow_PH_Escore" queryTableFieldId="12" dataDxfId="1090"/>
    <tableColumn id="13" xr3:uid="{35ED6A98-1B5D-CF4D-A089-57322D3F6D56}" uniqueName="13" name="cracow_PH_Total_Score" queryTableFieldId="13" dataDxfId="1089"/>
    <tableColumn id="14" xr3:uid="{0F5DF44F-D771-5C4A-AAA1-31760A4A2652}" uniqueName="14" name="gdansk_PH_Dscore" queryTableFieldId="14" dataDxfId="1088"/>
    <tableColumn id="15" xr3:uid="{8839FC97-8BBE-F94B-AAA1-4B445F1FBD54}" uniqueName="15" name="gdansk_PH_Escore" queryTableFieldId="15" dataDxfId="1087"/>
    <tableColumn id="16" xr3:uid="{92D748AC-DFC3-714C-9EF8-6EE697FA80DC}" uniqueName="16" name="gdansk_PH_Total_Score" queryTableFieldId="16" dataDxfId="1086"/>
    <tableColumn id="17" xr3:uid="{B58639EA-FE4C-441A-B42E-3AC291606383}" uniqueName="17" name="Year_Dscore" queryTableFieldId="17" dataDxfId="1085">
      <calculatedColumnFormula>LARGE(CHOOSE({1;2;3;4},F2,I2,L2,O2),1)+LARGE(CHOOSE({1;2;3;4},F2,I2,L2,O2),2)+LARGE(CHOOSE({1;2;3;4},F2,I2,L2,O2),3)</calculatedColumnFormula>
    </tableColumn>
    <tableColumn id="18" xr3:uid="{C090E31E-D6E1-476E-A8CF-B080F14EEB09}" uniqueName="18" name="Year_Escore" queryTableFieldId="18" dataDxfId="1084">
      <calculatedColumnFormula>LARGE(CHOOSE({1;2;3;4},G2,J2,M2,P2),1)+LARGE(CHOOSE({1;2;3;4},G2,J2,M2,P2),2)+LARGE(CHOOSE({1;2;3;4},G2,J2,M2,P2),3)</calculatedColumnFormula>
    </tableColumn>
    <tableColumn id="19" xr3:uid="{A87E308F-6D73-45DA-ACA2-8C4E88584065}" uniqueName="19" name="Year_Total_Score" queryTableFieldId="19" dataDxfId="1083">
      <calculatedColumnFormula>LARGE(CHOOSE({1;2;3;4},H2,K2,N2,Q2),1)+LARGE(CHOOSE({1;2;3;4},H2,K2,N2,Q2),2)+LARGE(CHOOSE({1;2;3;4},H2,K2,N2,Q2),3)</calculatedColumnFormula>
    </tableColumn>
    <tableColumn id="21" xr3:uid="{D11F7696-639E-445E-A6E4-76C476E43E01}" uniqueName="21" name="AVG_Dscore" queryTableFieldId="21" dataDxfId="1082">
      <calculatedColumnFormula array="1">IF(PH[[#This Row],[Number_of_Competition]:[Number_of_Competition]]&gt;=3,(LARGE(CHOOSE({1;2;3;4},F2,I2,L2,O2),1)+LARGE(CHOOSE({1;2;3;4},F2,I2,L2,O2),2)+LARGE(CHOOSE({1;2;3;4},F2,I2,L2,O2),3))/3,0)</calculatedColumnFormula>
    </tableColumn>
    <tableColumn id="22" xr3:uid="{A763EEB7-1EDA-4091-B84F-29184E5985D0}" uniqueName="22" name="AVG_Escore" queryTableFieldId="22" dataDxfId="1081">
      <calculatedColumnFormula array="1">IF(PH[[#This Row],[Number_of_Competition]:[Number_of_Competition]]&gt;=3,(LARGE(CHOOSE({1;2;3;4},G2,J2,M2,P2),1)+LARGE(CHOOSE({1;2;3;4},G2,J2,M2,P2),2)+LARGE(CHOOSE({1;2;3;4},G2,J2,M2,P2),3))/3,0)</calculatedColumnFormula>
    </tableColumn>
    <tableColumn id="23" xr3:uid="{AF77A6FC-4692-421A-8878-3E28A26C8C09}" uniqueName="23" name="AVG_Total_Score" queryTableFieldId="23" dataDxfId="1080">
      <calculatedColumnFormula array="1">IF(PH[[#This Row],[Number_of_Competition]:[Number_of_Competition]]&gt;=3,(LARGE(CHOOSE({1;2;3;4},H2,K2,N2,Q2),1)+LARGE(CHOOSE({1;2;3;4},H2,K2,N2,Q2),2)+LARGE(CHOOSE({1;2;3;4},H2,K2,N2,Q2),3))/3,0)</calculatedColumnFormula>
    </tableColumn>
  </tableColumns>
  <tableStyleInfo name="TableStyleLight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973A7AA-9C74-4D02-83F6-CA49121ECF4A}" name="PH_Calculation" displayName="PH_Calculation" ref="A47:F59" totalsRowShown="0" headerRowDxfId="1079" dataDxfId="1077" headerRowBorderDxfId="1078" tableBorderDxfId="1076">
  <autoFilter ref="A47:F59" xr:uid="{1973A7AA-9C74-4D02-83F6-CA49121ECF4A}"/>
  <sortState xmlns:xlrd2="http://schemas.microsoft.com/office/spreadsheetml/2017/richdata2" ref="A48:F59">
    <sortCondition descending="1" ref="A47:A59"/>
  </sortState>
  <tableColumns count="6">
    <tableColumn id="1" xr3:uid="{4C48E19E-C602-47F2-A10F-AC708FE999D0}" name="Category" dataDxfId="1075"/>
    <tableColumn id="2" xr3:uid="{B0ADAEF8-DB36-4233-80A5-C1EEB2B5695C}" name="Score Type" dataDxfId="1074"/>
    <tableColumn id="3" xr3:uid="{FCAF62FB-D0BC-4835-A047-441F51AB91D1}" name="AVG Score" dataDxfId="1073"/>
    <tableColumn id="4" xr3:uid="{CFE83BD2-96C9-4444-A4F4-A9021305CF0A}" name="SD" dataDxfId="1072"/>
    <tableColumn id="5" xr3:uid="{FF19EA76-5528-4EF0-8F27-CB9223A8954A}" name="Top" dataDxfId="1071"/>
    <tableColumn id="6" xr3:uid="{6BFF7CA9-E9BE-42AC-8160-B7BA44FB912D}" name="Gymnasts" dataDxfId="1070"/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3343462A-5EB2-48D1-9A7C-7449F81B1218}" name="PH_2" displayName="PH_2" ref="AE1:AL775" tableType="queryTable" totalsRowShown="0">
  <autoFilter ref="AE1:AL775" xr:uid="{3343462A-5EB2-48D1-9A7C-7449F81B1218}"/>
  <tableColumns count="8">
    <tableColumn id="1" xr3:uid="{07519600-207E-44E5-B96A-E69CC38AAA38}" uniqueName="1" name="Name" queryTableFieldId="1" dataDxfId="800"/>
    <tableColumn id="2" xr3:uid="{34A17056-D4CC-4854-9F7E-DA3783594A5A}" uniqueName="2" name="Category" queryTableFieldId="2" dataDxfId="799"/>
    <tableColumn id="3" xr3:uid="{0D3C5CEA-2450-40D3-A342-BC3C8D369338}" uniqueName="3" name="License_number" queryTableFieldId="3" dataDxfId="798"/>
    <tableColumn id="4" xr3:uid="{5ECA85D1-3668-4032-B2C4-0BCFD00348F5}" uniqueName="4" name="Club" queryTableFieldId="4" dataDxfId="797"/>
    <tableColumn id="5" xr3:uid="{C5E9F316-122C-43FB-8807-23BE97625079}" uniqueName="5" name="Number_of_Competition" queryTableFieldId="5"/>
    <tableColumn id="6" xr3:uid="{BCA6BCC9-7A8C-4675-9D05-27BFC90930F0}" uniqueName="6" name="Place of competition " queryTableFieldId="6" dataDxfId="796"/>
    <tableColumn id="10" xr3:uid="{5332EBC0-0E3E-4B9D-88E5-E1D66C1C9052}" uniqueName="10" name="Score Type" queryTableFieldId="11" dataDxfId="795"/>
    <tableColumn id="7" xr3:uid="{88ED7ADF-7BC6-4A30-94FD-AC7E4426A6B7}" uniqueName="7" name="Value" queryTableFieldId="7"/>
  </tableColumns>
  <tableStyleInfo name="TableStyleMedium4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007EE07-84CC-7B4E-84EA-B22016B57721}" name="SR" displayName="SR" ref="A1:W45" tableType="queryTable" totalsRowShown="0" headerRowDxfId="1069">
  <autoFilter ref="A1:W45" xr:uid="{D007EE07-84CC-7B4E-84EA-B22016B57721}"/>
  <sortState xmlns:xlrd2="http://schemas.microsoft.com/office/spreadsheetml/2017/richdata2" ref="A2:W45">
    <sortCondition descending="1" ref="T1:T45"/>
  </sortState>
  <tableColumns count="23">
    <tableColumn id="1" xr3:uid="{EB6D2421-C138-B14A-9DD8-7D4047987950}" uniqueName="1" name="Name" queryTableFieldId="1" dataDxfId="1068"/>
    <tableColumn id="2" xr3:uid="{37342CE6-290B-8A45-9D45-79AC1BA67127}" uniqueName="2" name="Category" queryTableFieldId="2" dataDxfId="1067"/>
    <tableColumn id="3" xr3:uid="{86128246-E006-2745-B1CF-09E2948F5C9C}" uniqueName="3" name="License_number" queryTableFieldId="3" dataDxfId="1066"/>
    <tableColumn id="4" xr3:uid="{3B96582E-ACEC-F343-8B82-29FA241C414D}" uniqueName="4" name="Club" queryTableFieldId="4" dataDxfId="1065"/>
    <tableColumn id="20" xr3:uid="{AFA3FC6C-9483-4490-8D9F-DEBAA1D29E1E}" uniqueName="20" name="Number_of_competition" queryTableFieldId="20" dataDxfId="1064"/>
    <tableColumn id="5" xr3:uid="{FCDD0FEB-8D7C-2F4C-8460-66161B0BA33A}" uniqueName="5" name="bydgoszcz_SR_Dscore" queryTableFieldId="5" dataDxfId="1063"/>
    <tableColumn id="6" xr3:uid="{11CEB3F5-1A64-3040-83BE-6982252C549E}" uniqueName="6" name="bydgoszcz_SR_Escore" queryTableFieldId="6" dataDxfId="1062"/>
    <tableColumn id="7" xr3:uid="{7D1E967F-440D-1548-A9C7-0782F3FFAB30}" uniqueName="7" name="bydgoszcz_SR_Total_Score" queryTableFieldId="7" dataDxfId="1061"/>
    <tableColumn id="8" xr3:uid="{EC40BB9B-6B56-8640-8EB1-A42F89DEEAE9}" uniqueName="8" name="zabrze_SR_Dscore" queryTableFieldId="8" dataDxfId="1060"/>
    <tableColumn id="9" xr3:uid="{6B7D3B11-7FEB-1B4D-9442-7D47EEB700AD}" uniqueName="9" name="zabrze_SR_Escore" queryTableFieldId="9" dataDxfId="1059"/>
    <tableColumn id="10" xr3:uid="{93BF8919-2C78-CF4C-90E5-57FC67520237}" uniqueName="10" name="zabrze_SR_Total_Score" queryTableFieldId="10" dataDxfId="1058"/>
    <tableColumn id="11" xr3:uid="{08D8876D-E203-9A4A-BD7D-60E0252C5408}" uniqueName="11" name="cracow_SR_Dscore" queryTableFieldId="11" dataDxfId="1057"/>
    <tableColumn id="12" xr3:uid="{60244EE4-0FE7-1045-85C4-DAE6E6F0BC53}" uniqueName="12" name="cracow_SR_Escore" queryTableFieldId="12" dataDxfId="1056"/>
    <tableColumn id="13" xr3:uid="{C30E60FF-D2E8-EF45-B1AD-E0623FB247A1}" uniqueName="13" name="cracow_SR_Total_Score" queryTableFieldId="13" dataDxfId="1055"/>
    <tableColumn id="14" xr3:uid="{D4B00F79-4355-6443-BF5C-CD36F8D82DE8}" uniqueName="14" name="gdansk_SR_Dscore" queryTableFieldId="14" dataDxfId="1054"/>
    <tableColumn id="15" xr3:uid="{CC279C9B-5B38-1F4B-AD51-AE8030391AFE}" uniqueName="15" name="gdansk_SR_Escore" queryTableFieldId="15" dataDxfId="1053"/>
    <tableColumn id="16" xr3:uid="{50B84155-A296-AE43-AD04-C130CEABC1A3}" uniqueName="16" name="gdansk_SR_Total_Score" queryTableFieldId="16" dataDxfId="1052"/>
    <tableColumn id="17" xr3:uid="{112A8C0B-3D30-4EEF-876A-7668BC04B941}" uniqueName="17" name="Year_Dscore" queryTableFieldId="17" dataDxfId="1051">
      <calculatedColumnFormula>LARGE(CHOOSE({1;2;3;4},F2,I2,L2,O2),1)+LARGE(CHOOSE({1;2;3;4},F2,I2,L2,O2),2)+LARGE(CHOOSE({1;2;3;4},F2,I2,L2,O2),3)</calculatedColumnFormula>
    </tableColumn>
    <tableColumn id="18" xr3:uid="{73406CF7-5261-4CBB-8027-D20E1F1F231E}" uniqueName="18" name="Year_Escore" queryTableFieldId="18" dataDxfId="1050">
      <calculatedColumnFormula>LARGE(CHOOSE({1;2;3;4},G2,J2,M2,P2),1)+LARGE(CHOOSE({1;2;3;4},G2,J2,M2,P2),2)+LARGE(CHOOSE({1;2;3;4},G2,J2,M2,P2),3)</calculatedColumnFormula>
    </tableColumn>
    <tableColumn id="19" xr3:uid="{487DDE6D-AF2F-4B62-83C9-4889B9445462}" uniqueName="19" name="Year_Total_Score" queryTableFieldId="19" dataDxfId="1049">
      <calculatedColumnFormula>LARGE(CHOOSE({1;2;3;4},H2,K2,N2,Q2),1)+LARGE(CHOOSE({1;2;3;4},H2,K2,N2,Q2),2)+LARGE(CHOOSE({1;2;3;4},H2,K2,N2,Q2),3)</calculatedColumnFormula>
    </tableColumn>
    <tableColumn id="21" xr3:uid="{13202469-7827-4CAA-8A85-4FD943650438}" uniqueName="21" name="AVG_Dscore" queryTableFieldId="21" dataDxfId="1048">
      <calculatedColumnFormula array="1">IF(SR[[#This Row],[Number_of_competition]:[Number_of_competition]]&gt;=3,(LARGE(CHOOSE({1;2;3;4},F2,I2,L2,O2),1)+LARGE(CHOOSE({1;2;3;4},F2,I2,L2,O2),2)+LARGE(CHOOSE({1;2;3;4},F2,I2,L2,O2),3))/3,0)</calculatedColumnFormula>
    </tableColumn>
    <tableColumn id="22" xr3:uid="{AB1F8FC2-25E7-4B3B-9805-06D325F7CC8F}" uniqueName="22" name="AVG_Escore" queryTableFieldId="22" dataDxfId="1047">
      <calculatedColumnFormula array="1">IF(SR[[#This Row],[Number_of_competition]:[Number_of_competition]]&gt;=3,(LARGE(CHOOSE({1;2;3;4},G2,J2,M2,P2),1)+LARGE(CHOOSE({1;2;3;4},G2,J2,M2,P2),2)+LARGE(CHOOSE({1;2;3;4},G2,J2,M2,P2),3))/3,0)</calculatedColumnFormula>
    </tableColumn>
    <tableColumn id="23" xr3:uid="{1CF24C0F-43C0-4D99-900A-4E354BE639C0}" uniqueName="23" name="AVG_Total_Score" queryTableFieldId="23" dataDxfId="1046">
      <calculatedColumnFormula array="1">IF(SR[[#This Row],[Number_of_competition]:[Number_of_competition]]&gt;=3,(LARGE(CHOOSE({1;2;3;4},H2,K2,N2,Q2),1)+LARGE(CHOOSE({1;2;3;4},H2,K2,N2,Q2),2)+LARGE(CHOOSE({1;2;3;4},H2,K2,N2,Q2),3))/3,0)</calculatedColumnFormula>
    </tableColumn>
  </tableColumns>
  <tableStyleInfo name="TableStyleLight8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4E30975-D5DB-4C15-B2B8-DA6940B299BA}" name="SR_Calculation" displayName="SR_Calculation" ref="A48:F60" totalsRowShown="0" headerRowDxfId="1045" dataDxfId="1043" headerRowBorderDxfId="1044" tableBorderDxfId="1042">
  <autoFilter ref="A48:F60" xr:uid="{24E30975-D5DB-4C15-B2B8-DA6940B299BA}"/>
  <sortState xmlns:xlrd2="http://schemas.microsoft.com/office/spreadsheetml/2017/richdata2" ref="A49:F60">
    <sortCondition descending="1" ref="A48:A60"/>
  </sortState>
  <tableColumns count="6">
    <tableColumn id="1" xr3:uid="{42FFF414-E78D-4EA8-B336-F0860A11A360}" name="Category" dataDxfId="1041"/>
    <tableColumn id="2" xr3:uid="{ED46A7B9-22BE-481F-B1BC-23945C9EC8E3}" name="Score Type" dataDxfId="1040"/>
    <tableColumn id="3" xr3:uid="{A3BF45E2-A1AC-4C40-A39E-53B685F557A0}" name="AVG Score" dataDxfId="1039"/>
    <tableColumn id="4" xr3:uid="{B484F856-60FF-4932-A56B-5F053C34C223}" name="SD" dataDxfId="1038"/>
    <tableColumn id="5" xr3:uid="{1638E748-F413-4BD6-B6F0-DF5EB6657D3B}" name="Top" dataDxfId="1037"/>
    <tableColumn id="6" xr3:uid="{5AED3D5D-8A63-4464-9930-586707F6D056}" name="Gymnasts" dataDxfId="1036"/>
  </tableColumns>
  <tableStyleInfo name="TableStyleMedium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1F713F4-389F-4973-8282-22BDFCFAFD6C}" name="SR_2" displayName="SR_2" ref="AE1:AK793" tableType="queryTable" totalsRowShown="0">
  <autoFilter ref="AE1:AK793" xr:uid="{D1F713F4-389F-4973-8282-22BDFCFAFD6C}"/>
  <tableColumns count="7">
    <tableColumn id="1" xr3:uid="{4E0E7029-3CE4-4A52-A05E-EBFC06603792}" uniqueName="1" name="Name" queryTableFieldId="1" dataDxfId="794"/>
    <tableColumn id="2" xr3:uid="{EB85A331-8AC2-4AA8-863A-EBA974080001}" uniqueName="2" name="Category" queryTableFieldId="2" dataDxfId="793"/>
    <tableColumn id="3" xr3:uid="{8601D7C2-4007-4C7A-9DC8-7255DE9708B6}" uniqueName="3" name="Club" queryTableFieldId="3" dataDxfId="792"/>
    <tableColumn id="4" xr3:uid="{35694360-2ADC-43CD-A0C3-B429D3FD7EC5}" uniqueName="4" name="Number_of_competition" queryTableFieldId="4"/>
    <tableColumn id="7" xr3:uid="{C194E4FE-9C5A-43E2-AE98-E859028B845D}" uniqueName="7" name="Place of competition" queryTableFieldId="7"/>
    <tableColumn id="9" xr3:uid="{25490123-F11E-4991-AE27-6C9DF502D073}" uniqueName="9" name="Score Type" queryTableFieldId="10" dataDxfId="791"/>
    <tableColumn id="6" xr3:uid="{CA1619BF-3341-4E06-9B5C-885CAD0FDFF6}" uniqueName="6" name="Value" queryTableFieldId="6"/>
  </tableColumns>
  <tableStyleInfo name="TableStyleMedium4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91F2835-DFA8-F44F-8380-44C9A7536605}" name="VT" displayName="VT" ref="A1:W47" tableType="queryTable" totalsRowShown="0" headerRowDxfId="1035">
  <autoFilter ref="A1:W47" xr:uid="{591F2835-DFA8-F44F-8380-44C9A7536605}"/>
  <sortState xmlns:xlrd2="http://schemas.microsoft.com/office/spreadsheetml/2017/richdata2" ref="A2:W47">
    <sortCondition descending="1" ref="T1:T47"/>
  </sortState>
  <tableColumns count="23">
    <tableColumn id="1" xr3:uid="{B6AAD714-A501-7348-A33C-A04D11E38258}" uniqueName="1" name="Name" queryTableFieldId="1" dataDxfId="1034"/>
    <tableColumn id="2" xr3:uid="{98D3A558-388C-F648-9635-8E7433ADACF8}" uniqueName="2" name="Category" queryTableFieldId="2" dataDxfId="1033"/>
    <tableColumn id="3" xr3:uid="{123B584A-BBD0-204D-8D85-977915DD0710}" uniqueName="3" name="License_number" queryTableFieldId="3" dataDxfId="1032"/>
    <tableColumn id="4" xr3:uid="{F7DF8B1F-4210-0345-9545-5C5AE9BF83D6}" uniqueName="4" name="Club" queryTableFieldId="4" dataDxfId="1031"/>
    <tableColumn id="20" xr3:uid="{EFEFBEAF-2664-4765-8A88-8ABB79EAB8AA}" uniqueName="20" name="Number_of_competition" queryTableFieldId="20" dataDxfId="1030"/>
    <tableColumn id="5" xr3:uid="{9F7B0165-EDC2-F24A-B268-A418F625EE6B}" uniqueName="5" name="bydgoszcz_VT_Dscore" queryTableFieldId="5" dataDxfId="1029"/>
    <tableColumn id="6" xr3:uid="{987E2050-C5D3-B448-8EF9-2F24983F67D1}" uniqueName="6" name="bydgoszcz_VT_Escore" queryTableFieldId="6" dataDxfId="1028"/>
    <tableColumn id="7" xr3:uid="{BFAA8403-61F7-9E4F-92FE-09B77D43355E}" uniqueName="7" name="bydgoszcz_VT_Total_Score" queryTableFieldId="7" dataDxfId="1027"/>
    <tableColumn id="8" xr3:uid="{FF0CBF34-ACEE-3145-8600-6614822AB652}" uniqueName="8" name="zabrze_VT_Dscore" queryTableFieldId="8" dataDxfId="1026"/>
    <tableColumn id="9" xr3:uid="{0604AC77-7E80-2440-83F0-794B9664A311}" uniqueName="9" name="zabrze_VT_Escore" queryTableFieldId="9" dataDxfId="1025"/>
    <tableColumn id="10" xr3:uid="{BA713723-45AE-2E4D-A858-616B27B20426}" uniqueName="10" name="zabrze_VT_Total_Score" queryTableFieldId="10" dataDxfId="1024"/>
    <tableColumn id="11" xr3:uid="{5DF709CE-C565-1A42-A47F-F290F12C0F92}" uniqueName="11" name="cracow_VT_Dscore" queryTableFieldId="11" dataDxfId="1023"/>
    <tableColumn id="12" xr3:uid="{2BB5C740-F563-784B-AB18-CD9BD7ED2D87}" uniqueName="12" name="cracow_VT_Escore" queryTableFieldId="12" dataDxfId="1022"/>
    <tableColumn id="13" xr3:uid="{159BD27C-ADAB-4940-9546-229AD90E300B}" uniqueName="13" name="cracow_VT_Total_Score" queryTableFieldId="13" dataDxfId="1021"/>
    <tableColumn id="14" xr3:uid="{9F687C54-B725-A54B-A67B-D5D9AB727838}" uniqueName="14" name="gdansk_VT_Dscore" queryTableFieldId="14" dataDxfId="1020"/>
    <tableColumn id="15" xr3:uid="{F8C77C6A-AF5D-654C-A2FC-B80E44781482}" uniqueName="15" name="gdansk_VT_Escore" queryTableFieldId="15" dataDxfId="1019"/>
    <tableColumn id="16" xr3:uid="{80E72C88-EEE6-D146-985F-2057B0890E8C}" uniqueName="16" name="gdansk_VT_Total_Score" queryTableFieldId="16" dataDxfId="1018"/>
    <tableColumn id="17" xr3:uid="{1617B48F-600A-4EBC-AC73-22CFB8A5464F}" uniqueName="17" name="Year_Dscore" queryTableFieldId="17" dataDxfId="1017">
      <calculatedColumnFormula>LARGE(CHOOSE({1;2;3;4},F2,I2,L2,O2),1)+LARGE(CHOOSE({1;2;3;4},F2,I2,L2,O2),2)+LARGE(CHOOSE({1;2;3;4},F2,I2,L2,O2),3)</calculatedColumnFormula>
    </tableColumn>
    <tableColumn id="18" xr3:uid="{088E2620-1800-4949-8B57-EE0C697B7E13}" uniqueName="18" name="Year_Escore" queryTableFieldId="18" dataDxfId="1016">
      <calculatedColumnFormula>LARGE(CHOOSE({1;2;3;4},G2,J2,M2,P2),1)+LARGE(CHOOSE({1;2;3;4},G2,J2,M2,P2),2)+LARGE(CHOOSE({1;2;3;4},G2,J2,M2,P2),3)</calculatedColumnFormula>
    </tableColumn>
    <tableColumn id="19" xr3:uid="{1FB78A03-64E5-42A2-9888-7016D4820DCA}" uniqueName="19" name="Year_Total_Score" queryTableFieldId="19" dataDxfId="1015">
      <calculatedColumnFormula>LARGE(CHOOSE({1;2;3;4},H2,K2,N2,Q2),1)+LARGE(CHOOSE({1;2;3;4},H2,K2,N2,Q2),2)+LARGE(CHOOSE({1;2;3;4},H2,K2,N2,Q2),3)</calculatedColumnFormula>
    </tableColumn>
    <tableColumn id="21" xr3:uid="{CCD0C4BA-837A-441D-A870-0467B5ADA1E3}" uniqueName="21" name="AVG_Dscore" queryTableFieldId="21" dataDxfId="1014">
      <calculatedColumnFormula array="1">IF(VT[[#This Row],[Number_of_competition]:[Number_of_competition]]&gt;=3,(LARGE(CHOOSE({1;2;3;4},F2,I2,L2,O2),1)+LARGE(CHOOSE({1;2;3;4},F2,I2,L2,O2),2)+LARGE(CHOOSE({1;2;3;4},F2,I2,L2,O2),3))/3,0)</calculatedColumnFormula>
    </tableColumn>
    <tableColumn id="22" xr3:uid="{DF274032-E425-42A4-8814-8DEE9D0FD818}" uniqueName="22" name="AVG_Escore" queryTableFieldId="22" dataDxfId="1013">
      <calculatedColumnFormula array="1">IF(VT[[#This Row],[Number_of_competition]:[Number_of_competition]]&gt;=3,(LARGE(CHOOSE({1;2;3;4},G2,J2,M2,P2),1)+LARGE(CHOOSE({1;2;3;4},G2,J2,M2,P2),2)+LARGE(CHOOSE({1;2;3;4},G2,J2,M2,P2),3))/3,0)</calculatedColumnFormula>
    </tableColumn>
    <tableColumn id="23" xr3:uid="{4AEDF52D-67D8-41AF-B480-B7AC56BA2803}" uniqueName="23" name="AVG_Total_Score" queryTableFieldId="23" dataDxfId="1012">
      <calculatedColumnFormula array="1">IF(VT[[#This Row],[Number_of_competition]:[Number_of_competition]]&gt;=3,(LARGE(CHOOSE({1;2;3;4},H2,K2,N2,Q2),1)+LARGE(CHOOSE({1;2;3;4},H2,K2,N2,Q2),2)+LARGE(CHOOSE({1;2;3;4},H2,K2,N2,Q2),3))/3,0)</calculatedColumnFormula>
    </tableColumn>
  </tableColumns>
  <tableStyleInfo name="TableStyleLight8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E3BB372-0408-4B92-9356-C4B7D96F3C7D}" name="VT_Calculation" displayName="VT_Calculation" ref="A50:F62" totalsRowShown="0" headerRowDxfId="1011" dataDxfId="1009" headerRowBorderDxfId="1010" tableBorderDxfId="1008">
  <autoFilter ref="A50:F62" xr:uid="{9E3BB372-0408-4B92-9356-C4B7D96F3C7D}"/>
  <sortState xmlns:xlrd2="http://schemas.microsoft.com/office/spreadsheetml/2017/richdata2" ref="A51:F62">
    <sortCondition descending="1" ref="A50:A62"/>
  </sortState>
  <tableColumns count="6">
    <tableColumn id="1" xr3:uid="{50842799-1F72-40BA-BE5A-E9DD48145213}" name="Category" dataDxfId="1007"/>
    <tableColumn id="2" xr3:uid="{8523960B-D794-4EC5-BB8F-C4CE2CB4A7A2}" name="Score Type" dataDxfId="1006"/>
    <tableColumn id="3" xr3:uid="{A607D771-04D7-4509-BF02-206F88DA4A70}" name="AVG Score" dataDxfId="1005"/>
    <tableColumn id="4" xr3:uid="{1A21B3AC-177B-4A0C-9F8D-85F4A858B23E}" name="SD" dataDxfId="1004"/>
    <tableColumn id="5" xr3:uid="{BEB683FD-4E0B-4285-B91F-D27D6F21AB5B}" name="Top" dataDxfId="1003"/>
    <tableColumn id="6" xr3:uid="{B9BB4029-BBFB-4113-8524-E405AD797034}" name="Gymnasts" dataDxfId="1002"/>
  </tableColumns>
  <tableStyleInfo name="TableStyleMedium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6890E7CE-6E13-47E1-970A-DD94AB68D02A}" name="VT__2" displayName="VT__2" ref="AE2:AK830" tableType="queryTable" totalsRowShown="0">
  <autoFilter ref="AE2:AK830" xr:uid="{6890E7CE-6E13-47E1-970A-DD94AB68D02A}"/>
  <tableColumns count="7">
    <tableColumn id="1" xr3:uid="{2EA285F8-F4BC-48D7-A61E-18E7BDE48603}" uniqueName="1" name="Name" queryTableFieldId="1" dataDxfId="772"/>
    <tableColumn id="2" xr3:uid="{131E39CB-2233-49FC-94F3-4B49F6112EB3}" uniqueName="2" name="Category" queryTableFieldId="2" dataDxfId="771"/>
    <tableColumn id="3" xr3:uid="{0E3BD2C7-438E-4232-BC19-97F6D7303643}" uniqueName="3" name="Club" queryTableFieldId="3" dataDxfId="770"/>
    <tableColumn id="4" xr3:uid="{8B4690F5-645A-4FE5-8E4C-BC339CF27BA7}" uniqueName="4" name="Number_of_competition" queryTableFieldId="4"/>
    <tableColumn id="7" xr3:uid="{24A22F37-1419-475B-A40D-61E6A4DE5134}" uniqueName="7" name="Place of competiton" queryTableFieldId="7"/>
    <tableColumn id="8" xr3:uid="{E9BF5E95-4FB8-4810-A376-31C60A7F7BFC}" uniqueName="8" name="Score Type" queryTableFieldId="9" dataDxfId="769"/>
    <tableColumn id="6" xr3:uid="{5E101C22-601A-470E-9D91-CAA2CC550087}" uniqueName="6" name="Value" queryTableFieldId="6"/>
  </tableColumns>
  <tableStyleInfo name="TableStyleMedium4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D2853D7-6AD4-A841-BECF-83741FEEBC56}" name="PB" displayName="PB" ref="A1:W44" tableType="queryTable" totalsRowShown="0" headerRowDxfId="1001">
  <autoFilter ref="A1:W44" xr:uid="{FD2853D7-6AD4-A841-BECF-83741FEEBC56}"/>
  <sortState xmlns:xlrd2="http://schemas.microsoft.com/office/spreadsheetml/2017/richdata2" ref="A2:W44">
    <sortCondition descending="1" ref="T1:T44"/>
  </sortState>
  <tableColumns count="23">
    <tableColumn id="1" xr3:uid="{BCAA8DE8-7EF2-C64E-B372-C617BED098CE}" uniqueName="1" name="Name" queryTableFieldId="1" dataDxfId="1000"/>
    <tableColumn id="2" xr3:uid="{6AAB8C7D-D51B-6545-A274-D87F75188B29}" uniqueName="2" name="Category" queryTableFieldId="2" dataDxfId="999"/>
    <tableColumn id="3" xr3:uid="{F966E1F3-5E71-9248-B1AD-88EDADE9EDA7}" uniqueName="3" name="License_number" queryTableFieldId="3" dataDxfId="998"/>
    <tableColumn id="4" xr3:uid="{3FA73C82-8F5D-4442-AD06-AB5F7DEE31A0}" uniqueName="4" name="Club" queryTableFieldId="4" dataDxfId="997"/>
    <tableColumn id="20" xr3:uid="{870CC6DC-D96A-49E3-AF0C-4532DE16AB63}" uniqueName="20" name="Number_of_competition" queryTableFieldId="20" dataDxfId="996"/>
    <tableColumn id="5" xr3:uid="{695E32C0-5CCF-1A48-90B9-CAB3AF69B3C0}" uniqueName="5" name="bydgoszcz_PB_Dscore" queryTableFieldId="5" dataDxfId="995"/>
    <tableColumn id="6" xr3:uid="{30DB2D00-3B9E-304E-B5A7-A44CFB062132}" uniqueName="6" name="bydgoszcz_PB_Escore" queryTableFieldId="6" dataDxfId="994"/>
    <tableColumn id="7" xr3:uid="{3B223C99-B31A-9E4B-9F67-81DC981949CE}" uniqueName="7" name="bydgoszcz_PB_Total_Score" queryTableFieldId="7" dataDxfId="993"/>
    <tableColumn id="8" xr3:uid="{4EFE994A-C624-B54E-A636-D66BE7AA5BB7}" uniqueName="8" name="zabrze_PB_Dscore" queryTableFieldId="8" dataDxfId="992"/>
    <tableColumn id="9" xr3:uid="{75027F42-FF73-A34A-A8E8-13047A2E576E}" uniqueName="9" name="zabrze_PB_Escore" queryTableFieldId="9" dataDxfId="991"/>
    <tableColumn id="10" xr3:uid="{5627778F-AB08-7542-8A9E-7482A86CE6E0}" uniqueName="10" name="zabrze_PB_Total_Score" queryTableFieldId="10" dataDxfId="990"/>
    <tableColumn id="11" xr3:uid="{37E1FBF6-F764-8744-A34E-E9324EDA60C2}" uniqueName="11" name="cracow_PB_Dscore" queryTableFieldId="11" dataDxfId="989"/>
    <tableColumn id="12" xr3:uid="{B00109C0-F443-4248-948E-4E95DD03A861}" uniqueName="12" name="cracow_PB_Escore" queryTableFieldId="12" dataDxfId="988"/>
    <tableColumn id="13" xr3:uid="{CCD79A67-CA54-6947-A47B-EF0A0456B7DE}" uniqueName="13" name="cracow_PB_Total_Score" queryTableFieldId="13" dataDxfId="987"/>
    <tableColumn id="14" xr3:uid="{E40B1FF8-5A58-7D49-BEF0-71B5127DBC85}" uniqueName="14" name="gdansk_PB_Dscore" queryTableFieldId="14" dataDxfId="986"/>
    <tableColumn id="15" xr3:uid="{E750D959-B3C9-D84B-BCD8-A4CF3002B524}" uniqueName="15" name="gdansk_PB_Escore" queryTableFieldId="15" dataDxfId="985"/>
    <tableColumn id="16" xr3:uid="{42A86E68-FD67-004B-837D-1AC217350FF2}" uniqueName="16" name="gdansk_PB_Total_Score" queryTableFieldId="16" dataDxfId="984"/>
    <tableColumn id="17" xr3:uid="{32F28E33-D86E-4DBD-BEB6-E67D7A2BB485}" uniqueName="17" name="Year_Dscore" queryTableFieldId="17" dataDxfId="983">
      <calculatedColumnFormula>LARGE(CHOOSE({1;2;3;4},F2,I2,L2,O2),1)+LARGE(CHOOSE({1;2;3;4},F2,I2,L2,O2),2)+LARGE(CHOOSE({1;2;3;4},F2,I2,L2,O2),3)</calculatedColumnFormula>
    </tableColumn>
    <tableColumn id="18" xr3:uid="{4EB6D231-EEAD-4C6F-B3E5-C1A4D1951846}" uniqueName="18" name="Year_Escore" queryTableFieldId="18" dataDxfId="982">
      <calculatedColumnFormula>LARGE(CHOOSE({1;2;3;4},G2,J2,M2,P2),1)+LARGE(CHOOSE({1;2;3;4},G2,J2,M2,P2),2)+LARGE(CHOOSE({1;2;3;4},G2,J2,M2,P2),3)</calculatedColumnFormula>
    </tableColumn>
    <tableColumn id="19" xr3:uid="{5396106B-86EA-4BE3-8881-6E7B71FD2BA6}" uniqueName="19" name="Year_Total_Score" queryTableFieldId="19" dataDxfId="981">
      <calculatedColumnFormula>LARGE(CHOOSE({1;2;3;4},H2,K2,N2,Q2),1)+LARGE(CHOOSE({1;2;3;4},H2,K2,N2,Q2),2)+LARGE(CHOOSE({1;2;3;4},H2,K2,N2,Q2),3)</calculatedColumnFormula>
    </tableColumn>
    <tableColumn id="21" xr3:uid="{684712DE-4D92-4B5F-871B-82A0AAF11C6D}" uniqueName="21" name="AVG_Dscore" queryTableFieldId="21" dataDxfId="980">
      <calculatedColumnFormula array="1">IF(PB[[#This Row],[Number_of_competition]:[Number_of_competition]]&gt;=3,(LARGE(CHOOSE({1;2;3;4},F2,I2,L2,O2),1)+LARGE(CHOOSE({1;2;3;4},F2,I2,L2,O2),2)+LARGE(CHOOSE({1;2;3;4},F2,I2,L2,O2),3))/3,0)</calculatedColumnFormula>
    </tableColumn>
    <tableColumn id="22" xr3:uid="{DF92B2AB-6C59-4F07-AD55-057149CB2E7D}" uniqueName="22" name="AVG_Escore" queryTableFieldId="22" dataDxfId="979">
      <calculatedColumnFormula array="1">IF(PB[[#This Row],[Number_of_competition]:[Number_of_competition]]&gt;=3,(LARGE(CHOOSE({1;2;3;4},G2,J2,M2,P2),1)+LARGE(CHOOSE({1;2;3;4},G2,J2,M2,P2),2)+LARGE(CHOOSE({1;2;3;4},G2,J2,M2,P2),3))/3,0)</calculatedColumnFormula>
    </tableColumn>
    <tableColumn id="23" xr3:uid="{4A1AD3B8-70BD-4E7D-B105-9E207132AA6D}" uniqueName="23" name="AVG_Total_Score" queryTableFieldId="23" dataDxfId="978">
      <calculatedColumnFormula array="1">IF(PB[[#This Row],[Number_of_competition]:[Number_of_competition]]&gt;=3,(LARGE(CHOOSE({1;2;3;4},H2,K2,N2,Q2),1)+LARGE(CHOOSE({1;2;3;4},H2,K2,N2,Q2),2)+LARGE(CHOOSE({1;2;3;4},H2,K2,N2,Q2),3))/3,0)</calculatedColumnFormula>
    </tableColumn>
  </tableColumns>
  <tableStyleInfo name="TableStyleLight8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3DA1208-2154-48C5-B55D-B32D18293B15}" name="PB_Calculation" displayName="PB_Calculation" ref="A47:F59" totalsRowShown="0" headerRowDxfId="977" dataDxfId="975" headerRowBorderDxfId="976" tableBorderDxfId="974">
  <autoFilter ref="A47:F59" xr:uid="{F3DA1208-2154-48C5-B55D-B32D18293B15}"/>
  <sortState xmlns:xlrd2="http://schemas.microsoft.com/office/spreadsheetml/2017/richdata2" ref="A48:F59">
    <sortCondition descending="1" ref="A47:A59"/>
  </sortState>
  <tableColumns count="6">
    <tableColumn id="1" xr3:uid="{F77DB2C0-C25A-4E79-85DC-49FF5909D434}" name="Category" dataDxfId="973"/>
    <tableColumn id="2" xr3:uid="{E8E5B4A0-1216-46D5-8B33-2018FF08BE08}" name="Score Type" dataDxfId="972"/>
    <tableColumn id="3" xr3:uid="{AEAF0EAC-F9C6-44E9-B9F7-64CB0EF3E6DB}" name="AVG Score" dataDxfId="971"/>
    <tableColumn id="4" xr3:uid="{73402E29-EA7B-43D5-B29D-D2039A56F762}" name="SD" dataDxfId="970"/>
    <tableColumn id="5" xr3:uid="{E34B9E13-B117-4EA6-9DA1-9D255AF7EF4D}" name="Top" dataDxfId="969"/>
    <tableColumn id="6" xr3:uid="{26A1C6A3-C541-4921-986E-7FD56256BB7F}" name="Gymnasts" dataDxfId="968"/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5552AC04-7A80-4772-BB67-E5051B0DCBA4}" name="PB_2" displayName="PB_2" ref="AE1:AL775" tableType="queryTable" totalsRowShown="0">
  <autoFilter ref="AE1:AL775" xr:uid="{5552AC04-7A80-4772-BB67-E5051B0DCBA4}"/>
  <tableColumns count="8">
    <tableColumn id="1" xr3:uid="{E58587E2-79CA-477D-B46E-CAA7D861A3A0}" uniqueName="1" name="Name" queryTableFieldId="1" dataDxfId="767"/>
    <tableColumn id="2" xr3:uid="{F259E689-54BA-4198-83FD-8603BA62FDB0}" uniqueName="2" name="Category" queryTableFieldId="2" dataDxfId="766"/>
    <tableColumn id="3" xr3:uid="{09A5AA6F-EBF9-418C-9F7D-0FCD28048643}" uniqueName="3" name="License_number" queryTableFieldId="3" dataDxfId="765"/>
    <tableColumn id="4" xr3:uid="{529E8549-9201-4C15-B1AD-55CDA6EDF9BD}" uniqueName="4" name="Club" queryTableFieldId="4" dataDxfId="764"/>
    <tableColumn id="5" xr3:uid="{1E36BD79-92D0-47A3-836F-C09284E8FFBD}" uniqueName="5" name="Number_of_competition" queryTableFieldId="5"/>
    <tableColumn id="10" xr3:uid="{3218C3D6-47AB-4BFE-8357-1EEDF7FE68B3}" uniqueName="10" name="Place of competition" queryTableFieldId="10"/>
    <tableColumn id="9" xr3:uid="{9095583E-1920-4FFD-915D-5F480484ECF7}" uniqueName="9" name="Score Type" queryTableFieldId="9" dataDxfId="763"/>
    <tableColumn id="7" xr3:uid="{209B9B81-D804-4B7C-9B65-C0B336CA1844}" uniqueName="7" name="Value" queryTableFieldId="7"/>
  </tableColumns>
  <tableStyleInfo name="TableStyleMedium4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8EAAC10-84DF-8F4D-A0F4-7424881ECDC6}" name="HB" displayName="HB" ref="A1:W38" tableType="queryTable" totalsRowShown="0" headerRowDxfId="967">
  <autoFilter ref="A1:W38" xr:uid="{C8EAAC10-84DF-8F4D-A0F4-7424881ECDC6}"/>
  <sortState xmlns:xlrd2="http://schemas.microsoft.com/office/spreadsheetml/2017/richdata2" ref="A2:W38">
    <sortCondition descending="1" ref="T1:T38"/>
  </sortState>
  <tableColumns count="23">
    <tableColumn id="1" xr3:uid="{1E116091-E979-0645-88B8-9B299AA3C57D}" uniqueName="1" name="Name" queryTableFieldId="1" dataDxfId="966"/>
    <tableColumn id="2" xr3:uid="{49FAF6DA-0543-3D4D-996B-366F435D4D70}" uniqueName="2" name="Category" queryTableFieldId="2" dataDxfId="965"/>
    <tableColumn id="3" xr3:uid="{24CF4EB5-C02C-4C4C-9E90-184E349070A4}" uniqueName="3" name="License_number" queryTableFieldId="3" dataDxfId="964"/>
    <tableColumn id="4" xr3:uid="{9B6608D9-1229-B443-AEDB-6DCEEBB87554}" uniqueName="4" name="Club" queryTableFieldId="4" dataDxfId="963"/>
    <tableColumn id="20" xr3:uid="{EED55D62-E844-4C06-907D-C7A111D362B1}" uniqueName="20" name="Number_of_competition" queryTableFieldId="20" dataDxfId="962"/>
    <tableColumn id="5" xr3:uid="{157F9BAB-0136-4047-89EC-BC8DE4CC0103}" uniqueName="5" name="bydgoszcz_HB_Dscore" queryTableFieldId="5" dataDxfId="961"/>
    <tableColumn id="6" xr3:uid="{FC6348D3-D897-C041-8ACF-E1ECC10F58C8}" uniqueName="6" name="bydgoszcz_HB_Escore" queryTableFieldId="6" dataDxfId="960"/>
    <tableColumn id="7" xr3:uid="{3093269C-4D0D-2242-A594-92540FB0238A}" uniqueName="7" name="bydgoszcz_HB_Total_Score" queryTableFieldId="7" dataDxfId="959"/>
    <tableColumn id="8" xr3:uid="{97E82084-D6B0-8A4F-A030-915EEC90702E}" uniqueName="8" name="zabrze_HB_Dscore" queryTableFieldId="8" dataDxfId="958"/>
    <tableColumn id="9" xr3:uid="{D1AD8D2B-AD9F-7540-9E2F-CF5A68846805}" uniqueName="9" name="zabrze_HB_Escore" queryTableFieldId="9" dataDxfId="957"/>
    <tableColumn id="10" xr3:uid="{62BF83BA-B69A-AA4D-AFC1-4667DFA3092C}" uniqueName="10" name="zabrze_HB_Total_Score" queryTableFieldId="10" dataDxfId="956"/>
    <tableColumn id="11" xr3:uid="{96EEEAD8-C52E-9A4B-A665-DED100EBB512}" uniqueName="11" name="cracow_HB_Dscore" queryTableFieldId="11" dataDxfId="955"/>
    <tableColumn id="12" xr3:uid="{18A70C88-1ECF-C04E-8BE8-C7004C7778E3}" uniqueName="12" name="cracow_HB_Escore" queryTableFieldId="12" dataDxfId="954"/>
    <tableColumn id="13" xr3:uid="{C176C76E-A612-BA4F-9761-C2C623DDE305}" uniqueName="13" name="cracow_HB_Total_Score" queryTableFieldId="13" dataDxfId="953"/>
    <tableColumn id="14" xr3:uid="{A0A4733B-552E-1E4A-BA3C-37FE45072D40}" uniqueName="14" name="gdansk_HB_Dscore" queryTableFieldId="14" dataDxfId="952"/>
    <tableColumn id="15" xr3:uid="{EA262771-C41D-3E4D-AAAD-7C9E4E51FE19}" uniqueName="15" name="gdansk_HB_Escore" queryTableFieldId="15" dataDxfId="951"/>
    <tableColumn id="16" xr3:uid="{B55F2D13-143F-264E-902E-2D77258D1DAE}" uniqueName="16" name="gdansk_HB_Total_Score" queryTableFieldId="16" dataDxfId="950"/>
    <tableColumn id="17" xr3:uid="{A5E80B74-8F81-43B5-B4C5-FC8BC9E8E3B3}" uniqueName="17" name="Year_Dscore" queryTableFieldId="17" dataDxfId="949">
      <calculatedColumnFormula>LARGE(CHOOSE({1;2;3;4},F2,I2,L2,O2),1)+LARGE(CHOOSE({1;2;3;4},F2,I2,L2,O2),2)+LARGE(CHOOSE({1;2;3;4},F2,I2,L2,O2),3)</calculatedColumnFormula>
    </tableColumn>
    <tableColumn id="18" xr3:uid="{39D7CD39-3334-49DA-ABC4-4FFA80D0637F}" uniqueName="18" name="Year_Escore" queryTableFieldId="18" dataDxfId="948">
      <calculatedColumnFormula>LARGE(CHOOSE({1;2;3;4},G2,J2,M2,P2),1)+LARGE(CHOOSE({1;2;3;4},G2,J2,M2,P2),2)+LARGE(CHOOSE({1;2;3;4},G2,J2,M2,P2),3)</calculatedColumnFormula>
    </tableColumn>
    <tableColumn id="19" xr3:uid="{FEE1AAD2-8FCC-4C4A-BE44-676D38EF742E}" uniqueName="19" name="Year_Total_Score" queryTableFieldId="19" dataDxfId="947">
      <calculatedColumnFormula>LARGE(CHOOSE({1;2;3;4},H2,K2,N2,Q2),1)+LARGE(CHOOSE({1;2;3;4},H2,K2,N2,Q2),2)+LARGE(CHOOSE({1;2;3;4},H2,K2,N2,Q2),3)</calculatedColumnFormula>
    </tableColumn>
    <tableColumn id="21" xr3:uid="{61725513-E208-483D-9E00-80EBC676E25A}" uniqueName="21" name="AVG_Dscore" queryTableFieldId="21" dataDxfId="946">
      <calculatedColumnFormula array="1">IF(HB[[#This Row],[Number_of_competition]:[Number_of_competition]]&gt;=3,(LARGE(CHOOSE({1;2;3;4},F2,I2,L2,O2),1)+LARGE(CHOOSE({1;2;3;4},F2,I2,L2,O2),2)+LARGE(CHOOSE({1;2;3;4},F2,I2,L2,O2),3))/3,0)</calculatedColumnFormula>
    </tableColumn>
    <tableColumn id="22" xr3:uid="{04526E81-6DF5-4983-A373-4C62415A36C9}" uniqueName="22" name="AVG_Escore" queryTableFieldId="22" dataDxfId="945">
      <calculatedColumnFormula array="1">IF(HB[[#This Row],[Number_of_competition]:[Number_of_competition]]&gt;=3,(LARGE(CHOOSE({1;2;3;4},G2,J2,M2,P2),1)+LARGE(CHOOSE({1;2;3;4},G2,J2,M2,P2),2)+LARGE(CHOOSE({1;2;3;4},G2,J2,M2,P2),3))/3,0)</calculatedColumnFormula>
    </tableColumn>
    <tableColumn id="23" xr3:uid="{8B8CF932-0A8E-4DB8-A050-BCD410A50E3E}" uniqueName="23" name="AVG_Total_Score" queryTableFieldId="23" dataDxfId="944">
      <calculatedColumnFormula array="1">IF(HB[[#This Row],[Number_of_competition]:[Number_of_competition]]&gt;=3,(LARGE(CHOOSE({1;2;3;4},H2,K2,N2,Q2),1)+LARGE(CHOOSE({1;2;3;4},H2,K2,N2,Q2),2)+LARGE(CHOOSE({1;2;3;4},H2,K2,N2,Q2),3))/3,0)</calculatedColumnFormula>
    </tableColumn>
  </tableColumns>
  <tableStyleInfo name="TableStyleLight8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DF141F8-D0B8-4883-9B01-A09767AC83E4}" name="HB_Calculation" displayName="HB_Calculation" ref="A41:F53" totalsRowShown="0" headerRowDxfId="943" dataDxfId="941" headerRowBorderDxfId="942" tableBorderDxfId="940">
  <autoFilter ref="A41:F53" xr:uid="{CDF141F8-D0B8-4883-9B01-A09767AC83E4}"/>
  <sortState xmlns:xlrd2="http://schemas.microsoft.com/office/spreadsheetml/2017/richdata2" ref="A42:F53">
    <sortCondition descending="1" ref="A41:A53"/>
  </sortState>
  <tableColumns count="6">
    <tableColumn id="1" xr3:uid="{55394A06-FD6A-4C9A-A2EF-E6C4F9E0B683}" name="Category" dataDxfId="939"/>
    <tableColumn id="2" xr3:uid="{7E43C5BE-5B5A-4E11-AAE7-2AA2F26947A5}" name="Score Type" dataDxfId="938"/>
    <tableColumn id="3" xr3:uid="{2874D5FF-0D53-4A84-B1BA-01DECD6648F0}" name="AVG Score" dataDxfId="937"/>
    <tableColumn id="4" xr3:uid="{4067AAAD-7CC4-4842-AFFC-E86DBD4AF25A}" name="SD" dataDxfId="936"/>
    <tableColumn id="5" xr3:uid="{B7295A47-CEEF-49A1-8CDE-D052D3574070}" name="Top" dataDxfId="935"/>
    <tableColumn id="6" xr3:uid="{838EDF54-4CA4-4535-8939-E04CD239EA2C}" name="Gymnasts" dataDxfId="934"/>
  </tableColumns>
  <tableStyleInfo name="TableStyleMedium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643E6692-6ECF-4500-829D-FABB8EB1B256}" name="HB_2" displayName="HB_2" ref="AE1:AK667" tableType="queryTable" totalsRowShown="0">
  <autoFilter ref="AE1:AK667" xr:uid="{643E6692-6ECF-4500-829D-FABB8EB1B256}"/>
  <tableColumns count="7">
    <tableColumn id="1" xr3:uid="{809CEE1B-A801-4F6F-8A65-CD8B3342D705}" uniqueName="1" name="Name" queryTableFieldId="1" dataDxfId="761"/>
    <tableColumn id="2" xr3:uid="{7F77EFD3-F7A0-49DD-B85D-768CCE6BC29A}" uniqueName="2" name="Category" queryTableFieldId="2" dataDxfId="760"/>
    <tableColumn id="3" xr3:uid="{F3AAC0E5-E44E-4571-9F0F-DE0276F87D47}" uniqueName="3" name="Club" queryTableFieldId="3" dataDxfId="759"/>
    <tableColumn id="4" xr3:uid="{25C42DCC-E939-4FD7-82F6-97DE85ECD5CA}" uniqueName="4" name="Number_of_competition" queryTableFieldId="4"/>
    <tableColumn id="10" xr3:uid="{802BF1E5-7581-40A0-8FEC-1B967BCECFA7}" uniqueName="10" name="Place of Competition" queryTableFieldId="10"/>
    <tableColumn id="8" xr3:uid="{DF91BC28-9C57-4DE2-BDF2-0915869745D0}" uniqueName="8" name="Score Type" queryTableFieldId="9" dataDxfId="758"/>
    <tableColumn id="6" xr3:uid="{A4032DE2-479E-4A86-B7E2-B56BA712A71C}" uniqueName="6" name="Value" queryTableFieldId="6"/>
  </tableColumns>
  <tableStyleInfo name="TableStyleMedium4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37E0C30-8415-7D42-883F-1E95844C8968}" name="AA" displayName="AA" ref="A1:CU53" tableType="queryTable" totalsRowShown="0" headerRowDxfId="933">
  <autoFilter ref="A1:CU53" xr:uid="{D37E0C30-8415-7D42-883F-1E95844C8968}"/>
  <sortState xmlns:xlrd2="http://schemas.microsoft.com/office/spreadsheetml/2017/richdata2" ref="A2:CU53">
    <sortCondition descending="1" ref="CP1:CP53"/>
  </sortState>
  <tableColumns count="99">
    <tableColumn id="1" xr3:uid="{A0F4C68C-3BEF-7E4A-A42F-1E38B556A383}" uniqueName="1" name="Name" queryTableFieldId="1" dataDxfId="932"/>
    <tableColumn id="2" xr3:uid="{4BEFB37D-97B6-894C-8A45-2F1B5E4B5AFE}" uniqueName="2" name="Category" queryTableFieldId="2" dataDxfId="931"/>
    <tableColumn id="3" xr3:uid="{3CFB3DCC-D4B7-9340-BC94-20D6F91F7972}" uniqueName="3" name="License_number" queryTableFieldId="3" dataDxfId="930"/>
    <tableColumn id="4" xr3:uid="{08ED55EB-4D1E-6C46-87CC-B170E48C99ED}" uniqueName="4" name="Club" queryTableFieldId="4" dataDxfId="929"/>
    <tableColumn id="77" xr3:uid="{FA86B38A-1A8D-4527-BAAB-D1675E4F960E}" uniqueName="77" name="All around competition" queryTableFieldId="100" dataDxfId="928"/>
    <tableColumn id="5" xr3:uid="{E33AF2BB-2DAB-6F4C-A93A-E573F92916BD}" uniqueName="5" name="bydgoszcz_FX_Dscore" queryTableFieldId="5" dataDxfId="927"/>
    <tableColumn id="6" xr3:uid="{E2B97CE5-12A1-9F4C-A91A-655D47B6F2E0}" uniqueName="6" name="bydgoszcz_FX_Escore" queryTableFieldId="6" dataDxfId="926"/>
    <tableColumn id="7" xr3:uid="{01FD4BC6-572C-F441-8637-23CFE6BA5E47}" uniqueName="7" name="bydgoszcz_FX_Total_Score" queryTableFieldId="7" dataDxfId="925"/>
    <tableColumn id="8" xr3:uid="{B4CBA0C5-BA6A-F847-AC45-5FB0354C3BFF}" uniqueName="8" name="bydgoszcz_PH_Dscore" queryTableFieldId="8" dataDxfId="924"/>
    <tableColumn id="9" xr3:uid="{FCCB6C63-BB79-3F44-9F30-9105E95F358B}" uniqueName="9" name="bydgoszcz_PH_Escore" queryTableFieldId="9" dataDxfId="923"/>
    <tableColumn id="10" xr3:uid="{AC4DE782-3E5B-7641-BD43-1464D89DCDCF}" uniqueName="10" name="bydgoszcz_PH_Total_Score" queryTableFieldId="10" dataDxfId="922"/>
    <tableColumn id="11" xr3:uid="{4D3722BB-67B5-814C-983E-AEE35198FBAC}" uniqueName="11" name="bydgoszcz_SR_Dscore" queryTableFieldId="11" dataDxfId="921"/>
    <tableColumn id="12" xr3:uid="{49948A06-D778-6441-A574-511B31359583}" uniqueName="12" name="bydgoszcz_SR_Escore" queryTableFieldId="12" dataDxfId="920"/>
    <tableColumn id="13" xr3:uid="{9907086A-7622-2C42-AD33-532BD2B482FB}" uniqueName="13" name="bydgoszcz_SR_Total_Score" queryTableFieldId="13" dataDxfId="919"/>
    <tableColumn id="14" xr3:uid="{639D6BB7-0E5F-5A45-B1E4-48E77C22817C}" uniqueName="14" name="bydgoszcz_VT_Dscore" queryTableFieldId="14" dataDxfId="918"/>
    <tableColumn id="15" xr3:uid="{A4EB8499-89DB-AA4B-867A-BA4D1BCEF6CE}" uniqueName="15" name="bydgoszcz_VT_Escore" queryTableFieldId="15" dataDxfId="917"/>
    <tableColumn id="16" xr3:uid="{B2A6733B-66DD-2C4B-AD98-BDE3C38AB42C}" uniqueName="16" name="bydgoszcz_VT_Total_Score" queryTableFieldId="16" dataDxfId="916"/>
    <tableColumn id="17" xr3:uid="{AB11FBCF-EB0E-0942-A0C9-0FAE991E53F5}" uniqueName="17" name="bydgoszcz_PB_Dscore" queryTableFieldId="17" dataDxfId="915"/>
    <tableColumn id="18" xr3:uid="{8D9A1FE4-85CB-6D4E-9A38-3496B963CA84}" uniqueName="18" name="bydgoszcz_PB_Escore" queryTableFieldId="18" dataDxfId="914"/>
    <tableColumn id="19" xr3:uid="{6BC14334-BE5F-6847-BD2B-B2D5F71E53EA}" uniqueName="19" name="bydgoszcz_PB_Total_Score" queryTableFieldId="19" dataDxfId="913"/>
    <tableColumn id="20" xr3:uid="{5D5B8006-1F07-8049-96A9-E87B322D3969}" uniqueName="20" name="bydgoszcz_HB_Dscore" queryTableFieldId="20" dataDxfId="912"/>
    <tableColumn id="21" xr3:uid="{9AA1D85F-C429-124B-920B-BCDA1796B838}" uniqueName="21" name="bydgoszcz_HB_Escore" queryTableFieldId="21" dataDxfId="911"/>
    <tableColumn id="22" xr3:uid="{84769130-5142-7340-91CA-97857F4489BC}" uniqueName="22" name="bydgoszcz_HB_Total_Score" queryTableFieldId="22" dataDxfId="910"/>
    <tableColumn id="92" xr3:uid="{0083EFF3-AB01-4A93-8481-54F7B242A2A5}" uniqueName="92" name="bydgoszcz_DScore" queryTableFieldId="87" dataDxfId="909">
      <calculatedColumnFormula>SUM(F2,I2,L2,O2,R2,U2)</calculatedColumnFormula>
    </tableColumn>
    <tableColumn id="91" xr3:uid="{91AB8CE3-F17D-4E1B-AC16-B8523F7C44F7}" uniqueName="91" name="bydgoszcz_Escore" queryTableFieldId="86" dataDxfId="908">
      <calculatedColumnFormula>SUM(G2,J2,M2,P2,S2,V2)</calculatedColumnFormula>
    </tableColumn>
    <tableColumn id="79" xr3:uid="{07ACE350-A455-4FE4-BE26-8F06B6A009FA}" uniqueName="79" name="bydgoszcz_Total_Score" queryTableFieldId="78" dataDxfId="907">
      <calculatedColumnFormula>SUM(H2,K2,N2,Q2,T2,W2)</calculatedColumnFormula>
    </tableColumn>
    <tableColumn id="78" xr3:uid="{608F0400-8541-4BC2-B29F-8CF131954EE5}" uniqueName="78" name="Bydgoszcz_all_around" queryTableFieldId="101" dataDxfId="906">
      <calculatedColumnFormula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calculatedColumnFormula>
    </tableColumn>
    <tableColumn id="23" xr3:uid="{596863DF-F675-2D40-BE7C-4B39A45F4BCD}" uniqueName="23" name="zabrze_FX_Dscore" queryTableFieldId="23" dataDxfId="905"/>
    <tableColumn id="24" xr3:uid="{48CEC38E-9058-D245-A585-5549DC93ACA0}" uniqueName="24" name="zabrze_FX_Escore" queryTableFieldId="24" dataDxfId="904"/>
    <tableColumn id="25" xr3:uid="{D5FA8146-DF9E-484E-8200-1B59B79C2FBB}" uniqueName="25" name="zabrze_FX_Total_Score" queryTableFieldId="25" dataDxfId="903"/>
    <tableColumn id="26" xr3:uid="{EF1BA7E4-C170-854E-9CE7-115B3BE3A72B}" uniqueName="26" name="zabrze_PH_Dscore" queryTableFieldId="26" dataDxfId="902"/>
    <tableColumn id="27" xr3:uid="{E3ACFDCE-B8D0-E840-9394-8A42C952DE36}" uniqueName="27" name="zabrze_PH_Escore" queryTableFieldId="27" dataDxfId="901"/>
    <tableColumn id="28" xr3:uid="{8EC27F9F-B15A-5F4A-8F80-A9F0CAC4D16A}" uniqueName="28" name="zabrze_PH_Total_Score" queryTableFieldId="28" dataDxfId="900"/>
    <tableColumn id="29" xr3:uid="{65D00C65-E8D7-C647-AC1A-49FCA0B92A2B}" uniqueName="29" name="zabrze_SR_Dscore" queryTableFieldId="29" dataDxfId="899"/>
    <tableColumn id="30" xr3:uid="{996187EF-FAF7-6C4E-8F54-5EF2EC692D27}" uniqueName="30" name="zabrze_SR_Escore" queryTableFieldId="30" dataDxfId="898"/>
    <tableColumn id="31" xr3:uid="{992A4A95-519E-9A4B-AF03-A4DF05F839DC}" uniqueName="31" name="zabrze_SR_Total_Score" queryTableFieldId="31" dataDxfId="897"/>
    <tableColumn id="32" xr3:uid="{BEE6E491-483B-6A4C-8032-5F15AA0AF56F}" uniqueName="32" name="zabrze_VT_Dscore" queryTableFieldId="32" dataDxfId="896"/>
    <tableColumn id="33" xr3:uid="{99298D7A-2E65-144D-9C89-DBB895765AFE}" uniqueName="33" name="zabrze_VT_Escore" queryTableFieldId="33" dataDxfId="895"/>
    <tableColumn id="34" xr3:uid="{2611841B-1FE0-6C46-A2BE-BCF2CC65A75E}" uniqueName="34" name="zabrze_VT_Total_Score" queryTableFieldId="34" dataDxfId="894"/>
    <tableColumn id="35" xr3:uid="{1F369EB2-7C92-6042-A86B-A18768D00747}" uniqueName="35" name="zabrze_PB_Dscore" queryTableFieldId="35" dataDxfId="893"/>
    <tableColumn id="36" xr3:uid="{012352FA-92A2-E642-9C09-B74BE42D7208}" uniqueName="36" name="zabrze_PB_Escore" queryTableFieldId="36" dataDxfId="892"/>
    <tableColumn id="37" xr3:uid="{8DE58518-6848-9741-A632-23299AED6C2F}" uniqueName="37" name="zabrze_PB_Total_Score" queryTableFieldId="37" dataDxfId="891"/>
    <tableColumn id="38" xr3:uid="{25354A0E-5743-904F-81EB-9285B4B051AD}" uniqueName="38" name="zabrze_HB_Dscore" queryTableFieldId="38" dataDxfId="890"/>
    <tableColumn id="39" xr3:uid="{07E914B6-E16C-D946-84D6-D3D827868EB4}" uniqueName="39" name="zabrze_HB_Escore" queryTableFieldId="39" dataDxfId="889"/>
    <tableColumn id="40" xr3:uid="{CD6BF288-F267-994E-B7C6-7DF50D32DD1D}" uniqueName="40" name="zabrze_HB_Total_Score" queryTableFieldId="40" dataDxfId="888"/>
    <tableColumn id="94" xr3:uid="{2469CE54-631C-4505-A541-34AEBD8456D0}" uniqueName="94" name="zabrze_Dscore" queryTableFieldId="89" dataDxfId="887">
      <calculatedColumnFormula>SUM(AB2,AE2,AH2,AK2,AN2,AQ2)</calculatedColumnFormula>
    </tableColumn>
    <tableColumn id="93" xr3:uid="{0D5B59AA-1A79-4650-BD15-38E37A97490E}" uniqueName="93" name="zabrze_Escore" queryTableFieldId="88" dataDxfId="886">
      <calculatedColumnFormula>SUM(AC2,AF2,AI2,AL2,AO2,AR2)</calculatedColumnFormula>
    </tableColumn>
    <tableColumn id="81" xr3:uid="{3FFA73EB-D046-4C42-BF8C-47396657EA3B}" uniqueName="81" name="zabrze_Total_Score" queryTableFieldId="80" dataDxfId="885">
      <calculatedColumnFormula>SUM(AD2,AG2,AJ2,AM2,AP2,AS2)</calculatedColumnFormula>
    </tableColumn>
    <tableColumn id="87" xr3:uid="{946F3A28-E3DD-4A44-8E37-8980FE008CAF}" uniqueName="87" name="Zabrze_all_around" queryTableFieldId="103" dataDxfId="884">
      <calculatedColumnFormula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calculatedColumnFormula>
    </tableColumn>
    <tableColumn id="41" xr3:uid="{83723CBF-EDD3-A943-AFB4-61288E80AF51}" uniqueName="41" name="cracow_FX_Dscore" queryTableFieldId="41" dataDxfId="883"/>
    <tableColumn id="42" xr3:uid="{6ABE5EF5-2CE8-DF4D-97B5-5E0A5973146A}" uniqueName="42" name="cracow_FX_Escore" queryTableFieldId="42" dataDxfId="882"/>
    <tableColumn id="43" xr3:uid="{CC41A20E-20FC-D24E-A278-BA46F8C13439}" uniqueName="43" name="cracow_FX_Total_Score" queryTableFieldId="43" dataDxfId="881"/>
    <tableColumn id="44" xr3:uid="{D9158633-1136-5D4F-81DE-6C6E993B2C84}" uniqueName="44" name="cracow_PH_Dscore" queryTableFieldId="44" dataDxfId="880"/>
    <tableColumn id="45" xr3:uid="{0156C7E3-6469-2441-B69B-DA710A55D2EC}" uniqueName="45" name="cracow_PH_Escore" queryTableFieldId="45" dataDxfId="879"/>
    <tableColumn id="46" xr3:uid="{5283AA34-1333-E842-BD7E-F8B10E74CC33}" uniqueName="46" name="cracow_PH_Total_Score" queryTableFieldId="46" dataDxfId="878"/>
    <tableColumn id="47" xr3:uid="{274B8B6F-EE68-5E45-8FD1-AC6E7829FA8C}" uniqueName="47" name="cracow_SR_Dscore" queryTableFieldId="47" dataDxfId="877"/>
    <tableColumn id="48" xr3:uid="{C882B2BC-DCBB-0B4F-B692-8976635862DD}" uniqueName="48" name="cracow_SR_Escore" queryTableFieldId="48" dataDxfId="876"/>
    <tableColumn id="49" xr3:uid="{6D987393-6558-6540-8E4D-F4238732DEE2}" uniqueName="49" name="cracow_SR_Total_Score" queryTableFieldId="49" dataDxfId="875"/>
    <tableColumn id="50" xr3:uid="{3D27D92D-1C8C-2A43-83D4-B911B14E7BD2}" uniqueName="50" name="cracow_VT_Dscore" queryTableFieldId="50" dataDxfId="874"/>
    <tableColumn id="51" xr3:uid="{649243DE-B27D-F74F-A7F5-A59374FD89C4}" uniqueName="51" name="cracow_VT_Escore" queryTableFieldId="51" dataDxfId="873"/>
    <tableColumn id="52" xr3:uid="{5D53F1AA-6757-D345-A141-647076C60E7A}" uniqueName="52" name="cracow_VT_Total_Score" queryTableFieldId="52" dataDxfId="872"/>
    <tableColumn id="53" xr3:uid="{983370E5-862E-3241-A4E5-8AC50935F6AB}" uniqueName="53" name="cracow_PB_Dscore" queryTableFieldId="53" dataDxfId="871"/>
    <tableColumn id="54" xr3:uid="{278EC2BD-5DFA-5848-A9EF-DAE729E711B9}" uniqueName="54" name="cracow_PB_Escore" queryTableFieldId="54" dataDxfId="870"/>
    <tableColumn id="55" xr3:uid="{1A56F995-B360-EB47-99E6-8AAFE27A9EDB}" uniqueName="55" name="cracow_PB_Total_Score" queryTableFieldId="55" dataDxfId="869"/>
    <tableColumn id="56" xr3:uid="{F8E00BEC-8BFB-434F-B401-5BB102379643}" uniqueName="56" name="cracow_HB_Dscore" queryTableFieldId="56" dataDxfId="868"/>
    <tableColumn id="57" xr3:uid="{D10DC951-1A03-0448-B4E6-DBBE90CDC9E2}" uniqueName="57" name="cracow_HB_Escore" queryTableFieldId="57" dataDxfId="867"/>
    <tableColumn id="58" xr3:uid="{0E6AA6E3-564E-AC41-9FD2-07FA61D6F369}" uniqueName="58" name="cracow_HB_Total_Score" queryTableFieldId="58" dataDxfId="866"/>
    <tableColumn id="96" xr3:uid="{BC218C52-6BAF-4FFA-9368-895D5AA90706}" uniqueName="96" name="cracow_Dscore" queryTableFieldId="91" dataDxfId="865">
      <calculatedColumnFormula>SUM(AX2,BA2,BD2,BG2,BJ2,BM2)</calculatedColumnFormula>
    </tableColumn>
    <tableColumn id="95" xr3:uid="{7A53CC57-B206-40CF-BF49-7BBE6CAF337D}" uniqueName="95" name="cracow_Escore" queryTableFieldId="90" dataDxfId="864">
      <calculatedColumnFormula>SUM(AY2,BB2,BE2,BH2,BK2,BN2)</calculatedColumnFormula>
    </tableColumn>
    <tableColumn id="82" xr3:uid="{F6FC0506-32CF-48A3-BD94-E42E529EF06C}" uniqueName="82" name="cracow_Total_Score" queryTableFieldId="81" dataDxfId="863">
      <calculatedColumnFormula>SUM(AZ2,BC2,BF2,BI2,BL2,BO2)</calculatedColumnFormula>
    </tableColumn>
    <tableColumn id="80" xr3:uid="{AFAFBE53-33F5-4525-8B87-021A780AFADA}" uniqueName="80" name="Cracow_all_around" queryTableFieldId="102" dataDxfId="862">
      <calculatedColumnFormula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calculatedColumnFormula>
    </tableColumn>
    <tableColumn id="59" xr3:uid="{D074142C-459E-DD46-B3C7-D5C0F14359F6}" uniqueName="59" name="gdansk_FX_Dscore" queryTableFieldId="59" dataDxfId="861"/>
    <tableColumn id="60" xr3:uid="{AAB67134-F964-C042-B6D2-C2489AE62863}" uniqueName="60" name="gdansk_FX_Escore" queryTableFieldId="60" dataDxfId="860"/>
    <tableColumn id="61" xr3:uid="{70A6D2B6-CE56-8645-A674-8B85E8F6E439}" uniqueName="61" name="gdansk_FX_Total_Score" queryTableFieldId="61" dataDxfId="859"/>
    <tableColumn id="62" xr3:uid="{E98B17A5-4F03-AB45-81FB-BDC94F8B5534}" uniqueName="62" name="gdansk_PH_Dscore" queryTableFieldId="62" dataDxfId="858"/>
    <tableColumn id="63" xr3:uid="{EF3DC98B-ADBA-CE44-A00F-A058D6C79018}" uniqueName="63" name="gdansk_PH_Escore" queryTableFieldId="63" dataDxfId="857"/>
    <tableColumn id="64" xr3:uid="{C616906C-AF6B-5949-ADDC-1BEFAE6F3B3A}" uniqueName="64" name="gdansk_PH_Total_Score" queryTableFieldId="64" dataDxfId="856"/>
    <tableColumn id="65" xr3:uid="{37AE2CC2-8C99-144A-B0DB-A2CB3BB6FAD6}" uniqueName="65" name="gdansk_SR_Dscore" queryTableFieldId="65" dataDxfId="855"/>
    <tableColumn id="66" xr3:uid="{1746D0F3-2231-F24B-918D-480058E159D0}" uniqueName="66" name="gdansk_SR_Escore" queryTableFieldId="66" dataDxfId="854"/>
    <tableColumn id="67" xr3:uid="{5590D661-F4B8-F543-9DC6-C595F0598AE6}" uniqueName="67" name="gdansk_SR_Total_Score" queryTableFieldId="67" dataDxfId="853"/>
    <tableColumn id="68" xr3:uid="{4B96238E-E5B8-F44C-8CDC-5E62C882F379}" uniqueName="68" name="gdansk_VT_Dscore" queryTableFieldId="68" dataDxfId="852"/>
    <tableColumn id="69" xr3:uid="{FA324B52-089E-414E-86FC-C330A639AD6E}" uniqueName="69" name="gdansk_VT_Escore" queryTableFieldId="69" dataDxfId="851"/>
    <tableColumn id="70" xr3:uid="{C743E507-DA5E-CF41-82E0-C9AC8C434A0F}" uniqueName="70" name="gdansk_VT_Total_Score" queryTableFieldId="70" dataDxfId="850"/>
    <tableColumn id="71" xr3:uid="{FED355F7-4F5C-214E-BC19-1D807F3A15B2}" uniqueName="71" name="gdansk_PB_Dscore" queryTableFieldId="71" dataDxfId="849"/>
    <tableColumn id="72" xr3:uid="{057D45A4-5391-BA4B-BDA1-4B870A1AD8F1}" uniqueName="72" name="gdansk_PB_Escore" queryTableFieldId="72" dataDxfId="848"/>
    <tableColumn id="73" xr3:uid="{8326483C-0111-4344-82A8-0815FA5D1E75}" uniqueName="73" name="gdansk_PB_Total_Score" queryTableFieldId="73" dataDxfId="847"/>
    <tableColumn id="74" xr3:uid="{7904DBA2-A0C6-8244-9405-39CD3C473D74}" uniqueName="74" name="gdansk_HB_Dscore" queryTableFieldId="74" dataDxfId="846"/>
    <tableColumn id="75" xr3:uid="{8874B3DB-285E-604B-8618-574CE032DD67}" uniqueName="75" name="gdansk_HB_Escore" queryTableFieldId="75" dataDxfId="845"/>
    <tableColumn id="76" xr3:uid="{D3F0C2E1-7D54-2A47-9D4D-DC57A19D2F17}" uniqueName="76" name="gdansk_HB_Total_Score" queryTableFieldId="76" dataDxfId="844"/>
    <tableColumn id="98" xr3:uid="{7B3BD5E2-A867-4ABF-A430-45CDD0EF9BD9}" uniqueName="98" name="gdansk_Dscore" queryTableFieldId="93" dataDxfId="843">
      <calculatedColumnFormula>SUM(BT2,BW2,BZ2,CC2,CF2,CI2)</calculatedColumnFormula>
    </tableColumn>
    <tableColumn id="97" xr3:uid="{5351A074-31FA-4640-B6FD-F5667E2D5E29}" uniqueName="97" name="gdansk_Escore" queryTableFieldId="92" dataDxfId="842">
      <calculatedColumnFormula>SUM(BU2,BX2,CA2,CD2,CG2,CJ2)</calculatedColumnFormula>
    </tableColumn>
    <tableColumn id="83" xr3:uid="{9809E0A8-F6FC-4ABD-8104-D27FFF960371}" uniqueName="83" name="gdansk_Total_Score" queryTableFieldId="82" dataDxfId="841">
      <calculatedColumnFormula>SUM(BV2,BY2,CB2,CE2,CH2,CK2)</calculatedColumnFormula>
    </tableColumn>
    <tableColumn id="88" xr3:uid="{ADB678A1-9B47-4193-97D4-A24B7B571E94}" uniqueName="88" name="Gdansk_all_Around" queryTableFieldId="104" dataDxfId="840">
      <calculatedColumnFormula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calculatedColumnFormula>
    </tableColumn>
    <tableColumn id="84" xr3:uid="{0F203390-4F05-4B33-B7A4-D0F1F88697DB}" uniqueName="84" name="Year_AA_Dscore" queryTableFieldId="83" dataDxfId="839">
      <calculatedColumnFormula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calculatedColumnFormula>
    </tableColumn>
    <tableColumn id="85" xr3:uid="{A574CD8C-BD07-4892-AA22-D9D5A3AFD058}" uniqueName="85" name="Year_AA_Escore" queryTableFieldId="84" dataDxfId="838">
      <calculatedColumnFormula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calculatedColumnFormula>
    </tableColumn>
    <tableColumn id="86" xr3:uid="{08E572F2-7D70-4BE9-895A-2DA78B2DE775}" uniqueName="86" name="Year_AA_Total_Score" queryTableFieldId="85" dataDxfId="837">
      <calculatedColumnFormula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calculatedColumnFormula>
    </tableColumn>
    <tableColumn id="100" xr3:uid="{E310DD4E-AAAA-4881-BA41-5E03624E3008}" uniqueName="100" name="AVG_AA_Dscore" queryTableFieldId="95" dataDxfId="836">
      <calculatedColumnFormula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calculatedColumnFormula>
    </tableColumn>
    <tableColumn id="101" xr3:uid="{E4371F69-A316-46EA-86B3-3B83B75210B3}" uniqueName="101" name="AVG_AA_Escore" queryTableFieldId="96" dataDxfId="835">
      <calculatedColumnFormula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calculatedColumnFormula>
    </tableColumn>
    <tableColumn id="102" xr3:uid="{CD35E152-8C9B-4FDB-9DA8-AD53D11F2FE6}" uniqueName="102" name="AVG_AA_Total_Score" queryTableFieldId="97" dataDxfId="834">
      <calculatedColumnFormula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calculatedColumnFormula>
    </tableColumn>
  </tableColumns>
  <tableStyleInfo name="TableStyleLight8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C9C24E-D64B-4A81-802B-45B38330DF82}" name="AA_Calculation" displayName="AA_Calculation" ref="A57:X69" totalsRowShown="0" headerRowDxfId="833" dataDxfId="831" headerRowBorderDxfId="832" tableBorderDxfId="830">
  <autoFilter ref="A57:X69" xr:uid="{89C9C24E-D64B-4A81-802B-45B38330DF82}"/>
  <sortState xmlns:xlrd2="http://schemas.microsoft.com/office/spreadsheetml/2017/richdata2" ref="A58:X69">
    <sortCondition descending="1" ref="A57:A69"/>
  </sortState>
  <tableColumns count="24">
    <tableColumn id="1" xr3:uid="{5745AFAA-C281-48B7-9672-20D12A4F8B94}" name="Category" dataDxfId="829"/>
    <tableColumn id="2" xr3:uid="{165007AF-FD87-4209-9A86-9F0FD550F51C}" name="Score Type" dataDxfId="828"/>
    <tableColumn id="3" xr3:uid="{FA2124D0-7132-47A4-B19A-4ADCDDF332EC}" name="AVG Score" dataDxfId="827"/>
    <tableColumn id="4" xr3:uid="{74184D8E-CE2E-4BB0-9CA7-7B3B2E8AFC55}" name="SD" dataDxfId="826"/>
    <tableColumn id="5" xr3:uid="{3CDE4BA3-EA4B-4529-B77A-1C5BFEC2C722}" name="Top" dataDxfId="825"/>
    <tableColumn id="6" xr3:uid="{7A42F4AD-3EA1-4651-BBFD-161C6B7C945D}" name="Gymnasts" dataDxfId="824"/>
    <tableColumn id="7" xr3:uid="{203A70C4-B095-4996-A71C-1874C609AF8F}" name="Kolumna1" dataDxfId="823"/>
    <tableColumn id="8" xr3:uid="{B04BB4D8-65FB-40E0-9B1B-20D8B7D86FFE}" name="Kolumna2" dataDxfId="822"/>
    <tableColumn id="9" xr3:uid="{7325D1AD-7900-405A-9339-AC6AF590A3BA}" name="Kolumna3" dataDxfId="821"/>
    <tableColumn id="10" xr3:uid="{ABB004C0-7722-4AAE-AB3A-7B1F5F3713D1}" name="Kolumna4" dataDxfId="820"/>
    <tableColumn id="11" xr3:uid="{84DDD7B9-2906-490A-8149-8D4CDD801D3D}" name="Kolumna5" dataDxfId="819"/>
    <tableColumn id="12" xr3:uid="{AC3849E7-8FBD-4563-8ED7-8B630FF032CE}" name="Kolumna6" dataDxfId="818"/>
    <tableColumn id="13" xr3:uid="{BFE25C85-58A3-40C0-BCF7-9EA628BAEA4D}" name="Kolumna7" dataDxfId="817"/>
    <tableColumn id="14" xr3:uid="{2631C946-9F5F-49E7-91F0-3A4BE35CFDB3}" name="Kolumna8" dataDxfId="816"/>
    <tableColumn id="15" xr3:uid="{AF5518A8-99CB-48D4-91F1-2C0F692BE724}" name="Kolumna9" dataDxfId="815"/>
    <tableColumn id="16" xr3:uid="{8EA33144-7AB6-4020-88CC-79A915384F27}" name="Kolumna10" dataDxfId="814"/>
    <tableColumn id="17" xr3:uid="{56E65D86-0C57-4F72-9C8A-414F8FDD6010}" name="Kolumna11" dataDxfId="813"/>
    <tableColumn id="18" xr3:uid="{4C2C779D-41C3-4AEC-90BA-6E3C7676EC91}" name="Kolumna12" dataDxfId="812"/>
    <tableColumn id="19" xr3:uid="{D812E4B9-7E8D-436A-B5CD-EF34119ACEBF}" name="Kolumna13" dataDxfId="811"/>
    <tableColumn id="20" xr3:uid="{BFFD35D5-EA5A-4368-9870-40FFC5208168}" name="Kolumna14" dataDxfId="810"/>
    <tableColumn id="21" xr3:uid="{A09E4A70-23B0-47C5-912F-66DA10ED4EB9}" name="Kolumna15" dataDxfId="809"/>
    <tableColumn id="22" xr3:uid="{BF2D0EC6-2CD9-4B26-AED6-FF8CF88A88EB}" name="Kolumna16" dataDxfId="808"/>
    <tableColumn id="23" xr3:uid="{7F8F4158-5D26-49B8-B842-6981CAC07304}" name="Kolumna17" dataDxfId="807"/>
    <tableColumn id="24" xr3:uid="{14657628-10CC-4A71-9864-A6AD70E80934}" name="Best Gymnasts" dataDxfId="806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5075CFF8-60A5-4728-9BC8-1F4231742B50}" name="AA_2" displayName="AA_2" ref="DC1:DI937" tableType="queryTable" totalsRowShown="0">
  <autoFilter ref="DC1:DI937" xr:uid="{5075CFF8-60A5-4728-9BC8-1F4231742B50}"/>
  <tableColumns count="7">
    <tableColumn id="1" xr3:uid="{EB6EC50A-8A04-4CBF-89A2-CDA21D8C934C}" uniqueName="1" name="Name" queryTableFieldId="1" dataDxfId="746"/>
    <tableColumn id="2" xr3:uid="{597971D2-6701-405E-BDBB-79FA3065EFB5}" uniqueName="2" name="Category" queryTableFieldId="2" dataDxfId="745"/>
    <tableColumn id="3" xr3:uid="{3FC3573D-233B-4EC4-8E0B-82513E41DB0B}" uniqueName="3" name="Club" queryTableFieldId="3" dataDxfId="744"/>
    <tableColumn id="4" xr3:uid="{727AF43A-422F-4335-88D1-7CA355F42297}" uniqueName="4" name="All around competition" queryTableFieldId="4"/>
    <tableColumn id="29" xr3:uid="{422ADA5B-CBDE-4FF1-890C-78170BEB6EC7}" uniqueName="29" name="Place of competition" queryTableFieldId="28"/>
    <tableColumn id="26" xr3:uid="{E1C7417B-1984-4ECA-9079-6D23E07983ED}" uniqueName="26" name="Score Type" queryTableFieldId="27" dataDxfId="743"/>
    <tableColumn id="24" xr3:uid="{8FA0189F-B2DE-4EC5-A67E-BFE2F4660588}" uniqueName="24" name="Value" queryTableFieldId="24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microsoft.com/office/2007/relationships/slicer" Target="../slicers/slicer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Relationship Id="rId6" Type="http://schemas.microsoft.com/office/2007/relationships/slicer" Target="../slicers/slicer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Relationship Id="rId6" Type="http://schemas.microsoft.com/office/2007/relationships/slicer" Target="../slicers/slicer3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Relationship Id="rId6" Type="http://schemas.microsoft.com/office/2007/relationships/slicer" Target="../slicers/slicer4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Relationship Id="rId6" Type="http://schemas.microsoft.com/office/2007/relationships/slicer" Target="../slicers/slicer5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Relationship Id="rId6" Type="http://schemas.microsoft.com/office/2007/relationships/slicer" Target="../slicers/slicer6.xml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Relationship Id="rId6" Type="http://schemas.microsoft.com/office/2007/relationships/slicer" Target="../slicers/slicer7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Relationship Id="rId6" Type="http://schemas.microsoft.com/office/2007/relationships/slicer" Target="../slicers/slicer8.xml"/><Relationship Id="rId5" Type="http://schemas.openxmlformats.org/officeDocument/2006/relationships/table" Target="../tables/table24.xml"/><Relationship Id="rId4" Type="http://schemas.openxmlformats.org/officeDocument/2006/relationships/table" Target="../tables/table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Relationship Id="rId6" Type="http://schemas.microsoft.com/office/2007/relationships/slicer" Target="../slicers/slicer9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Relationship Id="rId6" Type="http://schemas.microsoft.com/office/2007/relationships/slicer" Target="../slicers/slicer10.xml"/><Relationship Id="rId5" Type="http://schemas.openxmlformats.org/officeDocument/2006/relationships/table" Target="../tables/table30.xml"/><Relationship Id="rId4" Type="http://schemas.openxmlformats.org/officeDocument/2006/relationships/table" Target="../tables/table2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Relationship Id="rId6" Type="http://schemas.microsoft.com/office/2007/relationships/slicer" Target="../slicers/slicer11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37290-3ECE-4354-B27E-8F67C3E4B542}">
  <sheetPr>
    <tabColor theme="9" tint="0.39997558519241921"/>
  </sheetPr>
  <dimension ref="A1"/>
  <sheetViews>
    <sheetView workbookViewId="0">
      <selection activeCell="D28" sqref="D28"/>
    </sheetView>
  </sheetViews>
  <sheetFormatPr defaultRowHeight="15.7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92F9B-30FA-44C9-9521-8BC6346DB0A1}">
  <sheetPr>
    <tabColor theme="9" tint="0.79998168889431442"/>
  </sheetPr>
  <dimension ref="A1"/>
  <sheetViews>
    <sheetView workbookViewId="0">
      <selection activeCell="L28" sqref="L28"/>
    </sheetView>
  </sheetViews>
  <sheetFormatPr defaultRowHeight="15.7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2C691-1EA7-7D49-9717-DB7B11398D4D}">
  <sheetPr codeName="Arkusz1">
    <tabColor theme="4" tint="0.39997558519241921"/>
  </sheetPr>
  <dimension ref="A1:AW673"/>
  <sheetViews>
    <sheetView tabSelected="1" topLeftCell="E28" zoomScale="70" zoomScaleNormal="70" workbookViewId="0">
      <selection activeCell="I52" sqref="I52"/>
    </sheetView>
  </sheetViews>
  <sheetFormatPr defaultColWidth="11" defaultRowHeight="15.75" x14ac:dyDescent="0.25"/>
  <cols>
    <col min="1" max="1" width="9.5" style="2" customWidth="1"/>
    <col min="2" max="2" width="24.125" customWidth="1"/>
    <col min="3" max="4" width="15" style="2" customWidth="1"/>
    <col min="5" max="5" width="12.75" style="2" customWidth="1"/>
    <col min="6" max="6" width="17" customWidth="1"/>
    <col min="7" max="7" width="11.5" customWidth="1"/>
    <col min="8" max="8" width="10" style="2" customWidth="1"/>
    <col min="9" max="9" width="11.375" style="2" customWidth="1"/>
    <col min="10" max="10" width="24.375" style="2" bestFit="1" customWidth="1"/>
    <col min="11" max="11" width="12.875" style="2" customWidth="1"/>
    <col min="12" max="13" width="10.375" style="2" customWidth="1"/>
    <col min="14" max="14" width="9" style="2" customWidth="1"/>
    <col min="15" max="15" width="15.25" style="2" customWidth="1"/>
    <col min="16" max="16" width="14" style="2" customWidth="1"/>
    <col min="17" max="17" width="16.25" style="2" bestFit="1" customWidth="1"/>
    <col min="18" max="18" width="15.25" style="2" bestFit="1" customWidth="1"/>
    <col min="19" max="19" width="19.25" style="2" bestFit="1" customWidth="1"/>
    <col min="20" max="20" width="15.625" style="2" bestFit="1" customWidth="1"/>
    <col min="21" max="21" width="15.25" style="2" bestFit="1" customWidth="1"/>
    <col min="22" max="22" width="9" style="2" customWidth="1"/>
    <col min="23" max="23" width="15.875" style="2" bestFit="1" customWidth="1"/>
    <col min="24" max="24" width="15.5" style="2" bestFit="1" customWidth="1"/>
    <col min="25" max="25" width="19.375" style="2" bestFit="1" customWidth="1"/>
    <col min="26" max="27" width="9" style="2" customWidth="1"/>
    <col min="28" max="28" width="10.375" style="2" customWidth="1"/>
    <col min="29" max="29" width="11.625" bestFit="1" customWidth="1"/>
    <col min="30" max="30" width="18.5" bestFit="1" customWidth="1"/>
    <col min="31" max="31" width="14.5" bestFit="1" customWidth="1"/>
    <col min="32" max="32" width="32.5" bestFit="1" customWidth="1"/>
    <col min="33" max="33" width="28.75" bestFit="1" customWidth="1"/>
    <col min="34" max="36" width="16.5" bestFit="1" customWidth="1"/>
    <col min="37" max="37" width="17.75" bestFit="1" customWidth="1"/>
    <col min="38" max="39" width="20.25" bestFit="1" customWidth="1"/>
    <col min="40" max="40" width="10.25" bestFit="1" customWidth="1"/>
    <col min="41" max="41" width="10" bestFit="1" customWidth="1"/>
    <col min="42" max="42" width="9.25" bestFit="1" customWidth="1"/>
    <col min="43" max="43" width="11.375" bestFit="1" customWidth="1"/>
    <col min="44" max="44" width="14" bestFit="1" customWidth="1"/>
  </cols>
  <sheetData>
    <row r="1" spans="1:49" s="2" customFormat="1" x14ac:dyDescent="0.25">
      <c r="A1" s="4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243</v>
      </c>
      <c r="H1" s="2" t="s">
        <v>6</v>
      </c>
      <c r="I1" s="2" t="s">
        <v>7</v>
      </c>
      <c r="J1" s="2" t="s">
        <v>131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247</v>
      </c>
      <c r="AA1" s="2" t="s">
        <v>248</v>
      </c>
      <c r="AB1" s="2" t="s">
        <v>24</v>
      </c>
      <c r="AC1"/>
      <c r="AD1" s="20" t="s">
        <v>2</v>
      </c>
      <c r="AE1" s="20" t="s">
        <v>217</v>
      </c>
      <c r="AF1" s="20" t="s">
        <v>244</v>
      </c>
      <c r="AG1" s="20" t="s">
        <v>249</v>
      </c>
      <c r="AH1" s="20" t="s">
        <v>245</v>
      </c>
      <c r="AI1" s="20" t="s">
        <v>250</v>
      </c>
      <c r="AJ1" s="20" t="s">
        <v>246</v>
      </c>
      <c r="AK1" s="20" t="s">
        <v>251</v>
      </c>
      <c r="AL1" s="20" t="s">
        <v>252</v>
      </c>
      <c r="AO1" t="s">
        <v>1</v>
      </c>
      <c r="AP1" t="s">
        <v>2</v>
      </c>
      <c r="AQ1" t="s">
        <v>3</v>
      </c>
      <c r="AR1" t="s">
        <v>5</v>
      </c>
      <c r="AS1" t="s">
        <v>243</v>
      </c>
      <c r="AT1" t="s">
        <v>316</v>
      </c>
      <c r="AU1" t="s">
        <v>217</v>
      </c>
      <c r="AV1" t="s">
        <v>313</v>
      </c>
      <c r="AW1" t="s">
        <v>307</v>
      </c>
    </row>
    <row r="2" spans="1:49" x14ac:dyDescent="0.25">
      <c r="A2" s="2">
        <v>1</v>
      </c>
      <c r="B2" t="s">
        <v>63</v>
      </c>
      <c r="C2" s="2" t="s">
        <v>60</v>
      </c>
      <c r="D2" s="2">
        <v>1997</v>
      </c>
      <c r="E2" s="2" t="s">
        <v>64</v>
      </c>
      <c r="F2" t="s">
        <v>39</v>
      </c>
      <c r="G2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2" s="5">
        <v>5.8</v>
      </c>
      <c r="I2" s="8">
        <v>7.8</v>
      </c>
      <c r="J2" s="8">
        <v>13.6</v>
      </c>
      <c r="K2" s="5">
        <v>4.4000000000000004</v>
      </c>
      <c r="L2" s="8">
        <v>7.1</v>
      </c>
      <c r="M2" s="8">
        <v>11.5</v>
      </c>
      <c r="N2" s="5">
        <v>4.5999999999999996</v>
      </c>
      <c r="O2" s="8">
        <v>7.2</v>
      </c>
      <c r="P2" s="8">
        <v>11.8</v>
      </c>
      <c r="Q2" s="5">
        <v>4.8</v>
      </c>
      <c r="R2" s="8">
        <v>8.6999999999999993</v>
      </c>
      <c r="S2" s="8">
        <v>13.5</v>
      </c>
      <c r="T2" s="5">
        <v>4.2</v>
      </c>
      <c r="U2" s="8">
        <v>8.6</v>
      </c>
      <c r="V2" s="8">
        <v>12.8</v>
      </c>
      <c r="W2" s="5">
        <v>4.4000000000000004</v>
      </c>
      <c r="X2" s="8">
        <v>8</v>
      </c>
      <c r="Y2" s="8">
        <v>12.4</v>
      </c>
      <c r="Z2" s="4">
        <f>IF(Bydgoszcz_result[[#This Row],[All Around]]="Yes",SUM(H2,K2,N2,Q2,T2,W2),0)</f>
        <v>28.199999999999996</v>
      </c>
      <c r="AA2" s="7">
        <f>IF(Bydgoszcz_result[[#This Row],[All Around]]="Yes",SUM(I2,L2,O2,R2,U2,X2),0)</f>
        <v>47.4</v>
      </c>
      <c r="AB2" s="7">
        <f>SUM(J2,M2,P2,S2,V2,Y2)</f>
        <v>75.600000000000009</v>
      </c>
      <c r="AD2" s="39" t="s">
        <v>60</v>
      </c>
      <c r="AE2" s="20" t="s">
        <v>243</v>
      </c>
      <c r="AF2" s="21">
        <f>AVERAGEIFS(Bydgoszcz_result[AA_Dscore],Bydgoszcz_result[[Category]:[Category]],"senior",Bydgoszcz_result[AA_Dscore],"&lt;&gt;0",Bydgoszcz_result[All Around],"Yes")</f>
        <v>22.3</v>
      </c>
      <c r="AG2" s="21" cm="1">
        <f t="array" ref="AG2">_xlfn.STDEV.S(_xlfn._xlws.FILTER(Bydgoszcz_result[AA_Dscore],(Bydgoszcz_result[Category]="senior")*(Bydgoszcz_result[All Around]="yes")))</f>
        <v>2.9056595022227105</v>
      </c>
      <c r="AH2" s="22">
        <f>AVERAGEIFS(Bydgoszcz_result[AA_Escore],Bydgoszcz_result[[Category]:[Category]],"senior",Bydgoszcz_result[AA_Escore],"&lt;&gt;0",Bydgoszcz_result[All Around],"Yes")</f>
        <v>46.043750000000003</v>
      </c>
      <c r="AI2" s="22" cm="1">
        <f t="array" ref="AI2">_xlfn.STDEV.S(_xlfn._xlws.FILTER(Bydgoszcz_result[AA_Escore],(Bydgoszcz_result[Category]="senior")*(Bydgoszcz_result[All Around]="yes")))</f>
        <v>3.8497158986086215</v>
      </c>
      <c r="AJ2" s="22">
        <f>AVERAGEIFS(Bydgoszcz_result[Total_Score],Bydgoszcz_result[[Category]:[Category]],"senior",Bydgoszcz_result[Total_Score],"&lt;&gt;0",Bydgoszcz_result[All Around],"Yes")</f>
        <v>68.34375</v>
      </c>
      <c r="AK2" s="22" cm="1">
        <f t="array" ref="AK2">_xlfn.STDEV.S(_xlfn._xlws.FILTER(Bydgoszcz_result[Total_Score],(Bydgoszcz_result[Category]="senior")*(Bydgoszcz_result[All Around]="yes")))</f>
        <v>5.9448920151192475</v>
      </c>
      <c r="AL2" s="22" cm="1">
        <f t="array" ref="AL2">MAX(_xlfn._xlws.FILTER(Bydgoszcz_result[Total_Score],Bydgoszcz_result[Category]="senior"))</f>
        <v>75.600000000000009</v>
      </c>
      <c r="AO2" t="s">
        <v>63</v>
      </c>
      <c r="AP2" t="s">
        <v>60</v>
      </c>
      <c r="AQ2">
        <v>1997</v>
      </c>
      <c r="AR2" t="s">
        <v>39</v>
      </c>
      <c r="AS2" t="s">
        <v>305</v>
      </c>
      <c r="AT2" t="s">
        <v>317</v>
      </c>
      <c r="AU2" t="s">
        <v>218</v>
      </c>
      <c r="AV2" t="s">
        <v>308</v>
      </c>
      <c r="AW2">
        <v>5.8</v>
      </c>
    </row>
    <row r="3" spans="1:49" x14ac:dyDescent="0.25">
      <c r="A3" s="2">
        <v>2</v>
      </c>
      <c r="B3" t="s">
        <v>141</v>
      </c>
      <c r="C3" s="2" t="s">
        <v>60</v>
      </c>
      <c r="D3" s="2">
        <v>2000</v>
      </c>
      <c r="E3" s="2" t="s">
        <v>128</v>
      </c>
      <c r="F3" t="s">
        <v>72</v>
      </c>
      <c r="G3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3" s="5">
        <v>4.4000000000000004</v>
      </c>
      <c r="I3" s="8">
        <v>8.6999999999999993</v>
      </c>
      <c r="J3" s="8">
        <v>13.1</v>
      </c>
      <c r="K3" s="5">
        <v>4.2</v>
      </c>
      <c r="L3" s="8">
        <v>8</v>
      </c>
      <c r="M3" s="8">
        <v>12.2</v>
      </c>
      <c r="N3" s="5">
        <v>3.8</v>
      </c>
      <c r="O3" s="8">
        <v>8.1999999999999993</v>
      </c>
      <c r="P3" s="8">
        <v>12</v>
      </c>
      <c r="Q3" s="5">
        <v>4</v>
      </c>
      <c r="R3" s="8">
        <v>9</v>
      </c>
      <c r="S3" s="8">
        <v>13</v>
      </c>
      <c r="T3" s="5">
        <v>3.8</v>
      </c>
      <c r="U3" s="8">
        <v>7.55</v>
      </c>
      <c r="V3" s="8">
        <v>11.35</v>
      </c>
      <c r="W3" s="5">
        <v>4.0999999999999996</v>
      </c>
      <c r="X3" s="8">
        <v>8.4</v>
      </c>
      <c r="Y3" s="8">
        <v>12.5</v>
      </c>
      <c r="Z3" s="4">
        <f>IF(Bydgoszcz_result[[#This Row],[All Around]]="Yes",SUM(H3,K3,N3,Q3,T3,W3),0)</f>
        <v>24.300000000000004</v>
      </c>
      <c r="AA3" s="7">
        <f>IF(Bydgoszcz_result[[#This Row],[All Around]]="Yes",SUM(I3,L3,O3,R3,U3,X3),0)</f>
        <v>49.849999999999994</v>
      </c>
      <c r="AB3" s="7">
        <f>SUM(J3,M3,P3,S3,V3,Y3)</f>
        <v>74.150000000000006</v>
      </c>
      <c r="AD3" s="40"/>
      <c r="AE3" s="20" t="s">
        <v>218</v>
      </c>
      <c r="AF3" s="21">
        <f>AVERAGEIFS(Bydgoszcz_result[FX_Dscore],Bydgoszcz_result[[Category]:[Category]],"senior",Bydgoszcz_result[FX_Dscore],"&lt;&gt;0")</f>
        <v>4.3818181818181818</v>
      </c>
      <c r="AG3" s="21" cm="1">
        <f t="array" ref="AG3">_xlfn.STDEV.S(_xlfn._xlws.FILTER(Bydgoszcz_result[FX_Dscore],(Bydgoszcz_result[Category]="senior")*(Bydgoszcz_result[FX_Dscore]&gt;0)))</f>
        <v>0.56003246659132411</v>
      </c>
      <c r="AH3" s="22">
        <f>AVERAGEIFS(Bydgoszcz_result[FX_Escore],Bydgoszcz_result[[Category]:[Category]],"senior",Bydgoszcz_result[FX_Escore],"&lt;&gt;0")</f>
        <v>7.995454545454546</v>
      </c>
      <c r="AI3" s="22" cm="1">
        <f t="array" ref="AI3">_xlfn.STDEV.S(_xlfn._xlws.FILTER(Bydgoszcz_result[FX_Escore],(Bydgoszcz_result[Category]="senior")*(Bydgoszcz_result[FX_Escore]&gt;0)))</f>
        <v>0.79889127716308961</v>
      </c>
      <c r="AJ3" s="22">
        <f>AVERAGEIFS(Bydgoszcz_result[FX_Total_Score],Bydgoszcz_result[[Category]:[Category]],"senior",Bydgoszcz_result[FX_Total_Score],"&lt;&gt;0")</f>
        <v>12.377272727272727</v>
      </c>
      <c r="AK3" s="22" cm="1">
        <f t="array" ref="AK3">_xlfn.STDEV.S(_xlfn._xlws.FILTER(Bydgoszcz_result[FX_Total_Score],(Bydgoszcz_result[Category]="senior")*(Bydgoszcz_result[FX_Total_Score]&gt;0)))</f>
        <v>0.88469306439115836</v>
      </c>
      <c r="AL3" s="22" cm="1">
        <f t="array" ref="AL3">MAX(_xlfn._xlws.FILTER(Bydgoszcz_result[FX_Total_Score],Bydgoszcz_result[Category]="senior"))</f>
        <v>13.6</v>
      </c>
      <c r="AO3" t="s">
        <v>63</v>
      </c>
      <c r="AP3" t="s">
        <v>60</v>
      </c>
      <c r="AQ3">
        <v>1997</v>
      </c>
      <c r="AR3" t="s">
        <v>39</v>
      </c>
      <c r="AS3" t="s">
        <v>305</v>
      </c>
      <c r="AT3" t="s">
        <v>317</v>
      </c>
      <c r="AU3" t="s">
        <v>218</v>
      </c>
      <c r="AV3" t="s">
        <v>309</v>
      </c>
      <c r="AW3">
        <v>7.8</v>
      </c>
    </row>
    <row r="4" spans="1:49" x14ac:dyDescent="0.25">
      <c r="A4" s="2">
        <v>3</v>
      </c>
      <c r="B4" t="s">
        <v>142</v>
      </c>
      <c r="C4" s="2" t="s">
        <v>60</v>
      </c>
      <c r="D4" s="2">
        <v>2001</v>
      </c>
      <c r="E4" s="2" t="s">
        <v>143</v>
      </c>
      <c r="F4" t="s">
        <v>62</v>
      </c>
      <c r="G4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4" s="5">
        <v>4.5</v>
      </c>
      <c r="I4" s="8">
        <v>8.6999999999999993</v>
      </c>
      <c r="J4" s="8">
        <v>13.2</v>
      </c>
      <c r="K4" s="5">
        <v>3.8</v>
      </c>
      <c r="L4" s="8">
        <v>7.9</v>
      </c>
      <c r="M4" s="8">
        <v>11.7</v>
      </c>
      <c r="N4" s="5">
        <v>2.7</v>
      </c>
      <c r="O4" s="8">
        <v>8</v>
      </c>
      <c r="P4" s="8">
        <v>10.7</v>
      </c>
      <c r="Q4" s="5">
        <v>3.2</v>
      </c>
      <c r="R4" s="8">
        <v>9.5</v>
      </c>
      <c r="S4" s="8">
        <v>12.7</v>
      </c>
      <c r="T4" s="5">
        <v>3.4</v>
      </c>
      <c r="U4" s="8">
        <v>7.9</v>
      </c>
      <c r="V4" s="8">
        <v>11.3</v>
      </c>
      <c r="W4" s="5">
        <v>3.6</v>
      </c>
      <c r="X4" s="8">
        <v>8</v>
      </c>
      <c r="Y4" s="8">
        <v>11.6</v>
      </c>
      <c r="Z4" s="4">
        <f>IF(Bydgoszcz_result[[#This Row],[All Around]]="Yes",SUM(H4,K4,N4,Q4,T4,W4),0)</f>
        <v>21.2</v>
      </c>
      <c r="AA4" s="7">
        <f>IF(Bydgoszcz_result[[#This Row],[All Around]]="Yes",SUM(I4,L4,O4,R4,U4,X4),0)</f>
        <v>50</v>
      </c>
      <c r="AB4" s="7">
        <f>SUM(J4,M4,P4,S4,V4,Y4)</f>
        <v>71.199999999999989</v>
      </c>
      <c r="AD4" s="40"/>
      <c r="AE4" s="20" t="s">
        <v>242</v>
      </c>
      <c r="AF4" s="21">
        <f>AVERAGEIFS(Bydgoszcz_result[HB_Dscore],Bydgoszcz_result[[Category]:[Category]],"senior",Bydgoszcz_result[HB_Dscore],"&lt;&gt;0")</f>
        <v>3.2727272727272729</v>
      </c>
      <c r="AG4" s="21" cm="1">
        <f t="array" ref="AG4">_xlfn.STDEV.S(_xlfn._xlws.FILTER(Bydgoszcz_result[HB_Dscore],(Bydgoszcz_result[Category]="senior")*(Bydgoszcz_result[HB_Dscore]&gt;0)))</f>
        <v>0.65588247284236656</v>
      </c>
      <c r="AH4" s="22">
        <f>AVERAGEIFS(Bydgoszcz_result[HB_Escore],Bydgoszcz_result[[Category]:[Category]],"senior",Bydgoszcz_result[HB_Escore],"&lt;&gt;0")</f>
        <v>7.6636363636363649</v>
      </c>
      <c r="AI4" s="22" cm="1">
        <f t="array" ref="AI4">_xlfn.STDEV.S(_xlfn._xlws.FILTER(Bydgoszcz_result[HB_Escore],(Bydgoszcz_result[Category]="senior")*(Bydgoszcz_result[HB_Escore]&gt;0)))</f>
        <v>0.60045437340855023</v>
      </c>
      <c r="AJ4" s="22">
        <f>AVERAGEIFS(Bydgoszcz_result[HB_total_score],Bydgoszcz_result[[Category]:[Category]],"senior",Bydgoszcz_result[HB_total_score],"&lt;&gt;0")</f>
        <v>10.936363636363637</v>
      </c>
      <c r="AK4" s="22" cm="1">
        <f t="array" ref="AK4">_xlfn.STDEV.S(_xlfn._xlws.FILTER(Bydgoszcz_result[HB_total_score],(Bydgoszcz_result[Category]="senior")*(Bydgoszcz_result[HB_total_score]&gt;0)))</f>
        <v>1.0481151914486568</v>
      </c>
      <c r="AL4" s="22" cm="1">
        <f t="array" ref="AL4">MAX(_xlfn._xlws.FILTER(Bydgoszcz_result[HB_total_score],Bydgoszcz_result[Category]="senior"))</f>
        <v>12.5</v>
      </c>
      <c r="AO4" t="s">
        <v>63</v>
      </c>
      <c r="AP4" t="s">
        <v>60</v>
      </c>
      <c r="AQ4">
        <v>1997</v>
      </c>
      <c r="AR4" t="s">
        <v>39</v>
      </c>
      <c r="AS4" t="s">
        <v>305</v>
      </c>
      <c r="AT4" t="s">
        <v>317</v>
      </c>
      <c r="AU4" t="s">
        <v>218</v>
      </c>
      <c r="AV4" t="s">
        <v>268</v>
      </c>
      <c r="AW4">
        <v>13.6</v>
      </c>
    </row>
    <row r="5" spans="1:49" x14ac:dyDescent="0.25">
      <c r="A5" s="2">
        <v>4</v>
      </c>
      <c r="B5" t="s">
        <v>80</v>
      </c>
      <c r="C5" s="2" t="s">
        <v>60</v>
      </c>
      <c r="D5" s="2">
        <v>2004</v>
      </c>
      <c r="E5" s="2" t="s">
        <v>81</v>
      </c>
      <c r="F5" t="s">
        <v>62</v>
      </c>
      <c r="G5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5" s="5">
        <v>3.6</v>
      </c>
      <c r="I5" s="8">
        <v>9</v>
      </c>
      <c r="J5" s="8">
        <v>12.6</v>
      </c>
      <c r="K5" s="5">
        <v>3.6</v>
      </c>
      <c r="L5" s="8">
        <v>7.55</v>
      </c>
      <c r="M5" s="8">
        <v>11.15</v>
      </c>
      <c r="N5" s="5">
        <v>3.9</v>
      </c>
      <c r="O5" s="8">
        <v>6.4</v>
      </c>
      <c r="P5" s="8">
        <v>10.3</v>
      </c>
      <c r="Q5" s="5">
        <v>3.6</v>
      </c>
      <c r="R5" s="8">
        <v>8.4</v>
      </c>
      <c r="S5" s="8">
        <v>12</v>
      </c>
      <c r="T5" s="5">
        <v>3.7</v>
      </c>
      <c r="U5" s="8">
        <v>8.4499999999999993</v>
      </c>
      <c r="V5" s="8">
        <v>12.15</v>
      </c>
      <c r="W5" s="5">
        <v>3</v>
      </c>
      <c r="X5" s="8">
        <v>7.6</v>
      </c>
      <c r="Y5" s="8">
        <v>10.6</v>
      </c>
      <c r="Z5" s="4">
        <f>IF(Bydgoszcz_result[[#This Row],[All Around]]="Yes",SUM(H5,K5,N5,Q5,T5,W5),0)</f>
        <v>21.4</v>
      </c>
      <c r="AA5" s="7">
        <f>IF(Bydgoszcz_result[[#This Row],[All Around]]="Yes",SUM(I5,L5,O5,R5,U5,X5),0)</f>
        <v>47.4</v>
      </c>
      <c r="AB5" s="7">
        <f>SUM(J5,M5,P5,S5,V5,Y5)</f>
        <v>68.8</v>
      </c>
      <c r="AD5" s="40"/>
      <c r="AE5" s="20" t="s">
        <v>241</v>
      </c>
      <c r="AF5" s="21">
        <f>AVERAGEIFS(Bydgoszcz_result[PB_Dscore],Bydgoszcz_result[[Category]:[Category]],"senior",Bydgoszcz_result[PB_Dscore],"&lt;&gt;0")</f>
        <v>3.2461538461538462</v>
      </c>
      <c r="AG5" s="21" cm="1">
        <f t="array" ref="AG5">_xlfn.STDEV.S(_xlfn._xlws.FILTER(Bydgoszcz_result[PB_Dscore],(Bydgoszcz_result[Category]="senior")*(Bydgoszcz_result[PB_Dscore]&gt;0)))</f>
        <v>0.61456676422688761</v>
      </c>
      <c r="AH5" s="22">
        <f>AVERAGEIFS(Bydgoszcz_result[PB_Escore],Bydgoszcz_result[[Category]:[Category]],"senior",Bydgoszcz_result[PB_Escore],"&lt;&gt;0")</f>
        <v>7.8192307692307699</v>
      </c>
      <c r="AI5" s="22" cm="1">
        <f t="array" ref="AI5">_xlfn.STDEV.S(_xlfn._xlws.FILTER(Bydgoszcz_result[PB_Escore],(Bydgoszcz_result[Category]="senior")*(Bydgoszcz_result[PB_Escore]&gt;0)))</f>
        <v>0.84988687029962395</v>
      </c>
      <c r="AJ5" s="22">
        <f>AVERAGEIFS(Bydgoszcz_result[PB_total_score],Bydgoszcz_result[[Category]:[Category]],"senior",Bydgoszcz_result[PB_total_score],"&lt;&gt;0")</f>
        <v>11.065384615384614</v>
      </c>
      <c r="AK5" s="22" cm="1">
        <f t="array" ref="AK5">_xlfn.STDEV.S(_xlfn._xlws.FILTER(Bydgoszcz_result[PB_total_score],(Bydgoszcz_result[Category]="senior")*(Bydgoszcz_result[PB_total_score]&gt;0)))</f>
        <v>1.2143902131290503</v>
      </c>
      <c r="AL5" s="22" cm="1">
        <f t="array" ref="AL5">MAX(_xlfn._xlws.FILTER(Bydgoszcz_result[PB_total_score],Bydgoszcz_result[Category]="senior"))</f>
        <v>12.8</v>
      </c>
      <c r="AO5" t="s">
        <v>63</v>
      </c>
      <c r="AP5" t="s">
        <v>60</v>
      </c>
      <c r="AQ5">
        <v>1997</v>
      </c>
      <c r="AR5" t="s">
        <v>39</v>
      </c>
      <c r="AS5" t="s">
        <v>305</v>
      </c>
      <c r="AT5" t="s">
        <v>317</v>
      </c>
      <c r="AU5" t="s">
        <v>238</v>
      </c>
      <c r="AV5" t="s">
        <v>308</v>
      </c>
      <c r="AW5">
        <v>4.4000000000000004</v>
      </c>
    </row>
    <row r="6" spans="1:49" x14ac:dyDescent="0.25">
      <c r="A6" s="2">
        <v>5</v>
      </c>
      <c r="B6" t="s">
        <v>77</v>
      </c>
      <c r="C6" s="2" t="s">
        <v>60</v>
      </c>
      <c r="D6" s="2">
        <v>2002</v>
      </c>
      <c r="E6" s="2" t="s">
        <v>78</v>
      </c>
      <c r="F6" t="s">
        <v>79</v>
      </c>
      <c r="G6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6" s="5">
        <v>4.2</v>
      </c>
      <c r="I6" s="8">
        <v>6.3</v>
      </c>
      <c r="J6" s="8">
        <v>10.5</v>
      </c>
      <c r="K6" s="5">
        <v>3.9</v>
      </c>
      <c r="L6" s="8">
        <v>7.8</v>
      </c>
      <c r="M6" s="8">
        <v>11.7</v>
      </c>
      <c r="N6" s="5">
        <v>4</v>
      </c>
      <c r="O6" s="8">
        <v>7.3</v>
      </c>
      <c r="P6" s="8">
        <v>11.3</v>
      </c>
      <c r="Q6" s="5">
        <v>3.6</v>
      </c>
      <c r="R6" s="8">
        <v>7.8</v>
      </c>
      <c r="S6" s="8">
        <v>11.4</v>
      </c>
      <c r="T6" s="5">
        <v>4</v>
      </c>
      <c r="U6" s="8">
        <v>8.15</v>
      </c>
      <c r="V6" s="8">
        <v>12.15</v>
      </c>
      <c r="W6" s="5">
        <v>3</v>
      </c>
      <c r="X6" s="8">
        <v>7.2</v>
      </c>
      <c r="Y6" s="8">
        <v>10.199999999999999</v>
      </c>
      <c r="Z6" s="4">
        <f>IF(Bydgoszcz_result[[#This Row],[All Around]]="Yes",SUM(H6,K6,N6,Q6,T6,W6),0)</f>
        <v>22.7</v>
      </c>
      <c r="AA6" s="7">
        <f>IF(Bydgoszcz_result[[#This Row],[All Around]]="Yes",SUM(I6,L6,O6,R6,U6,X6),0)</f>
        <v>44.550000000000004</v>
      </c>
      <c r="AB6" s="7">
        <f>SUM(J6,M6,P6,S6,V6,Y6)</f>
        <v>67.25</v>
      </c>
      <c r="AD6" s="40"/>
      <c r="AE6" s="20" t="s">
        <v>238</v>
      </c>
      <c r="AF6" s="21">
        <f>AVERAGEIFS(Bydgoszcz_result[PH_Dscore],Bydgoszcz_result[[Category]:[Category]],"senior",Bydgoszcz_result[PH_Dscore],"&lt;&gt;0")</f>
        <v>3.5153846153846144</v>
      </c>
      <c r="AG6" s="21" cm="1">
        <f t="array" ref="AG6">_xlfn.STDEV.S(_xlfn._xlws.FILTER(Bydgoszcz_result[PH_Dscore],(Bydgoszcz_result[Category]="senior")*(Bydgoszcz_result[PH_Dscore]&gt;0)))</f>
        <v>0.6465886815255345</v>
      </c>
      <c r="AH6" s="22">
        <f>AVERAGEIFS(Bydgoszcz_result[PH_Escore],Bydgoszcz_result[[Category]:[Category]],"senior",Bydgoszcz_result[PH_Escore],"&lt;&gt;0")</f>
        <v>5.9884615384615394</v>
      </c>
      <c r="AI6" s="22" cm="1">
        <f t="array" ref="AI6">_xlfn.STDEV.S(_xlfn._xlws.FILTER(Bydgoszcz_result[PH_Escore],(Bydgoszcz_result[Category]="senior")*(Bydgoszcz_result[PH_Escore]&gt;0)))</f>
        <v>2.4123945439951191</v>
      </c>
      <c r="AJ6" s="22">
        <f>AVERAGEIFS(Bydgoszcz_result[PH_Total_Score],Bydgoszcz_result[[Category]:[Category]],"senior",Bydgoszcz_result[PH_Total_Score],"&lt;&gt;0")</f>
        <v>9.5038461538461547</v>
      </c>
      <c r="AK6" s="22" cm="1">
        <f t="array" ref="AK6">_xlfn.STDEV.S(_xlfn._xlws.FILTER(Bydgoszcz_result[PH_Total_Score],(Bydgoszcz_result[Category]="senior")*(Bydgoszcz_result[PH_Total_Score]&gt;0)))</f>
        <v>2.9651771685728394</v>
      </c>
      <c r="AL6" s="22" cm="1">
        <f t="array" ref="AL6">MAX(_xlfn._xlws.FILTER(Bydgoszcz_result[PH_Total_Score],Bydgoszcz_result[Category]="senior"))</f>
        <v>12.65</v>
      </c>
      <c r="AO6" t="s">
        <v>63</v>
      </c>
      <c r="AP6" t="s">
        <v>60</v>
      </c>
      <c r="AQ6">
        <v>1997</v>
      </c>
      <c r="AR6" t="s">
        <v>39</v>
      </c>
      <c r="AS6" t="s">
        <v>305</v>
      </c>
      <c r="AT6" t="s">
        <v>317</v>
      </c>
      <c r="AU6" t="s">
        <v>238</v>
      </c>
      <c r="AV6" t="s">
        <v>309</v>
      </c>
      <c r="AW6">
        <v>7.1</v>
      </c>
    </row>
    <row r="7" spans="1:49" x14ac:dyDescent="0.25">
      <c r="A7" s="2">
        <v>6</v>
      </c>
      <c r="B7" t="s">
        <v>73</v>
      </c>
      <c r="C7" s="2" t="s">
        <v>60</v>
      </c>
      <c r="D7" s="2">
        <v>2001</v>
      </c>
      <c r="E7" s="2" t="s">
        <v>74</v>
      </c>
      <c r="F7" t="s">
        <v>62</v>
      </c>
      <c r="G7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7" s="5">
        <v>4.7</v>
      </c>
      <c r="I7" s="8">
        <v>8.1</v>
      </c>
      <c r="J7" s="8">
        <v>12.8</v>
      </c>
      <c r="K7" s="5">
        <v>3</v>
      </c>
      <c r="L7" s="8">
        <v>6.3</v>
      </c>
      <c r="M7" s="8">
        <v>9.3000000000000007</v>
      </c>
      <c r="N7" s="5">
        <v>2.7</v>
      </c>
      <c r="O7" s="8">
        <v>7.7</v>
      </c>
      <c r="P7" s="8">
        <v>10.4</v>
      </c>
      <c r="Q7" s="5">
        <v>4</v>
      </c>
      <c r="R7" s="8">
        <v>8.6</v>
      </c>
      <c r="S7" s="8">
        <v>12.6</v>
      </c>
      <c r="T7" s="5">
        <v>3.5</v>
      </c>
      <c r="U7" s="8">
        <v>8</v>
      </c>
      <c r="V7" s="8">
        <v>11.5</v>
      </c>
      <c r="W7" s="5">
        <v>3.1</v>
      </c>
      <c r="X7" s="8">
        <v>7.3</v>
      </c>
      <c r="Y7" s="8">
        <v>10.4</v>
      </c>
      <c r="Z7" s="4">
        <f>IF(Bydgoszcz_result[[#This Row],[All Around]]="Yes",SUM(H7,K7,N7,Q7,T7,W7),0)</f>
        <v>21</v>
      </c>
      <c r="AA7" s="7">
        <f>IF(Bydgoszcz_result[[#This Row],[All Around]]="Yes",SUM(I7,L7,O7,R7,U7,X7),0)</f>
        <v>45.999999999999993</v>
      </c>
      <c r="AB7" s="7">
        <f>SUM(J7,M7,P7,S7,V7,Y7)</f>
        <v>67</v>
      </c>
      <c r="AD7" s="40"/>
      <c r="AE7" s="20" t="s">
        <v>239</v>
      </c>
      <c r="AF7" s="21">
        <f>AVERAGEIFS(Bydgoszcz_result[SR_Dscore],Bydgoszcz_result[[Category]:[Category]],"senior",Bydgoszcz_result[SR_Dscore],"&lt;&gt;0")</f>
        <v>3.5166666666666671</v>
      </c>
      <c r="AG7" s="21" cm="1">
        <f t="array" ref="AG7">_xlfn.STDEV.S(_xlfn._xlws.FILTER(Bydgoszcz_result[SR_Dscore],(Bydgoszcz_result[Category]="senior")*(Bydgoszcz_result[SR_Dscore]&gt;0)))</f>
        <v>0.59518268140330244</v>
      </c>
      <c r="AH7" s="22">
        <f>AVERAGEIFS(Bydgoszcz_result[SR_Escore],Bydgoszcz_result[[Category]:[Category]],"senior",Bydgoszcz_result[SR_Escore],"&lt;&gt;0")</f>
        <v>7.4541666666666684</v>
      </c>
      <c r="AI7" s="22" cm="1">
        <f t="array" ref="AI7">_xlfn.STDEV.S(_xlfn._xlws.FILTER(Bydgoszcz_result[SR_Escore],(Bydgoszcz_result[Category]="senior")*(Bydgoszcz_result[SR_Escore]&gt;0)))</f>
        <v>0.58986066664985037</v>
      </c>
      <c r="AJ7" s="22">
        <f>AVERAGEIFS(Bydgoszcz_result[SR_Total_Score],Bydgoszcz_result[[Category]:[Category]],"senior",Bydgoszcz_result[SR_Total_Score],"&lt;&gt;0")</f>
        <v>10.970833333333333</v>
      </c>
      <c r="AK7" s="22" cm="1">
        <f t="array" ref="AK7">_xlfn.STDEV.S(_xlfn._xlws.FILTER(Bydgoszcz_result[SR_Total_Score],(Bydgoszcz_result[Category]="senior")*(Bydgoszcz_result[SR_Total_Score]&gt;0)))</f>
        <v>0.79500095292491013</v>
      </c>
      <c r="AL7" s="22" cm="1">
        <f t="array" ref="AL7">MAX(_xlfn._xlws.FILTER(Bydgoszcz_result[SR_Total_Score],Bydgoszcz_result[Category]="senior"))</f>
        <v>12.5</v>
      </c>
      <c r="AO7" t="s">
        <v>63</v>
      </c>
      <c r="AP7" t="s">
        <v>60</v>
      </c>
      <c r="AQ7">
        <v>1997</v>
      </c>
      <c r="AR7" t="s">
        <v>39</v>
      </c>
      <c r="AS7" t="s">
        <v>305</v>
      </c>
      <c r="AT7" t="s">
        <v>317</v>
      </c>
      <c r="AU7" t="s">
        <v>238</v>
      </c>
      <c r="AV7" t="s">
        <v>268</v>
      </c>
      <c r="AW7">
        <v>11.5</v>
      </c>
    </row>
    <row r="8" spans="1:49" x14ac:dyDescent="0.25">
      <c r="A8" s="2">
        <v>7</v>
      </c>
      <c r="B8" t="s">
        <v>84</v>
      </c>
      <c r="C8" s="2" t="s">
        <v>60</v>
      </c>
      <c r="D8" s="2">
        <v>2004</v>
      </c>
      <c r="E8" s="2" t="s">
        <v>85</v>
      </c>
      <c r="F8" t="s">
        <v>39</v>
      </c>
      <c r="G8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8" s="5">
        <v>4.5</v>
      </c>
      <c r="I8" s="8">
        <v>7.35</v>
      </c>
      <c r="J8" s="8">
        <v>11.85</v>
      </c>
      <c r="K8" s="5">
        <v>3.2</v>
      </c>
      <c r="L8" s="8">
        <v>6.1</v>
      </c>
      <c r="M8" s="8">
        <v>9.3000000000000007</v>
      </c>
      <c r="N8" s="5">
        <v>3.6</v>
      </c>
      <c r="O8" s="8">
        <v>7.5</v>
      </c>
      <c r="P8" s="8">
        <v>11.1</v>
      </c>
      <c r="Q8" s="5">
        <v>3</v>
      </c>
      <c r="R8" s="8">
        <v>9.3000000000000007</v>
      </c>
      <c r="S8" s="8">
        <v>12.3</v>
      </c>
      <c r="T8" s="5">
        <v>3.7</v>
      </c>
      <c r="U8" s="8">
        <v>7.85</v>
      </c>
      <c r="V8" s="8">
        <v>11.55</v>
      </c>
      <c r="W8" s="5">
        <v>3.2</v>
      </c>
      <c r="X8" s="8">
        <v>7.2</v>
      </c>
      <c r="Y8" s="8">
        <v>10.4</v>
      </c>
      <c r="Z8" s="4">
        <f>IF(Bydgoszcz_result[[#This Row],[All Around]]="Yes",SUM(H8,K8,N8,Q8,T8,W8),0)</f>
        <v>21.2</v>
      </c>
      <c r="AA8" s="7">
        <f>IF(Bydgoszcz_result[[#This Row],[All Around]]="Yes",SUM(I8,L8,O8,R8,U8,X8),0)</f>
        <v>45.300000000000004</v>
      </c>
      <c r="AB8" s="7">
        <f>SUM(J8,M8,P8,S8,V8,Y8)</f>
        <v>66.5</v>
      </c>
      <c r="AD8" s="41"/>
      <c r="AE8" s="20" t="s">
        <v>240</v>
      </c>
      <c r="AF8" s="21">
        <f>AVERAGEIFS(Bydgoszcz_result[VT_Dscore],Bydgoszcz_result[[Category]:[Category]],"senior",Bydgoszcz_result[VT_Dscore],"&lt;&gt;0")</f>
        <v>3.6199999999999997</v>
      </c>
      <c r="AG8" s="21" cm="1">
        <f t="array" ref="AG8">_xlfn.STDEV.S(_xlfn._xlws.FILTER(Bydgoszcz_result[VT_Dscore],(Bydgoszcz_result[Category]="senior")*(Bydgoszcz_result[VT_Dscore]&gt;0)))</f>
        <v>0.59962951524717389</v>
      </c>
      <c r="AH8" s="22">
        <f>AVERAGEIFS(Bydgoszcz_result[VT_Escore],Bydgoszcz_result[[Category]:[Category]],"senior",Bydgoszcz_result[VT_Escore],"&lt;&gt;0")</f>
        <v>8.754999999999999</v>
      </c>
      <c r="AI8" s="22" cm="1">
        <f t="array" ref="AI8">_xlfn.STDEV.S(_xlfn._xlws.FILTER(Bydgoszcz_result[VT_Escore],(Bydgoszcz_result[Category]="senior")*(Bydgoszcz_result[VT_Escore]&gt;0)))</f>
        <v>0.60848171706305199</v>
      </c>
      <c r="AJ8" s="22">
        <f>AVERAGEIFS(Bydgoszcz_result[VT_total_score],Bydgoszcz_result[[Category]:[Category]],"senior",Bydgoszcz_result[VT_total_score],"&lt;&gt;0")</f>
        <v>12.375</v>
      </c>
      <c r="AK8" s="22" cm="1">
        <f t="array" ref="AK8">_xlfn.STDEV.S(_xlfn._xlws.FILTER(Bydgoszcz_result[VT_total_score],(Bydgoszcz_result[Category]="senior")*(Bydgoszcz_result[VT_total_score]&gt;0)))</f>
        <v>0.7962586123727502</v>
      </c>
      <c r="AL8" s="22" cm="1">
        <f t="array" ref="AL8">MAX(_xlfn._xlws.FILTER(Bydgoszcz_result[VT_total_score],Bydgoszcz_result[Category]="senior"))</f>
        <v>13.5</v>
      </c>
      <c r="AO8" t="s">
        <v>63</v>
      </c>
      <c r="AP8" t="s">
        <v>60</v>
      </c>
      <c r="AQ8">
        <v>1997</v>
      </c>
      <c r="AR8" t="s">
        <v>39</v>
      </c>
      <c r="AS8" t="s">
        <v>305</v>
      </c>
      <c r="AT8" t="s">
        <v>317</v>
      </c>
      <c r="AU8" t="s">
        <v>239</v>
      </c>
      <c r="AV8" t="s">
        <v>308</v>
      </c>
      <c r="AW8">
        <v>4.5999999999999996</v>
      </c>
    </row>
    <row r="9" spans="1:49" x14ac:dyDescent="0.25">
      <c r="A9" s="2">
        <v>8</v>
      </c>
      <c r="B9" t="s">
        <v>100</v>
      </c>
      <c r="C9" s="2" t="s">
        <v>60</v>
      </c>
      <c r="D9" s="2">
        <v>2004</v>
      </c>
      <c r="E9" s="2" t="s">
        <v>101</v>
      </c>
      <c r="F9" t="s">
        <v>31</v>
      </c>
      <c r="G9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9" s="5">
        <v>4.3</v>
      </c>
      <c r="I9" s="8">
        <v>7.4</v>
      </c>
      <c r="J9" s="8">
        <v>11.7</v>
      </c>
      <c r="K9" s="5">
        <v>2.4</v>
      </c>
      <c r="L9" s="8">
        <v>1.1000000000000001</v>
      </c>
      <c r="M9" s="8">
        <v>3.5</v>
      </c>
      <c r="N9" s="5">
        <v>2.9</v>
      </c>
      <c r="O9" s="8">
        <v>7</v>
      </c>
      <c r="P9" s="8">
        <v>9.9</v>
      </c>
      <c r="Q9" s="5">
        <v>3.2</v>
      </c>
      <c r="R9" s="8">
        <v>7.8</v>
      </c>
      <c r="S9" s="8">
        <v>11</v>
      </c>
      <c r="T9" s="5">
        <v>2.9</v>
      </c>
      <c r="U9" s="8">
        <v>7.75</v>
      </c>
      <c r="V9" s="8">
        <v>10.65</v>
      </c>
      <c r="W9" s="5">
        <v>2.7</v>
      </c>
      <c r="X9" s="8">
        <v>6.8</v>
      </c>
      <c r="Y9" s="8">
        <v>9.5</v>
      </c>
      <c r="Z9" s="4">
        <f>IF(Bydgoszcz_result[[#This Row],[All Around]]="Yes",SUM(H9,K9,N9,Q9,T9,W9),0)</f>
        <v>18.400000000000002</v>
      </c>
      <c r="AA9" s="7">
        <f>IF(Bydgoszcz_result[[#This Row],[All Around]]="Yes",SUM(I9,L9,O9,R9,U9,X9),0)</f>
        <v>37.85</v>
      </c>
      <c r="AB9" s="7">
        <f>SUM(J9,M9,P9,S9,V9,Y9)</f>
        <v>56.25</v>
      </c>
      <c r="AD9" s="39" t="s">
        <v>26</v>
      </c>
      <c r="AE9" s="20" t="s">
        <v>243</v>
      </c>
      <c r="AF9" s="21">
        <f>AVERAGEIFS(Bydgoszcz_result[AA_Dscore],Bydgoszcz_result[[Category]:[Category]],"junior",Bydgoszcz_result[AA_Dscore],"&lt;&gt;0",Bydgoszcz_result[All Around],"Yes")</f>
        <v>16.841666666666665</v>
      </c>
      <c r="AG9" s="21" cm="1">
        <f t="array" ref="AG9">_xlfn.STDEV.S(_xlfn._xlws.FILTER(Bydgoszcz_result[AA_Dscore],(Bydgoszcz_result[Category]="junior")*(Bydgoszcz_result[All Around]="yes")))</f>
        <v>3.8053690140817351</v>
      </c>
      <c r="AH9" s="22">
        <f>AVERAGEIFS(Bydgoszcz_result[AA_Escore],Bydgoszcz_result[[Category]:[Category]],"junior",Bydgoszcz_result[AA_Escore],"&lt;&gt;0",Bydgoszcz_result[All Around],"Yes")</f>
        <v>44.1875</v>
      </c>
      <c r="AI9" s="22" cm="1">
        <f t="array" ref="AI9">_xlfn.STDEV.S(_xlfn._xlws.FILTER(Bydgoszcz_result[AA_Escore],(Bydgoszcz_result[Category]="junior")*(Bydgoszcz_result[All Around]="yes")))</f>
        <v>9.0092156100900951</v>
      </c>
      <c r="AJ9" s="22">
        <f>AVERAGEIFS(Bydgoszcz_result[Total_Score],Bydgoszcz_result[[Category]:[Category]],"junior",Bydgoszcz_result[Total_Score],"&lt;&gt;0",Bydgoszcz_result[All Around],"Yes")</f>
        <v>61.029166666666669</v>
      </c>
      <c r="AK9" s="22" cm="1">
        <f t="array" ref="AK9">_xlfn.STDEV.S(_xlfn._xlws.FILTER(Bydgoszcz_result[Total_Score],(Bydgoszcz_result[Category]="junior")*(Bydgoszcz_result[All Around]="yes")))</f>
        <v>12.546739133288284</v>
      </c>
      <c r="AL9" s="22" cm="1">
        <f t="array" ref="AL9">MAX(_xlfn._xlws.FILTER(Bydgoszcz_result[Total_Score],Bydgoszcz_result[Category]="junior"))</f>
        <v>73.2</v>
      </c>
      <c r="AO9" t="s">
        <v>63</v>
      </c>
      <c r="AP9" t="s">
        <v>60</v>
      </c>
      <c r="AQ9">
        <v>1997</v>
      </c>
      <c r="AR9" t="s">
        <v>39</v>
      </c>
      <c r="AS9" t="s">
        <v>305</v>
      </c>
      <c r="AT9" t="s">
        <v>317</v>
      </c>
      <c r="AU9" t="s">
        <v>239</v>
      </c>
      <c r="AV9" t="s">
        <v>309</v>
      </c>
      <c r="AW9">
        <v>7.2</v>
      </c>
    </row>
    <row r="10" spans="1:49" x14ac:dyDescent="0.25">
      <c r="A10" s="2">
        <v>9</v>
      </c>
      <c r="B10" t="s">
        <v>86</v>
      </c>
      <c r="C10" s="2" t="s">
        <v>60</v>
      </c>
      <c r="D10" s="2">
        <v>2003</v>
      </c>
      <c r="E10" s="2" t="s">
        <v>87</v>
      </c>
      <c r="F10" t="s">
        <v>72</v>
      </c>
      <c r="G10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No</v>
      </c>
      <c r="H10" s="5">
        <v>4.2</v>
      </c>
      <c r="I10" s="8">
        <v>8.6</v>
      </c>
      <c r="J10" s="8">
        <v>12.8</v>
      </c>
      <c r="K10" s="5">
        <v>3.8</v>
      </c>
      <c r="L10" s="8">
        <v>7.1</v>
      </c>
      <c r="M10" s="8">
        <v>10.9</v>
      </c>
      <c r="N10" s="5">
        <v>3.5</v>
      </c>
      <c r="O10" s="8">
        <v>6.7</v>
      </c>
      <c r="P10" s="8">
        <v>10.199999999999999</v>
      </c>
      <c r="Q10" s="5">
        <v>2.8</v>
      </c>
      <c r="R10" s="8">
        <v>9.1999999999999993</v>
      </c>
      <c r="S10" s="8">
        <v>12</v>
      </c>
      <c r="T10" s="5">
        <v>2.6</v>
      </c>
      <c r="U10" s="8">
        <v>5.65</v>
      </c>
      <c r="V10" s="8">
        <v>8.25</v>
      </c>
      <c r="W10" s="5">
        <v>0</v>
      </c>
      <c r="X10" s="8">
        <v>0</v>
      </c>
      <c r="Y10" s="8">
        <v>0</v>
      </c>
      <c r="Z10" s="4">
        <f>IF(Bydgoszcz_result[[#This Row],[All Around]]="Yes",SUM(H10,K10,N10,Q10,T10,W10),0)</f>
        <v>0</v>
      </c>
      <c r="AA10" s="7">
        <f>IF(Bydgoszcz_result[[#This Row],[All Around]]="Yes",SUM(I10,L10,O10,R10,U10,X10),0)</f>
        <v>0</v>
      </c>
      <c r="AB10" s="7">
        <f>SUM(J10,M10,P10,S10,V10,Y10)</f>
        <v>54.150000000000006</v>
      </c>
      <c r="AD10" s="40"/>
      <c r="AE10" s="20" t="s">
        <v>218</v>
      </c>
      <c r="AF10" s="21">
        <f>AVERAGEIFS(Bydgoszcz_result[FX_Dscore],Bydgoszcz_result[[Category]:[Category]],"junior",Bydgoszcz_result[FX_Dscore],"&lt;&gt;0")</f>
        <v>3.5200000000000005</v>
      </c>
      <c r="AG10" s="21" cm="1">
        <f t="array" ref="AG10">_xlfn.STDEV.S(_xlfn._xlws.FILTER(Bydgoszcz_result[FX_Dscore],(Bydgoszcz_result[Category]="junior")*(Bydgoszcz_result[FX_Dscore]&gt;0)))</f>
        <v>0.51436507324217207</v>
      </c>
      <c r="AH10" s="22">
        <f>AVERAGEIFS(Bydgoszcz_result[FX_Escore],Bydgoszcz_result[[Category]:[Category]],"junior",Bydgoszcz_result[FX_Escore],"&lt;&gt;0")</f>
        <v>8.1999999999999993</v>
      </c>
      <c r="AI10" s="22" cm="1">
        <f t="array" ref="AI10">_xlfn.STDEV.S(_xlfn._xlws.FILTER(Bydgoszcz_result[FX_Escore],(Bydgoszcz_result[Category]="junior")*(Bydgoszcz_result[FX_Escore]&gt;0)))</f>
        <v>0.50249378105604436</v>
      </c>
      <c r="AJ10" s="22">
        <f>AVERAGEIFS(Bydgoszcz_result[FX_Total_Score],Bydgoszcz_result[[Category]:[Category]],"junior",Bydgoszcz_result[FX_Total_Score],"&lt;&gt;0")</f>
        <v>11.719999999999999</v>
      </c>
      <c r="AK10" s="22" cm="1">
        <f t="array" ref="AK10">_xlfn.STDEV.S(_xlfn._xlws.FILTER(Bydgoszcz_result[FX_Total_Score],(Bydgoszcz_result[Category]="junior")*(Bydgoszcz_result[FX_Total_Score]&gt;0)))</f>
        <v>0.81411652377636601</v>
      </c>
      <c r="AL10" s="22" cm="1">
        <f t="array" ref="AL10">MAX(_xlfn._xlws.FILTER(Bydgoszcz_result[FX_Total_Score],Bydgoszcz_result[Category]="junior"))</f>
        <v>12.95</v>
      </c>
      <c r="AO10" t="s">
        <v>63</v>
      </c>
      <c r="AP10" t="s">
        <v>60</v>
      </c>
      <c r="AQ10">
        <v>1997</v>
      </c>
      <c r="AR10" t="s">
        <v>39</v>
      </c>
      <c r="AS10" t="s">
        <v>305</v>
      </c>
      <c r="AT10" t="s">
        <v>317</v>
      </c>
      <c r="AU10" t="s">
        <v>239</v>
      </c>
      <c r="AV10" t="s">
        <v>268</v>
      </c>
      <c r="AW10">
        <v>11.8</v>
      </c>
    </row>
    <row r="11" spans="1:49" x14ac:dyDescent="0.25">
      <c r="A11" s="2">
        <v>10</v>
      </c>
      <c r="B11" t="s">
        <v>98</v>
      </c>
      <c r="C11" s="2" t="s">
        <v>60</v>
      </c>
      <c r="D11" s="2">
        <v>1999</v>
      </c>
      <c r="E11" s="2" t="s">
        <v>99</v>
      </c>
      <c r="F11" t="s">
        <v>72</v>
      </c>
      <c r="G11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No</v>
      </c>
      <c r="H11" s="5">
        <v>0</v>
      </c>
      <c r="I11" s="8">
        <v>0</v>
      </c>
      <c r="J11" s="8">
        <v>0</v>
      </c>
      <c r="K11" s="5">
        <v>3.3</v>
      </c>
      <c r="L11" s="8">
        <v>4.0999999999999996</v>
      </c>
      <c r="M11" s="8">
        <v>7.4</v>
      </c>
      <c r="N11" s="5">
        <v>3.2</v>
      </c>
      <c r="O11" s="8">
        <v>7.65</v>
      </c>
      <c r="P11" s="8">
        <v>10.85</v>
      </c>
      <c r="Q11" s="5">
        <v>0</v>
      </c>
      <c r="R11" s="8">
        <v>0</v>
      </c>
      <c r="S11" s="8">
        <v>0</v>
      </c>
      <c r="T11" s="5">
        <v>2.5</v>
      </c>
      <c r="U11" s="8">
        <v>8.8000000000000007</v>
      </c>
      <c r="V11" s="8">
        <v>11.3</v>
      </c>
      <c r="W11" s="5">
        <v>3</v>
      </c>
      <c r="X11" s="8">
        <v>7</v>
      </c>
      <c r="Y11" s="8">
        <v>10</v>
      </c>
      <c r="Z11" s="4">
        <f>IF(Bydgoszcz_result[[#This Row],[All Around]]="Yes",SUM(H11,K11,N11,Q11,T11,W11),0)</f>
        <v>0</v>
      </c>
      <c r="AA11" s="7">
        <f>IF(Bydgoszcz_result[[#This Row],[All Around]]="Yes",SUM(I11,L11,O11,R11,U11,X11),0)</f>
        <v>0</v>
      </c>
      <c r="AB11" s="7">
        <f>SUM(J11,M11,P11,S11,V11,Y11)</f>
        <v>39.549999999999997</v>
      </c>
      <c r="AD11" s="40"/>
      <c r="AE11" s="20" t="s">
        <v>242</v>
      </c>
      <c r="AF11" s="21">
        <f>AVERAGEIFS(Bydgoszcz_result[HB_Dscore],Bydgoszcz_result[[Category]:[Category]],"junior",Bydgoszcz_result[HB_Dscore],"&lt;&gt;0")</f>
        <v>2.2071428571428569</v>
      </c>
      <c r="AG11" s="21" cm="1">
        <f t="array" ref="AG11">_xlfn.STDEV.S(_xlfn._xlws.FILTER(Bydgoszcz_result[HB_Dscore],(Bydgoszcz_result[Category]="junior")*(Bydgoszcz_result[HB_Dscore]&gt;0)))</f>
        <v>0.93188335826249957</v>
      </c>
      <c r="AH11" s="22">
        <f>AVERAGEIFS(Bydgoszcz_result[HB_Escore],Bydgoszcz_result[[Category]:[Category]],"junior",Bydgoszcz_result[HB_Escore],"&lt;&gt;0")</f>
        <v>6.9785714285714278</v>
      </c>
      <c r="AI11" s="22" cm="1">
        <f t="array" ref="AI11">_xlfn.STDEV.S(_xlfn._xlws.FILTER(Bydgoszcz_result[HB_Escore],(Bydgoszcz_result[Category]="junior")*(Bydgoszcz_result[HB_Escore]&gt;0)))</f>
        <v>2.3238491184400809</v>
      </c>
      <c r="AJ11" s="22">
        <f>AVERAGEIFS(Bydgoszcz_result[HB_total_score],Bydgoszcz_result[[Category]:[Category]],"junior",Bydgoszcz_result[HB_total_score],"&lt;&gt;0")</f>
        <v>9.1857142857142851</v>
      </c>
      <c r="AK11" s="22" cm="1">
        <f t="array" ref="AK11">_xlfn.STDEV.S(_xlfn._xlws.FILTER(Bydgoszcz_result[HB_total_score],(Bydgoszcz_result[Category]="junior")*(Bydgoszcz_result[HB_total_score]&gt;0)))</f>
        <v>3.1050472913175873</v>
      </c>
      <c r="AL11" s="22" cm="1">
        <f t="array" ref="AL11">MAX(_xlfn._xlws.FILTER(Bydgoszcz_result[HB_total_score],Bydgoszcz_result[Category]="junior"))</f>
        <v>11.6</v>
      </c>
      <c r="AO11" t="s">
        <v>63</v>
      </c>
      <c r="AP11" t="s">
        <v>60</v>
      </c>
      <c r="AQ11">
        <v>1997</v>
      </c>
      <c r="AR11" t="s">
        <v>39</v>
      </c>
      <c r="AS11" t="s">
        <v>305</v>
      </c>
      <c r="AT11" t="s">
        <v>317</v>
      </c>
      <c r="AU11" t="s">
        <v>240</v>
      </c>
      <c r="AV11" t="s">
        <v>308</v>
      </c>
      <c r="AW11">
        <v>4.8</v>
      </c>
    </row>
    <row r="12" spans="1:49" x14ac:dyDescent="0.25">
      <c r="A12" s="2">
        <v>11</v>
      </c>
      <c r="B12" t="s">
        <v>129</v>
      </c>
      <c r="C12" s="2" t="s">
        <v>60</v>
      </c>
      <c r="D12" s="2">
        <v>2000</v>
      </c>
      <c r="E12" s="2" t="s">
        <v>130</v>
      </c>
      <c r="F12" t="s">
        <v>72</v>
      </c>
      <c r="G12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No</v>
      </c>
      <c r="H12" s="5">
        <v>4.0999999999999996</v>
      </c>
      <c r="I12" s="8">
        <v>7.6</v>
      </c>
      <c r="J12" s="8">
        <v>11.7</v>
      </c>
      <c r="K12" s="5">
        <v>0</v>
      </c>
      <c r="L12" s="8">
        <v>0</v>
      </c>
      <c r="M12" s="8">
        <v>0</v>
      </c>
      <c r="N12" s="5">
        <v>0</v>
      </c>
      <c r="O12" s="8">
        <v>0</v>
      </c>
      <c r="P12" s="8">
        <v>0</v>
      </c>
      <c r="Q12" s="5">
        <v>4</v>
      </c>
      <c r="R12" s="8">
        <v>9.25</v>
      </c>
      <c r="S12" s="8">
        <v>13.25</v>
      </c>
      <c r="T12" s="5">
        <v>2.7</v>
      </c>
      <c r="U12" s="8">
        <v>8.65</v>
      </c>
      <c r="V12" s="8">
        <v>11.35</v>
      </c>
      <c r="W12" s="5">
        <v>0</v>
      </c>
      <c r="X12" s="8">
        <v>0</v>
      </c>
      <c r="Y12" s="8">
        <v>0</v>
      </c>
      <c r="Z12" s="4">
        <f>IF(Bydgoszcz_result[[#This Row],[All Around]]="Yes",SUM(H12,K12,N12,Q12,T12,W12),0)</f>
        <v>0</v>
      </c>
      <c r="AA12" s="7">
        <f>IF(Bydgoszcz_result[[#This Row],[All Around]]="Yes",SUM(I12,L12,O12,R12,U12,X12),0)</f>
        <v>0</v>
      </c>
      <c r="AB12" s="7">
        <f>SUM(J12,M12,P12,S12,V12,Y12)</f>
        <v>36.299999999999997</v>
      </c>
      <c r="AD12" s="40"/>
      <c r="AE12" s="20" t="s">
        <v>241</v>
      </c>
      <c r="AF12" s="21">
        <f>AVERAGEIFS(Bydgoszcz_result[PB_Dscore],Bydgoszcz_result[[Category]:[Category]],"junior",Bydgoszcz_result[PB_Dscore],"&lt;&gt;0")</f>
        <v>2.8624999999999998</v>
      </c>
      <c r="AG12" s="21" cm="1">
        <f t="array" ref="AG12">_xlfn.STDEV.S(_xlfn._xlws.FILTER(Bydgoszcz_result[PB_Dscore],(Bydgoszcz_result[Category]="junior")*(Bydgoszcz_result[PB_Dscore]&gt;0)))</f>
        <v>0.66720811345986275</v>
      </c>
      <c r="AH12" s="22">
        <f>AVERAGEIFS(Bydgoszcz_result[PB_Escore],Bydgoszcz_result[[Category]:[Category]],"junior",Bydgoszcz_result[PB_Escore],"&lt;&gt;0")</f>
        <v>7.09375</v>
      </c>
      <c r="AI12" s="22" cm="1">
        <f t="array" ref="AI12">_xlfn.STDEV.S(_xlfn._xlws.FILTER(Bydgoszcz_result[PB_Escore],(Bydgoszcz_result[Category]="junior")*(Bydgoszcz_result[PB_Escore]&gt;0)))</f>
        <v>2.3377250337311559</v>
      </c>
      <c r="AJ12" s="22">
        <f>AVERAGEIFS(Bydgoszcz_result[PB_total_score],Bydgoszcz_result[[Category]:[Category]],"junior",Bydgoszcz_result[PB_total_score],"&lt;&gt;0")</f>
        <v>9.9562500000000007</v>
      </c>
      <c r="AK12" s="22" cm="1">
        <f t="array" ref="AK12">_xlfn.STDEV.S(_xlfn._xlws.FILTER(Bydgoszcz_result[PB_total_score],(Bydgoszcz_result[Category]="junior")*(Bydgoszcz_result[PB_total_score]&gt;0)))</f>
        <v>2.9375088652348449</v>
      </c>
      <c r="AL12" s="22" cm="1">
        <f t="array" ref="AL12">MAX(_xlfn._xlws.FILTER(Bydgoszcz_result[PB_total_score],Bydgoszcz_result[Category]="junior"))</f>
        <v>12.65</v>
      </c>
      <c r="AO12" t="s">
        <v>63</v>
      </c>
      <c r="AP12" t="s">
        <v>60</v>
      </c>
      <c r="AQ12">
        <v>1997</v>
      </c>
      <c r="AR12" t="s">
        <v>39</v>
      </c>
      <c r="AS12" t="s">
        <v>305</v>
      </c>
      <c r="AT12" t="s">
        <v>317</v>
      </c>
      <c r="AU12" t="s">
        <v>240</v>
      </c>
      <c r="AV12" t="s">
        <v>309</v>
      </c>
      <c r="AW12">
        <v>8.6999999999999993</v>
      </c>
    </row>
    <row r="13" spans="1:49" x14ac:dyDescent="0.25">
      <c r="A13" s="2">
        <v>12</v>
      </c>
      <c r="B13" t="s">
        <v>144</v>
      </c>
      <c r="C13" s="2" t="s">
        <v>60</v>
      </c>
      <c r="D13" s="2">
        <v>2002</v>
      </c>
      <c r="E13" s="2" t="s">
        <v>97</v>
      </c>
      <c r="F13" t="s">
        <v>62</v>
      </c>
      <c r="G13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No</v>
      </c>
      <c r="H13" s="5">
        <v>0</v>
      </c>
      <c r="I13" s="8">
        <v>0</v>
      </c>
      <c r="J13" s="8">
        <v>0</v>
      </c>
      <c r="K13" s="5">
        <v>3.8</v>
      </c>
      <c r="L13" s="8">
        <v>4.1500000000000004</v>
      </c>
      <c r="M13" s="8">
        <v>7.95</v>
      </c>
      <c r="N13" s="5">
        <v>4.0999999999999996</v>
      </c>
      <c r="O13" s="8">
        <v>8.4</v>
      </c>
      <c r="P13" s="8">
        <v>12.5</v>
      </c>
      <c r="Q13" s="5">
        <v>0</v>
      </c>
      <c r="R13" s="8">
        <v>0</v>
      </c>
      <c r="S13" s="8">
        <v>0</v>
      </c>
      <c r="T13" s="5">
        <v>0</v>
      </c>
      <c r="U13" s="8">
        <v>0</v>
      </c>
      <c r="V13" s="8">
        <v>0</v>
      </c>
      <c r="W13" s="5">
        <v>3.8</v>
      </c>
      <c r="X13" s="8">
        <v>8.4</v>
      </c>
      <c r="Y13" s="8">
        <v>12.2</v>
      </c>
      <c r="Z13" s="4">
        <f>IF(Bydgoszcz_result[[#This Row],[All Around]]="Yes",SUM(H13,K13,N13,Q13,T13,W13),0)</f>
        <v>0</v>
      </c>
      <c r="AA13" s="7">
        <f>IF(Bydgoszcz_result[[#This Row],[All Around]]="Yes",SUM(I13,L13,O13,R13,U13,X13),0)</f>
        <v>0</v>
      </c>
      <c r="AB13" s="7">
        <f>SUM(J13,M13,P13,S13,V13,Y13)</f>
        <v>32.65</v>
      </c>
      <c r="AD13" s="40"/>
      <c r="AE13" s="20" t="s">
        <v>238</v>
      </c>
      <c r="AF13" s="21">
        <f>AVERAGEIFS(Bydgoszcz_result[PH_Dscore],Bydgoszcz_result[[Category]:[Category]],"junior",Bydgoszcz_result[FX_Dscore],"&lt;&gt;0")</f>
        <v>2.8400000000000003</v>
      </c>
      <c r="AG13" s="21" cm="1">
        <f t="array" ref="AG13">_xlfn.STDEV.S(_xlfn._xlws.FILTER(Bydgoszcz_result[PH_Dscore],(Bydgoszcz_result[Category]="junior")*(Bydgoszcz_result[PH_Dscore]&gt;0)))</f>
        <v>1.0187218058170042</v>
      </c>
      <c r="AH13" s="22">
        <f>AVERAGEIFS(Bydgoszcz_result[PH_Escore],Bydgoszcz_result[[Category]:[Category]],"junior",Bydgoszcz_result[FX_Escore],"&lt;&gt;0")</f>
        <v>5.5600000000000014</v>
      </c>
      <c r="AI13" s="22" cm="1">
        <f t="array" ref="AI13">_xlfn.STDEV.S(_xlfn._xlws.FILTER(Bydgoszcz_result[PH_Escore],(Bydgoszcz_result[Category]="junior")*(Bydgoszcz_result[PH_Escore]&gt;0)))</f>
        <v>1.6164674549668501</v>
      </c>
      <c r="AJ13" s="22">
        <f>AVERAGEIFS(Bydgoszcz_result[PH_Total_Score],Bydgoszcz_result[[Category]:[Category]],"junior",Bydgoszcz_result[FX_Total_Score],"&lt;&gt;0")</f>
        <v>8.3999999999999986</v>
      </c>
      <c r="AK13" s="22" cm="1">
        <f t="array" ref="AK13">_xlfn.STDEV.S(_xlfn._xlws.FILTER(Bydgoszcz_result[PH_Total_Score],(Bydgoszcz_result[Category]="junior")*(Bydgoszcz_result[PH_Total_Score]&gt;0)))</f>
        <v>3.882985131237537</v>
      </c>
      <c r="AL13" s="22" cm="1">
        <f t="array" ref="AL13">MAX(_xlfn._xlws.FILTER(Bydgoszcz_result[PH_Total_Score],Bydgoszcz_result[Category]="junior"))</f>
        <v>12.75</v>
      </c>
      <c r="AO13" t="s">
        <v>63</v>
      </c>
      <c r="AP13" t="s">
        <v>60</v>
      </c>
      <c r="AQ13">
        <v>1997</v>
      </c>
      <c r="AR13" t="s">
        <v>39</v>
      </c>
      <c r="AS13" t="s">
        <v>305</v>
      </c>
      <c r="AT13" t="s">
        <v>317</v>
      </c>
      <c r="AU13" t="s">
        <v>240</v>
      </c>
      <c r="AV13" t="s">
        <v>268</v>
      </c>
      <c r="AW13">
        <v>13.5</v>
      </c>
    </row>
    <row r="14" spans="1:49" x14ac:dyDescent="0.25">
      <c r="A14" s="2">
        <v>13</v>
      </c>
      <c r="B14" t="s">
        <v>68</v>
      </c>
      <c r="C14" s="2" t="s">
        <v>60</v>
      </c>
      <c r="D14" s="2">
        <v>2004</v>
      </c>
      <c r="E14" s="2" t="s">
        <v>69</v>
      </c>
      <c r="F14" t="s">
        <v>31</v>
      </c>
      <c r="G14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No</v>
      </c>
      <c r="H14" s="5">
        <v>0</v>
      </c>
      <c r="I14" s="8">
        <v>0</v>
      </c>
      <c r="J14" s="8">
        <v>0</v>
      </c>
      <c r="K14" s="5">
        <v>0</v>
      </c>
      <c r="L14" s="8">
        <v>0</v>
      </c>
      <c r="M14" s="8">
        <v>0</v>
      </c>
      <c r="N14" s="5">
        <v>3.2</v>
      </c>
      <c r="O14" s="8">
        <v>7.4</v>
      </c>
      <c r="P14" s="8">
        <v>10.6</v>
      </c>
      <c r="Q14" s="5">
        <v>0</v>
      </c>
      <c r="R14" s="8">
        <v>0</v>
      </c>
      <c r="S14" s="8">
        <v>0</v>
      </c>
      <c r="T14" s="5">
        <v>2.7</v>
      </c>
      <c r="U14" s="8">
        <v>6.85</v>
      </c>
      <c r="V14" s="8">
        <v>9.5500000000000007</v>
      </c>
      <c r="W14" s="5">
        <v>2.1</v>
      </c>
      <c r="X14" s="8">
        <v>8.4</v>
      </c>
      <c r="Y14" s="8">
        <v>10.5</v>
      </c>
      <c r="Z14" s="4">
        <f>IF(Bydgoszcz_result[[#This Row],[All Around]]="Yes",SUM(H14,K14,N14,Q14,T14,W14),0)</f>
        <v>0</v>
      </c>
      <c r="AA14" s="7">
        <f>IF(Bydgoszcz_result[[#This Row],[All Around]]="Yes",SUM(I14,L14,O14,R14,U14,X14),0)</f>
        <v>0</v>
      </c>
      <c r="AB14" s="7">
        <f>SUM(J14,M14,P14,S14,V14,Y14)</f>
        <v>30.65</v>
      </c>
      <c r="AD14" s="40"/>
      <c r="AE14" s="20" t="s">
        <v>239</v>
      </c>
      <c r="AF14" s="21">
        <f>AVERAGEIFS(Bydgoszcz_result[SR_Dscore],Bydgoszcz_result[[Category]:[Category]],"junior",Bydgoszcz_result[SR_Dscore],"&lt;&gt;0")</f>
        <v>2.5533333333333337</v>
      </c>
      <c r="AG14" s="21" cm="1">
        <f t="array" ref="AG14">_xlfn.STDEV.S(_xlfn._xlws.FILTER(Bydgoszcz_result[SR_Dscore],(Bydgoszcz_result[Category]="junior")*(Bydgoszcz_result[SR_Dscore]&gt;0)))</f>
        <v>0.5194319241339731</v>
      </c>
      <c r="AH14" s="22">
        <f>AVERAGEIFS(Bydgoszcz_result[SR_Escore],Bydgoszcz_result[[Category]:[Category]],"junior",Bydgoszcz_result[SR_Escore],"&lt;&gt;0")</f>
        <v>7.0366666666666653</v>
      </c>
      <c r="AI14" s="22" cm="1">
        <f t="array" ref="AI14">_xlfn.STDEV.S(_xlfn._xlws.FILTER(Bydgoszcz_result[SR_Escore],(Bydgoszcz_result[Category]="junior")*(Bydgoszcz_result[SR_Escore]&gt;0)))</f>
        <v>1.3279235491476813</v>
      </c>
      <c r="AJ14" s="22">
        <f>AVERAGEIFS(Bydgoszcz_result[SR_Total_Score],Bydgoszcz_result[[Category]:[Category]],"junior",Bydgoszcz_result[SR_Total_Score],"&lt;&gt;0")</f>
        <v>9.5900000000000016</v>
      </c>
      <c r="AK14" s="22" cm="1">
        <f t="array" ref="AK14">_xlfn.STDEV.S(_xlfn._xlws.FILTER(Bydgoszcz_result[SR_Total_Score],(Bydgoszcz_result[Category]="junior")*(Bydgoszcz_result[SR_Total_Score]&gt;0)))</f>
        <v>1.7176811611671539</v>
      </c>
      <c r="AL14" s="22" cm="1">
        <f t="array" ref="AL14">MAX(_xlfn._xlws.FILTER(Bydgoszcz_result[SR_Total_Score],Bydgoszcz_result[Category]="junior"))</f>
        <v>11.65</v>
      </c>
      <c r="AO14" t="s">
        <v>63</v>
      </c>
      <c r="AP14" t="s">
        <v>60</v>
      </c>
      <c r="AQ14">
        <v>1997</v>
      </c>
      <c r="AR14" t="s">
        <v>39</v>
      </c>
      <c r="AS14" t="s">
        <v>305</v>
      </c>
      <c r="AT14" t="s">
        <v>317</v>
      </c>
      <c r="AU14" t="s">
        <v>314</v>
      </c>
      <c r="AV14" t="s">
        <v>308</v>
      </c>
      <c r="AW14">
        <v>4.2</v>
      </c>
    </row>
    <row r="15" spans="1:49" x14ac:dyDescent="0.25">
      <c r="A15" s="2">
        <v>14</v>
      </c>
      <c r="B15" t="s">
        <v>106</v>
      </c>
      <c r="C15" s="2" t="s">
        <v>60</v>
      </c>
      <c r="D15" s="2">
        <v>2004</v>
      </c>
      <c r="E15" s="2" t="s">
        <v>107</v>
      </c>
      <c r="F15" t="s">
        <v>31</v>
      </c>
      <c r="G15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No</v>
      </c>
      <c r="H15" s="5">
        <v>3.9</v>
      </c>
      <c r="I15" s="8">
        <v>8.4</v>
      </c>
      <c r="J15" s="8">
        <v>12.3</v>
      </c>
      <c r="K15" s="5">
        <v>2.2999999999999998</v>
      </c>
      <c r="L15" s="8">
        <v>2</v>
      </c>
      <c r="M15" s="8">
        <v>4.3</v>
      </c>
      <c r="N15" s="5">
        <v>0</v>
      </c>
      <c r="O15" s="8">
        <v>0</v>
      </c>
      <c r="P15" s="8">
        <v>0</v>
      </c>
      <c r="Q15" s="5">
        <v>0</v>
      </c>
      <c r="R15" s="8">
        <v>0</v>
      </c>
      <c r="S15" s="8">
        <v>0</v>
      </c>
      <c r="T15" s="5">
        <v>2.5</v>
      </c>
      <c r="U15" s="8">
        <v>7.45</v>
      </c>
      <c r="V15" s="8">
        <v>9.9499999999999993</v>
      </c>
      <c r="W15" s="5">
        <v>0</v>
      </c>
      <c r="X15" s="8">
        <v>0</v>
      </c>
      <c r="Y15" s="8">
        <v>0</v>
      </c>
      <c r="Z15" s="4">
        <f>IF(Bydgoszcz_result[[#This Row],[All Around]]="Yes",SUM(H15,K15,N15,Q15,T15,W15),0)</f>
        <v>0</v>
      </c>
      <c r="AA15" s="7">
        <f>IF(Bydgoszcz_result[[#This Row],[All Around]]="Yes",SUM(I15,L15,O15,R15,U15,X15),0)</f>
        <v>0</v>
      </c>
      <c r="AB15" s="7">
        <f>SUM(J15,M15,P15,S15,V15,Y15)</f>
        <v>26.55</v>
      </c>
      <c r="AD15" s="41"/>
      <c r="AE15" s="20" t="s">
        <v>240</v>
      </c>
      <c r="AF15" s="21">
        <f>AVERAGEIFS(Bydgoszcz_result[VT_Dscore],Bydgoszcz_result[[Category]:[Category]],"junior",Bydgoszcz_result[VT_Dscore],"&lt;&gt;0")</f>
        <v>2.5749999999999997</v>
      </c>
      <c r="AG15" s="21" cm="1">
        <f t="array" ref="AG15">_xlfn.STDEV.S(_xlfn._xlws.FILTER(Bydgoszcz_result[VT_Dscore],(Bydgoszcz_result[Category]="junior")*(Bydgoszcz_result[VT_Dscore]&gt;0)))</f>
        <v>0.74072037009027158</v>
      </c>
      <c r="AH15" s="22">
        <f>AVERAGEIFS(Bydgoszcz_result[VT_Escore],Bydgoszcz_result[[Category]:[Category]],"junior",Bydgoszcz_result[VT_Escore],"&lt;&gt;0")</f>
        <v>8.5718749999999986</v>
      </c>
      <c r="AI15" s="22" cm="1">
        <f t="array" ref="AI15">_xlfn.STDEV.S(_xlfn._xlws.FILTER(Bydgoszcz_result[VT_Escore],(Bydgoszcz_result[Category]="junior")*(Bydgoszcz_result[VT_Escore]&gt;0)))</f>
        <v>0.55856027726050594</v>
      </c>
      <c r="AJ15" s="22">
        <f>AVERAGEIFS(Bydgoszcz_result[VT_total_score],Bydgoszcz_result[[Category]:[Category]],"junior",Bydgoszcz_result[VT_total_score],"&lt;&gt;0")</f>
        <v>11.146875</v>
      </c>
      <c r="AK15" s="22" cm="1">
        <f t="array" ref="AK15">_xlfn.STDEV.S(_xlfn._xlws.FILTER(Bydgoszcz_result[VT_total_score],(Bydgoszcz_result[Category]="junior")*(Bydgoszcz_result[VT_total_score]&gt;0)))</f>
        <v>0.81924126482984228</v>
      </c>
      <c r="AL15" s="22" cm="1">
        <f t="array" ref="AL15">MAX(_xlfn._xlws.FILTER(Bydgoszcz_result[VT_total_score],Bydgoszcz_result[Category]="junior"))</f>
        <v>12.5</v>
      </c>
      <c r="AO15" t="s">
        <v>63</v>
      </c>
      <c r="AP15" t="s">
        <v>60</v>
      </c>
      <c r="AQ15">
        <v>1997</v>
      </c>
      <c r="AR15" t="s">
        <v>39</v>
      </c>
      <c r="AS15" t="s">
        <v>305</v>
      </c>
      <c r="AT15" t="s">
        <v>317</v>
      </c>
      <c r="AU15" t="s">
        <v>314</v>
      </c>
      <c r="AV15" t="s">
        <v>309</v>
      </c>
      <c r="AW15">
        <v>8.6</v>
      </c>
    </row>
    <row r="16" spans="1:49" x14ac:dyDescent="0.25">
      <c r="A16" s="2">
        <v>15</v>
      </c>
      <c r="B16" t="s">
        <v>92</v>
      </c>
      <c r="C16" s="2" t="s">
        <v>60</v>
      </c>
      <c r="D16" s="2">
        <v>2004</v>
      </c>
      <c r="E16" s="2" t="s">
        <v>93</v>
      </c>
      <c r="F16" t="s">
        <v>39</v>
      </c>
      <c r="G16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No</v>
      </c>
      <c r="H16" s="5">
        <v>0</v>
      </c>
      <c r="I16" s="8">
        <v>0</v>
      </c>
      <c r="J16" s="8">
        <v>0</v>
      </c>
      <c r="K16" s="5">
        <v>4</v>
      </c>
      <c r="L16" s="8">
        <v>8.65</v>
      </c>
      <c r="M16" s="8">
        <v>12.65</v>
      </c>
      <c r="N16" s="5">
        <v>0</v>
      </c>
      <c r="O16" s="8">
        <v>0</v>
      </c>
      <c r="P16" s="8">
        <v>0</v>
      </c>
      <c r="Q16" s="5">
        <v>0</v>
      </c>
      <c r="R16" s="8">
        <v>0</v>
      </c>
      <c r="S16" s="8">
        <v>0</v>
      </c>
      <c r="T16" s="5">
        <v>0</v>
      </c>
      <c r="U16" s="8">
        <v>0</v>
      </c>
      <c r="V16" s="8">
        <v>0</v>
      </c>
      <c r="W16" s="5">
        <v>0</v>
      </c>
      <c r="X16" s="8">
        <v>0</v>
      </c>
      <c r="Y16" s="8">
        <v>0</v>
      </c>
      <c r="Z16" s="4">
        <f>IF(Bydgoszcz_result[[#This Row],[All Around]]="Yes",SUM(H16,K16,N16,Q16,T16,W16),0)</f>
        <v>0</v>
      </c>
      <c r="AA16" s="7">
        <f>IF(Bydgoszcz_result[[#This Row],[All Around]]="Yes",SUM(I16,L16,O16,R16,U16,X16),0)</f>
        <v>0</v>
      </c>
      <c r="AB16" s="7">
        <f>SUM(J16,M16,P16,S16,V16,Y16)</f>
        <v>12.65</v>
      </c>
      <c r="AO16" t="s">
        <v>63</v>
      </c>
      <c r="AP16" t="s">
        <v>60</v>
      </c>
      <c r="AQ16">
        <v>1997</v>
      </c>
      <c r="AR16" t="s">
        <v>39</v>
      </c>
      <c r="AS16" t="s">
        <v>305</v>
      </c>
      <c r="AT16" t="s">
        <v>317</v>
      </c>
      <c r="AU16" t="s">
        <v>314</v>
      </c>
      <c r="AV16" t="s">
        <v>268</v>
      </c>
      <c r="AW16">
        <v>12.8</v>
      </c>
    </row>
    <row r="17" spans="1:49" x14ac:dyDescent="0.25">
      <c r="A17" s="2">
        <v>1</v>
      </c>
      <c r="B17" t="s">
        <v>25</v>
      </c>
      <c r="C17" s="2" t="s">
        <v>26</v>
      </c>
      <c r="D17" s="2">
        <v>2008</v>
      </c>
      <c r="E17" s="2" t="s">
        <v>27</v>
      </c>
      <c r="F17" t="s">
        <v>28</v>
      </c>
      <c r="G17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17" s="4">
        <v>4</v>
      </c>
      <c r="I17" s="8">
        <v>8.9499999999999993</v>
      </c>
      <c r="J17" s="7">
        <v>12.95</v>
      </c>
      <c r="K17" s="5">
        <v>3.8</v>
      </c>
      <c r="L17" s="8">
        <v>8.9499999999999993</v>
      </c>
      <c r="M17" s="7">
        <v>12.75</v>
      </c>
      <c r="N17" s="5">
        <v>2.8</v>
      </c>
      <c r="O17" s="8">
        <v>8.85</v>
      </c>
      <c r="P17" s="7">
        <v>11.65</v>
      </c>
      <c r="Q17" s="5">
        <v>2.2000000000000002</v>
      </c>
      <c r="R17" s="8">
        <v>9.4</v>
      </c>
      <c r="S17" s="7">
        <v>11.6</v>
      </c>
      <c r="T17" s="5">
        <v>4.0999999999999996</v>
      </c>
      <c r="U17" s="8">
        <v>8.5500000000000007</v>
      </c>
      <c r="V17" s="7">
        <v>12.65</v>
      </c>
      <c r="W17" s="5">
        <v>2.6</v>
      </c>
      <c r="X17" s="8">
        <v>9</v>
      </c>
      <c r="Y17" s="7">
        <v>11.6</v>
      </c>
      <c r="Z17" s="4">
        <f>IF(Bydgoszcz_result[[#This Row],[All Around]]="Yes",SUM(H17,K17,N17,Q17,T17,W17),0)</f>
        <v>19.5</v>
      </c>
      <c r="AA17" s="7">
        <f>IF(Bydgoszcz_result[[#This Row],[All Around]]="Yes",SUM(I17,L17,O17,R17,U17,X17),0)</f>
        <v>53.7</v>
      </c>
      <c r="AB17" s="7">
        <f>SUM(J17,M17,P17,S17,V17,Y17)</f>
        <v>73.2</v>
      </c>
      <c r="AD17" s="28" t="s">
        <v>296</v>
      </c>
      <c r="AO17" t="s">
        <v>63</v>
      </c>
      <c r="AP17" t="s">
        <v>60</v>
      </c>
      <c r="AQ17">
        <v>1997</v>
      </c>
      <c r="AR17" t="s">
        <v>39</v>
      </c>
      <c r="AS17" t="s">
        <v>305</v>
      </c>
      <c r="AT17" t="s">
        <v>317</v>
      </c>
      <c r="AU17" t="s">
        <v>242</v>
      </c>
      <c r="AV17" t="s">
        <v>308</v>
      </c>
      <c r="AW17">
        <v>4.4000000000000004</v>
      </c>
    </row>
    <row r="18" spans="1:49" x14ac:dyDescent="0.25">
      <c r="A18" s="2">
        <v>2</v>
      </c>
      <c r="B18" t="s">
        <v>112</v>
      </c>
      <c r="C18" s="2" t="s">
        <v>26</v>
      </c>
      <c r="D18" s="2">
        <v>2005</v>
      </c>
      <c r="E18" s="2" t="s">
        <v>113</v>
      </c>
      <c r="F18" t="s">
        <v>31</v>
      </c>
      <c r="G18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18" s="5">
        <v>4</v>
      </c>
      <c r="I18" s="8">
        <v>7.8</v>
      </c>
      <c r="J18" s="8">
        <v>11.8</v>
      </c>
      <c r="K18" s="5">
        <v>3.1</v>
      </c>
      <c r="L18" s="8">
        <v>7.65</v>
      </c>
      <c r="M18" s="8">
        <v>10.75</v>
      </c>
      <c r="N18" s="5">
        <v>2.9</v>
      </c>
      <c r="O18" s="8">
        <v>8</v>
      </c>
      <c r="P18" s="8">
        <v>10.9</v>
      </c>
      <c r="Q18" s="5">
        <v>4</v>
      </c>
      <c r="R18" s="8">
        <v>8.5</v>
      </c>
      <c r="S18" s="8">
        <v>12.5</v>
      </c>
      <c r="T18" s="5">
        <v>3.1</v>
      </c>
      <c r="U18" s="8">
        <v>8.65</v>
      </c>
      <c r="V18" s="8">
        <v>11.75</v>
      </c>
      <c r="W18" s="5">
        <v>3.4</v>
      </c>
      <c r="X18" s="8">
        <v>7.8</v>
      </c>
      <c r="Y18" s="8">
        <v>11.2</v>
      </c>
      <c r="Z18" s="4">
        <f>IF(Bydgoszcz_result[[#This Row],[All Around]]="Yes",SUM(H18,K18,N18,Q18,T18,W18),0)</f>
        <v>20.5</v>
      </c>
      <c r="AA18" s="7">
        <f>IF(Bydgoszcz_result[[#This Row],[All Around]]="Yes",SUM(I18,L18,O18,R18,U18,X18),0)</f>
        <v>48.4</v>
      </c>
      <c r="AB18" s="7">
        <f>SUM(J18,M18,P18,S18,V18,Y18)</f>
        <v>68.900000000000006</v>
      </c>
      <c r="AD18" s="29" t="s">
        <v>297</v>
      </c>
      <c r="AO18" t="s">
        <v>63</v>
      </c>
      <c r="AP18" t="s">
        <v>60</v>
      </c>
      <c r="AQ18">
        <v>1997</v>
      </c>
      <c r="AR18" t="s">
        <v>39</v>
      </c>
      <c r="AS18" t="s">
        <v>305</v>
      </c>
      <c r="AT18" t="s">
        <v>317</v>
      </c>
      <c r="AU18" t="s">
        <v>242</v>
      </c>
      <c r="AV18" t="s">
        <v>309</v>
      </c>
      <c r="AW18">
        <v>8</v>
      </c>
    </row>
    <row r="19" spans="1:49" ht="21" x14ac:dyDescent="0.35">
      <c r="A19" s="2">
        <v>3</v>
      </c>
      <c r="B19" t="s">
        <v>34</v>
      </c>
      <c r="C19" s="2" t="s">
        <v>26</v>
      </c>
      <c r="D19" s="2">
        <v>2006</v>
      </c>
      <c r="E19" s="2" t="s">
        <v>35</v>
      </c>
      <c r="F19" t="s">
        <v>36</v>
      </c>
      <c r="G19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19" s="5">
        <v>3.8</v>
      </c>
      <c r="I19" s="8">
        <v>8.6999999999999993</v>
      </c>
      <c r="J19" s="8">
        <v>12.5</v>
      </c>
      <c r="K19" s="5">
        <v>4.4000000000000004</v>
      </c>
      <c r="L19" s="8">
        <v>7</v>
      </c>
      <c r="M19" s="8">
        <v>11.4</v>
      </c>
      <c r="N19" s="5">
        <v>3.6</v>
      </c>
      <c r="O19" s="8">
        <v>7.8</v>
      </c>
      <c r="P19" s="8">
        <v>11.4</v>
      </c>
      <c r="Q19" s="5">
        <v>1.6</v>
      </c>
      <c r="R19" s="8">
        <v>8.8000000000000007</v>
      </c>
      <c r="S19" s="8">
        <v>10.4</v>
      </c>
      <c r="T19" s="5">
        <v>3.2</v>
      </c>
      <c r="U19" s="8">
        <v>8.6</v>
      </c>
      <c r="V19" s="8">
        <v>11.8</v>
      </c>
      <c r="W19" s="5">
        <v>3.4</v>
      </c>
      <c r="X19" s="8">
        <v>7.4</v>
      </c>
      <c r="Y19" s="8">
        <v>10.8</v>
      </c>
      <c r="Z19" s="4">
        <f>IF(Bydgoszcz_result[[#This Row],[All Around]]="Yes",SUM(H19,K19,N19,Q19,T19,W19),0)</f>
        <v>19.999999999999996</v>
      </c>
      <c r="AA19" s="7">
        <f>IF(Bydgoszcz_result[[#This Row],[All Around]]="Yes",SUM(I19,L19,O19,R19,U19,X19),0)</f>
        <v>48.3</v>
      </c>
      <c r="AB19" s="7">
        <f>SUM(J19,M19,P19,S19,V19,Y19)</f>
        <v>68.3</v>
      </c>
      <c r="AD19" s="30" t="s">
        <v>298</v>
      </c>
      <c r="AF19" s="44" t="s">
        <v>355</v>
      </c>
      <c r="AG19" s="45"/>
      <c r="AH19" s="44" t="s">
        <v>313</v>
      </c>
      <c r="AI19" s="44" t="s">
        <v>2</v>
      </c>
      <c r="AO19" t="s">
        <v>63</v>
      </c>
      <c r="AP19" t="s">
        <v>60</v>
      </c>
      <c r="AQ19">
        <v>1997</v>
      </c>
      <c r="AR19" t="s">
        <v>39</v>
      </c>
      <c r="AS19" t="s">
        <v>305</v>
      </c>
      <c r="AT19" t="s">
        <v>317</v>
      </c>
      <c r="AU19" t="s">
        <v>242</v>
      </c>
      <c r="AV19" t="s">
        <v>268</v>
      </c>
      <c r="AW19">
        <v>12.4</v>
      </c>
    </row>
    <row r="20" spans="1:49" ht="21" x14ac:dyDescent="0.35">
      <c r="A20" s="2">
        <v>4</v>
      </c>
      <c r="B20" t="s">
        <v>32</v>
      </c>
      <c r="C20" s="2" t="s">
        <v>26</v>
      </c>
      <c r="D20" s="2">
        <v>2005</v>
      </c>
      <c r="E20" s="2" t="s">
        <v>33</v>
      </c>
      <c r="F20" t="s">
        <v>31</v>
      </c>
      <c r="G20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20" s="5">
        <v>4.2</v>
      </c>
      <c r="I20" s="8">
        <v>8.6</v>
      </c>
      <c r="J20" s="8">
        <v>12.8</v>
      </c>
      <c r="K20" s="5">
        <v>3.6</v>
      </c>
      <c r="L20" s="8">
        <v>7</v>
      </c>
      <c r="M20" s="8">
        <v>10.6</v>
      </c>
      <c r="N20" s="5">
        <v>3.3</v>
      </c>
      <c r="O20" s="8">
        <v>7.1</v>
      </c>
      <c r="P20" s="8">
        <v>10.4</v>
      </c>
      <c r="Q20" s="5">
        <v>3.2</v>
      </c>
      <c r="R20" s="8">
        <v>9</v>
      </c>
      <c r="S20" s="8">
        <v>12.2</v>
      </c>
      <c r="T20" s="5">
        <v>3.5</v>
      </c>
      <c r="U20" s="8">
        <v>7.95</v>
      </c>
      <c r="V20" s="8">
        <v>11.45</v>
      </c>
      <c r="W20" s="5">
        <v>3.1</v>
      </c>
      <c r="X20" s="8">
        <v>7.7</v>
      </c>
      <c r="Y20" s="8">
        <v>10.8</v>
      </c>
      <c r="Z20" s="4">
        <f>IF(Bydgoszcz_result[[#This Row],[All Around]]="Yes",SUM(H20,K20,N20,Q20,T20,W20),0)</f>
        <v>20.900000000000002</v>
      </c>
      <c r="AA20" s="7">
        <f>IF(Bydgoszcz_result[[#This Row],[All Around]]="Yes",SUM(I20,L20,O20,R20,U20,X20),0)</f>
        <v>47.35</v>
      </c>
      <c r="AB20" s="7">
        <f>SUM(J20,M20,P20,S20,V20,Y20)</f>
        <v>68.25</v>
      </c>
      <c r="AD20" s="31" t="s">
        <v>300</v>
      </c>
      <c r="AF20" s="45"/>
      <c r="AG20" s="45"/>
      <c r="AH20" s="45" t="s">
        <v>308</v>
      </c>
      <c r="AI20" s="45" t="s">
        <v>309</v>
      </c>
      <c r="AO20" t="s">
        <v>63</v>
      </c>
      <c r="AP20" t="s">
        <v>60</v>
      </c>
      <c r="AQ20">
        <v>1997</v>
      </c>
      <c r="AR20" t="s">
        <v>39</v>
      </c>
      <c r="AS20" t="s">
        <v>305</v>
      </c>
      <c r="AT20" t="s">
        <v>317</v>
      </c>
      <c r="AU20" t="s">
        <v>243</v>
      </c>
      <c r="AV20" t="s">
        <v>247</v>
      </c>
      <c r="AW20">
        <v>28.199999999999996</v>
      </c>
    </row>
    <row r="21" spans="1:49" ht="21" x14ac:dyDescent="0.35">
      <c r="A21" s="2">
        <v>5</v>
      </c>
      <c r="B21" t="s">
        <v>37</v>
      </c>
      <c r="C21" s="2" t="s">
        <v>26</v>
      </c>
      <c r="D21" s="2">
        <v>2006</v>
      </c>
      <c r="E21" s="2" t="s">
        <v>38</v>
      </c>
      <c r="F21" t="s">
        <v>39</v>
      </c>
      <c r="G21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21" s="5">
        <v>3.3</v>
      </c>
      <c r="I21" s="8">
        <v>8.3000000000000007</v>
      </c>
      <c r="J21" s="8">
        <v>11.6</v>
      </c>
      <c r="K21" s="5">
        <v>4.4000000000000004</v>
      </c>
      <c r="L21" s="8">
        <v>7.85</v>
      </c>
      <c r="M21" s="8">
        <v>12.25</v>
      </c>
      <c r="N21" s="5">
        <v>2.2999999999999998</v>
      </c>
      <c r="O21" s="8">
        <v>7.3</v>
      </c>
      <c r="P21" s="8">
        <v>9.6</v>
      </c>
      <c r="Q21" s="5">
        <v>2.4</v>
      </c>
      <c r="R21" s="8">
        <v>8.85</v>
      </c>
      <c r="S21" s="8">
        <v>11.25</v>
      </c>
      <c r="T21" s="5">
        <v>3.1</v>
      </c>
      <c r="U21" s="8">
        <v>8.5</v>
      </c>
      <c r="V21" s="8">
        <v>11.6</v>
      </c>
      <c r="W21" s="5">
        <v>3</v>
      </c>
      <c r="X21" s="8">
        <v>7.8</v>
      </c>
      <c r="Y21" s="8">
        <v>10.8</v>
      </c>
      <c r="Z21" s="4">
        <f>IF(Bydgoszcz_result[[#This Row],[All Around]]="Yes",SUM(H21,K21,N21,Q21,T21,W21),0)</f>
        <v>18.5</v>
      </c>
      <c r="AA21" s="7">
        <f>IF(Bydgoszcz_result[[#This Row],[All Around]]="Yes",SUM(I21,L21,O21,R21,U21,X21),0)</f>
        <v>48.599999999999994</v>
      </c>
      <c r="AB21" s="7">
        <f>SUM(J21,M21,P21,S21,V21,Y21)</f>
        <v>67.100000000000009</v>
      </c>
      <c r="AD21" s="32" t="s">
        <v>299</v>
      </c>
      <c r="AF21" s="44" t="s">
        <v>217</v>
      </c>
      <c r="AG21" s="44" t="s">
        <v>1</v>
      </c>
      <c r="AH21" s="45" t="s">
        <v>26</v>
      </c>
      <c r="AI21" s="45" t="s">
        <v>26</v>
      </c>
      <c r="AO21" t="s">
        <v>63</v>
      </c>
      <c r="AP21" t="s">
        <v>60</v>
      </c>
      <c r="AQ21">
        <v>1997</v>
      </c>
      <c r="AR21" t="s">
        <v>39</v>
      </c>
      <c r="AS21" t="s">
        <v>305</v>
      </c>
      <c r="AT21" t="s">
        <v>317</v>
      </c>
      <c r="AU21" t="s">
        <v>243</v>
      </c>
      <c r="AV21" t="s">
        <v>248</v>
      </c>
      <c r="AW21">
        <v>47.4</v>
      </c>
    </row>
    <row r="22" spans="1:49" ht="21" x14ac:dyDescent="0.35">
      <c r="A22" s="2">
        <v>6</v>
      </c>
      <c r="B22" t="s">
        <v>44</v>
      </c>
      <c r="C22" s="2" t="s">
        <v>26</v>
      </c>
      <c r="D22" s="2">
        <v>2007</v>
      </c>
      <c r="E22" s="2" t="s">
        <v>45</v>
      </c>
      <c r="F22" t="s">
        <v>39</v>
      </c>
      <c r="G22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22" s="5">
        <v>3.4</v>
      </c>
      <c r="I22" s="8">
        <v>8.4</v>
      </c>
      <c r="J22" s="8">
        <v>11.8</v>
      </c>
      <c r="K22" s="5">
        <v>3</v>
      </c>
      <c r="L22" s="8">
        <v>8.6</v>
      </c>
      <c r="M22" s="8">
        <v>11.6</v>
      </c>
      <c r="N22" s="5">
        <v>2.2999999999999998</v>
      </c>
      <c r="O22" s="8">
        <v>7.3</v>
      </c>
      <c r="P22" s="8">
        <v>9.6</v>
      </c>
      <c r="Q22" s="5">
        <v>2.8</v>
      </c>
      <c r="R22" s="8">
        <v>8.5</v>
      </c>
      <c r="S22" s="8">
        <v>11.3</v>
      </c>
      <c r="T22" s="5">
        <v>3.1</v>
      </c>
      <c r="U22" s="8">
        <v>8.6999999999999993</v>
      </c>
      <c r="V22" s="8">
        <v>11.8</v>
      </c>
      <c r="W22" s="5">
        <v>2.4</v>
      </c>
      <c r="X22" s="8">
        <v>7.8</v>
      </c>
      <c r="Y22" s="8">
        <v>10.199999999999999</v>
      </c>
      <c r="Z22" s="4">
        <f>IF(Bydgoszcz_result[[#This Row],[All Around]]="Yes",SUM(H22,K22,N22,Q22,T22,W22),0)</f>
        <v>17</v>
      </c>
      <c r="AA22" s="7">
        <f>IF(Bydgoszcz_result[[#This Row],[All Around]]="Yes",SUM(I22,L22,O22,R22,U22,X22),0)</f>
        <v>49.3</v>
      </c>
      <c r="AB22" s="7">
        <f>SUM(J22,M22,P22,S22,V22,Y22)</f>
        <v>66.3</v>
      </c>
      <c r="AD22" s="33" t="s">
        <v>252</v>
      </c>
      <c r="AF22" s="45" t="s">
        <v>242</v>
      </c>
      <c r="AG22" s="45" t="s">
        <v>137</v>
      </c>
      <c r="AH22" s="57">
        <v>0.1</v>
      </c>
      <c r="AI22" s="56">
        <v>1</v>
      </c>
      <c r="AO22" t="s">
        <v>63</v>
      </c>
      <c r="AP22" t="s">
        <v>60</v>
      </c>
      <c r="AQ22">
        <v>1997</v>
      </c>
      <c r="AR22" t="s">
        <v>39</v>
      </c>
      <c r="AS22" t="s">
        <v>305</v>
      </c>
      <c r="AT22" t="s">
        <v>317</v>
      </c>
      <c r="AU22" t="s">
        <v>243</v>
      </c>
      <c r="AV22" t="s">
        <v>312</v>
      </c>
      <c r="AW22">
        <v>75.600000000000009</v>
      </c>
    </row>
    <row r="23" spans="1:49" ht="21" x14ac:dyDescent="0.35">
      <c r="A23" s="2">
        <v>7</v>
      </c>
      <c r="B23" t="s">
        <v>29</v>
      </c>
      <c r="C23" s="2" t="s">
        <v>26</v>
      </c>
      <c r="D23" s="2">
        <v>2005</v>
      </c>
      <c r="E23" s="2" t="s">
        <v>30</v>
      </c>
      <c r="F23" t="s">
        <v>31</v>
      </c>
      <c r="G23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23" s="5">
        <v>4</v>
      </c>
      <c r="I23" s="8">
        <v>8.9499999999999993</v>
      </c>
      <c r="J23" s="8">
        <v>12.95</v>
      </c>
      <c r="K23" s="5">
        <v>3.3</v>
      </c>
      <c r="L23" s="8">
        <v>6.65</v>
      </c>
      <c r="M23" s="8">
        <v>9.9499999999999993</v>
      </c>
      <c r="N23" s="5">
        <v>2.6</v>
      </c>
      <c r="O23" s="8">
        <v>6.9</v>
      </c>
      <c r="P23" s="8">
        <v>9.5</v>
      </c>
      <c r="Q23" s="5">
        <v>2.8</v>
      </c>
      <c r="R23" s="8">
        <v>8.6</v>
      </c>
      <c r="S23" s="8">
        <v>11.4</v>
      </c>
      <c r="T23" s="5">
        <v>3.2</v>
      </c>
      <c r="U23" s="8">
        <v>8.4499999999999993</v>
      </c>
      <c r="V23" s="8">
        <v>11.65</v>
      </c>
      <c r="W23" s="5">
        <v>2.4</v>
      </c>
      <c r="X23" s="8">
        <v>7.9</v>
      </c>
      <c r="Y23" s="8">
        <v>10.3</v>
      </c>
      <c r="Z23" s="4">
        <f>IF(Bydgoszcz_result[[#This Row],[All Around]]="Yes",SUM(H23,K23,N23,Q23,T23,W23),0)</f>
        <v>18.299999999999997</v>
      </c>
      <c r="AA23" s="7">
        <f>IF(Bydgoszcz_result[[#This Row],[All Around]]="Yes",SUM(I23,L23,O23,R23,U23,X23),0)</f>
        <v>47.449999999999996</v>
      </c>
      <c r="AB23" s="7">
        <f>SUM(J23,M23,P23,S23,V23,Y23)</f>
        <v>65.75</v>
      </c>
      <c r="AD23" s="34" t="s">
        <v>301</v>
      </c>
      <c r="AF23" s="45"/>
      <c r="AG23" s="45" t="s">
        <v>139</v>
      </c>
      <c r="AH23" s="57">
        <v>1</v>
      </c>
      <c r="AI23" s="56">
        <v>3.1</v>
      </c>
      <c r="AO23" t="s">
        <v>141</v>
      </c>
      <c r="AP23" t="s">
        <v>60</v>
      </c>
      <c r="AQ23">
        <v>2000</v>
      </c>
      <c r="AR23" t="s">
        <v>72</v>
      </c>
      <c r="AS23" t="s">
        <v>305</v>
      </c>
      <c r="AT23" t="s">
        <v>317</v>
      </c>
      <c r="AU23" t="s">
        <v>218</v>
      </c>
      <c r="AV23" t="s">
        <v>308</v>
      </c>
      <c r="AW23">
        <v>4.4000000000000004</v>
      </c>
    </row>
    <row r="24" spans="1:49" ht="21" x14ac:dyDescent="0.35">
      <c r="A24" s="2">
        <v>8</v>
      </c>
      <c r="B24" t="s">
        <v>132</v>
      </c>
      <c r="C24" s="2" t="s">
        <v>26</v>
      </c>
      <c r="D24" s="2">
        <v>2008</v>
      </c>
      <c r="E24" s="2" t="s">
        <v>133</v>
      </c>
      <c r="F24" t="s">
        <v>39</v>
      </c>
      <c r="G24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24" s="5">
        <v>3.8</v>
      </c>
      <c r="I24" s="8">
        <v>7.8</v>
      </c>
      <c r="J24" s="8">
        <v>11.6</v>
      </c>
      <c r="K24" s="5">
        <v>3</v>
      </c>
      <c r="L24" s="8">
        <v>7.6</v>
      </c>
      <c r="M24" s="8">
        <v>10.6</v>
      </c>
      <c r="N24" s="5">
        <v>2.2999999999999998</v>
      </c>
      <c r="O24" s="8">
        <v>7.15</v>
      </c>
      <c r="P24" s="8">
        <v>9.4499999999999993</v>
      </c>
      <c r="Q24" s="5">
        <v>2.2000000000000002</v>
      </c>
      <c r="R24" s="8">
        <v>9.1</v>
      </c>
      <c r="S24" s="8">
        <v>11.3</v>
      </c>
      <c r="T24" s="5">
        <v>3</v>
      </c>
      <c r="U24" s="8">
        <v>8.0500000000000007</v>
      </c>
      <c r="V24" s="8">
        <v>11.05</v>
      </c>
      <c r="W24" s="5">
        <v>2.4</v>
      </c>
      <c r="X24" s="8">
        <v>9.1</v>
      </c>
      <c r="Y24" s="8">
        <v>11.5</v>
      </c>
      <c r="Z24" s="4">
        <f>IF(Bydgoszcz_result[[#This Row],[All Around]]="Yes",SUM(H24,K24,N24,Q24,T24,W24),0)</f>
        <v>16.7</v>
      </c>
      <c r="AA24" s="7">
        <f>IF(Bydgoszcz_result[[#This Row],[All Around]]="Yes",SUM(I24,L24,O24,R24,U24,X24),0)</f>
        <v>48.800000000000004</v>
      </c>
      <c r="AB24" s="7">
        <f>SUM(J24,M24,P24,S24,V24,Y24)</f>
        <v>65.5</v>
      </c>
      <c r="AD24" s="37" t="s">
        <v>304</v>
      </c>
      <c r="AF24" s="45"/>
      <c r="AG24" s="45" t="s">
        <v>135</v>
      </c>
      <c r="AH24" s="57">
        <v>1.5</v>
      </c>
      <c r="AI24" s="56">
        <v>5</v>
      </c>
      <c r="AO24" t="s">
        <v>141</v>
      </c>
      <c r="AP24" t="s">
        <v>60</v>
      </c>
      <c r="AQ24">
        <v>2000</v>
      </c>
      <c r="AR24" t="s">
        <v>72</v>
      </c>
      <c r="AS24" t="s">
        <v>305</v>
      </c>
      <c r="AT24" t="s">
        <v>317</v>
      </c>
      <c r="AU24" t="s">
        <v>218</v>
      </c>
      <c r="AV24" t="s">
        <v>309</v>
      </c>
      <c r="AW24">
        <v>8.6999999999999993</v>
      </c>
    </row>
    <row r="25" spans="1:49" ht="21" x14ac:dyDescent="0.35">
      <c r="A25" s="2">
        <v>9</v>
      </c>
      <c r="B25" t="s">
        <v>48</v>
      </c>
      <c r="C25" s="2" t="s">
        <v>26</v>
      </c>
      <c r="D25" s="2">
        <v>2006</v>
      </c>
      <c r="E25" s="2" t="s">
        <v>49</v>
      </c>
      <c r="F25" t="s">
        <v>36</v>
      </c>
      <c r="G25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25" s="5">
        <v>3.7</v>
      </c>
      <c r="I25" s="8">
        <v>7.4</v>
      </c>
      <c r="J25" s="8">
        <v>11.1</v>
      </c>
      <c r="K25" s="5">
        <v>2.8</v>
      </c>
      <c r="L25" s="8">
        <v>4</v>
      </c>
      <c r="M25" s="8">
        <v>6.8</v>
      </c>
      <c r="N25" s="5">
        <v>2.4</v>
      </c>
      <c r="O25" s="8">
        <v>7.55</v>
      </c>
      <c r="P25" s="8">
        <v>9.9499999999999993</v>
      </c>
      <c r="Q25" s="5">
        <v>2.4</v>
      </c>
      <c r="R25" s="8">
        <v>7.8</v>
      </c>
      <c r="S25" s="8">
        <v>10.199999999999999</v>
      </c>
      <c r="T25" s="5">
        <v>3.1</v>
      </c>
      <c r="U25" s="8">
        <v>8.0500000000000007</v>
      </c>
      <c r="V25" s="8">
        <v>11.15</v>
      </c>
      <c r="W25" s="5">
        <v>1.9</v>
      </c>
      <c r="X25" s="8">
        <v>8</v>
      </c>
      <c r="Y25" s="8">
        <v>9.9</v>
      </c>
      <c r="Z25" s="4">
        <f>IF(Bydgoszcz_result[[#This Row],[All Around]]="Yes",SUM(H25,K25,N25,Q25,T25,W25),0)</f>
        <v>16.3</v>
      </c>
      <c r="AA25" s="7">
        <f>IF(Bydgoszcz_result[[#This Row],[All Around]]="Yes",SUM(I25,L25,O25,R25,U25,X25),0)</f>
        <v>42.8</v>
      </c>
      <c r="AB25" s="7">
        <f>SUM(J25,M25,P25,S25,V25,Y25)</f>
        <v>59.099999999999994</v>
      </c>
      <c r="AD25" s="35" t="s">
        <v>302</v>
      </c>
      <c r="AF25" s="45"/>
      <c r="AG25" s="45" t="s">
        <v>134</v>
      </c>
      <c r="AH25" s="57">
        <v>1.8</v>
      </c>
      <c r="AI25" s="56">
        <v>8</v>
      </c>
      <c r="AO25" t="s">
        <v>141</v>
      </c>
      <c r="AP25" t="s">
        <v>60</v>
      </c>
      <c r="AQ25">
        <v>2000</v>
      </c>
      <c r="AR25" t="s">
        <v>72</v>
      </c>
      <c r="AS25" t="s">
        <v>305</v>
      </c>
      <c r="AT25" t="s">
        <v>317</v>
      </c>
      <c r="AU25" t="s">
        <v>218</v>
      </c>
      <c r="AV25" t="s">
        <v>268</v>
      </c>
      <c r="AW25">
        <v>13.1</v>
      </c>
    </row>
    <row r="26" spans="1:49" ht="21" x14ac:dyDescent="0.35">
      <c r="A26" s="2">
        <v>10</v>
      </c>
      <c r="B26" t="s">
        <v>57</v>
      </c>
      <c r="C26" s="2" t="s">
        <v>26</v>
      </c>
      <c r="D26" s="2">
        <v>2007</v>
      </c>
      <c r="E26" s="2" t="s">
        <v>58</v>
      </c>
      <c r="F26" t="s">
        <v>36</v>
      </c>
      <c r="G26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26" s="5">
        <v>3.2</v>
      </c>
      <c r="I26" s="8">
        <v>7.3</v>
      </c>
      <c r="J26" s="8">
        <v>10.5</v>
      </c>
      <c r="K26" s="5">
        <v>2.6</v>
      </c>
      <c r="L26" s="8">
        <v>6</v>
      </c>
      <c r="M26" s="8">
        <v>8.6</v>
      </c>
      <c r="N26" s="5">
        <v>2.8</v>
      </c>
      <c r="O26" s="8">
        <v>8.1</v>
      </c>
      <c r="P26" s="8">
        <v>10.9</v>
      </c>
      <c r="Q26" s="5">
        <v>1.6</v>
      </c>
      <c r="R26" s="8">
        <v>8.6999999999999993</v>
      </c>
      <c r="S26" s="8">
        <v>10.3</v>
      </c>
      <c r="T26" s="5">
        <v>2.5</v>
      </c>
      <c r="U26" s="8">
        <v>5.7</v>
      </c>
      <c r="V26" s="8">
        <v>8.1999999999999993</v>
      </c>
      <c r="W26" s="5">
        <v>1.9</v>
      </c>
      <c r="X26" s="8">
        <v>8.1</v>
      </c>
      <c r="Y26" s="8">
        <v>10</v>
      </c>
      <c r="Z26" s="4">
        <f>IF(Bydgoszcz_result[[#This Row],[All Around]]="Yes",SUM(H26,K26,N26,Q26,T26,W26),0)</f>
        <v>14.600000000000001</v>
      </c>
      <c r="AA26" s="7">
        <f>IF(Bydgoszcz_result[[#This Row],[All Around]]="Yes",SUM(I26,L26,O26,R26,U26,X26),0)</f>
        <v>43.9</v>
      </c>
      <c r="AB26" s="7">
        <f>SUM(J26,M26,P26,S26,V26,Y26)</f>
        <v>58.5</v>
      </c>
      <c r="AD26" s="36" t="s">
        <v>303</v>
      </c>
      <c r="AF26" s="45"/>
      <c r="AG26" s="45" t="s">
        <v>48</v>
      </c>
      <c r="AH26" s="57">
        <v>1.9</v>
      </c>
      <c r="AI26" s="56">
        <v>8</v>
      </c>
      <c r="AO26" t="s">
        <v>141</v>
      </c>
      <c r="AP26" t="s">
        <v>60</v>
      </c>
      <c r="AQ26">
        <v>2000</v>
      </c>
      <c r="AR26" t="s">
        <v>72</v>
      </c>
      <c r="AS26" t="s">
        <v>305</v>
      </c>
      <c r="AT26" t="s">
        <v>317</v>
      </c>
      <c r="AU26" t="s">
        <v>238</v>
      </c>
      <c r="AV26" t="s">
        <v>308</v>
      </c>
      <c r="AW26">
        <v>4.2</v>
      </c>
    </row>
    <row r="27" spans="1:49" ht="21" x14ac:dyDescent="0.35">
      <c r="A27" s="2">
        <v>11</v>
      </c>
      <c r="B27" t="s">
        <v>120</v>
      </c>
      <c r="C27" s="2" t="s">
        <v>26</v>
      </c>
      <c r="D27" s="2">
        <v>2006</v>
      </c>
      <c r="E27" s="2" t="s">
        <v>121</v>
      </c>
      <c r="F27" t="s">
        <v>39</v>
      </c>
      <c r="G27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No</v>
      </c>
      <c r="H27" s="5">
        <v>3</v>
      </c>
      <c r="I27" s="8">
        <v>8.3000000000000007</v>
      </c>
      <c r="J27" s="8">
        <v>11.3</v>
      </c>
      <c r="K27" s="5">
        <v>2.6</v>
      </c>
      <c r="L27" s="8">
        <v>4.4000000000000004</v>
      </c>
      <c r="M27" s="8">
        <v>7</v>
      </c>
      <c r="N27" s="5">
        <v>2.9</v>
      </c>
      <c r="O27" s="8">
        <v>6.7</v>
      </c>
      <c r="P27" s="8">
        <v>9.6</v>
      </c>
      <c r="Q27" s="5">
        <v>3.2</v>
      </c>
      <c r="R27" s="8">
        <v>9</v>
      </c>
      <c r="S27" s="8">
        <v>12.2</v>
      </c>
      <c r="T27" s="5">
        <v>3.1</v>
      </c>
      <c r="U27" s="8">
        <v>7.45</v>
      </c>
      <c r="V27" s="8">
        <v>10.55</v>
      </c>
      <c r="W27" s="5">
        <v>0</v>
      </c>
      <c r="X27" s="8">
        <v>0</v>
      </c>
      <c r="Y27" s="8">
        <v>0</v>
      </c>
      <c r="Z27" s="4">
        <f>IF(Bydgoszcz_result[[#This Row],[All Around]]="Yes",SUM(H27,K27,N27,Q27,T27,W27),0)</f>
        <v>0</v>
      </c>
      <c r="AA27" s="7">
        <f>IF(Bydgoszcz_result[[#This Row],[All Around]]="Yes",SUM(I27,L27,O27,R27,U27,X27),0)</f>
        <v>0</v>
      </c>
      <c r="AB27" s="7">
        <f>SUM(J27,M27,P27,S27,V27,Y27)</f>
        <v>50.649999999999991</v>
      </c>
      <c r="AF27" s="45"/>
      <c r="AG27" s="45" t="s">
        <v>57</v>
      </c>
      <c r="AH27" s="57">
        <v>1.9</v>
      </c>
      <c r="AI27" s="56">
        <v>8.1</v>
      </c>
      <c r="AO27" t="s">
        <v>141</v>
      </c>
      <c r="AP27" t="s">
        <v>60</v>
      </c>
      <c r="AQ27">
        <v>2000</v>
      </c>
      <c r="AR27" t="s">
        <v>72</v>
      </c>
      <c r="AS27" t="s">
        <v>305</v>
      </c>
      <c r="AT27" t="s">
        <v>317</v>
      </c>
      <c r="AU27" t="s">
        <v>238</v>
      </c>
      <c r="AV27" t="s">
        <v>309</v>
      </c>
      <c r="AW27">
        <v>8</v>
      </c>
    </row>
    <row r="28" spans="1:49" ht="21" x14ac:dyDescent="0.35">
      <c r="A28" s="2">
        <v>12</v>
      </c>
      <c r="B28" t="s">
        <v>42</v>
      </c>
      <c r="C28" s="2" t="s">
        <v>26</v>
      </c>
      <c r="D28" s="2">
        <v>2007</v>
      </c>
      <c r="E28" s="2" t="s">
        <v>43</v>
      </c>
      <c r="F28" t="s">
        <v>36</v>
      </c>
      <c r="G28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No</v>
      </c>
      <c r="H28" s="5">
        <v>4</v>
      </c>
      <c r="I28" s="8">
        <v>8.1999999999999993</v>
      </c>
      <c r="J28" s="8">
        <v>12.2</v>
      </c>
      <c r="K28" s="5">
        <v>2.6</v>
      </c>
      <c r="L28" s="8">
        <v>7.7</v>
      </c>
      <c r="M28" s="8">
        <v>10.3</v>
      </c>
      <c r="N28" s="5">
        <v>2.4</v>
      </c>
      <c r="O28" s="8">
        <v>7.8</v>
      </c>
      <c r="P28" s="8">
        <v>10.199999999999999</v>
      </c>
      <c r="Q28" s="5">
        <v>4</v>
      </c>
      <c r="R28" s="8">
        <v>7.9</v>
      </c>
      <c r="S28" s="8">
        <v>11.9</v>
      </c>
      <c r="T28" s="5">
        <v>0</v>
      </c>
      <c r="U28" s="8">
        <v>0</v>
      </c>
      <c r="V28" s="8">
        <v>0</v>
      </c>
      <c r="W28" s="5">
        <v>0</v>
      </c>
      <c r="X28" s="8">
        <v>0</v>
      </c>
      <c r="Y28" s="8">
        <v>0</v>
      </c>
      <c r="Z28" s="4">
        <f>IF(Bydgoszcz_result[[#This Row],[All Around]]="Yes",SUM(H28,K28,N28,Q28,T28,W28),0)</f>
        <v>0</v>
      </c>
      <c r="AA28" s="7">
        <f>IF(Bydgoszcz_result[[#This Row],[All Around]]="Yes",SUM(I28,L28,O28,R28,U28,X28),0)</f>
        <v>0</v>
      </c>
      <c r="AB28" s="7">
        <f>SUM(J28,M28,P28,S28,V28,Y28)</f>
        <v>44.6</v>
      </c>
      <c r="AF28" s="45"/>
      <c r="AG28" s="45" t="s">
        <v>44</v>
      </c>
      <c r="AH28" s="57">
        <v>2.4</v>
      </c>
      <c r="AI28" s="56">
        <v>7.8</v>
      </c>
      <c r="AO28" t="s">
        <v>141</v>
      </c>
      <c r="AP28" t="s">
        <v>60</v>
      </c>
      <c r="AQ28">
        <v>2000</v>
      </c>
      <c r="AR28" t="s">
        <v>72</v>
      </c>
      <c r="AS28" t="s">
        <v>305</v>
      </c>
      <c r="AT28" t="s">
        <v>317</v>
      </c>
      <c r="AU28" t="s">
        <v>238</v>
      </c>
      <c r="AV28" t="s">
        <v>268</v>
      </c>
      <c r="AW28">
        <v>12.2</v>
      </c>
    </row>
    <row r="29" spans="1:49" ht="21" x14ac:dyDescent="0.35">
      <c r="A29" s="2">
        <v>13</v>
      </c>
      <c r="B29" t="s">
        <v>134</v>
      </c>
      <c r="C29" s="2" t="s">
        <v>26</v>
      </c>
      <c r="D29" s="2">
        <v>2006</v>
      </c>
      <c r="E29" s="2" t="s">
        <v>115</v>
      </c>
      <c r="F29" t="s">
        <v>36</v>
      </c>
      <c r="G29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No</v>
      </c>
      <c r="H29" s="5">
        <v>0</v>
      </c>
      <c r="I29" s="8">
        <v>0</v>
      </c>
      <c r="J29" s="8">
        <v>0</v>
      </c>
      <c r="K29" s="5">
        <v>2.6</v>
      </c>
      <c r="L29" s="8">
        <v>4.9000000000000004</v>
      </c>
      <c r="M29" s="8">
        <v>7.5</v>
      </c>
      <c r="N29" s="5">
        <v>0</v>
      </c>
      <c r="O29" s="8">
        <v>0</v>
      </c>
      <c r="P29" s="8">
        <v>0</v>
      </c>
      <c r="Q29" s="5">
        <v>2.4</v>
      </c>
      <c r="R29" s="8">
        <v>8.8000000000000007</v>
      </c>
      <c r="S29" s="8">
        <v>11.2</v>
      </c>
      <c r="T29" s="5">
        <v>2.4</v>
      </c>
      <c r="U29" s="8">
        <v>8.1</v>
      </c>
      <c r="V29" s="8">
        <v>10.5</v>
      </c>
      <c r="W29" s="5">
        <v>1.8</v>
      </c>
      <c r="X29" s="8">
        <v>8</v>
      </c>
      <c r="Y29" s="8">
        <v>9.8000000000000007</v>
      </c>
      <c r="Z29" s="4">
        <f>IF(Bydgoszcz_result[[#This Row],[All Around]]="Yes",SUM(H29,K29,N29,Q29,T29,W29),0)</f>
        <v>0</v>
      </c>
      <c r="AA29" s="7">
        <f>IF(Bydgoszcz_result[[#This Row],[All Around]]="Yes",SUM(I29,L29,O29,R29,U29,X29),0)</f>
        <v>0</v>
      </c>
      <c r="AB29" s="7">
        <f>SUM(J29,M29,P29,S29,V29,Y29)</f>
        <v>39</v>
      </c>
      <c r="AF29" s="45"/>
      <c r="AG29" s="45" t="s">
        <v>29</v>
      </c>
      <c r="AH29" s="57">
        <v>2.4</v>
      </c>
      <c r="AI29" s="56">
        <v>7.9</v>
      </c>
      <c r="AO29" t="s">
        <v>141</v>
      </c>
      <c r="AP29" t="s">
        <v>60</v>
      </c>
      <c r="AQ29">
        <v>2000</v>
      </c>
      <c r="AR29" t="s">
        <v>72</v>
      </c>
      <c r="AS29" t="s">
        <v>305</v>
      </c>
      <c r="AT29" t="s">
        <v>317</v>
      </c>
      <c r="AU29" t="s">
        <v>239</v>
      </c>
      <c r="AV29" t="s">
        <v>308</v>
      </c>
      <c r="AW29">
        <v>3.8</v>
      </c>
    </row>
    <row r="30" spans="1:49" ht="21" x14ac:dyDescent="0.35">
      <c r="A30" s="2">
        <v>14</v>
      </c>
      <c r="B30" t="s">
        <v>135</v>
      </c>
      <c r="C30" s="2" t="s">
        <v>26</v>
      </c>
      <c r="D30" s="2">
        <v>2007</v>
      </c>
      <c r="E30" s="2" t="s">
        <v>136</v>
      </c>
      <c r="F30" t="s">
        <v>124</v>
      </c>
      <c r="G30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30" s="5">
        <v>2.9</v>
      </c>
      <c r="I30" s="8">
        <v>7.8</v>
      </c>
      <c r="J30" s="8">
        <v>10.7</v>
      </c>
      <c r="K30" s="5">
        <v>1.3</v>
      </c>
      <c r="L30" s="8">
        <v>0</v>
      </c>
      <c r="M30" s="8">
        <v>1.3</v>
      </c>
      <c r="N30" s="5">
        <v>2.1</v>
      </c>
      <c r="O30" s="8">
        <v>5.2</v>
      </c>
      <c r="P30" s="8">
        <v>7.3</v>
      </c>
      <c r="Q30" s="5">
        <v>2.4</v>
      </c>
      <c r="R30" s="8">
        <v>7.5</v>
      </c>
      <c r="S30" s="8">
        <v>9.9</v>
      </c>
      <c r="T30" s="5">
        <v>1.4</v>
      </c>
      <c r="U30" s="8">
        <v>1.7</v>
      </c>
      <c r="V30" s="8">
        <v>3.1</v>
      </c>
      <c r="W30" s="5">
        <v>1.5</v>
      </c>
      <c r="X30" s="8">
        <v>5</v>
      </c>
      <c r="Y30" s="8">
        <v>6.5</v>
      </c>
      <c r="Z30" s="4">
        <f>IF(Bydgoszcz_result[[#This Row],[All Around]]="Yes",SUM(H30,K30,N30,Q30,T30,W30),0)</f>
        <v>11.600000000000001</v>
      </c>
      <c r="AA30" s="7">
        <f>IF(Bydgoszcz_result[[#This Row],[All Around]]="Yes",SUM(I30,L30,O30,R30,U30,X30),0)</f>
        <v>27.2</v>
      </c>
      <c r="AB30" s="7">
        <f>SUM(J30,M30,P30,S30,V30,Y30)</f>
        <v>38.800000000000004</v>
      </c>
      <c r="AF30" s="45"/>
      <c r="AG30" s="45" t="s">
        <v>32</v>
      </c>
      <c r="AH30" s="57">
        <v>3.1</v>
      </c>
      <c r="AI30" s="56">
        <v>7.7</v>
      </c>
      <c r="AO30" t="s">
        <v>141</v>
      </c>
      <c r="AP30" t="s">
        <v>60</v>
      </c>
      <c r="AQ30">
        <v>2000</v>
      </c>
      <c r="AR30" t="s">
        <v>72</v>
      </c>
      <c r="AS30" t="s">
        <v>305</v>
      </c>
      <c r="AT30" t="s">
        <v>317</v>
      </c>
      <c r="AU30" t="s">
        <v>239</v>
      </c>
      <c r="AV30" t="s">
        <v>309</v>
      </c>
      <c r="AW30">
        <v>8.1999999999999993</v>
      </c>
    </row>
    <row r="31" spans="1:49" ht="21" x14ac:dyDescent="0.35">
      <c r="A31" s="2">
        <v>15</v>
      </c>
      <c r="B31" t="s">
        <v>137</v>
      </c>
      <c r="C31" s="2" t="s">
        <v>26</v>
      </c>
      <c r="D31" s="2">
        <v>2007</v>
      </c>
      <c r="E31" s="2" t="s">
        <v>138</v>
      </c>
      <c r="F31" t="s">
        <v>124</v>
      </c>
      <c r="G31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31" s="5">
        <v>2.5</v>
      </c>
      <c r="I31" s="8">
        <v>8.3000000000000007</v>
      </c>
      <c r="J31" s="8">
        <v>10.8</v>
      </c>
      <c r="K31" s="5">
        <v>0.6</v>
      </c>
      <c r="L31" s="8">
        <v>0</v>
      </c>
      <c r="M31" s="8">
        <v>0.6</v>
      </c>
      <c r="N31" s="5">
        <v>1.5</v>
      </c>
      <c r="O31" s="8">
        <v>3.3</v>
      </c>
      <c r="P31" s="8">
        <v>4.8</v>
      </c>
      <c r="Q31" s="5">
        <v>1.6</v>
      </c>
      <c r="R31" s="8">
        <v>9</v>
      </c>
      <c r="S31" s="8">
        <v>10.6</v>
      </c>
      <c r="T31" s="5">
        <v>1.9</v>
      </c>
      <c r="U31" s="8">
        <v>2.85</v>
      </c>
      <c r="V31" s="8">
        <v>4.75</v>
      </c>
      <c r="W31" s="5">
        <v>0.1</v>
      </c>
      <c r="X31" s="8">
        <v>1</v>
      </c>
      <c r="Y31" s="8">
        <v>1.1000000000000001</v>
      </c>
      <c r="Z31" s="4">
        <f>IF(Bydgoszcz_result[[#This Row],[All Around]]="Yes",SUM(H31,K31,N31,Q31,T31,W31),0)</f>
        <v>8.1999999999999993</v>
      </c>
      <c r="AA31" s="7">
        <f>IF(Bydgoszcz_result[[#This Row],[All Around]]="Yes",SUM(I31,L31,O31,R31,U31,X31),0)</f>
        <v>24.450000000000003</v>
      </c>
      <c r="AB31" s="7">
        <f>SUM(J31,M31,P31,S31,V31,Y31)</f>
        <v>32.65</v>
      </c>
      <c r="AF31" s="45"/>
      <c r="AG31" s="45" t="s">
        <v>37</v>
      </c>
      <c r="AH31" s="57">
        <v>3</v>
      </c>
      <c r="AI31" s="56">
        <v>7.8</v>
      </c>
      <c r="AO31" t="s">
        <v>141</v>
      </c>
      <c r="AP31" t="s">
        <v>60</v>
      </c>
      <c r="AQ31">
        <v>2000</v>
      </c>
      <c r="AR31" t="s">
        <v>72</v>
      </c>
      <c r="AS31" t="s">
        <v>305</v>
      </c>
      <c r="AT31" t="s">
        <v>317</v>
      </c>
      <c r="AU31" t="s">
        <v>239</v>
      </c>
      <c r="AV31" t="s">
        <v>268</v>
      </c>
      <c r="AW31">
        <v>12</v>
      </c>
    </row>
    <row r="32" spans="1:49" ht="21" x14ac:dyDescent="0.35">
      <c r="A32" s="2">
        <v>16</v>
      </c>
      <c r="B32" t="s">
        <v>139</v>
      </c>
      <c r="C32" s="2" t="s">
        <v>26</v>
      </c>
      <c r="D32" s="2">
        <v>2008</v>
      </c>
      <c r="E32" s="2" t="s">
        <v>140</v>
      </c>
      <c r="F32" t="s">
        <v>124</v>
      </c>
      <c r="G32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No</v>
      </c>
      <c r="H32" s="5">
        <v>3</v>
      </c>
      <c r="I32" s="8">
        <v>8.1999999999999993</v>
      </c>
      <c r="J32" s="8">
        <v>11.2</v>
      </c>
      <c r="K32" s="5">
        <v>1.5</v>
      </c>
      <c r="L32" s="8">
        <v>0</v>
      </c>
      <c r="M32" s="8">
        <v>1.5</v>
      </c>
      <c r="N32" s="5">
        <v>2.1</v>
      </c>
      <c r="O32" s="8">
        <v>6.5</v>
      </c>
      <c r="P32" s="8">
        <v>8.6</v>
      </c>
      <c r="Q32" s="5">
        <v>0</v>
      </c>
      <c r="R32" s="8">
        <v>0</v>
      </c>
      <c r="S32" s="8">
        <v>0</v>
      </c>
      <c r="T32" s="5">
        <v>2</v>
      </c>
      <c r="U32" s="8">
        <v>3.45</v>
      </c>
      <c r="V32" s="8">
        <v>5.45</v>
      </c>
      <c r="W32" s="5">
        <v>1</v>
      </c>
      <c r="X32" s="8">
        <v>3.1</v>
      </c>
      <c r="Y32" s="8">
        <v>4.0999999999999996</v>
      </c>
      <c r="Z32" s="4">
        <f>IF(Bydgoszcz_result[[#This Row],[All Around]]="Yes",SUM(H32,K32,N32,Q32,T32,W32),0)</f>
        <v>0</v>
      </c>
      <c r="AA32" s="7">
        <f>IF(Bydgoszcz_result[[#This Row],[All Around]]="Yes",SUM(I32,L32,O32,R32,U32,X32),0)</f>
        <v>0</v>
      </c>
      <c r="AB32" s="7">
        <f>SUM(J32,M32,P32,S32,V32,Y32)</f>
        <v>30.849999999999994</v>
      </c>
      <c r="AF32" s="45"/>
      <c r="AG32" s="45" t="s">
        <v>34</v>
      </c>
      <c r="AH32" s="57">
        <v>3.4</v>
      </c>
      <c r="AI32" s="56">
        <v>7.4</v>
      </c>
      <c r="AO32" t="s">
        <v>141</v>
      </c>
      <c r="AP32" t="s">
        <v>60</v>
      </c>
      <c r="AQ32">
        <v>2000</v>
      </c>
      <c r="AR32" t="s">
        <v>72</v>
      </c>
      <c r="AS32" t="s">
        <v>305</v>
      </c>
      <c r="AT32" t="s">
        <v>317</v>
      </c>
      <c r="AU32" t="s">
        <v>240</v>
      </c>
      <c r="AV32" t="s">
        <v>308</v>
      </c>
      <c r="AW32">
        <v>4</v>
      </c>
    </row>
    <row r="33" spans="1:49" ht="21" x14ac:dyDescent="0.35">
      <c r="A33" s="2">
        <v>17</v>
      </c>
      <c r="B33" t="s">
        <v>52</v>
      </c>
      <c r="C33" s="2" t="s">
        <v>26</v>
      </c>
      <c r="D33" s="2">
        <v>2006</v>
      </c>
      <c r="E33" s="2" t="s">
        <v>53</v>
      </c>
      <c r="F33" t="s">
        <v>36</v>
      </c>
      <c r="G33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No</v>
      </c>
      <c r="H33" s="5">
        <v>0</v>
      </c>
      <c r="I33" s="8">
        <v>0</v>
      </c>
      <c r="J33" s="8">
        <v>0</v>
      </c>
      <c r="K33" s="5">
        <v>2.1</v>
      </c>
      <c r="L33" s="8">
        <v>4.5</v>
      </c>
      <c r="M33" s="8">
        <v>6.6</v>
      </c>
      <c r="N33" s="5">
        <v>0</v>
      </c>
      <c r="O33" s="8">
        <v>0</v>
      </c>
      <c r="P33" s="8">
        <v>0</v>
      </c>
      <c r="Q33" s="5">
        <v>2.4</v>
      </c>
      <c r="R33" s="8">
        <v>7.7</v>
      </c>
      <c r="S33" s="8">
        <v>10.1</v>
      </c>
      <c r="T33" s="5">
        <v>3.1</v>
      </c>
      <c r="U33" s="8">
        <v>8.75</v>
      </c>
      <c r="V33" s="8">
        <v>11.85</v>
      </c>
      <c r="W33" s="5">
        <v>0</v>
      </c>
      <c r="X33" s="8">
        <v>0</v>
      </c>
      <c r="Y33" s="8">
        <v>0</v>
      </c>
      <c r="Z33" s="4">
        <f>IF(Bydgoszcz_result[[#This Row],[All Around]]="Yes",SUM(H33,K33,N33,Q33,T33,W33),0)</f>
        <v>0</v>
      </c>
      <c r="AA33" s="7">
        <f>IF(Bydgoszcz_result[[#This Row],[All Around]]="Yes",SUM(I33,L33,O33,R33,U33,X33),0)</f>
        <v>0</v>
      </c>
      <c r="AB33" s="7">
        <f>SUM(J33,M33,P33,S33,V33,Y33)</f>
        <v>28.549999999999997</v>
      </c>
      <c r="AF33" s="45"/>
      <c r="AG33" s="45" t="s">
        <v>112</v>
      </c>
      <c r="AH33" s="57">
        <v>3.4</v>
      </c>
      <c r="AI33" s="56">
        <v>7.8</v>
      </c>
      <c r="AO33" t="s">
        <v>141</v>
      </c>
      <c r="AP33" t="s">
        <v>60</v>
      </c>
      <c r="AQ33">
        <v>2000</v>
      </c>
      <c r="AR33" t="s">
        <v>72</v>
      </c>
      <c r="AS33" t="s">
        <v>305</v>
      </c>
      <c r="AT33" t="s">
        <v>317</v>
      </c>
      <c r="AU33" t="s">
        <v>240</v>
      </c>
      <c r="AV33" t="s">
        <v>309</v>
      </c>
      <c r="AW33">
        <v>9</v>
      </c>
    </row>
    <row r="34" spans="1:49" ht="21" x14ac:dyDescent="0.35">
      <c r="AF34" s="45"/>
      <c r="AG34" s="45" t="s">
        <v>132</v>
      </c>
      <c r="AH34" s="57">
        <v>2.4</v>
      </c>
      <c r="AI34" s="56">
        <v>9.1</v>
      </c>
      <c r="AO34" t="s">
        <v>141</v>
      </c>
      <c r="AP34" t="s">
        <v>60</v>
      </c>
      <c r="AQ34">
        <v>2000</v>
      </c>
      <c r="AR34" t="s">
        <v>72</v>
      </c>
      <c r="AS34" t="s">
        <v>305</v>
      </c>
      <c r="AT34" t="s">
        <v>317</v>
      </c>
      <c r="AU34" t="s">
        <v>240</v>
      </c>
      <c r="AV34" t="s">
        <v>268</v>
      </c>
      <c r="AW34">
        <v>13</v>
      </c>
    </row>
    <row r="35" spans="1:49" ht="21" x14ac:dyDescent="0.35">
      <c r="C35" s="13"/>
      <c r="D35" s="13"/>
      <c r="E35" s="13"/>
      <c r="F35" s="13"/>
      <c r="G35" s="13"/>
      <c r="H35" s="13"/>
      <c r="I35" s="13"/>
      <c r="J35" s="13"/>
      <c r="K35" s="13"/>
      <c r="M35" s="42"/>
      <c r="N35" s="42"/>
      <c r="O35" s="42"/>
      <c r="P35" s="42"/>
      <c r="R35" s="42"/>
      <c r="S35" s="42"/>
      <c r="T35" s="42"/>
      <c r="U35" s="42"/>
      <c r="AF35" s="45"/>
      <c r="AG35" s="45" t="s">
        <v>25</v>
      </c>
      <c r="AH35" s="57">
        <v>2.6</v>
      </c>
      <c r="AI35" s="56">
        <v>9</v>
      </c>
      <c r="AO35" t="s">
        <v>141</v>
      </c>
      <c r="AP35" t="s">
        <v>60</v>
      </c>
      <c r="AQ35">
        <v>2000</v>
      </c>
      <c r="AR35" t="s">
        <v>72</v>
      </c>
      <c r="AS35" t="s">
        <v>305</v>
      </c>
      <c r="AT35" t="s">
        <v>317</v>
      </c>
      <c r="AU35" t="s">
        <v>314</v>
      </c>
      <c r="AV35" t="s">
        <v>308</v>
      </c>
      <c r="AW35">
        <v>3.8</v>
      </c>
    </row>
    <row r="36" spans="1:49" ht="31.5" x14ac:dyDescent="0.35">
      <c r="A36" s="10" t="s">
        <v>2</v>
      </c>
      <c r="B36" s="10" t="s">
        <v>217</v>
      </c>
      <c r="C36" s="10" t="s">
        <v>244</v>
      </c>
      <c r="D36" s="10" t="s">
        <v>249</v>
      </c>
      <c r="E36" s="10" t="s">
        <v>245</v>
      </c>
      <c r="F36" s="10" t="s">
        <v>250</v>
      </c>
      <c r="G36" s="10" t="s">
        <v>246</v>
      </c>
      <c r="H36" s="10" t="s">
        <v>251</v>
      </c>
      <c r="I36" s="10" t="s">
        <v>252</v>
      </c>
      <c r="J36" s="10" t="s">
        <v>253</v>
      </c>
      <c r="M36" s="42"/>
      <c r="N36" s="42"/>
      <c r="O36" s="42"/>
      <c r="P36" s="42"/>
      <c r="R36" s="42"/>
      <c r="S36" s="42"/>
      <c r="T36" s="42"/>
      <c r="U36" s="42"/>
      <c r="AF36" s="45" t="s">
        <v>310</v>
      </c>
      <c r="AG36" s="45"/>
      <c r="AH36" s="57">
        <v>2.2071428571428569</v>
      </c>
      <c r="AI36" s="56">
        <v>6.9785714285714278</v>
      </c>
      <c r="AO36" t="s">
        <v>141</v>
      </c>
      <c r="AP36" t="s">
        <v>60</v>
      </c>
      <c r="AQ36">
        <v>2000</v>
      </c>
      <c r="AR36" t="s">
        <v>72</v>
      </c>
      <c r="AS36" t="s">
        <v>305</v>
      </c>
      <c r="AT36" t="s">
        <v>317</v>
      </c>
      <c r="AU36" t="s">
        <v>314</v>
      </c>
      <c r="AV36" t="s">
        <v>309</v>
      </c>
      <c r="AW36">
        <v>7.55</v>
      </c>
    </row>
    <row r="37" spans="1:49" ht="21" customHeight="1" x14ac:dyDescent="0.25">
      <c r="A37" s="10" t="s">
        <v>26</v>
      </c>
      <c r="B37" s="10" t="s">
        <v>243</v>
      </c>
      <c r="C37" s="11">
        <f>AVERAGEIFS(Bydgoszcz_result[AA_Dscore],Bydgoszcz_result[[Category]:[Category]],"junior",Bydgoszcz_result[AA_Dscore],"&lt;&gt;0",Bydgoszcz_result[All Around],"Yes")</f>
        <v>16.841666666666665</v>
      </c>
      <c r="D37" s="11" cm="1">
        <f t="array" ref="D37">_xlfn.STDEV.S(_xlfn._xlws.FILTER(Bydgoszcz_result[AA_Dscore],(Bydgoszcz_result[Category]="junior")*(Bydgoszcz_result[All Around]="yes")))</f>
        <v>3.8053690140817351</v>
      </c>
      <c r="E37" s="12">
        <f>AVERAGEIFS(Bydgoszcz_result[AA_Escore],Bydgoszcz_result[[Category]:[Category]],"junior",Bydgoszcz_result[AA_Escore],"&lt;&gt;0",Bydgoszcz_result[All Around],"Yes")</f>
        <v>44.1875</v>
      </c>
      <c r="F37" s="12" cm="1">
        <f t="array" ref="F37">_xlfn.STDEV.S(_xlfn._xlws.FILTER(Bydgoszcz_result[AA_Escore],(Bydgoszcz_result[Category]="junior")*(Bydgoszcz_result[All Around]="yes")))</f>
        <v>9.0092156100900951</v>
      </c>
      <c r="G37" s="12">
        <f>AVERAGEIFS(Bydgoszcz_result[Total_Score],Bydgoszcz_result[[Category]:[Category]],"junior",Bydgoszcz_result[Total_Score],"&lt;&gt;0",Bydgoszcz_result[All Around],"Yes")</f>
        <v>61.029166666666669</v>
      </c>
      <c r="H37" s="12" cm="1">
        <f t="array" ref="H37">_xlfn.STDEV.S(_xlfn._xlws.FILTER(Bydgoszcz_result[Total_Score],(Bydgoszcz_result[Category]="junior")*(Bydgoszcz_result[All Around]="yes")))</f>
        <v>12.546739133288284</v>
      </c>
      <c r="I37" s="12" cm="1">
        <f t="array" ref="I37">MAX(_xlfn._xlws.FILTER(Bydgoszcz_result[Total_Score],Bydgoszcz_result[Category]="junior"))</f>
        <v>73.2</v>
      </c>
      <c r="J37" s="10" t="str" cm="1">
        <f t="array" ref="J37">IF(COUNTIFS(Bydgoszcz_result[Total_Score],I37,Bydgoszcz_result[Category],"junior")&gt;1,_xlfn.XLOOKUP(I37,_xlfn._xlws.FILTER(Bydgoszcz_result[Total_Score],Bydgoszcz_result[Category]="junior"),_xlfn._xlws.FILTER(Bydgoszcz_result[Name],Bydgoszcz_result[Category]="junior"),0)&amp;" and "&amp;(COUNTIFS(Bydgoszcz_result[Total_Score],I37,Bydgoszcz_result[Category],"junior")-1)&amp;" more",_xlfn.XLOOKUP(I37,_xlfn._xlws.FILTER(Bydgoszcz_result[Total_Score],Bydgoszcz_result[Category]="junior"),_xlfn._xlws.FILTER(Bydgoszcz_result[Name],Bydgoszcz_result[Category]="junior"),0))</f>
        <v>LEKHAC Tomasz</v>
      </c>
      <c r="O37"/>
      <c r="P37"/>
      <c r="Q37"/>
      <c r="AO37" t="s">
        <v>141</v>
      </c>
      <c r="AP37" t="s">
        <v>60</v>
      </c>
      <c r="AQ37">
        <v>2000</v>
      </c>
      <c r="AR37" t="s">
        <v>72</v>
      </c>
      <c r="AS37" t="s">
        <v>305</v>
      </c>
      <c r="AT37" t="s">
        <v>317</v>
      </c>
      <c r="AU37" t="s">
        <v>314</v>
      </c>
      <c r="AV37" t="s">
        <v>268</v>
      </c>
      <c r="AW37">
        <v>11.35</v>
      </c>
    </row>
    <row r="38" spans="1:49" ht="21" customHeight="1" x14ac:dyDescent="0.25">
      <c r="A38" s="10" t="s">
        <v>26</v>
      </c>
      <c r="B38" s="10" t="s">
        <v>218</v>
      </c>
      <c r="C38" s="11">
        <f>AVERAGEIFS(Bydgoszcz_result[FX_Dscore],Bydgoszcz_result[[Category]:[Category]],"junior",Bydgoszcz_result[FX_Dscore],"&lt;&gt;0")</f>
        <v>3.5200000000000005</v>
      </c>
      <c r="D38" s="11" cm="1">
        <f t="array" ref="D38">_xlfn.STDEV.S(_xlfn._xlws.FILTER(Bydgoszcz_result[FX_Dscore],(Bydgoszcz_result[Category]="junior")*(Bydgoszcz_result[FX_Dscore]&gt;0)))</f>
        <v>0.51436507324217207</v>
      </c>
      <c r="E38" s="12">
        <f>AVERAGEIFS(Bydgoszcz_result[FX_Escore],Bydgoszcz_result[[Category]:[Category]],"junior",Bydgoszcz_result[FX_Escore],"&lt;&gt;0")</f>
        <v>8.1999999999999993</v>
      </c>
      <c r="F38" s="12" cm="1">
        <f t="array" ref="F38">_xlfn.STDEV.S(_xlfn._xlws.FILTER(Bydgoszcz_result[FX_Escore],(Bydgoszcz_result[Category]="junior")*(Bydgoszcz_result[FX_Escore]&gt;0)))</f>
        <v>0.50249378105604436</v>
      </c>
      <c r="G38" s="12">
        <f>AVERAGEIFS(Bydgoszcz_result[FX_Total_Score],Bydgoszcz_result[[Category]:[Category]],"junior",Bydgoszcz_result[FX_Total_Score],"&lt;&gt;0")</f>
        <v>11.719999999999999</v>
      </c>
      <c r="H38" s="12" cm="1">
        <f t="array" ref="H38">_xlfn.STDEV.S(_xlfn._xlws.FILTER(Bydgoszcz_result[FX_Total_Score],(Bydgoszcz_result[Category]="junior")*(Bydgoszcz_result[FX_Total_Score]&gt;0)))</f>
        <v>0.81411652377636601</v>
      </c>
      <c r="I38" s="12" cm="1">
        <f t="array" ref="I38">MAX(_xlfn._xlws.FILTER(Bydgoszcz_result[FX_Total_Score],Bydgoszcz_result[Category]="junior"))</f>
        <v>12.95</v>
      </c>
      <c r="J38" s="10" t="str" cm="1">
        <f t="array" ref="J38">IF(COUNTIFS(Bydgoszcz_result[FX_Total_Score],I38,Bydgoszcz_result[Category],"junior")&gt;1,_xlfn.XLOOKUP(I38,_xlfn._xlws.FILTER(Bydgoszcz_result[FX_Total_Score],Bydgoszcz_result[Category]="junior"),_xlfn._xlws.FILTER(Bydgoszcz_result[Name],Bydgoszcz_result[Category]="junior"),0)&amp;" and "&amp;(COUNTIFS(Bydgoszcz_result[FX_Total_Score],I38,Bydgoszcz_result[Category],"junior")-1)&amp;" more",_xlfn.XLOOKUP(I38,_xlfn._xlws.FILTER(Bydgoszcz_result[FX_Total_Score],Bydgoszcz_result[Category]="junior"),_xlfn._xlws.FILTER(Bydgoszcz_result[Name],Bydgoszcz_result[Category]="junior"),0))</f>
        <v>LEKHAC Tomasz and 1 more</v>
      </c>
      <c r="O38"/>
      <c r="P38"/>
      <c r="Q38"/>
      <c r="AO38" t="s">
        <v>141</v>
      </c>
      <c r="AP38" t="s">
        <v>60</v>
      </c>
      <c r="AQ38">
        <v>2000</v>
      </c>
      <c r="AR38" t="s">
        <v>72</v>
      </c>
      <c r="AS38" t="s">
        <v>305</v>
      </c>
      <c r="AT38" t="s">
        <v>317</v>
      </c>
      <c r="AU38" t="s">
        <v>242</v>
      </c>
      <c r="AV38" t="s">
        <v>308</v>
      </c>
      <c r="AW38">
        <v>4.0999999999999996</v>
      </c>
    </row>
    <row r="39" spans="1:49" ht="21" customHeight="1" x14ac:dyDescent="0.25">
      <c r="A39" s="10" t="s">
        <v>26</v>
      </c>
      <c r="B39" s="10" t="s">
        <v>242</v>
      </c>
      <c r="C39" s="11">
        <f>AVERAGEIFS(Bydgoszcz_result[HB_Dscore],Bydgoszcz_result[[Category]:[Category]],"junior",Bydgoszcz_result[HB_Dscore],"&lt;&gt;0")</f>
        <v>2.2071428571428569</v>
      </c>
      <c r="D39" s="11" cm="1">
        <f t="array" ref="D39">_xlfn.STDEV.S(_xlfn._xlws.FILTER(Bydgoszcz_result[HB_Dscore],(Bydgoszcz_result[Category]="junior")*(Bydgoszcz_result[HB_Dscore]&gt;0)))</f>
        <v>0.93188335826249957</v>
      </c>
      <c r="E39" s="12">
        <f>AVERAGEIFS(Bydgoszcz_result[HB_Escore],Bydgoszcz_result[[Category]:[Category]],"junior",Bydgoszcz_result[HB_Escore],"&lt;&gt;0")</f>
        <v>6.9785714285714278</v>
      </c>
      <c r="F39" s="12" cm="1">
        <f t="array" ref="F39">_xlfn.STDEV.S(_xlfn._xlws.FILTER(Bydgoszcz_result[HB_Escore],(Bydgoszcz_result[Category]="junior")*(Bydgoszcz_result[HB_Escore]&gt;0)))</f>
        <v>2.3238491184400809</v>
      </c>
      <c r="G39" s="12">
        <f>AVERAGEIFS(Bydgoszcz_result[HB_total_score],Bydgoszcz_result[[Category]:[Category]],"junior",Bydgoszcz_result[HB_total_score],"&lt;&gt;0")</f>
        <v>9.1857142857142851</v>
      </c>
      <c r="H39" s="12" cm="1">
        <f t="array" ref="H39">_xlfn.STDEV.S(_xlfn._xlws.FILTER(Bydgoszcz_result[HB_total_score],(Bydgoszcz_result[Category]="junior")*(Bydgoszcz_result[HB_total_score]&gt;0)))</f>
        <v>3.1050472913175873</v>
      </c>
      <c r="I39" s="12" cm="1">
        <f t="array" ref="I39">MAX(_xlfn._xlws.FILTER(Bydgoszcz_result[HB_total_score],Bydgoszcz_result[Category]="junior"))</f>
        <v>11.6</v>
      </c>
      <c r="J39" s="10" t="str" cm="1">
        <f t="array" ref="J39">IF(COUNTIFS(Bydgoszcz_result[HB_total_score],I39,Bydgoszcz_result[Category],"junior")&gt;1,_xlfn.XLOOKUP(I39,_xlfn._xlws.FILTER(Bydgoszcz_result[HB_total_score],Bydgoszcz_result[Category]="junior"),_xlfn._xlws.FILTER(Bydgoszcz_result[Name],Bydgoszcz_result[Category]="junior"),0)&amp;" and "&amp;(COUNTIFS(Bydgoszcz_result[HB_total_score],I39,Bydgoszcz_result[Category],"junior")-1)&amp;" more",_xlfn.XLOOKUP(I39,_xlfn._xlws.FILTER(Bydgoszcz_result[HB_total_score],Bydgoszcz_result[Category]="junior"),_xlfn._xlws.FILTER(Bydgoszcz_result[Name],Bydgoszcz_result[Category]="junior"),0))</f>
        <v>LEKHAC Tomasz</v>
      </c>
      <c r="O39"/>
      <c r="P39"/>
      <c r="Q39"/>
      <c r="AO39" t="s">
        <v>141</v>
      </c>
      <c r="AP39" t="s">
        <v>60</v>
      </c>
      <c r="AQ39">
        <v>2000</v>
      </c>
      <c r="AR39" t="s">
        <v>72</v>
      </c>
      <c r="AS39" t="s">
        <v>305</v>
      </c>
      <c r="AT39" t="s">
        <v>317</v>
      </c>
      <c r="AU39" t="s">
        <v>242</v>
      </c>
      <c r="AV39" t="s">
        <v>309</v>
      </c>
      <c r="AW39">
        <v>8.4</v>
      </c>
    </row>
    <row r="40" spans="1:49" ht="30" customHeight="1" x14ac:dyDescent="0.25">
      <c r="A40" s="10" t="s">
        <v>26</v>
      </c>
      <c r="B40" s="10" t="s">
        <v>241</v>
      </c>
      <c r="C40" s="11">
        <f>AVERAGEIFS(Bydgoszcz_result[PB_Dscore],Bydgoszcz_result[[Category]:[Category]],"junior",Bydgoszcz_result[PB_Dscore],"&lt;&gt;0")</f>
        <v>2.8624999999999998</v>
      </c>
      <c r="D40" s="11" cm="1">
        <f t="array" ref="D40">_xlfn.STDEV.S(_xlfn._xlws.FILTER(Bydgoszcz_result[PB_Dscore],(Bydgoszcz_result[Category]="junior")*(Bydgoszcz_result[PB_Dscore]&gt;0)))</f>
        <v>0.66720811345986275</v>
      </c>
      <c r="E40" s="12">
        <f>AVERAGEIFS(Bydgoszcz_result[PB_Escore],Bydgoszcz_result[[Category]:[Category]],"junior",Bydgoszcz_result[PB_Escore],"&lt;&gt;0")</f>
        <v>7.09375</v>
      </c>
      <c r="F40" s="12" cm="1">
        <f t="array" ref="F40">_xlfn.STDEV.S(_xlfn._xlws.FILTER(Bydgoszcz_result[PB_Escore],(Bydgoszcz_result[Category]="junior")*(Bydgoszcz_result[PB_Escore]&gt;0)))</f>
        <v>2.3377250337311559</v>
      </c>
      <c r="G40" s="12">
        <f>AVERAGEIFS(Bydgoszcz_result[PB_total_score],Bydgoszcz_result[[Category]:[Category]],"junior",Bydgoszcz_result[PB_total_score],"&lt;&gt;0")</f>
        <v>9.9562500000000007</v>
      </c>
      <c r="H40" s="12" cm="1">
        <f t="array" ref="H40">_xlfn.STDEV.S(_xlfn._xlws.FILTER(Bydgoszcz_result[PB_total_score],(Bydgoszcz_result[Category]="junior")*(Bydgoszcz_result[PB_total_score]&gt;0)))</f>
        <v>2.9375088652348449</v>
      </c>
      <c r="I40" s="12" cm="1">
        <f t="array" ref="I40">MAX(_xlfn._xlws.FILTER(Bydgoszcz_result[PB_total_score],Bydgoszcz_result[Category]="junior"))</f>
        <v>12.65</v>
      </c>
      <c r="J40" s="10" t="str" cm="1">
        <f t="array" ref="J40">IF(COUNTIFS(Bydgoszcz_result[PB_total_score],I40,Bydgoszcz_result[Category],"junior")&gt;1,_xlfn.XLOOKUP(I40,_xlfn._xlws.FILTER(Bydgoszcz_result[PB_total_score],Bydgoszcz_result[Category]="junior"),_xlfn._xlws.FILTER(Bydgoszcz_result[Name],Bydgoszcz_result[Category]="junior"),0)&amp;" and "&amp;(COUNTIFS(Bydgoszcz_result[PB_total_score],I40,Bydgoszcz_result[Category],"junior")-1)&amp;" more",_xlfn.XLOOKUP(I40,_xlfn._xlws.FILTER(Bydgoszcz_result[PB_total_score],Bydgoszcz_result[Category]="junior"),_xlfn._xlws.FILTER(Bydgoszcz_result[Name],Bydgoszcz_result[Category]="junior"),0))</f>
        <v>LEKHAC Tomasz</v>
      </c>
      <c r="O40"/>
      <c r="P40"/>
      <c r="Q40"/>
      <c r="AO40" t="s">
        <v>141</v>
      </c>
      <c r="AP40" t="s">
        <v>60</v>
      </c>
      <c r="AQ40">
        <v>2000</v>
      </c>
      <c r="AR40" t="s">
        <v>72</v>
      </c>
      <c r="AS40" t="s">
        <v>305</v>
      </c>
      <c r="AT40" t="s">
        <v>317</v>
      </c>
      <c r="AU40" t="s">
        <v>242</v>
      </c>
      <c r="AV40" t="s">
        <v>268</v>
      </c>
      <c r="AW40">
        <v>12.5</v>
      </c>
    </row>
    <row r="41" spans="1:49" ht="30" customHeight="1" x14ac:dyDescent="0.25">
      <c r="A41" s="10" t="s">
        <v>26</v>
      </c>
      <c r="B41" s="10" t="s">
        <v>238</v>
      </c>
      <c r="C41" s="11">
        <f>AVERAGEIFS(Bydgoszcz_result[PH_Dscore],Bydgoszcz_result[[Category]:[Category]],"junior",Bydgoszcz_result[FX_Dscore],"&lt;&gt;0")</f>
        <v>2.8400000000000003</v>
      </c>
      <c r="D41" s="11" cm="1">
        <f t="array" ref="D41">_xlfn.STDEV.S(_xlfn._xlws.FILTER(Bydgoszcz_result[PH_Dscore],(Bydgoszcz_result[Category]="junior")*(Bydgoszcz_result[PH_Dscore]&gt;0)))</f>
        <v>1.0187218058170042</v>
      </c>
      <c r="E41" s="12">
        <f>AVERAGEIFS(Bydgoszcz_result[PH_Escore],Bydgoszcz_result[[Category]:[Category]],"junior",Bydgoszcz_result[FX_Escore],"&lt;&gt;0")</f>
        <v>5.5600000000000014</v>
      </c>
      <c r="F41" s="12" cm="1">
        <f t="array" ref="F41">_xlfn.STDEV.S(_xlfn._xlws.FILTER(Bydgoszcz_result[PH_Escore],(Bydgoszcz_result[Category]="junior")*(Bydgoszcz_result[PH_Escore]&gt;0)))</f>
        <v>1.6164674549668501</v>
      </c>
      <c r="G41" s="12">
        <f>AVERAGEIFS(Bydgoszcz_result[PH_Total_Score],Bydgoszcz_result[[Category]:[Category]],"junior",Bydgoszcz_result[FX_Total_Score],"&lt;&gt;0")</f>
        <v>8.3999999999999986</v>
      </c>
      <c r="H41" s="12" cm="1">
        <f t="array" ref="H41">_xlfn.STDEV.S(_xlfn._xlws.FILTER(Bydgoszcz_result[PH_Total_Score],(Bydgoszcz_result[Category]="junior")*(Bydgoszcz_result[PH_Total_Score]&gt;0)))</f>
        <v>3.882985131237537</v>
      </c>
      <c r="I41" s="12" cm="1">
        <f t="array" ref="I41">MAX(_xlfn._xlws.FILTER(Bydgoszcz_result[PH_Total_Score],Bydgoszcz_result[Category]="junior"))</f>
        <v>12.75</v>
      </c>
      <c r="J41" s="10" t="str" cm="1">
        <f t="array" ref="J41">IF(COUNTIFS(Bydgoszcz_result[PH_Total_Score],I41,Bydgoszcz_result[Category],"junior")&gt;1,_xlfn.XLOOKUP(I41,_xlfn._xlws.FILTER(Bydgoszcz_result[PH_Total_Score],Bydgoszcz_result[Category]="junior"),_xlfn._xlws.FILTER(Bydgoszcz_result[Name],Bydgoszcz_result[Category]="junior"),0)&amp;" and "&amp;(COUNTIFS(Bydgoszcz_result[PH_Total_Score],I41,Bydgoszcz_result[Category],"junior")-1)&amp;" more",_xlfn.XLOOKUP(I41,_xlfn._xlws.FILTER(Bydgoszcz_result[PH_Total_Score],Bydgoszcz_result[Category]="junior"),_xlfn._xlws.FILTER(Bydgoszcz_result[Name],Bydgoszcz_result[Category]="junior"),0))</f>
        <v>LEKHAC Tomasz</v>
      </c>
      <c r="O41"/>
      <c r="P41"/>
      <c r="Q41"/>
      <c r="AO41" t="s">
        <v>141</v>
      </c>
      <c r="AP41" t="s">
        <v>60</v>
      </c>
      <c r="AQ41">
        <v>2000</v>
      </c>
      <c r="AR41" t="s">
        <v>72</v>
      </c>
      <c r="AS41" t="s">
        <v>305</v>
      </c>
      <c r="AT41" t="s">
        <v>317</v>
      </c>
      <c r="AU41" t="s">
        <v>243</v>
      </c>
      <c r="AV41" t="s">
        <v>247</v>
      </c>
      <c r="AW41">
        <v>24.300000000000004</v>
      </c>
    </row>
    <row r="42" spans="1:49" ht="30" customHeight="1" x14ac:dyDescent="0.25">
      <c r="A42" s="10" t="s">
        <v>26</v>
      </c>
      <c r="B42" s="10" t="s">
        <v>239</v>
      </c>
      <c r="C42" s="11">
        <f>AVERAGEIFS(Bydgoszcz_result[SR_Dscore],Bydgoszcz_result[[Category]:[Category]],"junior",Bydgoszcz_result[SR_Dscore],"&lt;&gt;0")</f>
        <v>2.5533333333333337</v>
      </c>
      <c r="D42" s="11" cm="1">
        <f t="array" ref="D42">_xlfn.STDEV.S(_xlfn._xlws.FILTER(Bydgoszcz_result[SR_Dscore],(Bydgoszcz_result[Category]="junior")*(Bydgoszcz_result[SR_Dscore]&gt;0)))</f>
        <v>0.5194319241339731</v>
      </c>
      <c r="E42" s="12">
        <f>AVERAGEIFS(Bydgoszcz_result[SR_Escore],Bydgoszcz_result[[Category]:[Category]],"junior",Bydgoszcz_result[SR_Escore],"&lt;&gt;0")</f>
        <v>7.0366666666666653</v>
      </c>
      <c r="F42" s="12" cm="1">
        <f t="array" ref="F42">_xlfn.STDEV.S(_xlfn._xlws.FILTER(Bydgoszcz_result[SR_Escore],(Bydgoszcz_result[Category]="junior")*(Bydgoszcz_result[SR_Escore]&gt;0)))</f>
        <v>1.3279235491476813</v>
      </c>
      <c r="G42" s="12">
        <f>AVERAGEIFS(Bydgoszcz_result[SR_Total_Score],Bydgoszcz_result[[Category]:[Category]],"junior",Bydgoszcz_result[SR_Total_Score],"&lt;&gt;0")</f>
        <v>9.5900000000000016</v>
      </c>
      <c r="H42" s="12" cm="1">
        <f t="array" ref="H42">_xlfn.STDEV.S(_xlfn._xlws.FILTER(Bydgoszcz_result[SR_Total_Score],(Bydgoszcz_result[Category]="junior")*(Bydgoszcz_result[SR_Total_Score]&gt;0)))</f>
        <v>1.7176811611671539</v>
      </c>
      <c r="I42" s="12" cm="1">
        <f t="array" ref="I42">MAX(_xlfn._xlws.FILTER(Bydgoszcz_result[SR_Total_Score],Bydgoszcz_result[Category]="junior"))</f>
        <v>11.65</v>
      </c>
      <c r="J42" s="10" t="str" cm="1">
        <f t="array" ref="J42">IF(COUNTIFS(Bydgoszcz_result[SR_Total_Score],I42,Bydgoszcz_result[Category],"junior")&gt;1,_xlfn.XLOOKUP(I42,_xlfn._xlws.FILTER(Bydgoszcz_result[SR_Total_Score],Bydgoszcz_result[Category]="junior"),_xlfn._xlws.FILTER(Bydgoszcz_result[Name],Bydgoszcz_result[Category]="junior"),0)&amp;" and "&amp;(COUNTIFS(Bydgoszcz_result[SR_Total_Score],I42,Bydgoszcz_result[Category],"junior")-1)&amp;" more",_xlfn.XLOOKUP(I42,_xlfn._xlws.FILTER(Bydgoszcz_result[SR_Total_Score],Bydgoszcz_result[Category]="junior"),_xlfn._xlws.FILTER(Bydgoszcz_result[Name],Bydgoszcz_result[Category]="junior"),0))</f>
        <v>LEKHAC Tomasz</v>
      </c>
      <c r="O42"/>
      <c r="P42"/>
      <c r="Q42"/>
      <c r="AO42" t="s">
        <v>141</v>
      </c>
      <c r="AP42" t="s">
        <v>60</v>
      </c>
      <c r="AQ42">
        <v>2000</v>
      </c>
      <c r="AR42" t="s">
        <v>72</v>
      </c>
      <c r="AS42" t="s">
        <v>305</v>
      </c>
      <c r="AT42" t="s">
        <v>317</v>
      </c>
      <c r="AU42" t="s">
        <v>243</v>
      </c>
      <c r="AV42" t="s">
        <v>248</v>
      </c>
      <c r="AW42">
        <v>49.849999999999994</v>
      </c>
    </row>
    <row r="43" spans="1:49" ht="30" customHeight="1" x14ac:dyDescent="0.25">
      <c r="A43" s="10" t="s">
        <v>26</v>
      </c>
      <c r="B43" s="10" t="s">
        <v>240</v>
      </c>
      <c r="C43" s="11">
        <f>AVERAGEIFS(Bydgoszcz_result[VT_Dscore],Bydgoszcz_result[[Category]:[Category]],"junior",Bydgoszcz_result[VT_Dscore],"&lt;&gt;0")</f>
        <v>2.5749999999999997</v>
      </c>
      <c r="D43" s="11" cm="1">
        <f t="array" ref="D43">_xlfn.STDEV.S(_xlfn._xlws.FILTER(Bydgoszcz_result[VT_Dscore],(Bydgoszcz_result[Category]="junior")*(Bydgoszcz_result[VT_Dscore]&gt;0)))</f>
        <v>0.74072037009027158</v>
      </c>
      <c r="E43" s="12">
        <f>AVERAGEIFS(Bydgoszcz_result[VT_Escore],Bydgoszcz_result[[Category]:[Category]],"junior",Bydgoszcz_result[VT_Escore],"&lt;&gt;0")</f>
        <v>8.5718749999999986</v>
      </c>
      <c r="F43" s="12" cm="1">
        <f t="array" ref="F43">_xlfn.STDEV.S(_xlfn._xlws.FILTER(Bydgoszcz_result[VT_Escore],(Bydgoszcz_result[Category]="junior")*(Bydgoszcz_result[VT_Escore]&gt;0)))</f>
        <v>0.55856027726050594</v>
      </c>
      <c r="G43" s="12">
        <f>AVERAGEIFS(Bydgoszcz_result[VT_total_score],Bydgoszcz_result[[Category]:[Category]],"junior",Bydgoszcz_result[VT_total_score],"&lt;&gt;0")</f>
        <v>11.146875</v>
      </c>
      <c r="H43" s="12" cm="1">
        <f t="array" ref="H43">_xlfn.STDEV.S(_xlfn._xlws.FILTER(Bydgoszcz_result[VT_total_score],(Bydgoszcz_result[Category]="junior")*(Bydgoszcz_result[VT_total_score]&gt;0)))</f>
        <v>0.81924126482984228</v>
      </c>
      <c r="I43" s="12" cm="1">
        <f t="array" ref="I43">MAX(_xlfn._xlws.FILTER(Bydgoszcz_result[VT_total_score],Bydgoszcz_result[Category]="junior"))</f>
        <v>12.5</v>
      </c>
      <c r="J43" s="10" t="str" cm="1">
        <f t="array" ref="J43">IF(COUNTIFS(Bydgoszcz_result[VT_total_score],I43,Bydgoszcz_result[Category],"junior")&gt;1,_xlfn.XLOOKUP(I43,_xlfn._xlws.FILTER(Bydgoszcz_result[VT_total_score],Bydgoszcz_result[Category]="junior"),_xlfn._xlws.FILTER(Bydgoszcz_result[Name],Bydgoszcz_result[Category]="junior"),0)&amp;" and "&amp;(COUNTIFS(Bydgoszcz_result[VT_total_score],I43,Bydgoszcz_result[Category],"junior")-1)&amp;" more",_xlfn.XLOOKUP(I43,_xlfn._xlws.FILTER(Bydgoszcz_result[VT_total_score],Bydgoszcz_result[Category]="junior"),_xlfn._xlws.FILTER(Bydgoszcz_result[Name],Bydgoszcz_result[Category]="junior"),0))</f>
        <v>MISHCHENKO Oleksandr</v>
      </c>
      <c r="O43"/>
      <c r="P43"/>
      <c r="Q43"/>
      <c r="AO43" t="s">
        <v>141</v>
      </c>
      <c r="AP43" t="s">
        <v>60</v>
      </c>
      <c r="AQ43">
        <v>2000</v>
      </c>
      <c r="AR43" t="s">
        <v>72</v>
      </c>
      <c r="AS43" t="s">
        <v>305</v>
      </c>
      <c r="AT43" t="s">
        <v>317</v>
      </c>
      <c r="AU43" t="s">
        <v>243</v>
      </c>
      <c r="AV43" t="s">
        <v>312</v>
      </c>
      <c r="AW43">
        <v>74.150000000000006</v>
      </c>
    </row>
    <row r="44" spans="1:49" ht="30" customHeight="1" x14ac:dyDescent="0.25">
      <c r="A44" s="2" t="s">
        <v>60</v>
      </c>
      <c r="B44" s="10" t="s">
        <v>243</v>
      </c>
      <c r="C44" s="11">
        <f>AVERAGEIFS(Bydgoszcz_result[AA_Dscore],Bydgoszcz_result[[Category]:[Category]],"senior",Bydgoszcz_result[AA_Dscore],"&lt;&gt;0",Bydgoszcz_result[All Around],"Yes")</f>
        <v>22.3</v>
      </c>
      <c r="D44" s="11" cm="1">
        <f t="array" ref="D44">_xlfn.STDEV.S(_xlfn._xlws.FILTER(Bydgoszcz_result[AA_Dscore],(Bydgoszcz_result[Category]="senior")*(Bydgoszcz_result[All Around]="yes")))</f>
        <v>2.9056595022227105</v>
      </c>
      <c r="E44" s="12">
        <f>AVERAGEIFS(Bydgoszcz_result[AA_Escore],Bydgoszcz_result[[Category]:[Category]],"senior",Bydgoszcz_result[AA_Escore],"&lt;&gt;0",Bydgoszcz_result[All Around],"Yes")</f>
        <v>46.043750000000003</v>
      </c>
      <c r="F44" s="12" cm="1">
        <f t="array" ref="F44">_xlfn.STDEV.S(_xlfn._xlws.FILTER(Bydgoszcz_result[AA_Escore],(Bydgoszcz_result[Category]="senior")*(Bydgoszcz_result[All Around]="yes")))</f>
        <v>3.8497158986086215</v>
      </c>
      <c r="G44" s="12">
        <f>AVERAGEIFS(Bydgoszcz_result[Total_Score],Bydgoszcz_result[[Category]:[Category]],"senior",Bydgoszcz_result[Total_Score],"&lt;&gt;0",Bydgoszcz_result[All Around],"Yes")</f>
        <v>68.34375</v>
      </c>
      <c r="H44" s="12" cm="1">
        <f t="array" ref="H44">_xlfn.STDEV.S(_xlfn._xlws.FILTER(Bydgoszcz_result[Total_Score],(Bydgoszcz_result[Category]="senior")*(Bydgoszcz_result[All Around]="yes")))</f>
        <v>5.9448920151192475</v>
      </c>
      <c r="I44" s="12" cm="1">
        <f t="array" ref="I44">MAX(_xlfn._xlws.FILTER(Bydgoszcz_result[Total_Score],Bydgoszcz_result[Category]="senior"))</f>
        <v>75.600000000000009</v>
      </c>
      <c r="J44" s="10" t="str" cm="1">
        <f t="array" ref="J44">IF(COUNTIFS(Bydgoszcz_result[Total_Score],I44,Bydgoszcz_result[Category],"senior")&gt;1,_xlfn.XLOOKUP(I44,_xlfn._xlws.FILTER(Bydgoszcz_result[Total_Score],Bydgoszcz_result[Category]="senior"),_xlfn._xlws.FILTER(Bydgoszcz_result[Name],Bydgoszcz_result[Category]="senior"),0)&amp;" and "&amp;(COUNTIFS(Bydgoszcz_result[Total_Score],I44,Bydgoszcz_result[Category],"senior")-1)&amp;" more",_xlfn.XLOOKUP(I44,_xlfn._xlws.FILTER(Bydgoszcz_result[Total_Score],Bydgoszcz_result[Category]="senior"),_xlfn._xlws.FILTER(Bydgoszcz_result[Name],Bydgoszcz_result[Category]="senior"),0))</f>
        <v>SASNAL Filip</v>
      </c>
      <c r="O44"/>
      <c r="P44"/>
      <c r="Q44"/>
      <c r="AO44" t="s">
        <v>142</v>
      </c>
      <c r="AP44" t="s">
        <v>60</v>
      </c>
      <c r="AQ44">
        <v>2001</v>
      </c>
      <c r="AR44" t="s">
        <v>62</v>
      </c>
      <c r="AS44" t="s">
        <v>305</v>
      </c>
      <c r="AT44" t="s">
        <v>317</v>
      </c>
      <c r="AU44" t="s">
        <v>218</v>
      </c>
      <c r="AV44" t="s">
        <v>308</v>
      </c>
      <c r="AW44">
        <v>4.5</v>
      </c>
    </row>
    <row r="45" spans="1:49" ht="30" customHeight="1" x14ac:dyDescent="0.25">
      <c r="A45" s="2" t="s">
        <v>60</v>
      </c>
      <c r="B45" s="10" t="s">
        <v>218</v>
      </c>
      <c r="C45" s="11">
        <f>AVERAGEIFS(Bydgoszcz_result[FX_Dscore],Bydgoszcz_result[[Category]:[Category]],"senior",Bydgoszcz_result[FX_Dscore],"&lt;&gt;0")</f>
        <v>4.3818181818181818</v>
      </c>
      <c r="D45" s="11" cm="1">
        <f t="array" ref="D45">_xlfn.STDEV.S(_xlfn._xlws.FILTER(Bydgoszcz_result[FX_Dscore],(Bydgoszcz_result[Category]="senior")*(Bydgoszcz_result[FX_Dscore]&gt;0)))</f>
        <v>0.56003246659132411</v>
      </c>
      <c r="E45" s="12">
        <f>AVERAGEIFS(Bydgoszcz_result[FX_Escore],Bydgoszcz_result[[Category]:[Category]],"senior",Bydgoszcz_result[FX_Escore],"&lt;&gt;0")</f>
        <v>7.995454545454546</v>
      </c>
      <c r="F45" s="12" cm="1">
        <f t="array" ref="F45">_xlfn.STDEV.S(_xlfn._xlws.FILTER(Bydgoszcz_result[FX_Escore],(Bydgoszcz_result[Category]="senior")*(Bydgoszcz_result[FX_Escore]&gt;0)))</f>
        <v>0.79889127716308961</v>
      </c>
      <c r="G45" s="12">
        <f>AVERAGEIFS(Bydgoszcz_result[FX_Total_Score],Bydgoszcz_result[[Category]:[Category]],"senior",Bydgoszcz_result[FX_Total_Score],"&lt;&gt;0")</f>
        <v>12.377272727272727</v>
      </c>
      <c r="H45" s="12" cm="1">
        <f t="array" ref="H45">_xlfn.STDEV.S(_xlfn._xlws.FILTER(Bydgoszcz_result[FX_Total_Score],(Bydgoszcz_result[Category]="senior")*(Bydgoszcz_result[FX_Total_Score]&gt;0)))</f>
        <v>0.88469306439115836</v>
      </c>
      <c r="I45" s="12" cm="1">
        <f t="array" ref="I45">MAX(_xlfn._xlws.FILTER(Bydgoszcz_result[FX_Total_Score],Bydgoszcz_result[Category]="senior"))</f>
        <v>13.6</v>
      </c>
      <c r="J45" s="10" t="str" cm="1">
        <f t="array" ref="J45">IF(COUNTIFS(Bydgoszcz_result[FX_Total_Score],I45,Bydgoszcz_result[Category],"senior")&gt;1,_xlfn.XLOOKUP(I45,_xlfn._xlws.FILTER(Bydgoszcz_result[FX_Total_Score],Bydgoszcz_result[Category]="senior"),_xlfn._xlws.FILTER(Bydgoszcz_result[Name],Bydgoszcz_result[Category]="senior"),0)&amp;" and "&amp;(COUNTIFS(Bydgoszcz_result[FX_Total_Score],I45,Bydgoszcz_result[Category],"senior")-1)&amp;" more",_xlfn.XLOOKUP(I45,_xlfn._xlws.FILTER(Bydgoszcz_result[FX_Total_Score],Bydgoszcz_result[Category]="senior"),_xlfn._xlws.FILTER(Bydgoszcz_result[Name],Bydgoszcz_result[Category]="senior"),0))</f>
        <v>SASNAL Filip</v>
      </c>
      <c r="O45"/>
      <c r="P45"/>
      <c r="Q45"/>
      <c r="AO45" t="s">
        <v>142</v>
      </c>
      <c r="AP45" t="s">
        <v>60</v>
      </c>
      <c r="AQ45">
        <v>2001</v>
      </c>
      <c r="AR45" t="s">
        <v>62</v>
      </c>
      <c r="AS45" t="s">
        <v>305</v>
      </c>
      <c r="AT45" t="s">
        <v>317</v>
      </c>
      <c r="AU45" t="s">
        <v>218</v>
      </c>
      <c r="AV45" t="s">
        <v>309</v>
      </c>
      <c r="AW45">
        <v>8.6999999999999993</v>
      </c>
    </row>
    <row r="46" spans="1:49" ht="30" customHeight="1" x14ac:dyDescent="0.25">
      <c r="A46" s="2" t="s">
        <v>60</v>
      </c>
      <c r="B46" s="10" t="s">
        <v>242</v>
      </c>
      <c r="C46" s="11">
        <f>AVERAGEIFS(Bydgoszcz_result[HB_Dscore],Bydgoszcz_result[[Category]:[Category]],"senior",Bydgoszcz_result[HB_Dscore],"&lt;&gt;0")</f>
        <v>3.2727272727272729</v>
      </c>
      <c r="D46" s="11" cm="1">
        <f t="array" ref="D46">_xlfn.STDEV.S(_xlfn._xlws.FILTER(Bydgoszcz_result[HB_Dscore],(Bydgoszcz_result[Category]="senior")*(Bydgoszcz_result[HB_Dscore]&gt;0)))</f>
        <v>0.65588247284236656</v>
      </c>
      <c r="E46" s="12">
        <f>AVERAGEIFS(Bydgoszcz_result[HB_Escore],Bydgoszcz_result[[Category]:[Category]],"senior",Bydgoszcz_result[HB_Escore],"&lt;&gt;0")</f>
        <v>7.6636363636363649</v>
      </c>
      <c r="F46" s="12" cm="1">
        <f t="array" ref="F46">_xlfn.STDEV.S(_xlfn._xlws.FILTER(Bydgoszcz_result[HB_Escore],(Bydgoszcz_result[Category]="senior")*(Bydgoszcz_result[HB_Escore]&gt;0)))</f>
        <v>0.60045437340855023</v>
      </c>
      <c r="G46" s="12">
        <f>AVERAGEIFS(Bydgoszcz_result[HB_total_score],Bydgoszcz_result[[Category]:[Category]],"senior",Bydgoszcz_result[HB_total_score],"&lt;&gt;0")</f>
        <v>10.936363636363637</v>
      </c>
      <c r="H46" s="12" cm="1">
        <f t="array" ref="H46">_xlfn.STDEV.S(_xlfn._xlws.FILTER(Bydgoszcz_result[HB_total_score],(Bydgoszcz_result[Category]="senior")*(Bydgoszcz_result[HB_total_score]&gt;0)))</f>
        <v>1.0481151914486568</v>
      </c>
      <c r="I46" s="12" cm="1">
        <f t="array" ref="I46">MAX(_xlfn._xlws.FILTER(Bydgoszcz_result[HB_total_score],Bydgoszcz_result[Category]="senior"))</f>
        <v>12.5</v>
      </c>
      <c r="J46" s="10" t="str" cm="1">
        <f t="array" ref="J46">IF(COUNTIFS(Bydgoszcz_result[HB_total_score],I46,Bydgoszcz_result[Category],"senior")&gt;1,_xlfn.XLOOKUP(I46,_xlfn._xlws.FILTER(Bydgoszcz_result[HB_total_score],Bydgoszcz_result[Category]="senior"),_xlfn._xlws.FILTER(Bydgoszcz_result[Name],Bydgoszcz_result[Category]="senior"),0)&amp;" and "&amp;(COUNTIFS(Bydgoszcz_result[HB_total_score],I46,Bydgoszcz_result[Category],"senior")-1)&amp;" more",_xlfn.XLOOKUP(I46,_xlfn._xlws.FILTER(Bydgoszcz_result[HB_total_score],Bydgoszcz_result[Category]="senior"),_xlfn._xlws.FILTER(Bydgoszcz_result[Name],Bydgoszcz_result[Category]="senior"),0))</f>
        <v>KAŚKOW Paweł</v>
      </c>
      <c r="O46"/>
      <c r="P46"/>
      <c r="Q46"/>
      <c r="AO46" t="s">
        <v>142</v>
      </c>
      <c r="AP46" t="s">
        <v>60</v>
      </c>
      <c r="AQ46">
        <v>2001</v>
      </c>
      <c r="AR46" t="s">
        <v>62</v>
      </c>
      <c r="AS46" t="s">
        <v>305</v>
      </c>
      <c r="AT46" t="s">
        <v>317</v>
      </c>
      <c r="AU46" t="s">
        <v>218</v>
      </c>
      <c r="AV46" t="s">
        <v>268</v>
      </c>
      <c r="AW46">
        <v>13.2</v>
      </c>
    </row>
    <row r="47" spans="1:49" ht="30" customHeight="1" x14ac:dyDescent="0.25">
      <c r="A47" s="2" t="s">
        <v>60</v>
      </c>
      <c r="B47" s="10" t="s">
        <v>241</v>
      </c>
      <c r="C47" s="11">
        <f>AVERAGEIFS(Bydgoszcz_result[PB_Dscore],Bydgoszcz_result[[Category]:[Category]],"senior",Bydgoszcz_result[PB_Dscore],"&lt;&gt;0")</f>
        <v>3.2461538461538462</v>
      </c>
      <c r="D47" s="11" cm="1">
        <f t="array" ref="D47">_xlfn.STDEV.S(_xlfn._xlws.FILTER(Bydgoszcz_result[PB_Dscore],(Bydgoszcz_result[Category]="senior")*(Bydgoszcz_result[PB_Dscore]&gt;0)))</f>
        <v>0.61456676422688761</v>
      </c>
      <c r="E47" s="12">
        <f>AVERAGEIFS(Bydgoszcz_result[PB_Escore],Bydgoszcz_result[[Category]:[Category]],"senior",Bydgoszcz_result[PB_Escore],"&lt;&gt;0")</f>
        <v>7.8192307692307699</v>
      </c>
      <c r="F47" s="12" cm="1">
        <f t="array" ref="F47">_xlfn.STDEV.S(_xlfn._xlws.FILTER(Bydgoszcz_result[PB_Escore],(Bydgoszcz_result[Category]="senior")*(Bydgoszcz_result[PB_Escore]&gt;0)))</f>
        <v>0.84988687029962395</v>
      </c>
      <c r="G47" s="12">
        <f>AVERAGEIFS(Bydgoszcz_result[PB_total_score],Bydgoszcz_result[[Category]:[Category]],"senior",Bydgoszcz_result[PB_total_score],"&lt;&gt;0")</f>
        <v>11.065384615384614</v>
      </c>
      <c r="H47" s="12" cm="1">
        <f t="array" ref="H47">_xlfn.STDEV.S(_xlfn._xlws.FILTER(Bydgoszcz_result[PB_total_score],(Bydgoszcz_result[Category]="senior")*(Bydgoszcz_result[PB_total_score]&gt;0)))</f>
        <v>1.2143902131290503</v>
      </c>
      <c r="I47" s="12" cm="1">
        <f t="array" ref="I47">MAX(_xlfn._xlws.FILTER(Bydgoszcz_result[PB_total_score],Bydgoszcz_result[Category]="senior"))</f>
        <v>12.8</v>
      </c>
      <c r="J47" s="10" t="str" cm="1">
        <f t="array" ref="J47">IF(COUNTIFS(Bydgoszcz_result[PB_total_score],I47,Bydgoszcz_result[Category],"senior")&gt;1,_xlfn.XLOOKUP(I47,_xlfn._xlws.FILTER(Bydgoszcz_result[PB_total_score],Bydgoszcz_result[Category]="senior"),_xlfn._xlws.FILTER(Bydgoszcz_result[Name],Bydgoszcz_result[Category]="senior"),0)&amp;" and "&amp;(COUNTIFS(Bydgoszcz_result[PB_total_score],I47,Bydgoszcz_result[Category],"senior")-1)&amp;" more",_xlfn.XLOOKUP(I47,_xlfn._xlws.FILTER(Bydgoszcz_result[PB_total_score],Bydgoszcz_result[Category]="senior"),_xlfn._xlws.FILTER(Bydgoszcz_result[Name],Bydgoszcz_result[Category]="senior"),0))</f>
        <v>SASNAL Filip</v>
      </c>
      <c r="O47"/>
      <c r="P47"/>
      <c r="Q47"/>
      <c r="AO47" t="s">
        <v>142</v>
      </c>
      <c r="AP47" t="s">
        <v>60</v>
      </c>
      <c r="AQ47">
        <v>2001</v>
      </c>
      <c r="AR47" t="s">
        <v>62</v>
      </c>
      <c r="AS47" t="s">
        <v>305</v>
      </c>
      <c r="AT47" t="s">
        <v>317</v>
      </c>
      <c r="AU47" t="s">
        <v>238</v>
      </c>
      <c r="AV47" t="s">
        <v>308</v>
      </c>
      <c r="AW47">
        <v>3.8</v>
      </c>
    </row>
    <row r="48" spans="1:49" ht="30" customHeight="1" x14ac:dyDescent="0.25">
      <c r="A48" s="2" t="s">
        <v>60</v>
      </c>
      <c r="B48" s="10" t="s">
        <v>238</v>
      </c>
      <c r="C48" s="11">
        <f>AVERAGEIFS(Bydgoszcz_result[PH_Dscore],Bydgoszcz_result[[Category]:[Category]],"senior",Bydgoszcz_result[PH_Dscore],"&lt;&gt;0")</f>
        <v>3.5153846153846144</v>
      </c>
      <c r="D48" s="11" cm="1">
        <f t="array" ref="D48">_xlfn.STDEV.S(_xlfn._xlws.FILTER(Bydgoszcz_result[PH_Dscore],(Bydgoszcz_result[Category]="senior")*(Bydgoszcz_result[PH_Dscore]&gt;0)))</f>
        <v>0.6465886815255345</v>
      </c>
      <c r="E48" s="12">
        <f>AVERAGEIFS(Bydgoszcz_result[PH_Escore],Bydgoszcz_result[[Category]:[Category]],"senior",Bydgoszcz_result[PH_Escore],"&lt;&gt;0")</f>
        <v>5.9884615384615394</v>
      </c>
      <c r="F48" s="12" cm="1">
        <f t="array" ref="F48">_xlfn.STDEV.S(_xlfn._xlws.FILTER(Bydgoszcz_result[PH_Escore],(Bydgoszcz_result[Category]="senior")*(Bydgoszcz_result[PH_Escore]&gt;0)))</f>
        <v>2.4123945439951191</v>
      </c>
      <c r="G48" s="12">
        <f>AVERAGEIFS(Bydgoszcz_result[PH_Total_Score],Bydgoszcz_result[[Category]:[Category]],"senior",Bydgoszcz_result[PH_Total_Score],"&lt;&gt;0")</f>
        <v>9.5038461538461547</v>
      </c>
      <c r="H48" s="12" cm="1">
        <f t="array" ref="H48">_xlfn.STDEV.S(_xlfn._xlws.FILTER(Bydgoszcz_result[PH_Total_Score],(Bydgoszcz_result[Category]="senior")*(Bydgoszcz_result[PH_Total_Score]&gt;0)))</f>
        <v>2.9651771685728394</v>
      </c>
      <c r="I48" s="12" cm="1">
        <f t="array" ref="I48">MAX(_xlfn._xlws.FILTER(Bydgoszcz_result[PH_Total_Score],Bydgoszcz_result[Category]="senior"))</f>
        <v>12.65</v>
      </c>
      <c r="J48" s="10" t="str" cm="1">
        <f t="array" ref="J48">IF(COUNTIFS(Bydgoszcz_result[PH_Total_Score],I48,Bydgoszcz_result[Category],"senior")&gt;1,_xlfn.XLOOKUP(I48,_xlfn._xlws.FILTER(Bydgoszcz_result[PH_Total_Score],Bydgoszcz_result[Category]="senior"),_xlfn._xlws.FILTER(Bydgoszcz_result[Name],Bydgoszcz_result[Category]="senior"),0)&amp;" and "&amp;(COUNTIFS(Bydgoszcz_result[PH_Total_Score],I48,Bydgoszcz_result[Category],"senior")-1)&amp;" more",_xlfn.XLOOKUP(I48,_xlfn._xlws.FILTER(Bydgoszcz_result[PH_Total_Score],Bydgoszcz_result[Category]="senior"),_xlfn._xlws.FILTER(Bydgoszcz_result[Name],Bydgoszcz_result[Category]="senior"),0))</f>
        <v>SZYMCZYK Radosław</v>
      </c>
      <c r="O48"/>
      <c r="P48"/>
      <c r="Q48"/>
      <c r="AO48" t="s">
        <v>142</v>
      </c>
      <c r="AP48" t="s">
        <v>60</v>
      </c>
      <c r="AQ48">
        <v>2001</v>
      </c>
      <c r="AR48" t="s">
        <v>62</v>
      </c>
      <c r="AS48" t="s">
        <v>305</v>
      </c>
      <c r="AT48" t="s">
        <v>317</v>
      </c>
      <c r="AU48" t="s">
        <v>238</v>
      </c>
      <c r="AV48" t="s">
        <v>309</v>
      </c>
      <c r="AW48">
        <v>7.9</v>
      </c>
    </row>
    <row r="49" spans="1:49" ht="30" customHeight="1" x14ac:dyDescent="0.25">
      <c r="A49" s="2" t="s">
        <v>60</v>
      </c>
      <c r="B49" s="10" t="s">
        <v>239</v>
      </c>
      <c r="C49" s="11">
        <f>AVERAGEIFS(Bydgoszcz_result[SR_Dscore],Bydgoszcz_result[[Category]:[Category]],"senior",Bydgoszcz_result[SR_Dscore],"&lt;&gt;0")</f>
        <v>3.5166666666666671</v>
      </c>
      <c r="D49" s="11" cm="1">
        <f t="array" ref="D49">_xlfn.STDEV.S(_xlfn._xlws.FILTER(Bydgoszcz_result[SR_Dscore],(Bydgoszcz_result[Category]="senior")*(Bydgoszcz_result[SR_Dscore]&gt;0)))</f>
        <v>0.59518268140330244</v>
      </c>
      <c r="E49" s="12">
        <f>AVERAGEIFS(Bydgoszcz_result[SR_Escore],Bydgoszcz_result[[Category]:[Category]],"senior",Bydgoszcz_result[SR_Escore],"&lt;&gt;0")</f>
        <v>7.4541666666666684</v>
      </c>
      <c r="F49" s="12" cm="1">
        <f t="array" ref="F49">_xlfn.STDEV.S(_xlfn._xlws.FILTER(Bydgoszcz_result[SR_Escore],(Bydgoszcz_result[Category]="senior")*(Bydgoszcz_result[SR_Escore]&gt;0)))</f>
        <v>0.58986066664985037</v>
      </c>
      <c r="G49" s="12">
        <f>AVERAGEIFS(Bydgoszcz_result[SR_Total_Score],Bydgoszcz_result[[Category]:[Category]],"senior",Bydgoszcz_result[SR_Total_Score],"&lt;&gt;0")</f>
        <v>10.970833333333333</v>
      </c>
      <c r="H49" s="12" cm="1">
        <f t="array" ref="H49">_xlfn.STDEV.S(_xlfn._xlws.FILTER(Bydgoszcz_result[SR_Total_Score],(Bydgoszcz_result[Category]="senior")*(Bydgoszcz_result[SR_Total_Score]&gt;0)))</f>
        <v>0.79500095292491013</v>
      </c>
      <c r="I49" s="12" cm="1">
        <f t="array" ref="I49">MAX(_xlfn._xlws.FILTER(Bydgoszcz_result[SR_Total_Score],Bydgoszcz_result[Category]="senior"))</f>
        <v>12.5</v>
      </c>
      <c r="J49" s="10" t="str" cm="1">
        <f t="array" ref="J49">IF(COUNTIFS(Bydgoszcz_result[SR_Total_Score],I49,Bydgoszcz_result[Category],"senior")&gt;1,_xlfn.XLOOKUP(I49,_xlfn._xlws.FILTER(Bydgoszcz_result[SR_Total_Score],Bydgoszcz_result[Category]="senior"),_xlfn._xlws.FILTER(Bydgoszcz_result[Name],Bydgoszcz_result[Category]="senior"),0)&amp;" and "&amp;(COUNTIFS(Bydgoszcz_result[SR_Total_Score],I49,Bydgoszcz_result[Category],"senior")-1)&amp;" more",_xlfn.XLOOKUP(I49,_xlfn._xlws.FILTER(Bydgoszcz_result[SR_Total_Score],Bydgoszcz_result[Category]="senior"),_xlfn._xlws.FILTER(Bydgoszcz_result[Name],Bydgoszcz_result[Category]="senior"),0))</f>
        <v>YAREMCHUK Vladyslav</v>
      </c>
      <c r="O49"/>
      <c r="P49"/>
      <c r="Q49"/>
      <c r="AO49" t="s">
        <v>142</v>
      </c>
      <c r="AP49" t="s">
        <v>60</v>
      </c>
      <c r="AQ49">
        <v>2001</v>
      </c>
      <c r="AR49" t="s">
        <v>62</v>
      </c>
      <c r="AS49" t="s">
        <v>305</v>
      </c>
      <c r="AT49" t="s">
        <v>317</v>
      </c>
      <c r="AU49" t="s">
        <v>238</v>
      </c>
      <c r="AV49" t="s">
        <v>268</v>
      </c>
      <c r="AW49">
        <v>11.7</v>
      </c>
    </row>
    <row r="50" spans="1:49" ht="30" customHeight="1" x14ac:dyDescent="0.25">
      <c r="A50" s="2" t="s">
        <v>60</v>
      </c>
      <c r="B50" s="10" t="s">
        <v>240</v>
      </c>
      <c r="C50" s="11">
        <f>AVERAGEIFS(Bydgoszcz_result[VT_Dscore],Bydgoszcz_result[[Category]:[Category]],"senior",Bydgoszcz_result[VT_Dscore],"&lt;&gt;0")</f>
        <v>3.6199999999999997</v>
      </c>
      <c r="D50" s="11" cm="1">
        <f t="array" ref="D50">_xlfn.STDEV.S(_xlfn._xlws.FILTER(Bydgoszcz_result[VT_Dscore],(Bydgoszcz_result[Category]="senior")*(Bydgoszcz_result[VT_Dscore]&gt;0)))</f>
        <v>0.59962951524717389</v>
      </c>
      <c r="E50" s="12">
        <f>AVERAGEIFS(Bydgoszcz_result[VT_Escore],Bydgoszcz_result[[Category]:[Category]],"senior",Bydgoszcz_result[VT_Escore],"&lt;&gt;0")</f>
        <v>8.754999999999999</v>
      </c>
      <c r="F50" s="12" cm="1">
        <f t="array" ref="F50">_xlfn.STDEV.S(_xlfn._xlws.FILTER(Bydgoszcz_result[VT_Escore],(Bydgoszcz_result[Category]="senior")*(Bydgoszcz_result[VT_Escore]&gt;0)))</f>
        <v>0.60848171706305199</v>
      </c>
      <c r="G50" s="12">
        <f>AVERAGEIFS(Bydgoszcz_result[VT_total_score],Bydgoszcz_result[[Category]:[Category]],"senior",Bydgoszcz_result[VT_total_score],"&lt;&gt;0")</f>
        <v>12.375</v>
      </c>
      <c r="H50" s="12" cm="1">
        <f t="array" ref="H50">_xlfn.STDEV.S(_xlfn._xlws.FILTER(Bydgoszcz_result[VT_total_score],(Bydgoszcz_result[Category]="senior")*(Bydgoszcz_result[VT_total_score]&gt;0)))</f>
        <v>0.7962586123727502</v>
      </c>
      <c r="I50" s="12" cm="1">
        <f t="array" ref="I50">MAX(_xlfn._xlws.FILTER(Bydgoszcz_result[VT_total_score],Bydgoszcz_result[Category]="senior"))</f>
        <v>13.5</v>
      </c>
      <c r="J50" s="10" t="str" cm="1">
        <f t="array" ref="J50">IF(COUNTIFS(Bydgoszcz_result[VT_total_score],I50,Bydgoszcz_result[Category],"senior")&gt;1,_xlfn.XLOOKUP(I50,_xlfn._xlws.FILTER(Bydgoszcz_result[VT_total_score],Bydgoszcz_result[Category]="senior"),_xlfn._xlws.FILTER(Bydgoszcz_result[Name],Bydgoszcz_result[Category]="senior"),0)&amp;" and "&amp;(COUNTIFS(Bydgoszcz_result[VT_total_score],I50,Bydgoszcz_result[Category],"senior")-1)&amp;" more",_xlfn.XLOOKUP(I50,_xlfn._xlws.FILTER(Bydgoszcz_result[VT_total_score],Bydgoszcz_result[Category]="senior"),_xlfn._xlws.FILTER(Bydgoszcz_result[Name],Bydgoszcz_result[Category]="senior"),0))</f>
        <v>SASNAL Filip</v>
      </c>
      <c r="O50"/>
      <c r="P50"/>
      <c r="Q50"/>
      <c r="AO50" t="s">
        <v>142</v>
      </c>
      <c r="AP50" t="s">
        <v>60</v>
      </c>
      <c r="AQ50">
        <v>2001</v>
      </c>
      <c r="AR50" t="s">
        <v>62</v>
      </c>
      <c r="AS50" t="s">
        <v>305</v>
      </c>
      <c r="AT50" t="s">
        <v>317</v>
      </c>
      <c r="AU50" t="s">
        <v>239</v>
      </c>
      <c r="AV50" t="s">
        <v>308</v>
      </c>
      <c r="AW50">
        <v>2.7</v>
      </c>
    </row>
    <row r="51" spans="1:49" ht="32.25" customHeight="1" x14ac:dyDescent="0.25">
      <c r="O51"/>
      <c r="P51"/>
      <c r="Q51"/>
      <c r="AO51" t="s">
        <v>142</v>
      </c>
      <c r="AP51" t="s">
        <v>60</v>
      </c>
      <c r="AQ51">
        <v>2001</v>
      </c>
      <c r="AR51" t="s">
        <v>62</v>
      </c>
      <c r="AS51" t="s">
        <v>305</v>
      </c>
      <c r="AT51" t="s">
        <v>317</v>
      </c>
      <c r="AU51" t="s">
        <v>239</v>
      </c>
      <c r="AV51" t="s">
        <v>309</v>
      </c>
      <c r="AW51">
        <v>8</v>
      </c>
    </row>
    <row r="52" spans="1:49" ht="32.25" customHeight="1" x14ac:dyDescent="0.25">
      <c r="O52"/>
      <c r="P52"/>
      <c r="Q52"/>
      <c r="AO52" t="s">
        <v>142</v>
      </c>
      <c r="AP52" t="s">
        <v>60</v>
      </c>
      <c r="AQ52">
        <v>2001</v>
      </c>
      <c r="AR52" t="s">
        <v>62</v>
      </c>
      <c r="AS52" t="s">
        <v>305</v>
      </c>
      <c r="AT52" t="s">
        <v>317</v>
      </c>
      <c r="AU52" t="s">
        <v>239</v>
      </c>
      <c r="AV52" t="s">
        <v>268</v>
      </c>
      <c r="AW52">
        <v>10.7</v>
      </c>
    </row>
    <row r="53" spans="1:49" ht="32.25" customHeight="1" x14ac:dyDescent="0.25">
      <c r="O53"/>
      <c r="P53"/>
      <c r="Q53"/>
      <c r="AO53" t="s">
        <v>142</v>
      </c>
      <c r="AP53" t="s">
        <v>60</v>
      </c>
      <c r="AQ53">
        <v>2001</v>
      </c>
      <c r="AR53" t="s">
        <v>62</v>
      </c>
      <c r="AS53" t="s">
        <v>305</v>
      </c>
      <c r="AT53" t="s">
        <v>317</v>
      </c>
      <c r="AU53" t="s">
        <v>240</v>
      </c>
      <c r="AV53" t="s">
        <v>308</v>
      </c>
      <c r="AW53">
        <v>3.2</v>
      </c>
    </row>
    <row r="54" spans="1:49" x14ac:dyDescent="0.25">
      <c r="O54"/>
      <c r="P54"/>
      <c r="Q54"/>
      <c r="AO54" t="s">
        <v>142</v>
      </c>
      <c r="AP54" t="s">
        <v>60</v>
      </c>
      <c r="AQ54">
        <v>2001</v>
      </c>
      <c r="AR54" t="s">
        <v>62</v>
      </c>
      <c r="AS54" t="s">
        <v>305</v>
      </c>
      <c r="AT54" t="s">
        <v>317</v>
      </c>
      <c r="AU54" t="s">
        <v>240</v>
      </c>
      <c r="AV54" t="s">
        <v>309</v>
      </c>
      <c r="AW54">
        <v>9.5</v>
      </c>
    </row>
    <row r="55" spans="1:49" x14ac:dyDescent="0.25">
      <c r="O55"/>
      <c r="P55"/>
      <c r="Q55"/>
      <c r="AO55" t="s">
        <v>142</v>
      </c>
      <c r="AP55" t="s">
        <v>60</v>
      </c>
      <c r="AQ55">
        <v>2001</v>
      </c>
      <c r="AR55" t="s">
        <v>62</v>
      </c>
      <c r="AS55" t="s">
        <v>305</v>
      </c>
      <c r="AT55" t="s">
        <v>317</v>
      </c>
      <c r="AU55" t="s">
        <v>240</v>
      </c>
      <c r="AV55" t="s">
        <v>268</v>
      </c>
      <c r="AW55">
        <v>12.7</v>
      </c>
    </row>
    <row r="56" spans="1:49" x14ac:dyDescent="0.25">
      <c r="O56"/>
      <c r="P56"/>
      <c r="Q56"/>
      <c r="AO56" t="s">
        <v>142</v>
      </c>
      <c r="AP56" t="s">
        <v>60</v>
      </c>
      <c r="AQ56">
        <v>2001</v>
      </c>
      <c r="AR56" t="s">
        <v>62</v>
      </c>
      <c r="AS56" t="s">
        <v>305</v>
      </c>
      <c r="AT56" t="s">
        <v>317</v>
      </c>
      <c r="AU56" t="s">
        <v>314</v>
      </c>
      <c r="AV56" t="s">
        <v>308</v>
      </c>
      <c r="AW56">
        <v>3.4</v>
      </c>
    </row>
    <row r="57" spans="1:49" x14ac:dyDescent="0.25">
      <c r="O57"/>
      <c r="P57"/>
      <c r="Q57"/>
      <c r="AO57" t="s">
        <v>142</v>
      </c>
      <c r="AP57" t="s">
        <v>60</v>
      </c>
      <c r="AQ57">
        <v>2001</v>
      </c>
      <c r="AR57" t="s">
        <v>62</v>
      </c>
      <c r="AS57" t="s">
        <v>305</v>
      </c>
      <c r="AT57" t="s">
        <v>317</v>
      </c>
      <c r="AU57" t="s">
        <v>314</v>
      </c>
      <c r="AV57" t="s">
        <v>309</v>
      </c>
      <c r="AW57">
        <v>7.9</v>
      </c>
    </row>
    <row r="58" spans="1:49" x14ac:dyDescent="0.25">
      <c r="O58"/>
      <c r="P58"/>
      <c r="Q58"/>
      <c r="AO58" t="s">
        <v>142</v>
      </c>
      <c r="AP58" t="s">
        <v>60</v>
      </c>
      <c r="AQ58">
        <v>2001</v>
      </c>
      <c r="AR58" t="s">
        <v>62</v>
      </c>
      <c r="AS58" t="s">
        <v>305</v>
      </c>
      <c r="AT58" t="s">
        <v>317</v>
      </c>
      <c r="AU58" t="s">
        <v>314</v>
      </c>
      <c r="AV58" t="s">
        <v>268</v>
      </c>
      <c r="AW58">
        <v>11.3</v>
      </c>
    </row>
    <row r="59" spans="1:49" x14ac:dyDescent="0.25">
      <c r="O59"/>
      <c r="P59"/>
      <c r="Q59"/>
      <c r="AO59" t="s">
        <v>142</v>
      </c>
      <c r="AP59" t="s">
        <v>60</v>
      </c>
      <c r="AQ59">
        <v>2001</v>
      </c>
      <c r="AR59" t="s">
        <v>62</v>
      </c>
      <c r="AS59" t="s">
        <v>305</v>
      </c>
      <c r="AT59" t="s">
        <v>317</v>
      </c>
      <c r="AU59" t="s">
        <v>242</v>
      </c>
      <c r="AV59" t="s">
        <v>308</v>
      </c>
      <c r="AW59">
        <v>3.6</v>
      </c>
    </row>
    <row r="60" spans="1:49" x14ac:dyDescent="0.25">
      <c r="O60"/>
      <c r="P60"/>
      <c r="Q60"/>
      <c r="AO60" t="s">
        <v>142</v>
      </c>
      <c r="AP60" t="s">
        <v>60</v>
      </c>
      <c r="AQ60">
        <v>2001</v>
      </c>
      <c r="AR60" t="s">
        <v>62</v>
      </c>
      <c r="AS60" t="s">
        <v>305</v>
      </c>
      <c r="AT60" t="s">
        <v>317</v>
      </c>
      <c r="AU60" t="s">
        <v>242</v>
      </c>
      <c r="AV60" t="s">
        <v>309</v>
      </c>
      <c r="AW60">
        <v>8</v>
      </c>
    </row>
    <row r="61" spans="1:49" x14ac:dyDescent="0.25">
      <c r="O61"/>
      <c r="P61"/>
      <c r="Q61"/>
      <c r="AO61" t="s">
        <v>142</v>
      </c>
      <c r="AP61" t="s">
        <v>60</v>
      </c>
      <c r="AQ61">
        <v>2001</v>
      </c>
      <c r="AR61" t="s">
        <v>62</v>
      </c>
      <c r="AS61" t="s">
        <v>305</v>
      </c>
      <c r="AT61" t="s">
        <v>317</v>
      </c>
      <c r="AU61" t="s">
        <v>242</v>
      </c>
      <c r="AV61" t="s">
        <v>268</v>
      </c>
      <c r="AW61">
        <v>11.6</v>
      </c>
    </row>
    <row r="62" spans="1:49" x14ac:dyDescent="0.25">
      <c r="O62"/>
      <c r="P62"/>
      <c r="Q62"/>
      <c r="AO62" t="s">
        <v>142</v>
      </c>
      <c r="AP62" t="s">
        <v>60</v>
      </c>
      <c r="AQ62">
        <v>2001</v>
      </c>
      <c r="AR62" t="s">
        <v>62</v>
      </c>
      <c r="AS62" t="s">
        <v>305</v>
      </c>
      <c r="AT62" t="s">
        <v>317</v>
      </c>
      <c r="AU62" t="s">
        <v>243</v>
      </c>
      <c r="AV62" t="s">
        <v>247</v>
      </c>
      <c r="AW62">
        <v>21.2</v>
      </c>
    </row>
    <row r="63" spans="1:49" x14ac:dyDescent="0.25">
      <c r="O63"/>
      <c r="P63"/>
      <c r="Q63"/>
      <c r="AO63" t="s">
        <v>142</v>
      </c>
      <c r="AP63" t="s">
        <v>60</v>
      </c>
      <c r="AQ63">
        <v>2001</v>
      </c>
      <c r="AR63" t="s">
        <v>62</v>
      </c>
      <c r="AS63" t="s">
        <v>305</v>
      </c>
      <c r="AT63" t="s">
        <v>317</v>
      </c>
      <c r="AU63" t="s">
        <v>243</v>
      </c>
      <c r="AV63" t="s">
        <v>248</v>
      </c>
      <c r="AW63">
        <v>50</v>
      </c>
    </row>
    <row r="64" spans="1:49" x14ac:dyDescent="0.25">
      <c r="O64"/>
      <c r="P64"/>
      <c r="Q64"/>
      <c r="AO64" t="s">
        <v>142</v>
      </c>
      <c r="AP64" t="s">
        <v>60</v>
      </c>
      <c r="AQ64">
        <v>2001</v>
      </c>
      <c r="AR64" t="s">
        <v>62</v>
      </c>
      <c r="AS64" t="s">
        <v>305</v>
      </c>
      <c r="AT64" t="s">
        <v>317</v>
      </c>
      <c r="AU64" t="s">
        <v>243</v>
      </c>
      <c r="AV64" t="s">
        <v>312</v>
      </c>
      <c r="AW64">
        <v>71.199999999999989</v>
      </c>
    </row>
    <row r="65" spans="15:49" x14ac:dyDescent="0.25">
      <c r="O65"/>
      <c r="P65"/>
      <c r="Q65"/>
      <c r="AO65" t="s">
        <v>80</v>
      </c>
      <c r="AP65" t="s">
        <v>60</v>
      </c>
      <c r="AQ65">
        <v>2004</v>
      </c>
      <c r="AR65" t="s">
        <v>62</v>
      </c>
      <c r="AS65" t="s">
        <v>305</v>
      </c>
      <c r="AT65" t="s">
        <v>317</v>
      </c>
      <c r="AU65" t="s">
        <v>218</v>
      </c>
      <c r="AV65" t="s">
        <v>308</v>
      </c>
      <c r="AW65">
        <v>3.6</v>
      </c>
    </row>
    <row r="66" spans="15:49" x14ac:dyDescent="0.25">
      <c r="O66"/>
      <c r="P66"/>
      <c r="Q66"/>
      <c r="AO66" t="s">
        <v>80</v>
      </c>
      <c r="AP66" t="s">
        <v>60</v>
      </c>
      <c r="AQ66">
        <v>2004</v>
      </c>
      <c r="AR66" t="s">
        <v>62</v>
      </c>
      <c r="AS66" t="s">
        <v>305</v>
      </c>
      <c r="AT66" t="s">
        <v>317</v>
      </c>
      <c r="AU66" t="s">
        <v>218</v>
      </c>
      <c r="AV66" t="s">
        <v>309</v>
      </c>
      <c r="AW66">
        <v>9</v>
      </c>
    </row>
    <row r="67" spans="15:49" x14ac:dyDescent="0.25">
      <c r="O67"/>
      <c r="P67"/>
      <c r="Q67"/>
      <c r="AO67" t="s">
        <v>80</v>
      </c>
      <c r="AP67" t="s">
        <v>60</v>
      </c>
      <c r="AQ67">
        <v>2004</v>
      </c>
      <c r="AR67" t="s">
        <v>62</v>
      </c>
      <c r="AS67" t="s">
        <v>305</v>
      </c>
      <c r="AT67" t="s">
        <v>317</v>
      </c>
      <c r="AU67" t="s">
        <v>218</v>
      </c>
      <c r="AV67" t="s">
        <v>268</v>
      </c>
      <c r="AW67">
        <v>12.6</v>
      </c>
    </row>
    <row r="68" spans="15:49" x14ac:dyDescent="0.25">
      <c r="O68"/>
      <c r="P68"/>
      <c r="Q68"/>
      <c r="AO68" t="s">
        <v>80</v>
      </c>
      <c r="AP68" t="s">
        <v>60</v>
      </c>
      <c r="AQ68">
        <v>2004</v>
      </c>
      <c r="AR68" t="s">
        <v>62</v>
      </c>
      <c r="AS68" t="s">
        <v>305</v>
      </c>
      <c r="AT68" t="s">
        <v>317</v>
      </c>
      <c r="AU68" t="s">
        <v>238</v>
      </c>
      <c r="AV68" t="s">
        <v>308</v>
      </c>
      <c r="AW68">
        <v>3.6</v>
      </c>
    </row>
    <row r="69" spans="15:49" x14ac:dyDescent="0.25">
      <c r="O69"/>
      <c r="P69"/>
      <c r="Q69"/>
      <c r="AO69" t="s">
        <v>80</v>
      </c>
      <c r="AP69" t="s">
        <v>60</v>
      </c>
      <c r="AQ69">
        <v>2004</v>
      </c>
      <c r="AR69" t="s">
        <v>62</v>
      </c>
      <c r="AS69" t="s">
        <v>305</v>
      </c>
      <c r="AT69" t="s">
        <v>317</v>
      </c>
      <c r="AU69" t="s">
        <v>238</v>
      </c>
      <c r="AV69" t="s">
        <v>309</v>
      </c>
      <c r="AW69">
        <v>7.55</v>
      </c>
    </row>
    <row r="70" spans="15:49" x14ac:dyDescent="0.25">
      <c r="O70"/>
      <c r="P70"/>
      <c r="Q70"/>
      <c r="AO70" t="s">
        <v>80</v>
      </c>
      <c r="AP70" t="s">
        <v>60</v>
      </c>
      <c r="AQ70">
        <v>2004</v>
      </c>
      <c r="AR70" t="s">
        <v>62</v>
      </c>
      <c r="AS70" t="s">
        <v>305</v>
      </c>
      <c r="AT70" t="s">
        <v>317</v>
      </c>
      <c r="AU70" t="s">
        <v>238</v>
      </c>
      <c r="AV70" t="s">
        <v>268</v>
      </c>
      <c r="AW70">
        <v>11.15</v>
      </c>
    </row>
    <row r="71" spans="15:49" x14ac:dyDescent="0.25">
      <c r="AO71" t="s">
        <v>80</v>
      </c>
      <c r="AP71" t="s">
        <v>60</v>
      </c>
      <c r="AQ71">
        <v>2004</v>
      </c>
      <c r="AR71" t="s">
        <v>62</v>
      </c>
      <c r="AS71" t="s">
        <v>305</v>
      </c>
      <c r="AT71" t="s">
        <v>317</v>
      </c>
      <c r="AU71" t="s">
        <v>239</v>
      </c>
      <c r="AV71" t="s">
        <v>308</v>
      </c>
      <c r="AW71">
        <v>3.9</v>
      </c>
    </row>
    <row r="72" spans="15:49" x14ac:dyDescent="0.25">
      <c r="AO72" t="s">
        <v>80</v>
      </c>
      <c r="AP72" t="s">
        <v>60</v>
      </c>
      <c r="AQ72">
        <v>2004</v>
      </c>
      <c r="AR72" t="s">
        <v>62</v>
      </c>
      <c r="AS72" t="s">
        <v>305</v>
      </c>
      <c r="AT72" t="s">
        <v>317</v>
      </c>
      <c r="AU72" t="s">
        <v>239</v>
      </c>
      <c r="AV72" t="s">
        <v>309</v>
      </c>
      <c r="AW72">
        <v>6.4</v>
      </c>
    </row>
    <row r="73" spans="15:49" x14ac:dyDescent="0.25">
      <c r="AO73" t="s">
        <v>80</v>
      </c>
      <c r="AP73" t="s">
        <v>60</v>
      </c>
      <c r="AQ73">
        <v>2004</v>
      </c>
      <c r="AR73" t="s">
        <v>62</v>
      </c>
      <c r="AS73" t="s">
        <v>305</v>
      </c>
      <c r="AT73" t="s">
        <v>317</v>
      </c>
      <c r="AU73" t="s">
        <v>239</v>
      </c>
      <c r="AV73" t="s">
        <v>268</v>
      </c>
      <c r="AW73">
        <v>10.3</v>
      </c>
    </row>
    <row r="74" spans="15:49" x14ac:dyDescent="0.25">
      <c r="AO74" t="s">
        <v>80</v>
      </c>
      <c r="AP74" t="s">
        <v>60</v>
      </c>
      <c r="AQ74">
        <v>2004</v>
      </c>
      <c r="AR74" t="s">
        <v>62</v>
      </c>
      <c r="AS74" t="s">
        <v>305</v>
      </c>
      <c r="AT74" t="s">
        <v>317</v>
      </c>
      <c r="AU74" t="s">
        <v>240</v>
      </c>
      <c r="AV74" t="s">
        <v>308</v>
      </c>
      <c r="AW74">
        <v>3.6</v>
      </c>
    </row>
    <row r="75" spans="15:49" x14ac:dyDescent="0.25">
      <c r="AO75" t="s">
        <v>80</v>
      </c>
      <c r="AP75" t="s">
        <v>60</v>
      </c>
      <c r="AQ75">
        <v>2004</v>
      </c>
      <c r="AR75" t="s">
        <v>62</v>
      </c>
      <c r="AS75" t="s">
        <v>305</v>
      </c>
      <c r="AT75" t="s">
        <v>317</v>
      </c>
      <c r="AU75" t="s">
        <v>240</v>
      </c>
      <c r="AV75" t="s">
        <v>309</v>
      </c>
      <c r="AW75">
        <v>8.4</v>
      </c>
    </row>
    <row r="76" spans="15:49" x14ac:dyDescent="0.25">
      <c r="AO76" t="s">
        <v>80</v>
      </c>
      <c r="AP76" t="s">
        <v>60</v>
      </c>
      <c r="AQ76">
        <v>2004</v>
      </c>
      <c r="AR76" t="s">
        <v>62</v>
      </c>
      <c r="AS76" t="s">
        <v>305</v>
      </c>
      <c r="AT76" t="s">
        <v>317</v>
      </c>
      <c r="AU76" t="s">
        <v>240</v>
      </c>
      <c r="AV76" t="s">
        <v>268</v>
      </c>
      <c r="AW76">
        <v>12</v>
      </c>
    </row>
    <row r="77" spans="15:49" x14ac:dyDescent="0.25">
      <c r="AO77" t="s">
        <v>80</v>
      </c>
      <c r="AP77" t="s">
        <v>60</v>
      </c>
      <c r="AQ77">
        <v>2004</v>
      </c>
      <c r="AR77" t="s">
        <v>62</v>
      </c>
      <c r="AS77" t="s">
        <v>305</v>
      </c>
      <c r="AT77" t="s">
        <v>317</v>
      </c>
      <c r="AU77" t="s">
        <v>314</v>
      </c>
      <c r="AV77" t="s">
        <v>308</v>
      </c>
      <c r="AW77">
        <v>3.7</v>
      </c>
    </row>
    <row r="78" spans="15:49" x14ac:dyDescent="0.25">
      <c r="AO78" t="s">
        <v>80</v>
      </c>
      <c r="AP78" t="s">
        <v>60</v>
      </c>
      <c r="AQ78">
        <v>2004</v>
      </c>
      <c r="AR78" t="s">
        <v>62</v>
      </c>
      <c r="AS78" t="s">
        <v>305</v>
      </c>
      <c r="AT78" t="s">
        <v>317</v>
      </c>
      <c r="AU78" t="s">
        <v>314</v>
      </c>
      <c r="AV78" t="s">
        <v>309</v>
      </c>
      <c r="AW78">
        <v>8.4499999999999993</v>
      </c>
    </row>
    <row r="79" spans="15:49" x14ac:dyDescent="0.25">
      <c r="AO79" t="s">
        <v>80</v>
      </c>
      <c r="AP79" t="s">
        <v>60</v>
      </c>
      <c r="AQ79">
        <v>2004</v>
      </c>
      <c r="AR79" t="s">
        <v>62</v>
      </c>
      <c r="AS79" t="s">
        <v>305</v>
      </c>
      <c r="AT79" t="s">
        <v>317</v>
      </c>
      <c r="AU79" t="s">
        <v>314</v>
      </c>
      <c r="AV79" t="s">
        <v>268</v>
      </c>
      <c r="AW79">
        <v>12.15</v>
      </c>
    </row>
    <row r="80" spans="15:49" x14ac:dyDescent="0.25">
      <c r="AO80" t="s">
        <v>80</v>
      </c>
      <c r="AP80" t="s">
        <v>60</v>
      </c>
      <c r="AQ80">
        <v>2004</v>
      </c>
      <c r="AR80" t="s">
        <v>62</v>
      </c>
      <c r="AS80" t="s">
        <v>305</v>
      </c>
      <c r="AT80" t="s">
        <v>317</v>
      </c>
      <c r="AU80" t="s">
        <v>242</v>
      </c>
      <c r="AV80" t="s">
        <v>308</v>
      </c>
      <c r="AW80">
        <v>3</v>
      </c>
    </row>
    <row r="81" spans="41:49" x14ac:dyDescent="0.25">
      <c r="AO81" t="s">
        <v>80</v>
      </c>
      <c r="AP81" t="s">
        <v>60</v>
      </c>
      <c r="AQ81">
        <v>2004</v>
      </c>
      <c r="AR81" t="s">
        <v>62</v>
      </c>
      <c r="AS81" t="s">
        <v>305</v>
      </c>
      <c r="AT81" t="s">
        <v>317</v>
      </c>
      <c r="AU81" t="s">
        <v>242</v>
      </c>
      <c r="AV81" t="s">
        <v>309</v>
      </c>
      <c r="AW81">
        <v>7.6</v>
      </c>
    </row>
    <row r="82" spans="41:49" x14ac:dyDescent="0.25">
      <c r="AO82" t="s">
        <v>80</v>
      </c>
      <c r="AP82" t="s">
        <v>60</v>
      </c>
      <c r="AQ82">
        <v>2004</v>
      </c>
      <c r="AR82" t="s">
        <v>62</v>
      </c>
      <c r="AS82" t="s">
        <v>305</v>
      </c>
      <c r="AT82" t="s">
        <v>317</v>
      </c>
      <c r="AU82" t="s">
        <v>242</v>
      </c>
      <c r="AV82" t="s">
        <v>268</v>
      </c>
      <c r="AW82">
        <v>10.6</v>
      </c>
    </row>
    <row r="83" spans="41:49" x14ac:dyDescent="0.25">
      <c r="AO83" t="s">
        <v>80</v>
      </c>
      <c r="AP83" t="s">
        <v>60</v>
      </c>
      <c r="AQ83">
        <v>2004</v>
      </c>
      <c r="AR83" t="s">
        <v>62</v>
      </c>
      <c r="AS83" t="s">
        <v>305</v>
      </c>
      <c r="AT83" t="s">
        <v>317</v>
      </c>
      <c r="AU83" t="s">
        <v>243</v>
      </c>
      <c r="AV83" t="s">
        <v>247</v>
      </c>
      <c r="AW83">
        <v>21.4</v>
      </c>
    </row>
    <row r="84" spans="41:49" x14ac:dyDescent="0.25">
      <c r="AO84" t="s">
        <v>80</v>
      </c>
      <c r="AP84" t="s">
        <v>60</v>
      </c>
      <c r="AQ84">
        <v>2004</v>
      </c>
      <c r="AR84" t="s">
        <v>62</v>
      </c>
      <c r="AS84" t="s">
        <v>305</v>
      </c>
      <c r="AT84" t="s">
        <v>317</v>
      </c>
      <c r="AU84" t="s">
        <v>243</v>
      </c>
      <c r="AV84" t="s">
        <v>248</v>
      </c>
      <c r="AW84">
        <v>47.4</v>
      </c>
    </row>
    <row r="85" spans="41:49" x14ac:dyDescent="0.25">
      <c r="AO85" t="s">
        <v>80</v>
      </c>
      <c r="AP85" t="s">
        <v>60</v>
      </c>
      <c r="AQ85">
        <v>2004</v>
      </c>
      <c r="AR85" t="s">
        <v>62</v>
      </c>
      <c r="AS85" t="s">
        <v>305</v>
      </c>
      <c r="AT85" t="s">
        <v>317</v>
      </c>
      <c r="AU85" t="s">
        <v>243</v>
      </c>
      <c r="AV85" t="s">
        <v>312</v>
      </c>
      <c r="AW85">
        <v>68.8</v>
      </c>
    </row>
    <row r="86" spans="41:49" x14ac:dyDescent="0.25">
      <c r="AO86" t="s">
        <v>77</v>
      </c>
      <c r="AP86" t="s">
        <v>60</v>
      </c>
      <c r="AQ86">
        <v>2002</v>
      </c>
      <c r="AR86" t="s">
        <v>79</v>
      </c>
      <c r="AS86" t="s">
        <v>305</v>
      </c>
      <c r="AT86" t="s">
        <v>317</v>
      </c>
      <c r="AU86" t="s">
        <v>218</v>
      </c>
      <c r="AV86" t="s">
        <v>308</v>
      </c>
      <c r="AW86">
        <v>4.2</v>
      </c>
    </row>
    <row r="87" spans="41:49" x14ac:dyDescent="0.25">
      <c r="AO87" t="s">
        <v>77</v>
      </c>
      <c r="AP87" t="s">
        <v>60</v>
      </c>
      <c r="AQ87">
        <v>2002</v>
      </c>
      <c r="AR87" t="s">
        <v>79</v>
      </c>
      <c r="AS87" t="s">
        <v>305</v>
      </c>
      <c r="AT87" t="s">
        <v>317</v>
      </c>
      <c r="AU87" t="s">
        <v>218</v>
      </c>
      <c r="AV87" t="s">
        <v>309</v>
      </c>
      <c r="AW87">
        <v>6.3</v>
      </c>
    </row>
    <row r="88" spans="41:49" x14ac:dyDescent="0.25">
      <c r="AO88" t="s">
        <v>77</v>
      </c>
      <c r="AP88" t="s">
        <v>60</v>
      </c>
      <c r="AQ88">
        <v>2002</v>
      </c>
      <c r="AR88" t="s">
        <v>79</v>
      </c>
      <c r="AS88" t="s">
        <v>305</v>
      </c>
      <c r="AT88" t="s">
        <v>317</v>
      </c>
      <c r="AU88" t="s">
        <v>218</v>
      </c>
      <c r="AV88" t="s">
        <v>268</v>
      </c>
      <c r="AW88">
        <v>10.5</v>
      </c>
    </row>
    <row r="89" spans="41:49" x14ac:dyDescent="0.25">
      <c r="AO89" t="s">
        <v>77</v>
      </c>
      <c r="AP89" t="s">
        <v>60</v>
      </c>
      <c r="AQ89">
        <v>2002</v>
      </c>
      <c r="AR89" t="s">
        <v>79</v>
      </c>
      <c r="AS89" t="s">
        <v>305</v>
      </c>
      <c r="AT89" t="s">
        <v>317</v>
      </c>
      <c r="AU89" t="s">
        <v>238</v>
      </c>
      <c r="AV89" t="s">
        <v>308</v>
      </c>
      <c r="AW89">
        <v>3.9</v>
      </c>
    </row>
    <row r="90" spans="41:49" x14ac:dyDescent="0.25">
      <c r="AO90" t="s">
        <v>77</v>
      </c>
      <c r="AP90" t="s">
        <v>60</v>
      </c>
      <c r="AQ90">
        <v>2002</v>
      </c>
      <c r="AR90" t="s">
        <v>79</v>
      </c>
      <c r="AS90" t="s">
        <v>305</v>
      </c>
      <c r="AT90" t="s">
        <v>317</v>
      </c>
      <c r="AU90" t="s">
        <v>238</v>
      </c>
      <c r="AV90" t="s">
        <v>309</v>
      </c>
      <c r="AW90">
        <v>7.8</v>
      </c>
    </row>
    <row r="91" spans="41:49" x14ac:dyDescent="0.25">
      <c r="AO91" t="s">
        <v>77</v>
      </c>
      <c r="AP91" t="s">
        <v>60</v>
      </c>
      <c r="AQ91">
        <v>2002</v>
      </c>
      <c r="AR91" t="s">
        <v>79</v>
      </c>
      <c r="AS91" t="s">
        <v>305</v>
      </c>
      <c r="AT91" t="s">
        <v>317</v>
      </c>
      <c r="AU91" t="s">
        <v>238</v>
      </c>
      <c r="AV91" t="s">
        <v>268</v>
      </c>
      <c r="AW91">
        <v>11.7</v>
      </c>
    </row>
    <row r="92" spans="41:49" x14ac:dyDescent="0.25">
      <c r="AO92" t="s">
        <v>77</v>
      </c>
      <c r="AP92" t="s">
        <v>60</v>
      </c>
      <c r="AQ92">
        <v>2002</v>
      </c>
      <c r="AR92" t="s">
        <v>79</v>
      </c>
      <c r="AS92" t="s">
        <v>305</v>
      </c>
      <c r="AT92" t="s">
        <v>317</v>
      </c>
      <c r="AU92" t="s">
        <v>239</v>
      </c>
      <c r="AV92" t="s">
        <v>308</v>
      </c>
      <c r="AW92">
        <v>4</v>
      </c>
    </row>
    <row r="93" spans="41:49" x14ac:dyDescent="0.25">
      <c r="AO93" t="s">
        <v>77</v>
      </c>
      <c r="AP93" t="s">
        <v>60</v>
      </c>
      <c r="AQ93">
        <v>2002</v>
      </c>
      <c r="AR93" t="s">
        <v>79</v>
      </c>
      <c r="AS93" t="s">
        <v>305</v>
      </c>
      <c r="AT93" t="s">
        <v>317</v>
      </c>
      <c r="AU93" t="s">
        <v>239</v>
      </c>
      <c r="AV93" t="s">
        <v>309</v>
      </c>
      <c r="AW93">
        <v>7.3</v>
      </c>
    </row>
    <row r="94" spans="41:49" x14ac:dyDescent="0.25">
      <c r="AO94" t="s">
        <v>77</v>
      </c>
      <c r="AP94" t="s">
        <v>60</v>
      </c>
      <c r="AQ94">
        <v>2002</v>
      </c>
      <c r="AR94" t="s">
        <v>79</v>
      </c>
      <c r="AS94" t="s">
        <v>305</v>
      </c>
      <c r="AT94" t="s">
        <v>317</v>
      </c>
      <c r="AU94" t="s">
        <v>239</v>
      </c>
      <c r="AV94" t="s">
        <v>268</v>
      </c>
      <c r="AW94">
        <v>11.3</v>
      </c>
    </row>
    <row r="95" spans="41:49" x14ac:dyDescent="0.25">
      <c r="AO95" t="s">
        <v>77</v>
      </c>
      <c r="AP95" t="s">
        <v>60</v>
      </c>
      <c r="AQ95">
        <v>2002</v>
      </c>
      <c r="AR95" t="s">
        <v>79</v>
      </c>
      <c r="AS95" t="s">
        <v>305</v>
      </c>
      <c r="AT95" t="s">
        <v>317</v>
      </c>
      <c r="AU95" t="s">
        <v>240</v>
      </c>
      <c r="AV95" t="s">
        <v>308</v>
      </c>
      <c r="AW95">
        <v>3.6</v>
      </c>
    </row>
    <row r="96" spans="41:49" x14ac:dyDescent="0.25">
      <c r="AO96" t="s">
        <v>77</v>
      </c>
      <c r="AP96" t="s">
        <v>60</v>
      </c>
      <c r="AQ96">
        <v>2002</v>
      </c>
      <c r="AR96" t="s">
        <v>79</v>
      </c>
      <c r="AS96" t="s">
        <v>305</v>
      </c>
      <c r="AT96" t="s">
        <v>317</v>
      </c>
      <c r="AU96" t="s">
        <v>240</v>
      </c>
      <c r="AV96" t="s">
        <v>309</v>
      </c>
      <c r="AW96">
        <v>7.8</v>
      </c>
    </row>
    <row r="97" spans="41:49" x14ac:dyDescent="0.25">
      <c r="AO97" t="s">
        <v>77</v>
      </c>
      <c r="AP97" t="s">
        <v>60</v>
      </c>
      <c r="AQ97">
        <v>2002</v>
      </c>
      <c r="AR97" t="s">
        <v>79</v>
      </c>
      <c r="AS97" t="s">
        <v>305</v>
      </c>
      <c r="AT97" t="s">
        <v>317</v>
      </c>
      <c r="AU97" t="s">
        <v>240</v>
      </c>
      <c r="AV97" t="s">
        <v>268</v>
      </c>
      <c r="AW97">
        <v>11.4</v>
      </c>
    </row>
    <row r="98" spans="41:49" x14ac:dyDescent="0.25">
      <c r="AO98" t="s">
        <v>77</v>
      </c>
      <c r="AP98" t="s">
        <v>60</v>
      </c>
      <c r="AQ98">
        <v>2002</v>
      </c>
      <c r="AR98" t="s">
        <v>79</v>
      </c>
      <c r="AS98" t="s">
        <v>305</v>
      </c>
      <c r="AT98" t="s">
        <v>317</v>
      </c>
      <c r="AU98" t="s">
        <v>314</v>
      </c>
      <c r="AV98" t="s">
        <v>308</v>
      </c>
      <c r="AW98">
        <v>4</v>
      </c>
    </row>
    <row r="99" spans="41:49" x14ac:dyDescent="0.25">
      <c r="AO99" t="s">
        <v>77</v>
      </c>
      <c r="AP99" t="s">
        <v>60</v>
      </c>
      <c r="AQ99">
        <v>2002</v>
      </c>
      <c r="AR99" t="s">
        <v>79</v>
      </c>
      <c r="AS99" t="s">
        <v>305</v>
      </c>
      <c r="AT99" t="s">
        <v>317</v>
      </c>
      <c r="AU99" t="s">
        <v>314</v>
      </c>
      <c r="AV99" t="s">
        <v>309</v>
      </c>
      <c r="AW99">
        <v>8.15</v>
      </c>
    </row>
    <row r="100" spans="41:49" x14ac:dyDescent="0.25">
      <c r="AO100" t="s">
        <v>77</v>
      </c>
      <c r="AP100" t="s">
        <v>60</v>
      </c>
      <c r="AQ100">
        <v>2002</v>
      </c>
      <c r="AR100" t="s">
        <v>79</v>
      </c>
      <c r="AS100" t="s">
        <v>305</v>
      </c>
      <c r="AT100" t="s">
        <v>317</v>
      </c>
      <c r="AU100" t="s">
        <v>314</v>
      </c>
      <c r="AV100" t="s">
        <v>268</v>
      </c>
      <c r="AW100">
        <v>12.15</v>
      </c>
    </row>
    <row r="101" spans="41:49" x14ac:dyDescent="0.25">
      <c r="AO101" t="s">
        <v>77</v>
      </c>
      <c r="AP101" t="s">
        <v>60</v>
      </c>
      <c r="AQ101">
        <v>2002</v>
      </c>
      <c r="AR101" t="s">
        <v>79</v>
      </c>
      <c r="AS101" t="s">
        <v>305</v>
      </c>
      <c r="AT101" t="s">
        <v>317</v>
      </c>
      <c r="AU101" t="s">
        <v>242</v>
      </c>
      <c r="AV101" t="s">
        <v>308</v>
      </c>
      <c r="AW101">
        <v>3</v>
      </c>
    </row>
    <row r="102" spans="41:49" x14ac:dyDescent="0.25">
      <c r="AO102" t="s">
        <v>77</v>
      </c>
      <c r="AP102" t="s">
        <v>60</v>
      </c>
      <c r="AQ102">
        <v>2002</v>
      </c>
      <c r="AR102" t="s">
        <v>79</v>
      </c>
      <c r="AS102" t="s">
        <v>305</v>
      </c>
      <c r="AT102" t="s">
        <v>317</v>
      </c>
      <c r="AU102" t="s">
        <v>242</v>
      </c>
      <c r="AV102" t="s">
        <v>309</v>
      </c>
      <c r="AW102">
        <v>7.2</v>
      </c>
    </row>
    <row r="103" spans="41:49" x14ac:dyDescent="0.25">
      <c r="AO103" t="s">
        <v>77</v>
      </c>
      <c r="AP103" t="s">
        <v>60</v>
      </c>
      <c r="AQ103">
        <v>2002</v>
      </c>
      <c r="AR103" t="s">
        <v>79</v>
      </c>
      <c r="AS103" t="s">
        <v>305</v>
      </c>
      <c r="AT103" t="s">
        <v>317</v>
      </c>
      <c r="AU103" t="s">
        <v>242</v>
      </c>
      <c r="AV103" t="s">
        <v>268</v>
      </c>
      <c r="AW103">
        <v>10.199999999999999</v>
      </c>
    </row>
    <row r="104" spans="41:49" x14ac:dyDescent="0.25">
      <c r="AO104" t="s">
        <v>77</v>
      </c>
      <c r="AP104" t="s">
        <v>60</v>
      </c>
      <c r="AQ104">
        <v>2002</v>
      </c>
      <c r="AR104" t="s">
        <v>79</v>
      </c>
      <c r="AS104" t="s">
        <v>305</v>
      </c>
      <c r="AT104" t="s">
        <v>317</v>
      </c>
      <c r="AU104" t="s">
        <v>243</v>
      </c>
      <c r="AV104" t="s">
        <v>247</v>
      </c>
      <c r="AW104">
        <v>22.7</v>
      </c>
    </row>
    <row r="105" spans="41:49" x14ac:dyDescent="0.25">
      <c r="AO105" t="s">
        <v>77</v>
      </c>
      <c r="AP105" t="s">
        <v>60</v>
      </c>
      <c r="AQ105">
        <v>2002</v>
      </c>
      <c r="AR105" t="s">
        <v>79</v>
      </c>
      <c r="AS105" t="s">
        <v>305</v>
      </c>
      <c r="AT105" t="s">
        <v>317</v>
      </c>
      <c r="AU105" t="s">
        <v>243</v>
      </c>
      <c r="AV105" t="s">
        <v>248</v>
      </c>
      <c r="AW105">
        <v>44.550000000000004</v>
      </c>
    </row>
    <row r="106" spans="41:49" x14ac:dyDescent="0.25">
      <c r="AO106" t="s">
        <v>77</v>
      </c>
      <c r="AP106" t="s">
        <v>60</v>
      </c>
      <c r="AQ106">
        <v>2002</v>
      </c>
      <c r="AR106" t="s">
        <v>79</v>
      </c>
      <c r="AS106" t="s">
        <v>305</v>
      </c>
      <c r="AT106" t="s">
        <v>317</v>
      </c>
      <c r="AU106" t="s">
        <v>243</v>
      </c>
      <c r="AV106" t="s">
        <v>312</v>
      </c>
      <c r="AW106">
        <v>67.25</v>
      </c>
    </row>
    <row r="107" spans="41:49" x14ac:dyDescent="0.25">
      <c r="AO107" t="s">
        <v>73</v>
      </c>
      <c r="AP107" t="s">
        <v>60</v>
      </c>
      <c r="AQ107">
        <v>2001</v>
      </c>
      <c r="AR107" t="s">
        <v>62</v>
      </c>
      <c r="AS107" t="s">
        <v>305</v>
      </c>
      <c r="AT107" t="s">
        <v>317</v>
      </c>
      <c r="AU107" t="s">
        <v>218</v>
      </c>
      <c r="AV107" t="s">
        <v>308</v>
      </c>
      <c r="AW107">
        <v>4.7</v>
      </c>
    </row>
    <row r="108" spans="41:49" x14ac:dyDescent="0.25">
      <c r="AO108" t="s">
        <v>73</v>
      </c>
      <c r="AP108" t="s">
        <v>60</v>
      </c>
      <c r="AQ108">
        <v>2001</v>
      </c>
      <c r="AR108" t="s">
        <v>62</v>
      </c>
      <c r="AS108" t="s">
        <v>305</v>
      </c>
      <c r="AT108" t="s">
        <v>317</v>
      </c>
      <c r="AU108" t="s">
        <v>218</v>
      </c>
      <c r="AV108" t="s">
        <v>309</v>
      </c>
      <c r="AW108">
        <v>8.1</v>
      </c>
    </row>
    <row r="109" spans="41:49" x14ac:dyDescent="0.25">
      <c r="AO109" t="s">
        <v>73</v>
      </c>
      <c r="AP109" t="s">
        <v>60</v>
      </c>
      <c r="AQ109">
        <v>2001</v>
      </c>
      <c r="AR109" t="s">
        <v>62</v>
      </c>
      <c r="AS109" t="s">
        <v>305</v>
      </c>
      <c r="AT109" t="s">
        <v>317</v>
      </c>
      <c r="AU109" t="s">
        <v>218</v>
      </c>
      <c r="AV109" t="s">
        <v>268</v>
      </c>
      <c r="AW109">
        <v>12.8</v>
      </c>
    </row>
    <row r="110" spans="41:49" x14ac:dyDescent="0.25">
      <c r="AO110" t="s">
        <v>73</v>
      </c>
      <c r="AP110" t="s">
        <v>60</v>
      </c>
      <c r="AQ110">
        <v>2001</v>
      </c>
      <c r="AR110" t="s">
        <v>62</v>
      </c>
      <c r="AS110" t="s">
        <v>305</v>
      </c>
      <c r="AT110" t="s">
        <v>317</v>
      </c>
      <c r="AU110" t="s">
        <v>238</v>
      </c>
      <c r="AV110" t="s">
        <v>308</v>
      </c>
      <c r="AW110">
        <v>3</v>
      </c>
    </row>
    <row r="111" spans="41:49" x14ac:dyDescent="0.25">
      <c r="AO111" t="s">
        <v>73</v>
      </c>
      <c r="AP111" t="s">
        <v>60</v>
      </c>
      <c r="AQ111">
        <v>2001</v>
      </c>
      <c r="AR111" t="s">
        <v>62</v>
      </c>
      <c r="AS111" t="s">
        <v>305</v>
      </c>
      <c r="AT111" t="s">
        <v>317</v>
      </c>
      <c r="AU111" t="s">
        <v>238</v>
      </c>
      <c r="AV111" t="s">
        <v>309</v>
      </c>
      <c r="AW111">
        <v>6.3</v>
      </c>
    </row>
    <row r="112" spans="41:49" x14ac:dyDescent="0.25">
      <c r="AO112" t="s">
        <v>73</v>
      </c>
      <c r="AP112" t="s">
        <v>60</v>
      </c>
      <c r="AQ112">
        <v>2001</v>
      </c>
      <c r="AR112" t="s">
        <v>62</v>
      </c>
      <c r="AS112" t="s">
        <v>305</v>
      </c>
      <c r="AT112" t="s">
        <v>317</v>
      </c>
      <c r="AU112" t="s">
        <v>238</v>
      </c>
      <c r="AV112" t="s">
        <v>268</v>
      </c>
      <c r="AW112">
        <v>9.3000000000000007</v>
      </c>
    </row>
    <row r="113" spans="41:49" x14ac:dyDescent="0.25">
      <c r="AO113" t="s">
        <v>73</v>
      </c>
      <c r="AP113" t="s">
        <v>60</v>
      </c>
      <c r="AQ113">
        <v>2001</v>
      </c>
      <c r="AR113" t="s">
        <v>62</v>
      </c>
      <c r="AS113" t="s">
        <v>305</v>
      </c>
      <c r="AT113" t="s">
        <v>317</v>
      </c>
      <c r="AU113" t="s">
        <v>239</v>
      </c>
      <c r="AV113" t="s">
        <v>308</v>
      </c>
      <c r="AW113">
        <v>2.7</v>
      </c>
    </row>
    <row r="114" spans="41:49" x14ac:dyDescent="0.25">
      <c r="AO114" t="s">
        <v>73</v>
      </c>
      <c r="AP114" t="s">
        <v>60</v>
      </c>
      <c r="AQ114">
        <v>2001</v>
      </c>
      <c r="AR114" t="s">
        <v>62</v>
      </c>
      <c r="AS114" t="s">
        <v>305</v>
      </c>
      <c r="AT114" t="s">
        <v>317</v>
      </c>
      <c r="AU114" t="s">
        <v>239</v>
      </c>
      <c r="AV114" t="s">
        <v>309</v>
      </c>
      <c r="AW114">
        <v>7.7</v>
      </c>
    </row>
    <row r="115" spans="41:49" x14ac:dyDescent="0.25">
      <c r="AO115" t="s">
        <v>73</v>
      </c>
      <c r="AP115" t="s">
        <v>60</v>
      </c>
      <c r="AQ115">
        <v>2001</v>
      </c>
      <c r="AR115" t="s">
        <v>62</v>
      </c>
      <c r="AS115" t="s">
        <v>305</v>
      </c>
      <c r="AT115" t="s">
        <v>317</v>
      </c>
      <c r="AU115" t="s">
        <v>239</v>
      </c>
      <c r="AV115" t="s">
        <v>268</v>
      </c>
      <c r="AW115">
        <v>10.4</v>
      </c>
    </row>
    <row r="116" spans="41:49" x14ac:dyDescent="0.25">
      <c r="AO116" t="s">
        <v>73</v>
      </c>
      <c r="AP116" t="s">
        <v>60</v>
      </c>
      <c r="AQ116">
        <v>2001</v>
      </c>
      <c r="AR116" t="s">
        <v>62</v>
      </c>
      <c r="AS116" t="s">
        <v>305</v>
      </c>
      <c r="AT116" t="s">
        <v>317</v>
      </c>
      <c r="AU116" t="s">
        <v>240</v>
      </c>
      <c r="AV116" t="s">
        <v>308</v>
      </c>
      <c r="AW116">
        <v>4</v>
      </c>
    </row>
    <row r="117" spans="41:49" x14ac:dyDescent="0.25">
      <c r="AO117" t="s">
        <v>73</v>
      </c>
      <c r="AP117" t="s">
        <v>60</v>
      </c>
      <c r="AQ117">
        <v>2001</v>
      </c>
      <c r="AR117" t="s">
        <v>62</v>
      </c>
      <c r="AS117" t="s">
        <v>305</v>
      </c>
      <c r="AT117" t="s">
        <v>317</v>
      </c>
      <c r="AU117" t="s">
        <v>240</v>
      </c>
      <c r="AV117" t="s">
        <v>309</v>
      </c>
      <c r="AW117">
        <v>8.6</v>
      </c>
    </row>
    <row r="118" spans="41:49" x14ac:dyDescent="0.25">
      <c r="AO118" t="s">
        <v>73</v>
      </c>
      <c r="AP118" t="s">
        <v>60</v>
      </c>
      <c r="AQ118">
        <v>2001</v>
      </c>
      <c r="AR118" t="s">
        <v>62</v>
      </c>
      <c r="AS118" t="s">
        <v>305</v>
      </c>
      <c r="AT118" t="s">
        <v>317</v>
      </c>
      <c r="AU118" t="s">
        <v>240</v>
      </c>
      <c r="AV118" t="s">
        <v>268</v>
      </c>
      <c r="AW118">
        <v>12.6</v>
      </c>
    </row>
    <row r="119" spans="41:49" x14ac:dyDescent="0.25">
      <c r="AO119" t="s">
        <v>73</v>
      </c>
      <c r="AP119" t="s">
        <v>60</v>
      </c>
      <c r="AQ119">
        <v>2001</v>
      </c>
      <c r="AR119" t="s">
        <v>62</v>
      </c>
      <c r="AS119" t="s">
        <v>305</v>
      </c>
      <c r="AT119" t="s">
        <v>317</v>
      </c>
      <c r="AU119" t="s">
        <v>314</v>
      </c>
      <c r="AV119" t="s">
        <v>308</v>
      </c>
      <c r="AW119">
        <v>3.5</v>
      </c>
    </row>
    <row r="120" spans="41:49" x14ac:dyDescent="0.25">
      <c r="AO120" t="s">
        <v>73</v>
      </c>
      <c r="AP120" t="s">
        <v>60</v>
      </c>
      <c r="AQ120">
        <v>2001</v>
      </c>
      <c r="AR120" t="s">
        <v>62</v>
      </c>
      <c r="AS120" t="s">
        <v>305</v>
      </c>
      <c r="AT120" t="s">
        <v>317</v>
      </c>
      <c r="AU120" t="s">
        <v>314</v>
      </c>
      <c r="AV120" t="s">
        <v>309</v>
      </c>
      <c r="AW120">
        <v>8</v>
      </c>
    </row>
    <row r="121" spans="41:49" x14ac:dyDescent="0.25">
      <c r="AO121" t="s">
        <v>73</v>
      </c>
      <c r="AP121" t="s">
        <v>60</v>
      </c>
      <c r="AQ121">
        <v>2001</v>
      </c>
      <c r="AR121" t="s">
        <v>62</v>
      </c>
      <c r="AS121" t="s">
        <v>305</v>
      </c>
      <c r="AT121" t="s">
        <v>317</v>
      </c>
      <c r="AU121" t="s">
        <v>314</v>
      </c>
      <c r="AV121" t="s">
        <v>268</v>
      </c>
      <c r="AW121">
        <v>11.5</v>
      </c>
    </row>
    <row r="122" spans="41:49" x14ac:dyDescent="0.25">
      <c r="AO122" t="s">
        <v>73</v>
      </c>
      <c r="AP122" t="s">
        <v>60</v>
      </c>
      <c r="AQ122">
        <v>2001</v>
      </c>
      <c r="AR122" t="s">
        <v>62</v>
      </c>
      <c r="AS122" t="s">
        <v>305</v>
      </c>
      <c r="AT122" t="s">
        <v>317</v>
      </c>
      <c r="AU122" t="s">
        <v>242</v>
      </c>
      <c r="AV122" t="s">
        <v>308</v>
      </c>
      <c r="AW122">
        <v>3.1</v>
      </c>
    </row>
    <row r="123" spans="41:49" x14ac:dyDescent="0.25">
      <c r="AO123" t="s">
        <v>73</v>
      </c>
      <c r="AP123" t="s">
        <v>60</v>
      </c>
      <c r="AQ123">
        <v>2001</v>
      </c>
      <c r="AR123" t="s">
        <v>62</v>
      </c>
      <c r="AS123" t="s">
        <v>305</v>
      </c>
      <c r="AT123" t="s">
        <v>317</v>
      </c>
      <c r="AU123" t="s">
        <v>242</v>
      </c>
      <c r="AV123" t="s">
        <v>309</v>
      </c>
      <c r="AW123">
        <v>7.3</v>
      </c>
    </row>
    <row r="124" spans="41:49" x14ac:dyDescent="0.25">
      <c r="AO124" t="s">
        <v>73</v>
      </c>
      <c r="AP124" t="s">
        <v>60</v>
      </c>
      <c r="AQ124">
        <v>2001</v>
      </c>
      <c r="AR124" t="s">
        <v>62</v>
      </c>
      <c r="AS124" t="s">
        <v>305</v>
      </c>
      <c r="AT124" t="s">
        <v>317</v>
      </c>
      <c r="AU124" t="s">
        <v>242</v>
      </c>
      <c r="AV124" t="s">
        <v>268</v>
      </c>
      <c r="AW124">
        <v>10.4</v>
      </c>
    </row>
    <row r="125" spans="41:49" x14ac:dyDescent="0.25">
      <c r="AO125" t="s">
        <v>73</v>
      </c>
      <c r="AP125" t="s">
        <v>60</v>
      </c>
      <c r="AQ125">
        <v>2001</v>
      </c>
      <c r="AR125" t="s">
        <v>62</v>
      </c>
      <c r="AS125" t="s">
        <v>305</v>
      </c>
      <c r="AT125" t="s">
        <v>317</v>
      </c>
      <c r="AU125" t="s">
        <v>243</v>
      </c>
      <c r="AV125" t="s">
        <v>247</v>
      </c>
      <c r="AW125">
        <v>21</v>
      </c>
    </row>
    <row r="126" spans="41:49" x14ac:dyDescent="0.25">
      <c r="AO126" t="s">
        <v>73</v>
      </c>
      <c r="AP126" t="s">
        <v>60</v>
      </c>
      <c r="AQ126">
        <v>2001</v>
      </c>
      <c r="AR126" t="s">
        <v>62</v>
      </c>
      <c r="AS126" t="s">
        <v>305</v>
      </c>
      <c r="AT126" t="s">
        <v>317</v>
      </c>
      <c r="AU126" t="s">
        <v>243</v>
      </c>
      <c r="AV126" t="s">
        <v>248</v>
      </c>
      <c r="AW126">
        <v>45.999999999999993</v>
      </c>
    </row>
    <row r="127" spans="41:49" x14ac:dyDescent="0.25">
      <c r="AO127" t="s">
        <v>73</v>
      </c>
      <c r="AP127" t="s">
        <v>60</v>
      </c>
      <c r="AQ127">
        <v>2001</v>
      </c>
      <c r="AR127" t="s">
        <v>62</v>
      </c>
      <c r="AS127" t="s">
        <v>305</v>
      </c>
      <c r="AT127" t="s">
        <v>317</v>
      </c>
      <c r="AU127" t="s">
        <v>243</v>
      </c>
      <c r="AV127" t="s">
        <v>312</v>
      </c>
      <c r="AW127">
        <v>67</v>
      </c>
    </row>
    <row r="128" spans="41:49" x14ac:dyDescent="0.25">
      <c r="AO128" t="s">
        <v>84</v>
      </c>
      <c r="AP128" t="s">
        <v>60</v>
      </c>
      <c r="AQ128">
        <v>2004</v>
      </c>
      <c r="AR128" t="s">
        <v>39</v>
      </c>
      <c r="AS128" t="s">
        <v>305</v>
      </c>
      <c r="AT128" t="s">
        <v>317</v>
      </c>
      <c r="AU128" t="s">
        <v>218</v>
      </c>
      <c r="AV128" t="s">
        <v>308</v>
      </c>
      <c r="AW128">
        <v>4.5</v>
      </c>
    </row>
    <row r="129" spans="41:49" x14ac:dyDescent="0.25">
      <c r="AO129" t="s">
        <v>84</v>
      </c>
      <c r="AP129" t="s">
        <v>60</v>
      </c>
      <c r="AQ129">
        <v>2004</v>
      </c>
      <c r="AR129" t="s">
        <v>39</v>
      </c>
      <c r="AS129" t="s">
        <v>305</v>
      </c>
      <c r="AT129" t="s">
        <v>317</v>
      </c>
      <c r="AU129" t="s">
        <v>218</v>
      </c>
      <c r="AV129" t="s">
        <v>309</v>
      </c>
      <c r="AW129">
        <v>7.35</v>
      </c>
    </row>
    <row r="130" spans="41:49" x14ac:dyDescent="0.25">
      <c r="AO130" t="s">
        <v>84</v>
      </c>
      <c r="AP130" t="s">
        <v>60</v>
      </c>
      <c r="AQ130">
        <v>2004</v>
      </c>
      <c r="AR130" t="s">
        <v>39</v>
      </c>
      <c r="AS130" t="s">
        <v>305</v>
      </c>
      <c r="AT130" t="s">
        <v>317</v>
      </c>
      <c r="AU130" t="s">
        <v>218</v>
      </c>
      <c r="AV130" t="s">
        <v>268</v>
      </c>
      <c r="AW130">
        <v>11.85</v>
      </c>
    </row>
    <row r="131" spans="41:49" x14ac:dyDescent="0.25">
      <c r="AO131" t="s">
        <v>84</v>
      </c>
      <c r="AP131" t="s">
        <v>60</v>
      </c>
      <c r="AQ131">
        <v>2004</v>
      </c>
      <c r="AR131" t="s">
        <v>39</v>
      </c>
      <c r="AS131" t="s">
        <v>305</v>
      </c>
      <c r="AT131" t="s">
        <v>317</v>
      </c>
      <c r="AU131" t="s">
        <v>238</v>
      </c>
      <c r="AV131" t="s">
        <v>308</v>
      </c>
      <c r="AW131">
        <v>3.2</v>
      </c>
    </row>
    <row r="132" spans="41:49" x14ac:dyDescent="0.25">
      <c r="AO132" t="s">
        <v>84</v>
      </c>
      <c r="AP132" t="s">
        <v>60</v>
      </c>
      <c r="AQ132">
        <v>2004</v>
      </c>
      <c r="AR132" t="s">
        <v>39</v>
      </c>
      <c r="AS132" t="s">
        <v>305</v>
      </c>
      <c r="AT132" t="s">
        <v>317</v>
      </c>
      <c r="AU132" t="s">
        <v>238</v>
      </c>
      <c r="AV132" t="s">
        <v>309</v>
      </c>
      <c r="AW132">
        <v>6.1</v>
      </c>
    </row>
    <row r="133" spans="41:49" x14ac:dyDescent="0.25">
      <c r="AO133" t="s">
        <v>84</v>
      </c>
      <c r="AP133" t="s">
        <v>60</v>
      </c>
      <c r="AQ133">
        <v>2004</v>
      </c>
      <c r="AR133" t="s">
        <v>39</v>
      </c>
      <c r="AS133" t="s">
        <v>305</v>
      </c>
      <c r="AT133" t="s">
        <v>317</v>
      </c>
      <c r="AU133" t="s">
        <v>238</v>
      </c>
      <c r="AV133" t="s">
        <v>268</v>
      </c>
      <c r="AW133">
        <v>9.3000000000000007</v>
      </c>
    </row>
    <row r="134" spans="41:49" x14ac:dyDescent="0.25">
      <c r="AO134" t="s">
        <v>84</v>
      </c>
      <c r="AP134" t="s">
        <v>60</v>
      </c>
      <c r="AQ134">
        <v>2004</v>
      </c>
      <c r="AR134" t="s">
        <v>39</v>
      </c>
      <c r="AS134" t="s">
        <v>305</v>
      </c>
      <c r="AT134" t="s">
        <v>317</v>
      </c>
      <c r="AU134" t="s">
        <v>239</v>
      </c>
      <c r="AV134" t="s">
        <v>308</v>
      </c>
      <c r="AW134">
        <v>3.6</v>
      </c>
    </row>
    <row r="135" spans="41:49" x14ac:dyDescent="0.25">
      <c r="AO135" t="s">
        <v>84</v>
      </c>
      <c r="AP135" t="s">
        <v>60</v>
      </c>
      <c r="AQ135">
        <v>2004</v>
      </c>
      <c r="AR135" t="s">
        <v>39</v>
      </c>
      <c r="AS135" t="s">
        <v>305</v>
      </c>
      <c r="AT135" t="s">
        <v>317</v>
      </c>
      <c r="AU135" t="s">
        <v>239</v>
      </c>
      <c r="AV135" t="s">
        <v>309</v>
      </c>
      <c r="AW135">
        <v>7.5</v>
      </c>
    </row>
    <row r="136" spans="41:49" x14ac:dyDescent="0.25">
      <c r="AO136" t="s">
        <v>84</v>
      </c>
      <c r="AP136" t="s">
        <v>60</v>
      </c>
      <c r="AQ136">
        <v>2004</v>
      </c>
      <c r="AR136" t="s">
        <v>39</v>
      </c>
      <c r="AS136" t="s">
        <v>305</v>
      </c>
      <c r="AT136" t="s">
        <v>317</v>
      </c>
      <c r="AU136" t="s">
        <v>239</v>
      </c>
      <c r="AV136" t="s">
        <v>268</v>
      </c>
      <c r="AW136">
        <v>11.1</v>
      </c>
    </row>
    <row r="137" spans="41:49" x14ac:dyDescent="0.25">
      <c r="AO137" t="s">
        <v>84</v>
      </c>
      <c r="AP137" t="s">
        <v>60</v>
      </c>
      <c r="AQ137">
        <v>2004</v>
      </c>
      <c r="AR137" t="s">
        <v>39</v>
      </c>
      <c r="AS137" t="s">
        <v>305</v>
      </c>
      <c r="AT137" t="s">
        <v>317</v>
      </c>
      <c r="AU137" t="s">
        <v>240</v>
      </c>
      <c r="AV137" t="s">
        <v>308</v>
      </c>
      <c r="AW137">
        <v>3</v>
      </c>
    </row>
    <row r="138" spans="41:49" x14ac:dyDescent="0.25">
      <c r="AO138" t="s">
        <v>84</v>
      </c>
      <c r="AP138" t="s">
        <v>60</v>
      </c>
      <c r="AQ138">
        <v>2004</v>
      </c>
      <c r="AR138" t="s">
        <v>39</v>
      </c>
      <c r="AS138" t="s">
        <v>305</v>
      </c>
      <c r="AT138" t="s">
        <v>317</v>
      </c>
      <c r="AU138" t="s">
        <v>240</v>
      </c>
      <c r="AV138" t="s">
        <v>309</v>
      </c>
      <c r="AW138">
        <v>9.3000000000000007</v>
      </c>
    </row>
    <row r="139" spans="41:49" x14ac:dyDescent="0.25">
      <c r="AO139" t="s">
        <v>84</v>
      </c>
      <c r="AP139" t="s">
        <v>60</v>
      </c>
      <c r="AQ139">
        <v>2004</v>
      </c>
      <c r="AR139" t="s">
        <v>39</v>
      </c>
      <c r="AS139" t="s">
        <v>305</v>
      </c>
      <c r="AT139" t="s">
        <v>317</v>
      </c>
      <c r="AU139" t="s">
        <v>240</v>
      </c>
      <c r="AV139" t="s">
        <v>268</v>
      </c>
      <c r="AW139">
        <v>12.3</v>
      </c>
    </row>
    <row r="140" spans="41:49" x14ac:dyDescent="0.25">
      <c r="AO140" t="s">
        <v>84</v>
      </c>
      <c r="AP140" t="s">
        <v>60</v>
      </c>
      <c r="AQ140">
        <v>2004</v>
      </c>
      <c r="AR140" t="s">
        <v>39</v>
      </c>
      <c r="AS140" t="s">
        <v>305</v>
      </c>
      <c r="AT140" t="s">
        <v>317</v>
      </c>
      <c r="AU140" t="s">
        <v>314</v>
      </c>
      <c r="AV140" t="s">
        <v>308</v>
      </c>
      <c r="AW140">
        <v>3.7</v>
      </c>
    </row>
    <row r="141" spans="41:49" x14ac:dyDescent="0.25">
      <c r="AO141" t="s">
        <v>84</v>
      </c>
      <c r="AP141" t="s">
        <v>60</v>
      </c>
      <c r="AQ141">
        <v>2004</v>
      </c>
      <c r="AR141" t="s">
        <v>39</v>
      </c>
      <c r="AS141" t="s">
        <v>305</v>
      </c>
      <c r="AT141" t="s">
        <v>317</v>
      </c>
      <c r="AU141" t="s">
        <v>314</v>
      </c>
      <c r="AV141" t="s">
        <v>309</v>
      </c>
      <c r="AW141">
        <v>7.85</v>
      </c>
    </row>
    <row r="142" spans="41:49" x14ac:dyDescent="0.25">
      <c r="AO142" t="s">
        <v>84</v>
      </c>
      <c r="AP142" t="s">
        <v>60</v>
      </c>
      <c r="AQ142">
        <v>2004</v>
      </c>
      <c r="AR142" t="s">
        <v>39</v>
      </c>
      <c r="AS142" t="s">
        <v>305</v>
      </c>
      <c r="AT142" t="s">
        <v>317</v>
      </c>
      <c r="AU142" t="s">
        <v>314</v>
      </c>
      <c r="AV142" t="s">
        <v>268</v>
      </c>
      <c r="AW142">
        <v>11.55</v>
      </c>
    </row>
    <row r="143" spans="41:49" x14ac:dyDescent="0.25">
      <c r="AO143" t="s">
        <v>84</v>
      </c>
      <c r="AP143" t="s">
        <v>60</v>
      </c>
      <c r="AQ143">
        <v>2004</v>
      </c>
      <c r="AR143" t="s">
        <v>39</v>
      </c>
      <c r="AS143" t="s">
        <v>305</v>
      </c>
      <c r="AT143" t="s">
        <v>317</v>
      </c>
      <c r="AU143" t="s">
        <v>242</v>
      </c>
      <c r="AV143" t="s">
        <v>308</v>
      </c>
      <c r="AW143">
        <v>3.2</v>
      </c>
    </row>
    <row r="144" spans="41:49" x14ac:dyDescent="0.25">
      <c r="AO144" t="s">
        <v>84</v>
      </c>
      <c r="AP144" t="s">
        <v>60</v>
      </c>
      <c r="AQ144">
        <v>2004</v>
      </c>
      <c r="AR144" t="s">
        <v>39</v>
      </c>
      <c r="AS144" t="s">
        <v>305</v>
      </c>
      <c r="AT144" t="s">
        <v>317</v>
      </c>
      <c r="AU144" t="s">
        <v>242</v>
      </c>
      <c r="AV144" t="s">
        <v>309</v>
      </c>
      <c r="AW144">
        <v>7.2</v>
      </c>
    </row>
    <row r="145" spans="41:49" x14ac:dyDescent="0.25">
      <c r="AO145" t="s">
        <v>84</v>
      </c>
      <c r="AP145" t="s">
        <v>60</v>
      </c>
      <c r="AQ145">
        <v>2004</v>
      </c>
      <c r="AR145" t="s">
        <v>39</v>
      </c>
      <c r="AS145" t="s">
        <v>305</v>
      </c>
      <c r="AT145" t="s">
        <v>317</v>
      </c>
      <c r="AU145" t="s">
        <v>242</v>
      </c>
      <c r="AV145" t="s">
        <v>268</v>
      </c>
      <c r="AW145">
        <v>10.4</v>
      </c>
    </row>
    <row r="146" spans="41:49" x14ac:dyDescent="0.25">
      <c r="AO146" t="s">
        <v>84</v>
      </c>
      <c r="AP146" t="s">
        <v>60</v>
      </c>
      <c r="AQ146">
        <v>2004</v>
      </c>
      <c r="AR146" t="s">
        <v>39</v>
      </c>
      <c r="AS146" t="s">
        <v>305</v>
      </c>
      <c r="AT146" t="s">
        <v>317</v>
      </c>
      <c r="AU146" t="s">
        <v>243</v>
      </c>
      <c r="AV146" t="s">
        <v>247</v>
      </c>
      <c r="AW146">
        <v>21.2</v>
      </c>
    </row>
    <row r="147" spans="41:49" x14ac:dyDescent="0.25">
      <c r="AO147" t="s">
        <v>84</v>
      </c>
      <c r="AP147" t="s">
        <v>60</v>
      </c>
      <c r="AQ147">
        <v>2004</v>
      </c>
      <c r="AR147" t="s">
        <v>39</v>
      </c>
      <c r="AS147" t="s">
        <v>305</v>
      </c>
      <c r="AT147" t="s">
        <v>317</v>
      </c>
      <c r="AU147" t="s">
        <v>243</v>
      </c>
      <c r="AV147" t="s">
        <v>248</v>
      </c>
      <c r="AW147">
        <v>45.300000000000004</v>
      </c>
    </row>
    <row r="148" spans="41:49" x14ac:dyDescent="0.25">
      <c r="AO148" t="s">
        <v>84</v>
      </c>
      <c r="AP148" t="s">
        <v>60</v>
      </c>
      <c r="AQ148">
        <v>2004</v>
      </c>
      <c r="AR148" t="s">
        <v>39</v>
      </c>
      <c r="AS148" t="s">
        <v>305</v>
      </c>
      <c r="AT148" t="s">
        <v>317</v>
      </c>
      <c r="AU148" t="s">
        <v>243</v>
      </c>
      <c r="AV148" t="s">
        <v>312</v>
      </c>
      <c r="AW148">
        <v>66.5</v>
      </c>
    </row>
    <row r="149" spans="41:49" x14ac:dyDescent="0.25">
      <c r="AO149" t="s">
        <v>100</v>
      </c>
      <c r="AP149" t="s">
        <v>60</v>
      </c>
      <c r="AQ149">
        <v>2004</v>
      </c>
      <c r="AR149" t="s">
        <v>31</v>
      </c>
      <c r="AS149" t="s">
        <v>305</v>
      </c>
      <c r="AT149" t="s">
        <v>317</v>
      </c>
      <c r="AU149" t="s">
        <v>218</v>
      </c>
      <c r="AV149" t="s">
        <v>308</v>
      </c>
      <c r="AW149">
        <v>4.3</v>
      </c>
    </row>
    <row r="150" spans="41:49" x14ac:dyDescent="0.25">
      <c r="AO150" t="s">
        <v>100</v>
      </c>
      <c r="AP150" t="s">
        <v>60</v>
      </c>
      <c r="AQ150">
        <v>2004</v>
      </c>
      <c r="AR150" t="s">
        <v>31</v>
      </c>
      <c r="AS150" t="s">
        <v>305</v>
      </c>
      <c r="AT150" t="s">
        <v>317</v>
      </c>
      <c r="AU150" t="s">
        <v>218</v>
      </c>
      <c r="AV150" t="s">
        <v>309</v>
      </c>
      <c r="AW150">
        <v>7.4</v>
      </c>
    </row>
    <row r="151" spans="41:49" x14ac:dyDescent="0.25">
      <c r="AO151" t="s">
        <v>100</v>
      </c>
      <c r="AP151" t="s">
        <v>60</v>
      </c>
      <c r="AQ151">
        <v>2004</v>
      </c>
      <c r="AR151" t="s">
        <v>31</v>
      </c>
      <c r="AS151" t="s">
        <v>305</v>
      </c>
      <c r="AT151" t="s">
        <v>317</v>
      </c>
      <c r="AU151" t="s">
        <v>218</v>
      </c>
      <c r="AV151" t="s">
        <v>268</v>
      </c>
      <c r="AW151">
        <v>11.7</v>
      </c>
    </row>
    <row r="152" spans="41:49" x14ac:dyDescent="0.25">
      <c r="AO152" t="s">
        <v>100</v>
      </c>
      <c r="AP152" t="s">
        <v>60</v>
      </c>
      <c r="AQ152">
        <v>2004</v>
      </c>
      <c r="AR152" t="s">
        <v>31</v>
      </c>
      <c r="AS152" t="s">
        <v>305</v>
      </c>
      <c r="AT152" t="s">
        <v>317</v>
      </c>
      <c r="AU152" t="s">
        <v>238</v>
      </c>
      <c r="AV152" t="s">
        <v>308</v>
      </c>
      <c r="AW152">
        <v>2.4</v>
      </c>
    </row>
    <row r="153" spans="41:49" x14ac:dyDescent="0.25">
      <c r="AO153" t="s">
        <v>100</v>
      </c>
      <c r="AP153" t="s">
        <v>60</v>
      </c>
      <c r="AQ153">
        <v>2004</v>
      </c>
      <c r="AR153" t="s">
        <v>31</v>
      </c>
      <c r="AS153" t="s">
        <v>305</v>
      </c>
      <c r="AT153" t="s">
        <v>317</v>
      </c>
      <c r="AU153" t="s">
        <v>238</v>
      </c>
      <c r="AV153" t="s">
        <v>309</v>
      </c>
      <c r="AW153">
        <v>1.1000000000000001</v>
      </c>
    </row>
    <row r="154" spans="41:49" x14ac:dyDescent="0.25">
      <c r="AO154" t="s">
        <v>100</v>
      </c>
      <c r="AP154" t="s">
        <v>60</v>
      </c>
      <c r="AQ154">
        <v>2004</v>
      </c>
      <c r="AR154" t="s">
        <v>31</v>
      </c>
      <c r="AS154" t="s">
        <v>305</v>
      </c>
      <c r="AT154" t="s">
        <v>317</v>
      </c>
      <c r="AU154" t="s">
        <v>238</v>
      </c>
      <c r="AV154" t="s">
        <v>268</v>
      </c>
      <c r="AW154">
        <v>3.5</v>
      </c>
    </row>
    <row r="155" spans="41:49" x14ac:dyDescent="0.25">
      <c r="AO155" t="s">
        <v>100</v>
      </c>
      <c r="AP155" t="s">
        <v>60</v>
      </c>
      <c r="AQ155">
        <v>2004</v>
      </c>
      <c r="AR155" t="s">
        <v>31</v>
      </c>
      <c r="AS155" t="s">
        <v>305</v>
      </c>
      <c r="AT155" t="s">
        <v>317</v>
      </c>
      <c r="AU155" t="s">
        <v>239</v>
      </c>
      <c r="AV155" t="s">
        <v>308</v>
      </c>
      <c r="AW155">
        <v>2.9</v>
      </c>
    </row>
    <row r="156" spans="41:49" x14ac:dyDescent="0.25">
      <c r="AO156" t="s">
        <v>100</v>
      </c>
      <c r="AP156" t="s">
        <v>60</v>
      </c>
      <c r="AQ156">
        <v>2004</v>
      </c>
      <c r="AR156" t="s">
        <v>31</v>
      </c>
      <c r="AS156" t="s">
        <v>305</v>
      </c>
      <c r="AT156" t="s">
        <v>317</v>
      </c>
      <c r="AU156" t="s">
        <v>239</v>
      </c>
      <c r="AV156" t="s">
        <v>309</v>
      </c>
      <c r="AW156">
        <v>7</v>
      </c>
    </row>
    <row r="157" spans="41:49" x14ac:dyDescent="0.25">
      <c r="AO157" t="s">
        <v>100</v>
      </c>
      <c r="AP157" t="s">
        <v>60</v>
      </c>
      <c r="AQ157">
        <v>2004</v>
      </c>
      <c r="AR157" t="s">
        <v>31</v>
      </c>
      <c r="AS157" t="s">
        <v>305</v>
      </c>
      <c r="AT157" t="s">
        <v>317</v>
      </c>
      <c r="AU157" t="s">
        <v>239</v>
      </c>
      <c r="AV157" t="s">
        <v>268</v>
      </c>
      <c r="AW157">
        <v>9.9</v>
      </c>
    </row>
    <row r="158" spans="41:49" x14ac:dyDescent="0.25">
      <c r="AO158" t="s">
        <v>100</v>
      </c>
      <c r="AP158" t="s">
        <v>60</v>
      </c>
      <c r="AQ158">
        <v>2004</v>
      </c>
      <c r="AR158" t="s">
        <v>31</v>
      </c>
      <c r="AS158" t="s">
        <v>305</v>
      </c>
      <c r="AT158" t="s">
        <v>317</v>
      </c>
      <c r="AU158" t="s">
        <v>240</v>
      </c>
      <c r="AV158" t="s">
        <v>308</v>
      </c>
      <c r="AW158">
        <v>3.2</v>
      </c>
    </row>
    <row r="159" spans="41:49" x14ac:dyDescent="0.25">
      <c r="AO159" t="s">
        <v>100</v>
      </c>
      <c r="AP159" t="s">
        <v>60</v>
      </c>
      <c r="AQ159">
        <v>2004</v>
      </c>
      <c r="AR159" t="s">
        <v>31</v>
      </c>
      <c r="AS159" t="s">
        <v>305</v>
      </c>
      <c r="AT159" t="s">
        <v>317</v>
      </c>
      <c r="AU159" t="s">
        <v>240</v>
      </c>
      <c r="AV159" t="s">
        <v>309</v>
      </c>
      <c r="AW159">
        <v>7.8</v>
      </c>
    </row>
    <row r="160" spans="41:49" x14ac:dyDescent="0.25">
      <c r="AO160" t="s">
        <v>100</v>
      </c>
      <c r="AP160" t="s">
        <v>60</v>
      </c>
      <c r="AQ160">
        <v>2004</v>
      </c>
      <c r="AR160" t="s">
        <v>31</v>
      </c>
      <c r="AS160" t="s">
        <v>305</v>
      </c>
      <c r="AT160" t="s">
        <v>317</v>
      </c>
      <c r="AU160" t="s">
        <v>240</v>
      </c>
      <c r="AV160" t="s">
        <v>268</v>
      </c>
      <c r="AW160">
        <v>11</v>
      </c>
    </row>
    <row r="161" spans="41:49" x14ac:dyDescent="0.25">
      <c r="AO161" t="s">
        <v>100</v>
      </c>
      <c r="AP161" t="s">
        <v>60</v>
      </c>
      <c r="AQ161">
        <v>2004</v>
      </c>
      <c r="AR161" t="s">
        <v>31</v>
      </c>
      <c r="AS161" t="s">
        <v>305</v>
      </c>
      <c r="AT161" t="s">
        <v>317</v>
      </c>
      <c r="AU161" t="s">
        <v>314</v>
      </c>
      <c r="AV161" t="s">
        <v>308</v>
      </c>
      <c r="AW161">
        <v>2.9</v>
      </c>
    </row>
    <row r="162" spans="41:49" x14ac:dyDescent="0.25">
      <c r="AO162" t="s">
        <v>100</v>
      </c>
      <c r="AP162" t="s">
        <v>60</v>
      </c>
      <c r="AQ162">
        <v>2004</v>
      </c>
      <c r="AR162" t="s">
        <v>31</v>
      </c>
      <c r="AS162" t="s">
        <v>305</v>
      </c>
      <c r="AT162" t="s">
        <v>317</v>
      </c>
      <c r="AU162" t="s">
        <v>314</v>
      </c>
      <c r="AV162" t="s">
        <v>309</v>
      </c>
      <c r="AW162">
        <v>7.75</v>
      </c>
    </row>
    <row r="163" spans="41:49" x14ac:dyDescent="0.25">
      <c r="AO163" t="s">
        <v>100</v>
      </c>
      <c r="AP163" t="s">
        <v>60</v>
      </c>
      <c r="AQ163">
        <v>2004</v>
      </c>
      <c r="AR163" t="s">
        <v>31</v>
      </c>
      <c r="AS163" t="s">
        <v>305</v>
      </c>
      <c r="AT163" t="s">
        <v>317</v>
      </c>
      <c r="AU163" t="s">
        <v>314</v>
      </c>
      <c r="AV163" t="s">
        <v>268</v>
      </c>
      <c r="AW163">
        <v>10.65</v>
      </c>
    </row>
    <row r="164" spans="41:49" x14ac:dyDescent="0.25">
      <c r="AO164" t="s">
        <v>100</v>
      </c>
      <c r="AP164" t="s">
        <v>60</v>
      </c>
      <c r="AQ164">
        <v>2004</v>
      </c>
      <c r="AR164" t="s">
        <v>31</v>
      </c>
      <c r="AS164" t="s">
        <v>305</v>
      </c>
      <c r="AT164" t="s">
        <v>317</v>
      </c>
      <c r="AU164" t="s">
        <v>242</v>
      </c>
      <c r="AV164" t="s">
        <v>308</v>
      </c>
      <c r="AW164">
        <v>2.7</v>
      </c>
    </row>
    <row r="165" spans="41:49" x14ac:dyDescent="0.25">
      <c r="AO165" t="s">
        <v>100</v>
      </c>
      <c r="AP165" t="s">
        <v>60</v>
      </c>
      <c r="AQ165">
        <v>2004</v>
      </c>
      <c r="AR165" t="s">
        <v>31</v>
      </c>
      <c r="AS165" t="s">
        <v>305</v>
      </c>
      <c r="AT165" t="s">
        <v>317</v>
      </c>
      <c r="AU165" t="s">
        <v>242</v>
      </c>
      <c r="AV165" t="s">
        <v>309</v>
      </c>
      <c r="AW165">
        <v>6.8</v>
      </c>
    </row>
    <row r="166" spans="41:49" x14ac:dyDescent="0.25">
      <c r="AO166" t="s">
        <v>100</v>
      </c>
      <c r="AP166" t="s">
        <v>60</v>
      </c>
      <c r="AQ166">
        <v>2004</v>
      </c>
      <c r="AR166" t="s">
        <v>31</v>
      </c>
      <c r="AS166" t="s">
        <v>305</v>
      </c>
      <c r="AT166" t="s">
        <v>317</v>
      </c>
      <c r="AU166" t="s">
        <v>242</v>
      </c>
      <c r="AV166" t="s">
        <v>268</v>
      </c>
      <c r="AW166">
        <v>9.5</v>
      </c>
    </row>
    <row r="167" spans="41:49" x14ac:dyDescent="0.25">
      <c r="AO167" t="s">
        <v>100</v>
      </c>
      <c r="AP167" t="s">
        <v>60</v>
      </c>
      <c r="AQ167">
        <v>2004</v>
      </c>
      <c r="AR167" t="s">
        <v>31</v>
      </c>
      <c r="AS167" t="s">
        <v>305</v>
      </c>
      <c r="AT167" t="s">
        <v>317</v>
      </c>
      <c r="AU167" t="s">
        <v>243</v>
      </c>
      <c r="AV167" t="s">
        <v>247</v>
      </c>
      <c r="AW167">
        <v>18.400000000000002</v>
      </c>
    </row>
    <row r="168" spans="41:49" x14ac:dyDescent="0.25">
      <c r="AO168" t="s">
        <v>100</v>
      </c>
      <c r="AP168" t="s">
        <v>60</v>
      </c>
      <c r="AQ168">
        <v>2004</v>
      </c>
      <c r="AR168" t="s">
        <v>31</v>
      </c>
      <c r="AS168" t="s">
        <v>305</v>
      </c>
      <c r="AT168" t="s">
        <v>317</v>
      </c>
      <c r="AU168" t="s">
        <v>243</v>
      </c>
      <c r="AV168" t="s">
        <v>248</v>
      </c>
      <c r="AW168">
        <v>37.85</v>
      </c>
    </row>
    <row r="169" spans="41:49" x14ac:dyDescent="0.25">
      <c r="AO169" t="s">
        <v>100</v>
      </c>
      <c r="AP169" t="s">
        <v>60</v>
      </c>
      <c r="AQ169">
        <v>2004</v>
      </c>
      <c r="AR169" t="s">
        <v>31</v>
      </c>
      <c r="AS169" t="s">
        <v>305</v>
      </c>
      <c r="AT169" t="s">
        <v>317</v>
      </c>
      <c r="AU169" t="s">
        <v>243</v>
      </c>
      <c r="AV169" t="s">
        <v>312</v>
      </c>
      <c r="AW169">
        <v>56.25</v>
      </c>
    </row>
    <row r="170" spans="41:49" x14ac:dyDescent="0.25">
      <c r="AO170" t="s">
        <v>86</v>
      </c>
      <c r="AP170" t="s">
        <v>60</v>
      </c>
      <c r="AQ170">
        <v>2003</v>
      </c>
      <c r="AR170" t="s">
        <v>72</v>
      </c>
      <c r="AS170" t="s">
        <v>306</v>
      </c>
      <c r="AT170" t="s">
        <v>317</v>
      </c>
      <c r="AU170" t="s">
        <v>218</v>
      </c>
      <c r="AV170" t="s">
        <v>308</v>
      </c>
      <c r="AW170">
        <v>4.2</v>
      </c>
    </row>
    <row r="171" spans="41:49" x14ac:dyDescent="0.25">
      <c r="AO171" t="s">
        <v>86</v>
      </c>
      <c r="AP171" t="s">
        <v>60</v>
      </c>
      <c r="AQ171">
        <v>2003</v>
      </c>
      <c r="AR171" t="s">
        <v>72</v>
      </c>
      <c r="AS171" t="s">
        <v>306</v>
      </c>
      <c r="AT171" t="s">
        <v>317</v>
      </c>
      <c r="AU171" t="s">
        <v>218</v>
      </c>
      <c r="AV171" t="s">
        <v>309</v>
      </c>
      <c r="AW171">
        <v>8.6</v>
      </c>
    </row>
    <row r="172" spans="41:49" x14ac:dyDescent="0.25">
      <c r="AO172" t="s">
        <v>86</v>
      </c>
      <c r="AP172" t="s">
        <v>60</v>
      </c>
      <c r="AQ172">
        <v>2003</v>
      </c>
      <c r="AR172" t="s">
        <v>72</v>
      </c>
      <c r="AS172" t="s">
        <v>306</v>
      </c>
      <c r="AT172" t="s">
        <v>317</v>
      </c>
      <c r="AU172" t="s">
        <v>218</v>
      </c>
      <c r="AV172" t="s">
        <v>268</v>
      </c>
      <c r="AW172">
        <v>12.8</v>
      </c>
    </row>
    <row r="173" spans="41:49" x14ac:dyDescent="0.25">
      <c r="AO173" t="s">
        <v>86</v>
      </c>
      <c r="AP173" t="s">
        <v>60</v>
      </c>
      <c r="AQ173">
        <v>2003</v>
      </c>
      <c r="AR173" t="s">
        <v>72</v>
      </c>
      <c r="AS173" t="s">
        <v>306</v>
      </c>
      <c r="AT173" t="s">
        <v>317</v>
      </c>
      <c r="AU173" t="s">
        <v>238</v>
      </c>
      <c r="AV173" t="s">
        <v>308</v>
      </c>
      <c r="AW173">
        <v>3.8</v>
      </c>
    </row>
    <row r="174" spans="41:49" x14ac:dyDescent="0.25">
      <c r="AO174" t="s">
        <v>86</v>
      </c>
      <c r="AP174" t="s">
        <v>60</v>
      </c>
      <c r="AQ174">
        <v>2003</v>
      </c>
      <c r="AR174" t="s">
        <v>72</v>
      </c>
      <c r="AS174" t="s">
        <v>306</v>
      </c>
      <c r="AT174" t="s">
        <v>317</v>
      </c>
      <c r="AU174" t="s">
        <v>238</v>
      </c>
      <c r="AV174" t="s">
        <v>309</v>
      </c>
      <c r="AW174">
        <v>7.1</v>
      </c>
    </row>
    <row r="175" spans="41:49" x14ac:dyDescent="0.25">
      <c r="AO175" t="s">
        <v>86</v>
      </c>
      <c r="AP175" t="s">
        <v>60</v>
      </c>
      <c r="AQ175">
        <v>2003</v>
      </c>
      <c r="AR175" t="s">
        <v>72</v>
      </c>
      <c r="AS175" t="s">
        <v>306</v>
      </c>
      <c r="AT175" t="s">
        <v>317</v>
      </c>
      <c r="AU175" t="s">
        <v>238</v>
      </c>
      <c r="AV175" t="s">
        <v>268</v>
      </c>
      <c r="AW175">
        <v>10.9</v>
      </c>
    </row>
    <row r="176" spans="41:49" x14ac:dyDescent="0.25">
      <c r="AO176" t="s">
        <v>86</v>
      </c>
      <c r="AP176" t="s">
        <v>60</v>
      </c>
      <c r="AQ176">
        <v>2003</v>
      </c>
      <c r="AR176" t="s">
        <v>72</v>
      </c>
      <c r="AS176" t="s">
        <v>306</v>
      </c>
      <c r="AT176" t="s">
        <v>317</v>
      </c>
      <c r="AU176" t="s">
        <v>239</v>
      </c>
      <c r="AV176" t="s">
        <v>308</v>
      </c>
      <c r="AW176">
        <v>3.5</v>
      </c>
    </row>
    <row r="177" spans="41:49" x14ac:dyDescent="0.25">
      <c r="AO177" t="s">
        <v>86</v>
      </c>
      <c r="AP177" t="s">
        <v>60</v>
      </c>
      <c r="AQ177">
        <v>2003</v>
      </c>
      <c r="AR177" t="s">
        <v>72</v>
      </c>
      <c r="AS177" t="s">
        <v>306</v>
      </c>
      <c r="AT177" t="s">
        <v>317</v>
      </c>
      <c r="AU177" t="s">
        <v>239</v>
      </c>
      <c r="AV177" t="s">
        <v>309</v>
      </c>
      <c r="AW177">
        <v>6.7</v>
      </c>
    </row>
    <row r="178" spans="41:49" x14ac:dyDescent="0.25">
      <c r="AO178" t="s">
        <v>86</v>
      </c>
      <c r="AP178" t="s">
        <v>60</v>
      </c>
      <c r="AQ178">
        <v>2003</v>
      </c>
      <c r="AR178" t="s">
        <v>72</v>
      </c>
      <c r="AS178" t="s">
        <v>306</v>
      </c>
      <c r="AT178" t="s">
        <v>317</v>
      </c>
      <c r="AU178" t="s">
        <v>239</v>
      </c>
      <c r="AV178" t="s">
        <v>268</v>
      </c>
      <c r="AW178">
        <v>10.199999999999999</v>
      </c>
    </row>
    <row r="179" spans="41:49" x14ac:dyDescent="0.25">
      <c r="AO179" t="s">
        <v>86</v>
      </c>
      <c r="AP179" t="s">
        <v>60</v>
      </c>
      <c r="AQ179">
        <v>2003</v>
      </c>
      <c r="AR179" t="s">
        <v>72</v>
      </c>
      <c r="AS179" t="s">
        <v>306</v>
      </c>
      <c r="AT179" t="s">
        <v>317</v>
      </c>
      <c r="AU179" t="s">
        <v>240</v>
      </c>
      <c r="AV179" t="s">
        <v>308</v>
      </c>
      <c r="AW179">
        <v>2.8</v>
      </c>
    </row>
    <row r="180" spans="41:49" x14ac:dyDescent="0.25">
      <c r="AO180" t="s">
        <v>86</v>
      </c>
      <c r="AP180" t="s">
        <v>60</v>
      </c>
      <c r="AQ180">
        <v>2003</v>
      </c>
      <c r="AR180" t="s">
        <v>72</v>
      </c>
      <c r="AS180" t="s">
        <v>306</v>
      </c>
      <c r="AT180" t="s">
        <v>317</v>
      </c>
      <c r="AU180" t="s">
        <v>240</v>
      </c>
      <c r="AV180" t="s">
        <v>309</v>
      </c>
      <c r="AW180">
        <v>9.1999999999999993</v>
      </c>
    </row>
    <row r="181" spans="41:49" x14ac:dyDescent="0.25">
      <c r="AO181" t="s">
        <v>86</v>
      </c>
      <c r="AP181" t="s">
        <v>60</v>
      </c>
      <c r="AQ181">
        <v>2003</v>
      </c>
      <c r="AR181" t="s">
        <v>72</v>
      </c>
      <c r="AS181" t="s">
        <v>306</v>
      </c>
      <c r="AT181" t="s">
        <v>317</v>
      </c>
      <c r="AU181" t="s">
        <v>240</v>
      </c>
      <c r="AV181" t="s">
        <v>268</v>
      </c>
      <c r="AW181">
        <v>12</v>
      </c>
    </row>
    <row r="182" spans="41:49" x14ac:dyDescent="0.25">
      <c r="AO182" t="s">
        <v>86</v>
      </c>
      <c r="AP182" t="s">
        <v>60</v>
      </c>
      <c r="AQ182">
        <v>2003</v>
      </c>
      <c r="AR182" t="s">
        <v>72</v>
      </c>
      <c r="AS182" t="s">
        <v>306</v>
      </c>
      <c r="AT182" t="s">
        <v>317</v>
      </c>
      <c r="AU182" t="s">
        <v>314</v>
      </c>
      <c r="AV182" t="s">
        <v>308</v>
      </c>
      <c r="AW182">
        <v>2.6</v>
      </c>
    </row>
    <row r="183" spans="41:49" x14ac:dyDescent="0.25">
      <c r="AO183" t="s">
        <v>86</v>
      </c>
      <c r="AP183" t="s">
        <v>60</v>
      </c>
      <c r="AQ183">
        <v>2003</v>
      </c>
      <c r="AR183" t="s">
        <v>72</v>
      </c>
      <c r="AS183" t="s">
        <v>306</v>
      </c>
      <c r="AT183" t="s">
        <v>317</v>
      </c>
      <c r="AU183" t="s">
        <v>314</v>
      </c>
      <c r="AV183" t="s">
        <v>309</v>
      </c>
      <c r="AW183">
        <v>5.65</v>
      </c>
    </row>
    <row r="184" spans="41:49" x14ac:dyDescent="0.25">
      <c r="AO184" t="s">
        <v>86</v>
      </c>
      <c r="AP184" t="s">
        <v>60</v>
      </c>
      <c r="AQ184">
        <v>2003</v>
      </c>
      <c r="AR184" t="s">
        <v>72</v>
      </c>
      <c r="AS184" t="s">
        <v>306</v>
      </c>
      <c r="AT184" t="s">
        <v>317</v>
      </c>
      <c r="AU184" t="s">
        <v>314</v>
      </c>
      <c r="AV184" t="s">
        <v>268</v>
      </c>
      <c r="AW184">
        <v>8.25</v>
      </c>
    </row>
    <row r="185" spans="41:49" x14ac:dyDescent="0.25">
      <c r="AO185" t="s">
        <v>86</v>
      </c>
      <c r="AP185" t="s">
        <v>60</v>
      </c>
      <c r="AQ185">
        <v>2003</v>
      </c>
      <c r="AR185" t="s">
        <v>72</v>
      </c>
      <c r="AS185" t="s">
        <v>306</v>
      </c>
      <c r="AT185" t="s">
        <v>317</v>
      </c>
      <c r="AU185" t="s">
        <v>242</v>
      </c>
      <c r="AV185" t="s">
        <v>308</v>
      </c>
      <c r="AW185">
        <v>0</v>
      </c>
    </row>
    <row r="186" spans="41:49" x14ac:dyDescent="0.25">
      <c r="AO186" t="s">
        <v>86</v>
      </c>
      <c r="AP186" t="s">
        <v>60</v>
      </c>
      <c r="AQ186">
        <v>2003</v>
      </c>
      <c r="AR186" t="s">
        <v>72</v>
      </c>
      <c r="AS186" t="s">
        <v>306</v>
      </c>
      <c r="AT186" t="s">
        <v>317</v>
      </c>
      <c r="AU186" t="s">
        <v>242</v>
      </c>
      <c r="AV186" t="s">
        <v>309</v>
      </c>
      <c r="AW186">
        <v>0</v>
      </c>
    </row>
    <row r="187" spans="41:49" x14ac:dyDescent="0.25">
      <c r="AO187" t="s">
        <v>86</v>
      </c>
      <c r="AP187" t="s">
        <v>60</v>
      </c>
      <c r="AQ187">
        <v>2003</v>
      </c>
      <c r="AR187" t="s">
        <v>72</v>
      </c>
      <c r="AS187" t="s">
        <v>306</v>
      </c>
      <c r="AT187" t="s">
        <v>317</v>
      </c>
      <c r="AU187" t="s">
        <v>242</v>
      </c>
      <c r="AV187" t="s">
        <v>268</v>
      </c>
      <c r="AW187">
        <v>0</v>
      </c>
    </row>
    <row r="188" spans="41:49" x14ac:dyDescent="0.25">
      <c r="AO188" t="s">
        <v>86</v>
      </c>
      <c r="AP188" t="s">
        <v>60</v>
      </c>
      <c r="AQ188">
        <v>2003</v>
      </c>
      <c r="AR188" t="s">
        <v>72</v>
      </c>
      <c r="AS188" t="s">
        <v>306</v>
      </c>
      <c r="AT188" t="s">
        <v>317</v>
      </c>
      <c r="AU188" t="s">
        <v>243</v>
      </c>
      <c r="AV188" t="s">
        <v>247</v>
      </c>
      <c r="AW188">
        <v>0</v>
      </c>
    </row>
    <row r="189" spans="41:49" x14ac:dyDescent="0.25">
      <c r="AO189" t="s">
        <v>86</v>
      </c>
      <c r="AP189" t="s">
        <v>60</v>
      </c>
      <c r="AQ189">
        <v>2003</v>
      </c>
      <c r="AR189" t="s">
        <v>72</v>
      </c>
      <c r="AS189" t="s">
        <v>306</v>
      </c>
      <c r="AT189" t="s">
        <v>317</v>
      </c>
      <c r="AU189" t="s">
        <v>243</v>
      </c>
      <c r="AV189" t="s">
        <v>248</v>
      </c>
      <c r="AW189">
        <v>0</v>
      </c>
    </row>
    <row r="190" spans="41:49" x14ac:dyDescent="0.25">
      <c r="AO190" t="s">
        <v>86</v>
      </c>
      <c r="AP190" t="s">
        <v>60</v>
      </c>
      <c r="AQ190">
        <v>2003</v>
      </c>
      <c r="AR190" t="s">
        <v>72</v>
      </c>
      <c r="AS190" t="s">
        <v>306</v>
      </c>
      <c r="AT190" t="s">
        <v>317</v>
      </c>
      <c r="AU190" t="s">
        <v>243</v>
      </c>
      <c r="AV190" t="s">
        <v>312</v>
      </c>
      <c r="AW190">
        <v>54.150000000000006</v>
      </c>
    </row>
    <row r="191" spans="41:49" x14ac:dyDescent="0.25">
      <c r="AO191" t="s">
        <v>98</v>
      </c>
      <c r="AP191" t="s">
        <v>60</v>
      </c>
      <c r="AQ191">
        <v>1999</v>
      </c>
      <c r="AR191" t="s">
        <v>72</v>
      </c>
      <c r="AS191" t="s">
        <v>306</v>
      </c>
      <c r="AT191" t="s">
        <v>317</v>
      </c>
      <c r="AU191" t="s">
        <v>218</v>
      </c>
      <c r="AV191" t="s">
        <v>308</v>
      </c>
      <c r="AW191">
        <v>0</v>
      </c>
    </row>
    <row r="192" spans="41:49" x14ac:dyDescent="0.25">
      <c r="AO192" t="s">
        <v>98</v>
      </c>
      <c r="AP192" t="s">
        <v>60</v>
      </c>
      <c r="AQ192">
        <v>1999</v>
      </c>
      <c r="AR192" t="s">
        <v>72</v>
      </c>
      <c r="AS192" t="s">
        <v>306</v>
      </c>
      <c r="AT192" t="s">
        <v>317</v>
      </c>
      <c r="AU192" t="s">
        <v>218</v>
      </c>
      <c r="AV192" t="s">
        <v>309</v>
      </c>
      <c r="AW192">
        <v>0</v>
      </c>
    </row>
    <row r="193" spans="41:49" x14ac:dyDescent="0.25">
      <c r="AO193" t="s">
        <v>98</v>
      </c>
      <c r="AP193" t="s">
        <v>60</v>
      </c>
      <c r="AQ193">
        <v>1999</v>
      </c>
      <c r="AR193" t="s">
        <v>72</v>
      </c>
      <c r="AS193" t="s">
        <v>306</v>
      </c>
      <c r="AT193" t="s">
        <v>317</v>
      </c>
      <c r="AU193" t="s">
        <v>218</v>
      </c>
      <c r="AV193" t="s">
        <v>268</v>
      </c>
      <c r="AW193">
        <v>0</v>
      </c>
    </row>
    <row r="194" spans="41:49" x14ac:dyDescent="0.25">
      <c r="AO194" t="s">
        <v>98</v>
      </c>
      <c r="AP194" t="s">
        <v>60</v>
      </c>
      <c r="AQ194">
        <v>1999</v>
      </c>
      <c r="AR194" t="s">
        <v>72</v>
      </c>
      <c r="AS194" t="s">
        <v>306</v>
      </c>
      <c r="AT194" t="s">
        <v>317</v>
      </c>
      <c r="AU194" t="s">
        <v>238</v>
      </c>
      <c r="AV194" t="s">
        <v>308</v>
      </c>
      <c r="AW194">
        <v>3.3</v>
      </c>
    </row>
    <row r="195" spans="41:49" x14ac:dyDescent="0.25">
      <c r="AO195" t="s">
        <v>98</v>
      </c>
      <c r="AP195" t="s">
        <v>60</v>
      </c>
      <c r="AQ195">
        <v>1999</v>
      </c>
      <c r="AR195" t="s">
        <v>72</v>
      </c>
      <c r="AS195" t="s">
        <v>306</v>
      </c>
      <c r="AT195" t="s">
        <v>317</v>
      </c>
      <c r="AU195" t="s">
        <v>238</v>
      </c>
      <c r="AV195" t="s">
        <v>309</v>
      </c>
      <c r="AW195">
        <v>4.0999999999999996</v>
      </c>
    </row>
    <row r="196" spans="41:49" x14ac:dyDescent="0.25">
      <c r="AO196" t="s">
        <v>98</v>
      </c>
      <c r="AP196" t="s">
        <v>60</v>
      </c>
      <c r="AQ196">
        <v>1999</v>
      </c>
      <c r="AR196" t="s">
        <v>72</v>
      </c>
      <c r="AS196" t="s">
        <v>306</v>
      </c>
      <c r="AT196" t="s">
        <v>317</v>
      </c>
      <c r="AU196" t="s">
        <v>238</v>
      </c>
      <c r="AV196" t="s">
        <v>268</v>
      </c>
      <c r="AW196">
        <v>7.4</v>
      </c>
    </row>
    <row r="197" spans="41:49" x14ac:dyDescent="0.25">
      <c r="AO197" t="s">
        <v>98</v>
      </c>
      <c r="AP197" t="s">
        <v>60</v>
      </c>
      <c r="AQ197">
        <v>1999</v>
      </c>
      <c r="AR197" t="s">
        <v>72</v>
      </c>
      <c r="AS197" t="s">
        <v>306</v>
      </c>
      <c r="AT197" t="s">
        <v>317</v>
      </c>
      <c r="AU197" t="s">
        <v>239</v>
      </c>
      <c r="AV197" t="s">
        <v>308</v>
      </c>
      <c r="AW197">
        <v>3.2</v>
      </c>
    </row>
    <row r="198" spans="41:49" x14ac:dyDescent="0.25">
      <c r="AO198" t="s">
        <v>98</v>
      </c>
      <c r="AP198" t="s">
        <v>60</v>
      </c>
      <c r="AQ198">
        <v>1999</v>
      </c>
      <c r="AR198" t="s">
        <v>72</v>
      </c>
      <c r="AS198" t="s">
        <v>306</v>
      </c>
      <c r="AT198" t="s">
        <v>317</v>
      </c>
      <c r="AU198" t="s">
        <v>239</v>
      </c>
      <c r="AV198" t="s">
        <v>309</v>
      </c>
      <c r="AW198">
        <v>7.65</v>
      </c>
    </row>
    <row r="199" spans="41:49" x14ac:dyDescent="0.25">
      <c r="AO199" t="s">
        <v>98</v>
      </c>
      <c r="AP199" t="s">
        <v>60</v>
      </c>
      <c r="AQ199">
        <v>1999</v>
      </c>
      <c r="AR199" t="s">
        <v>72</v>
      </c>
      <c r="AS199" t="s">
        <v>306</v>
      </c>
      <c r="AT199" t="s">
        <v>317</v>
      </c>
      <c r="AU199" t="s">
        <v>239</v>
      </c>
      <c r="AV199" t="s">
        <v>268</v>
      </c>
      <c r="AW199">
        <v>10.85</v>
      </c>
    </row>
    <row r="200" spans="41:49" x14ac:dyDescent="0.25">
      <c r="AO200" t="s">
        <v>98</v>
      </c>
      <c r="AP200" t="s">
        <v>60</v>
      </c>
      <c r="AQ200">
        <v>1999</v>
      </c>
      <c r="AR200" t="s">
        <v>72</v>
      </c>
      <c r="AS200" t="s">
        <v>306</v>
      </c>
      <c r="AT200" t="s">
        <v>317</v>
      </c>
      <c r="AU200" t="s">
        <v>240</v>
      </c>
      <c r="AV200" t="s">
        <v>308</v>
      </c>
      <c r="AW200">
        <v>0</v>
      </c>
    </row>
    <row r="201" spans="41:49" x14ac:dyDescent="0.25">
      <c r="AO201" t="s">
        <v>98</v>
      </c>
      <c r="AP201" t="s">
        <v>60</v>
      </c>
      <c r="AQ201">
        <v>1999</v>
      </c>
      <c r="AR201" t="s">
        <v>72</v>
      </c>
      <c r="AS201" t="s">
        <v>306</v>
      </c>
      <c r="AT201" t="s">
        <v>317</v>
      </c>
      <c r="AU201" t="s">
        <v>240</v>
      </c>
      <c r="AV201" t="s">
        <v>309</v>
      </c>
      <c r="AW201">
        <v>0</v>
      </c>
    </row>
    <row r="202" spans="41:49" x14ac:dyDescent="0.25">
      <c r="AO202" t="s">
        <v>98</v>
      </c>
      <c r="AP202" t="s">
        <v>60</v>
      </c>
      <c r="AQ202">
        <v>1999</v>
      </c>
      <c r="AR202" t="s">
        <v>72</v>
      </c>
      <c r="AS202" t="s">
        <v>306</v>
      </c>
      <c r="AT202" t="s">
        <v>317</v>
      </c>
      <c r="AU202" t="s">
        <v>240</v>
      </c>
      <c r="AV202" t="s">
        <v>268</v>
      </c>
      <c r="AW202">
        <v>0</v>
      </c>
    </row>
    <row r="203" spans="41:49" x14ac:dyDescent="0.25">
      <c r="AO203" t="s">
        <v>98</v>
      </c>
      <c r="AP203" t="s">
        <v>60</v>
      </c>
      <c r="AQ203">
        <v>1999</v>
      </c>
      <c r="AR203" t="s">
        <v>72</v>
      </c>
      <c r="AS203" t="s">
        <v>306</v>
      </c>
      <c r="AT203" t="s">
        <v>317</v>
      </c>
      <c r="AU203" t="s">
        <v>314</v>
      </c>
      <c r="AV203" t="s">
        <v>308</v>
      </c>
      <c r="AW203">
        <v>2.5</v>
      </c>
    </row>
    <row r="204" spans="41:49" x14ac:dyDescent="0.25">
      <c r="AO204" t="s">
        <v>98</v>
      </c>
      <c r="AP204" t="s">
        <v>60</v>
      </c>
      <c r="AQ204">
        <v>1999</v>
      </c>
      <c r="AR204" t="s">
        <v>72</v>
      </c>
      <c r="AS204" t="s">
        <v>306</v>
      </c>
      <c r="AT204" t="s">
        <v>317</v>
      </c>
      <c r="AU204" t="s">
        <v>314</v>
      </c>
      <c r="AV204" t="s">
        <v>309</v>
      </c>
      <c r="AW204">
        <v>8.8000000000000007</v>
      </c>
    </row>
    <row r="205" spans="41:49" x14ac:dyDescent="0.25">
      <c r="AO205" t="s">
        <v>98</v>
      </c>
      <c r="AP205" t="s">
        <v>60</v>
      </c>
      <c r="AQ205">
        <v>1999</v>
      </c>
      <c r="AR205" t="s">
        <v>72</v>
      </c>
      <c r="AS205" t="s">
        <v>306</v>
      </c>
      <c r="AT205" t="s">
        <v>317</v>
      </c>
      <c r="AU205" t="s">
        <v>314</v>
      </c>
      <c r="AV205" t="s">
        <v>268</v>
      </c>
      <c r="AW205">
        <v>11.3</v>
      </c>
    </row>
    <row r="206" spans="41:49" x14ac:dyDescent="0.25">
      <c r="AO206" t="s">
        <v>98</v>
      </c>
      <c r="AP206" t="s">
        <v>60</v>
      </c>
      <c r="AQ206">
        <v>1999</v>
      </c>
      <c r="AR206" t="s">
        <v>72</v>
      </c>
      <c r="AS206" t="s">
        <v>306</v>
      </c>
      <c r="AT206" t="s">
        <v>317</v>
      </c>
      <c r="AU206" t="s">
        <v>242</v>
      </c>
      <c r="AV206" t="s">
        <v>308</v>
      </c>
      <c r="AW206">
        <v>3</v>
      </c>
    </row>
    <row r="207" spans="41:49" x14ac:dyDescent="0.25">
      <c r="AO207" t="s">
        <v>98</v>
      </c>
      <c r="AP207" t="s">
        <v>60</v>
      </c>
      <c r="AQ207">
        <v>1999</v>
      </c>
      <c r="AR207" t="s">
        <v>72</v>
      </c>
      <c r="AS207" t="s">
        <v>306</v>
      </c>
      <c r="AT207" t="s">
        <v>317</v>
      </c>
      <c r="AU207" t="s">
        <v>242</v>
      </c>
      <c r="AV207" t="s">
        <v>309</v>
      </c>
      <c r="AW207">
        <v>7</v>
      </c>
    </row>
    <row r="208" spans="41:49" x14ac:dyDescent="0.25">
      <c r="AO208" t="s">
        <v>98</v>
      </c>
      <c r="AP208" t="s">
        <v>60</v>
      </c>
      <c r="AQ208">
        <v>1999</v>
      </c>
      <c r="AR208" t="s">
        <v>72</v>
      </c>
      <c r="AS208" t="s">
        <v>306</v>
      </c>
      <c r="AT208" t="s">
        <v>317</v>
      </c>
      <c r="AU208" t="s">
        <v>242</v>
      </c>
      <c r="AV208" t="s">
        <v>268</v>
      </c>
      <c r="AW208">
        <v>10</v>
      </c>
    </row>
    <row r="209" spans="41:49" x14ac:dyDescent="0.25">
      <c r="AO209" t="s">
        <v>98</v>
      </c>
      <c r="AP209" t="s">
        <v>60</v>
      </c>
      <c r="AQ209">
        <v>1999</v>
      </c>
      <c r="AR209" t="s">
        <v>72</v>
      </c>
      <c r="AS209" t="s">
        <v>306</v>
      </c>
      <c r="AT209" t="s">
        <v>317</v>
      </c>
      <c r="AU209" t="s">
        <v>243</v>
      </c>
      <c r="AV209" t="s">
        <v>247</v>
      </c>
      <c r="AW209">
        <v>0</v>
      </c>
    </row>
    <row r="210" spans="41:49" x14ac:dyDescent="0.25">
      <c r="AO210" t="s">
        <v>98</v>
      </c>
      <c r="AP210" t="s">
        <v>60</v>
      </c>
      <c r="AQ210">
        <v>1999</v>
      </c>
      <c r="AR210" t="s">
        <v>72</v>
      </c>
      <c r="AS210" t="s">
        <v>306</v>
      </c>
      <c r="AT210" t="s">
        <v>317</v>
      </c>
      <c r="AU210" t="s">
        <v>243</v>
      </c>
      <c r="AV210" t="s">
        <v>248</v>
      </c>
      <c r="AW210">
        <v>0</v>
      </c>
    </row>
    <row r="211" spans="41:49" x14ac:dyDescent="0.25">
      <c r="AO211" t="s">
        <v>98</v>
      </c>
      <c r="AP211" t="s">
        <v>60</v>
      </c>
      <c r="AQ211">
        <v>1999</v>
      </c>
      <c r="AR211" t="s">
        <v>72</v>
      </c>
      <c r="AS211" t="s">
        <v>306</v>
      </c>
      <c r="AT211" t="s">
        <v>317</v>
      </c>
      <c r="AU211" t="s">
        <v>243</v>
      </c>
      <c r="AV211" t="s">
        <v>312</v>
      </c>
      <c r="AW211">
        <v>39.549999999999997</v>
      </c>
    </row>
    <row r="212" spans="41:49" x14ac:dyDescent="0.25">
      <c r="AO212" t="s">
        <v>129</v>
      </c>
      <c r="AP212" t="s">
        <v>60</v>
      </c>
      <c r="AQ212">
        <v>2000</v>
      </c>
      <c r="AR212" t="s">
        <v>72</v>
      </c>
      <c r="AS212" t="s">
        <v>306</v>
      </c>
      <c r="AT212" t="s">
        <v>317</v>
      </c>
      <c r="AU212" t="s">
        <v>218</v>
      </c>
      <c r="AV212" t="s">
        <v>308</v>
      </c>
      <c r="AW212">
        <v>4.0999999999999996</v>
      </c>
    </row>
    <row r="213" spans="41:49" x14ac:dyDescent="0.25">
      <c r="AO213" t="s">
        <v>129</v>
      </c>
      <c r="AP213" t="s">
        <v>60</v>
      </c>
      <c r="AQ213">
        <v>2000</v>
      </c>
      <c r="AR213" t="s">
        <v>72</v>
      </c>
      <c r="AS213" t="s">
        <v>306</v>
      </c>
      <c r="AT213" t="s">
        <v>317</v>
      </c>
      <c r="AU213" t="s">
        <v>218</v>
      </c>
      <c r="AV213" t="s">
        <v>309</v>
      </c>
      <c r="AW213">
        <v>7.6</v>
      </c>
    </row>
    <row r="214" spans="41:49" x14ac:dyDescent="0.25">
      <c r="AO214" t="s">
        <v>129</v>
      </c>
      <c r="AP214" t="s">
        <v>60</v>
      </c>
      <c r="AQ214">
        <v>2000</v>
      </c>
      <c r="AR214" t="s">
        <v>72</v>
      </c>
      <c r="AS214" t="s">
        <v>306</v>
      </c>
      <c r="AT214" t="s">
        <v>317</v>
      </c>
      <c r="AU214" t="s">
        <v>218</v>
      </c>
      <c r="AV214" t="s">
        <v>268</v>
      </c>
      <c r="AW214">
        <v>11.7</v>
      </c>
    </row>
    <row r="215" spans="41:49" x14ac:dyDescent="0.25">
      <c r="AO215" t="s">
        <v>129</v>
      </c>
      <c r="AP215" t="s">
        <v>60</v>
      </c>
      <c r="AQ215">
        <v>2000</v>
      </c>
      <c r="AR215" t="s">
        <v>72</v>
      </c>
      <c r="AS215" t="s">
        <v>306</v>
      </c>
      <c r="AT215" t="s">
        <v>317</v>
      </c>
      <c r="AU215" t="s">
        <v>238</v>
      </c>
      <c r="AV215" t="s">
        <v>308</v>
      </c>
      <c r="AW215">
        <v>0</v>
      </c>
    </row>
    <row r="216" spans="41:49" x14ac:dyDescent="0.25">
      <c r="AO216" t="s">
        <v>129</v>
      </c>
      <c r="AP216" t="s">
        <v>60</v>
      </c>
      <c r="AQ216">
        <v>2000</v>
      </c>
      <c r="AR216" t="s">
        <v>72</v>
      </c>
      <c r="AS216" t="s">
        <v>306</v>
      </c>
      <c r="AT216" t="s">
        <v>317</v>
      </c>
      <c r="AU216" t="s">
        <v>238</v>
      </c>
      <c r="AV216" t="s">
        <v>309</v>
      </c>
      <c r="AW216">
        <v>0</v>
      </c>
    </row>
    <row r="217" spans="41:49" x14ac:dyDescent="0.25">
      <c r="AO217" t="s">
        <v>129</v>
      </c>
      <c r="AP217" t="s">
        <v>60</v>
      </c>
      <c r="AQ217">
        <v>2000</v>
      </c>
      <c r="AR217" t="s">
        <v>72</v>
      </c>
      <c r="AS217" t="s">
        <v>306</v>
      </c>
      <c r="AT217" t="s">
        <v>317</v>
      </c>
      <c r="AU217" t="s">
        <v>238</v>
      </c>
      <c r="AV217" t="s">
        <v>268</v>
      </c>
      <c r="AW217">
        <v>0</v>
      </c>
    </row>
    <row r="218" spans="41:49" x14ac:dyDescent="0.25">
      <c r="AO218" t="s">
        <v>129</v>
      </c>
      <c r="AP218" t="s">
        <v>60</v>
      </c>
      <c r="AQ218">
        <v>2000</v>
      </c>
      <c r="AR218" t="s">
        <v>72</v>
      </c>
      <c r="AS218" t="s">
        <v>306</v>
      </c>
      <c r="AT218" t="s">
        <v>317</v>
      </c>
      <c r="AU218" t="s">
        <v>239</v>
      </c>
      <c r="AV218" t="s">
        <v>308</v>
      </c>
      <c r="AW218">
        <v>0</v>
      </c>
    </row>
    <row r="219" spans="41:49" x14ac:dyDescent="0.25">
      <c r="AO219" t="s">
        <v>129</v>
      </c>
      <c r="AP219" t="s">
        <v>60</v>
      </c>
      <c r="AQ219">
        <v>2000</v>
      </c>
      <c r="AR219" t="s">
        <v>72</v>
      </c>
      <c r="AS219" t="s">
        <v>306</v>
      </c>
      <c r="AT219" t="s">
        <v>317</v>
      </c>
      <c r="AU219" t="s">
        <v>239</v>
      </c>
      <c r="AV219" t="s">
        <v>309</v>
      </c>
      <c r="AW219">
        <v>0</v>
      </c>
    </row>
    <row r="220" spans="41:49" x14ac:dyDescent="0.25">
      <c r="AO220" t="s">
        <v>129</v>
      </c>
      <c r="AP220" t="s">
        <v>60</v>
      </c>
      <c r="AQ220">
        <v>2000</v>
      </c>
      <c r="AR220" t="s">
        <v>72</v>
      </c>
      <c r="AS220" t="s">
        <v>306</v>
      </c>
      <c r="AT220" t="s">
        <v>317</v>
      </c>
      <c r="AU220" t="s">
        <v>239</v>
      </c>
      <c r="AV220" t="s">
        <v>268</v>
      </c>
      <c r="AW220">
        <v>0</v>
      </c>
    </row>
    <row r="221" spans="41:49" x14ac:dyDescent="0.25">
      <c r="AO221" t="s">
        <v>129</v>
      </c>
      <c r="AP221" t="s">
        <v>60</v>
      </c>
      <c r="AQ221">
        <v>2000</v>
      </c>
      <c r="AR221" t="s">
        <v>72</v>
      </c>
      <c r="AS221" t="s">
        <v>306</v>
      </c>
      <c r="AT221" t="s">
        <v>317</v>
      </c>
      <c r="AU221" t="s">
        <v>240</v>
      </c>
      <c r="AV221" t="s">
        <v>308</v>
      </c>
      <c r="AW221">
        <v>4</v>
      </c>
    </row>
    <row r="222" spans="41:49" x14ac:dyDescent="0.25">
      <c r="AO222" t="s">
        <v>129</v>
      </c>
      <c r="AP222" t="s">
        <v>60</v>
      </c>
      <c r="AQ222">
        <v>2000</v>
      </c>
      <c r="AR222" t="s">
        <v>72</v>
      </c>
      <c r="AS222" t="s">
        <v>306</v>
      </c>
      <c r="AT222" t="s">
        <v>317</v>
      </c>
      <c r="AU222" t="s">
        <v>240</v>
      </c>
      <c r="AV222" t="s">
        <v>309</v>
      </c>
      <c r="AW222">
        <v>9.25</v>
      </c>
    </row>
    <row r="223" spans="41:49" x14ac:dyDescent="0.25">
      <c r="AO223" t="s">
        <v>129</v>
      </c>
      <c r="AP223" t="s">
        <v>60</v>
      </c>
      <c r="AQ223">
        <v>2000</v>
      </c>
      <c r="AR223" t="s">
        <v>72</v>
      </c>
      <c r="AS223" t="s">
        <v>306</v>
      </c>
      <c r="AT223" t="s">
        <v>317</v>
      </c>
      <c r="AU223" t="s">
        <v>240</v>
      </c>
      <c r="AV223" t="s">
        <v>268</v>
      </c>
      <c r="AW223">
        <v>13.25</v>
      </c>
    </row>
    <row r="224" spans="41:49" x14ac:dyDescent="0.25">
      <c r="AO224" t="s">
        <v>129</v>
      </c>
      <c r="AP224" t="s">
        <v>60</v>
      </c>
      <c r="AQ224">
        <v>2000</v>
      </c>
      <c r="AR224" t="s">
        <v>72</v>
      </c>
      <c r="AS224" t="s">
        <v>306</v>
      </c>
      <c r="AT224" t="s">
        <v>317</v>
      </c>
      <c r="AU224" t="s">
        <v>314</v>
      </c>
      <c r="AV224" t="s">
        <v>308</v>
      </c>
      <c r="AW224">
        <v>2.7</v>
      </c>
    </row>
    <row r="225" spans="41:49" x14ac:dyDescent="0.25">
      <c r="AO225" t="s">
        <v>129</v>
      </c>
      <c r="AP225" t="s">
        <v>60</v>
      </c>
      <c r="AQ225">
        <v>2000</v>
      </c>
      <c r="AR225" t="s">
        <v>72</v>
      </c>
      <c r="AS225" t="s">
        <v>306</v>
      </c>
      <c r="AT225" t="s">
        <v>317</v>
      </c>
      <c r="AU225" t="s">
        <v>314</v>
      </c>
      <c r="AV225" t="s">
        <v>309</v>
      </c>
      <c r="AW225">
        <v>8.65</v>
      </c>
    </row>
    <row r="226" spans="41:49" x14ac:dyDescent="0.25">
      <c r="AO226" t="s">
        <v>129</v>
      </c>
      <c r="AP226" t="s">
        <v>60</v>
      </c>
      <c r="AQ226">
        <v>2000</v>
      </c>
      <c r="AR226" t="s">
        <v>72</v>
      </c>
      <c r="AS226" t="s">
        <v>306</v>
      </c>
      <c r="AT226" t="s">
        <v>317</v>
      </c>
      <c r="AU226" t="s">
        <v>314</v>
      </c>
      <c r="AV226" t="s">
        <v>268</v>
      </c>
      <c r="AW226">
        <v>11.35</v>
      </c>
    </row>
    <row r="227" spans="41:49" x14ac:dyDescent="0.25">
      <c r="AO227" t="s">
        <v>129</v>
      </c>
      <c r="AP227" t="s">
        <v>60</v>
      </c>
      <c r="AQ227">
        <v>2000</v>
      </c>
      <c r="AR227" t="s">
        <v>72</v>
      </c>
      <c r="AS227" t="s">
        <v>306</v>
      </c>
      <c r="AT227" t="s">
        <v>317</v>
      </c>
      <c r="AU227" t="s">
        <v>242</v>
      </c>
      <c r="AV227" t="s">
        <v>308</v>
      </c>
      <c r="AW227">
        <v>0</v>
      </c>
    </row>
    <row r="228" spans="41:49" x14ac:dyDescent="0.25">
      <c r="AO228" t="s">
        <v>129</v>
      </c>
      <c r="AP228" t="s">
        <v>60</v>
      </c>
      <c r="AQ228">
        <v>2000</v>
      </c>
      <c r="AR228" t="s">
        <v>72</v>
      </c>
      <c r="AS228" t="s">
        <v>306</v>
      </c>
      <c r="AT228" t="s">
        <v>317</v>
      </c>
      <c r="AU228" t="s">
        <v>242</v>
      </c>
      <c r="AV228" t="s">
        <v>309</v>
      </c>
      <c r="AW228">
        <v>0</v>
      </c>
    </row>
    <row r="229" spans="41:49" x14ac:dyDescent="0.25">
      <c r="AO229" t="s">
        <v>129</v>
      </c>
      <c r="AP229" t="s">
        <v>60</v>
      </c>
      <c r="AQ229">
        <v>2000</v>
      </c>
      <c r="AR229" t="s">
        <v>72</v>
      </c>
      <c r="AS229" t="s">
        <v>306</v>
      </c>
      <c r="AT229" t="s">
        <v>317</v>
      </c>
      <c r="AU229" t="s">
        <v>242</v>
      </c>
      <c r="AV229" t="s">
        <v>268</v>
      </c>
      <c r="AW229">
        <v>0</v>
      </c>
    </row>
    <row r="230" spans="41:49" x14ac:dyDescent="0.25">
      <c r="AO230" t="s">
        <v>129</v>
      </c>
      <c r="AP230" t="s">
        <v>60</v>
      </c>
      <c r="AQ230">
        <v>2000</v>
      </c>
      <c r="AR230" t="s">
        <v>72</v>
      </c>
      <c r="AS230" t="s">
        <v>306</v>
      </c>
      <c r="AT230" t="s">
        <v>317</v>
      </c>
      <c r="AU230" t="s">
        <v>243</v>
      </c>
      <c r="AV230" t="s">
        <v>247</v>
      </c>
      <c r="AW230">
        <v>0</v>
      </c>
    </row>
    <row r="231" spans="41:49" x14ac:dyDescent="0.25">
      <c r="AO231" t="s">
        <v>129</v>
      </c>
      <c r="AP231" t="s">
        <v>60</v>
      </c>
      <c r="AQ231">
        <v>2000</v>
      </c>
      <c r="AR231" t="s">
        <v>72</v>
      </c>
      <c r="AS231" t="s">
        <v>306</v>
      </c>
      <c r="AT231" t="s">
        <v>317</v>
      </c>
      <c r="AU231" t="s">
        <v>243</v>
      </c>
      <c r="AV231" t="s">
        <v>248</v>
      </c>
      <c r="AW231">
        <v>0</v>
      </c>
    </row>
    <row r="232" spans="41:49" x14ac:dyDescent="0.25">
      <c r="AO232" t="s">
        <v>129</v>
      </c>
      <c r="AP232" t="s">
        <v>60</v>
      </c>
      <c r="AQ232">
        <v>2000</v>
      </c>
      <c r="AR232" t="s">
        <v>72</v>
      </c>
      <c r="AS232" t="s">
        <v>306</v>
      </c>
      <c r="AT232" t="s">
        <v>317</v>
      </c>
      <c r="AU232" t="s">
        <v>243</v>
      </c>
      <c r="AV232" t="s">
        <v>312</v>
      </c>
      <c r="AW232">
        <v>36.299999999999997</v>
      </c>
    </row>
    <row r="233" spans="41:49" x14ac:dyDescent="0.25">
      <c r="AO233" t="s">
        <v>144</v>
      </c>
      <c r="AP233" t="s">
        <v>60</v>
      </c>
      <c r="AQ233">
        <v>2002</v>
      </c>
      <c r="AR233" t="s">
        <v>62</v>
      </c>
      <c r="AS233" t="s">
        <v>306</v>
      </c>
      <c r="AT233" t="s">
        <v>317</v>
      </c>
      <c r="AU233" t="s">
        <v>218</v>
      </c>
      <c r="AV233" t="s">
        <v>308</v>
      </c>
      <c r="AW233">
        <v>0</v>
      </c>
    </row>
    <row r="234" spans="41:49" x14ac:dyDescent="0.25">
      <c r="AO234" t="s">
        <v>144</v>
      </c>
      <c r="AP234" t="s">
        <v>60</v>
      </c>
      <c r="AQ234">
        <v>2002</v>
      </c>
      <c r="AR234" t="s">
        <v>62</v>
      </c>
      <c r="AS234" t="s">
        <v>306</v>
      </c>
      <c r="AT234" t="s">
        <v>317</v>
      </c>
      <c r="AU234" t="s">
        <v>218</v>
      </c>
      <c r="AV234" t="s">
        <v>309</v>
      </c>
      <c r="AW234">
        <v>0</v>
      </c>
    </row>
    <row r="235" spans="41:49" x14ac:dyDescent="0.25">
      <c r="AO235" t="s">
        <v>144</v>
      </c>
      <c r="AP235" t="s">
        <v>60</v>
      </c>
      <c r="AQ235">
        <v>2002</v>
      </c>
      <c r="AR235" t="s">
        <v>62</v>
      </c>
      <c r="AS235" t="s">
        <v>306</v>
      </c>
      <c r="AT235" t="s">
        <v>317</v>
      </c>
      <c r="AU235" t="s">
        <v>218</v>
      </c>
      <c r="AV235" t="s">
        <v>268</v>
      </c>
      <c r="AW235">
        <v>0</v>
      </c>
    </row>
    <row r="236" spans="41:49" x14ac:dyDescent="0.25">
      <c r="AO236" t="s">
        <v>144</v>
      </c>
      <c r="AP236" t="s">
        <v>60</v>
      </c>
      <c r="AQ236">
        <v>2002</v>
      </c>
      <c r="AR236" t="s">
        <v>62</v>
      </c>
      <c r="AS236" t="s">
        <v>306</v>
      </c>
      <c r="AT236" t="s">
        <v>317</v>
      </c>
      <c r="AU236" t="s">
        <v>238</v>
      </c>
      <c r="AV236" t="s">
        <v>308</v>
      </c>
      <c r="AW236">
        <v>3.8</v>
      </c>
    </row>
    <row r="237" spans="41:49" x14ac:dyDescent="0.25">
      <c r="AO237" t="s">
        <v>144</v>
      </c>
      <c r="AP237" t="s">
        <v>60</v>
      </c>
      <c r="AQ237">
        <v>2002</v>
      </c>
      <c r="AR237" t="s">
        <v>62</v>
      </c>
      <c r="AS237" t="s">
        <v>306</v>
      </c>
      <c r="AT237" t="s">
        <v>317</v>
      </c>
      <c r="AU237" t="s">
        <v>238</v>
      </c>
      <c r="AV237" t="s">
        <v>309</v>
      </c>
      <c r="AW237">
        <v>4.1500000000000004</v>
      </c>
    </row>
    <row r="238" spans="41:49" x14ac:dyDescent="0.25">
      <c r="AO238" t="s">
        <v>144</v>
      </c>
      <c r="AP238" t="s">
        <v>60</v>
      </c>
      <c r="AQ238">
        <v>2002</v>
      </c>
      <c r="AR238" t="s">
        <v>62</v>
      </c>
      <c r="AS238" t="s">
        <v>306</v>
      </c>
      <c r="AT238" t="s">
        <v>317</v>
      </c>
      <c r="AU238" t="s">
        <v>238</v>
      </c>
      <c r="AV238" t="s">
        <v>268</v>
      </c>
      <c r="AW238">
        <v>7.95</v>
      </c>
    </row>
    <row r="239" spans="41:49" x14ac:dyDescent="0.25">
      <c r="AO239" t="s">
        <v>144</v>
      </c>
      <c r="AP239" t="s">
        <v>60</v>
      </c>
      <c r="AQ239">
        <v>2002</v>
      </c>
      <c r="AR239" t="s">
        <v>62</v>
      </c>
      <c r="AS239" t="s">
        <v>306</v>
      </c>
      <c r="AT239" t="s">
        <v>317</v>
      </c>
      <c r="AU239" t="s">
        <v>239</v>
      </c>
      <c r="AV239" t="s">
        <v>308</v>
      </c>
      <c r="AW239">
        <v>4.0999999999999996</v>
      </c>
    </row>
    <row r="240" spans="41:49" x14ac:dyDescent="0.25">
      <c r="AO240" t="s">
        <v>144</v>
      </c>
      <c r="AP240" t="s">
        <v>60</v>
      </c>
      <c r="AQ240">
        <v>2002</v>
      </c>
      <c r="AR240" t="s">
        <v>62</v>
      </c>
      <c r="AS240" t="s">
        <v>306</v>
      </c>
      <c r="AT240" t="s">
        <v>317</v>
      </c>
      <c r="AU240" t="s">
        <v>239</v>
      </c>
      <c r="AV240" t="s">
        <v>309</v>
      </c>
      <c r="AW240">
        <v>8.4</v>
      </c>
    </row>
    <row r="241" spans="41:49" x14ac:dyDescent="0.25">
      <c r="AO241" t="s">
        <v>144</v>
      </c>
      <c r="AP241" t="s">
        <v>60</v>
      </c>
      <c r="AQ241">
        <v>2002</v>
      </c>
      <c r="AR241" t="s">
        <v>62</v>
      </c>
      <c r="AS241" t="s">
        <v>306</v>
      </c>
      <c r="AT241" t="s">
        <v>317</v>
      </c>
      <c r="AU241" t="s">
        <v>239</v>
      </c>
      <c r="AV241" t="s">
        <v>268</v>
      </c>
      <c r="AW241">
        <v>12.5</v>
      </c>
    </row>
    <row r="242" spans="41:49" x14ac:dyDescent="0.25">
      <c r="AO242" t="s">
        <v>144</v>
      </c>
      <c r="AP242" t="s">
        <v>60</v>
      </c>
      <c r="AQ242">
        <v>2002</v>
      </c>
      <c r="AR242" t="s">
        <v>62</v>
      </c>
      <c r="AS242" t="s">
        <v>306</v>
      </c>
      <c r="AT242" t="s">
        <v>317</v>
      </c>
      <c r="AU242" t="s">
        <v>240</v>
      </c>
      <c r="AV242" t="s">
        <v>308</v>
      </c>
      <c r="AW242">
        <v>0</v>
      </c>
    </row>
    <row r="243" spans="41:49" x14ac:dyDescent="0.25">
      <c r="AO243" t="s">
        <v>144</v>
      </c>
      <c r="AP243" t="s">
        <v>60</v>
      </c>
      <c r="AQ243">
        <v>2002</v>
      </c>
      <c r="AR243" t="s">
        <v>62</v>
      </c>
      <c r="AS243" t="s">
        <v>306</v>
      </c>
      <c r="AT243" t="s">
        <v>317</v>
      </c>
      <c r="AU243" t="s">
        <v>240</v>
      </c>
      <c r="AV243" t="s">
        <v>309</v>
      </c>
      <c r="AW243">
        <v>0</v>
      </c>
    </row>
    <row r="244" spans="41:49" x14ac:dyDescent="0.25">
      <c r="AO244" t="s">
        <v>144</v>
      </c>
      <c r="AP244" t="s">
        <v>60</v>
      </c>
      <c r="AQ244">
        <v>2002</v>
      </c>
      <c r="AR244" t="s">
        <v>62</v>
      </c>
      <c r="AS244" t="s">
        <v>306</v>
      </c>
      <c r="AT244" t="s">
        <v>317</v>
      </c>
      <c r="AU244" t="s">
        <v>240</v>
      </c>
      <c r="AV244" t="s">
        <v>268</v>
      </c>
      <c r="AW244">
        <v>0</v>
      </c>
    </row>
    <row r="245" spans="41:49" x14ac:dyDescent="0.25">
      <c r="AO245" t="s">
        <v>144</v>
      </c>
      <c r="AP245" t="s">
        <v>60</v>
      </c>
      <c r="AQ245">
        <v>2002</v>
      </c>
      <c r="AR245" t="s">
        <v>62</v>
      </c>
      <c r="AS245" t="s">
        <v>306</v>
      </c>
      <c r="AT245" t="s">
        <v>317</v>
      </c>
      <c r="AU245" t="s">
        <v>314</v>
      </c>
      <c r="AV245" t="s">
        <v>308</v>
      </c>
      <c r="AW245">
        <v>0</v>
      </c>
    </row>
    <row r="246" spans="41:49" x14ac:dyDescent="0.25">
      <c r="AO246" t="s">
        <v>144</v>
      </c>
      <c r="AP246" t="s">
        <v>60</v>
      </c>
      <c r="AQ246">
        <v>2002</v>
      </c>
      <c r="AR246" t="s">
        <v>62</v>
      </c>
      <c r="AS246" t="s">
        <v>306</v>
      </c>
      <c r="AT246" t="s">
        <v>317</v>
      </c>
      <c r="AU246" t="s">
        <v>314</v>
      </c>
      <c r="AV246" t="s">
        <v>309</v>
      </c>
      <c r="AW246">
        <v>0</v>
      </c>
    </row>
    <row r="247" spans="41:49" x14ac:dyDescent="0.25">
      <c r="AO247" t="s">
        <v>144</v>
      </c>
      <c r="AP247" t="s">
        <v>60</v>
      </c>
      <c r="AQ247">
        <v>2002</v>
      </c>
      <c r="AR247" t="s">
        <v>62</v>
      </c>
      <c r="AS247" t="s">
        <v>306</v>
      </c>
      <c r="AT247" t="s">
        <v>317</v>
      </c>
      <c r="AU247" t="s">
        <v>314</v>
      </c>
      <c r="AV247" t="s">
        <v>268</v>
      </c>
      <c r="AW247">
        <v>0</v>
      </c>
    </row>
    <row r="248" spans="41:49" x14ac:dyDescent="0.25">
      <c r="AO248" t="s">
        <v>144</v>
      </c>
      <c r="AP248" t="s">
        <v>60</v>
      </c>
      <c r="AQ248">
        <v>2002</v>
      </c>
      <c r="AR248" t="s">
        <v>62</v>
      </c>
      <c r="AS248" t="s">
        <v>306</v>
      </c>
      <c r="AT248" t="s">
        <v>317</v>
      </c>
      <c r="AU248" t="s">
        <v>242</v>
      </c>
      <c r="AV248" t="s">
        <v>308</v>
      </c>
      <c r="AW248">
        <v>3.8</v>
      </c>
    </row>
    <row r="249" spans="41:49" x14ac:dyDescent="0.25">
      <c r="AO249" t="s">
        <v>144</v>
      </c>
      <c r="AP249" t="s">
        <v>60</v>
      </c>
      <c r="AQ249">
        <v>2002</v>
      </c>
      <c r="AR249" t="s">
        <v>62</v>
      </c>
      <c r="AS249" t="s">
        <v>306</v>
      </c>
      <c r="AT249" t="s">
        <v>317</v>
      </c>
      <c r="AU249" t="s">
        <v>242</v>
      </c>
      <c r="AV249" t="s">
        <v>309</v>
      </c>
      <c r="AW249">
        <v>8.4</v>
      </c>
    </row>
    <row r="250" spans="41:49" x14ac:dyDescent="0.25">
      <c r="AO250" t="s">
        <v>144</v>
      </c>
      <c r="AP250" t="s">
        <v>60</v>
      </c>
      <c r="AQ250">
        <v>2002</v>
      </c>
      <c r="AR250" t="s">
        <v>62</v>
      </c>
      <c r="AS250" t="s">
        <v>306</v>
      </c>
      <c r="AT250" t="s">
        <v>317</v>
      </c>
      <c r="AU250" t="s">
        <v>242</v>
      </c>
      <c r="AV250" t="s">
        <v>268</v>
      </c>
      <c r="AW250">
        <v>12.2</v>
      </c>
    </row>
    <row r="251" spans="41:49" x14ac:dyDescent="0.25">
      <c r="AO251" t="s">
        <v>144</v>
      </c>
      <c r="AP251" t="s">
        <v>60</v>
      </c>
      <c r="AQ251">
        <v>2002</v>
      </c>
      <c r="AR251" t="s">
        <v>62</v>
      </c>
      <c r="AS251" t="s">
        <v>306</v>
      </c>
      <c r="AT251" t="s">
        <v>317</v>
      </c>
      <c r="AU251" t="s">
        <v>243</v>
      </c>
      <c r="AV251" t="s">
        <v>247</v>
      </c>
      <c r="AW251">
        <v>0</v>
      </c>
    </row>
    <row r="252" spans="41:49" x14ac:dyDescent="0.25">
      <c r="AO252" t="s">
        <v>144</v>
      </c>
      <c r="AP252" t="s">
        <v>60</v>
      </c>
      <c r="AQ252">
        <v>2002</v>
      </c>
      <c r="AR252" t="s">
        <v>62</v>
      </c>
      <c r="AS252" t="s">
        <v>306</v>
      </c>
      <c r="AT252" t="s">
        <v>317</v>
      </c>
      <c r="AU252" t="s">
        <v>243</v>
      </c>
      <c r="AV252" t="s">
        <v>248</v>
      </c>
      <c r="AW252">
        <v>0</v>
      </c>
    </row>
    <row r="253" spans="41:49" x14ac:dyDescent="0.25">
      <c r="AO253" t="s">
        <v>144</v>
      </c>
      <c r="AP253" t="s">
        <v>60</v>
      </c>
      <c r="AQ253">
        <v>2002</v>
      </c>
      <c r="AR253" t="s">
        <v>62</v>
      </c>
      <c r="AS253" t="s">
        <v>306</v>
      </c>
      <c r="AT253" t="s">
        <v>317</v>
      </c>
      <c r="AU253" t="s">
        <v>243</v>
      </c>
      <c r="AV253" t="s">
        <v>312</v>
      </c>
      <c r="AW253">
        <v>32.65</v>
      </c>
    </row>
    <row r="254" spans="41:49" x14ac:dyDescent="0.25">
      <c r="AO254" t="s">
        <v>68</v>
      </c>
      <c r="AP254" t="s">
        <v>60</v>
      </c>
      <c r="AQ254">
        <v>2004</v>
      </c>
      <c r="AR254" t="s">
        <v>31</v>
      </c>
      <c r="AS254" t="s">
        <v>306</v>
      </c>
      <c r="AT254" t="s">
        <v>317</v>
      </c>
      <c r="AU254" t="s">
        <v>218</v>
      </c>
      <c r="AV254" t="s">
        <v>308</v>
      </c>
      <c r="AW254">
        <v>0</v>
      </c>
    </row>
    <row r="255" spans="41:49" x14ac:dyDescent="0.25">
      <c r="AO255" t="s">
        <v>68</v>
      </c>
      <c r="AP255" t="s">
        <v>60</v>
      </c>
      <c r="AQ255">
        <v>2004</v>
      </c>
      <c r="AR255" t="s">
        <v>31</v>
      </c>
      <c r="AS255" t="s">
        <v>306</v>
      </c>
      <c r="AT255" t="s">
        <v>317</v>
      </c>
      <c r="AU255" t="s">
        <v>218</v>
      </c>
      <c r="AV255" t="s">
        <v>309</v>
      </c>
      <c r="AW255">
        <v>0</v>
      </c>
    </row>
    <row r="256" spans="41:49" x14ac:dyDescent="0.25">
      <c r="AO256" t="s">
        <v>68</v>
      </c>
      <c r="AP256" t="s">
        <v>60</v>
      </c>
      <c r="AQ256">
        <v>2004</v>
      </c>
      <c r="AR256" t="s">
        <v>31</v>
      </c>
      <c r="AS256" t="s">
        <v>306</v>
      </c>
      <c r="AT256" t="s">
        <v>317</v>
      </c>
      <c r="AU256" t="s">
        <v>218</v>
      </c>
      <c r="AV256" t="s">
        <v>268</v>
      </c>
      <c r="AW256">
        <v>0</v>
      </c>
    </row>
    <row r="257" spans="41:49" x14ac:dyDescent="0.25">
      <c r="AO257" t="s">
        <v>68</v>
      </c>
      <c r="AP257" t="s">
        <v>60</v>
      </c>
      <c r="AQ257">
        <v>2004</v>
      </c>
      <c r="AR257" t="s">
        <v>31</v>
      </c>
      <c r="AS257" t="s">
        <v>306</v>
      </c>
      <c r="AT257" t="s">
        <v>317</v>
      </c>
      <c r="AU257" t="s">
        <v>238</v>
      </c>
      <c r="AV257" t="s">
        <v>308</v>
      </c>
      <c r="AW257">
        <v>0</v>
      </c>
    </row>
    <row r="258" spans="41:49" x14ac:dyDescent="0.25">
      <c r="AO258" t="s">
        <v>68</v>
      </c>
      <c r="AP258" t="s">
        <v>60</v>
      </c>
      <c r="AQ258">
        <v>2004</v>
      </c>
      <c r="AR258" t="s">
        <v>31</v>
      </c>
      <c r="AS258" t="s">
        <v>306</v>
      </c>
      <c r="AT258" t="s">
        <v>317</v>
      </c>
      <c r="AU258" t="s">
        <v>238</v>
      </c>
      <c r="AV258" t="s">
        <v>309</v>
      </c>
      <c r="AW258">
        <v>0</v>
      </c>
    </row>
    <row r="259" spans="41:49" x14ac:dyDescent="0.25">
      <c r="AO259" t="s">
        <v>68</v>
      </c>
      <c r="AP259" t="s">
        <v>60</v>
      </c>
      <c r="AQ259">
        <v>2004</v>
      </c>
      <c r="AR259" t="s">
        <v>31</v>
      </c>
      <c r="AS259" t="s">
        <v>306</v>
      </c>
      <c r="AT259" t="s">
        <v>317</v>
      </c>
      <c r="AU259" t="s">
        <v>238</v>
      </c>
      <c r="AV259" t="s">
        <v>268</v>
      </c>
      <c r="AW259">
        <v>0</v>
      </c>
    </row>
    <row r="260" spans="41:49" x14ac:dyDescent="0.25">
      <c r="AO260" t="s">
        <v>68</v>
      </c>
      <c r="AP260" t="s">
        <v>60</v>
      </c>
      <c r="AQ260">
        <v>2004</v>
      </c>
      <c r="AR260" t="s">
        <v>31</v>
      </c>
      <c r="AS260" t="s">
        <v>306</v>
      </c>
      <c r="AT260" t="s">
        <v>317</v>
      </c>
      <c r="AU260" t="s">
        <v>239</v>
      </c>
      <c r="AV260" t="s">
        <v>308</v>
      </c>
      <c r="AW260">
        <v>3.2</v>
      </c>
    </row>
    <row r="261" spans="41:49" x14ac:dyDescent="0.25">
      <c r="AO261" t="s">
        <v>68</v>
      </c>
      <c r="AP261" t="s">
        <v>60</v>
      </c>
      <c r="AQ261">
        <v>2004</v>
      </c>
      <c r="AR261" t="s">
        <v>31</v>
      </c>
      <c r="AS261" t="s">
        <v>306</v>
      </c>
      <c r="AT261" t="s">
        <v>317</v>
      </c>
      <c r="AU261" t="s">
        <v>239</v>
      </c>
      <c r="AV261" t="s">
        <v>309</v>
      </c>
      <c r="AW261">
        <v>7.4</v>
      </c>
    </row>
    <row r="262" spans="41:49" x14ac:dyDescent="0.25">
      <c r="AO262" t="s">
        <v>68</v>
      </c>
      <c r="AP262" t="s">
        <v>60</v>
      </c>
      <c r="AQ262">
        <v>2004</v>
      </c>
      <c r="AR262" t="s">
        <v>31</v>
      </c>
      <c r="AS262" t="s">
        <v>306</v>
      </c>
      <c r="AT262" t="s">
        <v>317</v>
      </c>
      <c r="AU262" t="s">
        <v>239</v>
      </c>
      <c r="AV262" t="s">
        <v>268</v>
      </c>
      <c r="AW262">
        <v>10.6</v>
      </c>
    </row>
    <row r="263" spans="41:49" x14ac:dyDescent="0.25">
      <c r="AO263" t="s">
        <v>68</v>
      </c>
      <c r="AP263" t="s">
        <v>60</v>
      </c>
      <c r="AQ263">
        <v>2004</v>
      </c>
      <c r="AR263" t="s">
        <v>31</v>
      </c>
      <c r="AS263" t="s">
        <v>306</v>
      </c>
      <c r="AT263" t="s">
        <v>317</v>
      </c>
      <c r="AU263" t="s">
        <v>240</v>
      </c>
      <c r="AV263" t="s">
        <v>308</v>
      </c>
      <c r="AW263">
        <v>0</v>
      </c>
    </row>
    <row r="264" spans="41:49" x14ac:dyDescent="0.25">
      <c r="AO264" t="s">
        <v>68</v>
      </c>
      <c r="AP264" t="s">
        <v>60</v>
      </c>
      <c r="AQ264">
        <v>2004</v>
      </c>
      <c r="AR264" t="s">
        <v>31</v>
      </c>
      <c r="AS264" t="s">
        <v>306</v>
      </c>
      <c r="AT264" t="s">
        <v>317</v>
      </c>
      <c r="AU264" t="s">
        <v>240</v>
      </c>
      <c r="AV264" t="s">
        <v>309</v>
      </c>
      <c r="AW264">
        <v>0</v>
      </c>
    </row>
    <row r="265" spans="41:49" x14ac:dyDescent="0.25">
      <c r="AO265" t="s">
        <v>68</v>
      </c>
      <c r="AP265" t="s">
        <v>60</v>
      </c>
      <c r="AQ265">
        <v>2004</v>
      </c>
      <c r="AR265" t="s">
        <v>31</v>
      </c>
      <c r="AS265" t="s">
        <v>306</v>
      </c>
      <c r="AT265" t="s">
        <v>317</v>
      </c>
      <c r="AU265" t="s">
        <v>240</v>
      </c>
      <c r="AV265" t="s">
        <v>268</v>
      </c>
      <c r="AW265">
        <v>0</v>
      </c>
    </row>
    <row r="266" spans="41:49" x14ac:dyDescent="0.25">
      <c r="AO266" t="s">
        <v>68</v>
      </c>
      <c r="AP266" t="s">
        <v>60</v>
      </c>
      <c r="AQ266">
        <v>2004</v>
      </c>
      <c r="AR266" t="s">
        <v>31</v>
      </c>
      <c r="AS266" t="s">
        <v>306</v>
      </c>
      <c r="AT266" t="s">
        <v>317</v>
      </c>
      <c r="AU266" t="s">
        <v>314</v>
      </c>
      <c r="AV266" t="s">
        <v>308</v>
      </c>
      <c r="AW266">
        <v>2.7</v>
      </c>
    </row>
    <row r="267" spans="41:49" x14ac:dyDescent="0.25">
      <c r="AO267" t="s">
        <v>68</v>
      </c>
      <c r="AP267" t="s">
        <v>60</v>
      </c>
      <c r="AQ267">
        <v>2004</v>
      </c>
      <c r="AR267" t="s">
        <v>31</v>
      </c>
      <c r="AS267" t="s">
        <v>306</v>
      </c>
      <c r="AT267" t="s">
        <v>317</v>
      </c>
      <c r="AU267" t="s">
        <v>314</v>
      </c>
      <c r="AV267" t="s">
        <v>309</v>
      </c>
      <c r="AW267">
        <v>6.85</v>
      </c>
    </row>
    <row r="268" spans="41:49" x14ac:dyDescent="0.25">
      <c r="AO268" t="s">
        <v>68</v>
      </c>
      <c r="AP268" t="s">
        <v>60</v>
      </c>
      <c r="AQ268">
        <v>2004</v>
      </c>
      <c r="AR268" t="s">
        <v>31</v>
      </c>
      <c r="AS268" t="s">
        <v>306</v>
      </c>
      <c r="AT268" t="s">
        <v>317</v>
      </c>
      <c r="AU268" t="s">
        <v>314</v>
      </c>
      <c r="AV268" t="s">
        <v>268</v>
      </c>
      <c r="AW268">
        <v>9.5500000000000007</v>
      </c>
    </row>
    <row r="269" spans="41:49" x14ac:dyDescent="0.25">
      <c r="AO269" t="s">
        <v>68</v>
      </c>
      <c r="AP269" t="s">
        <v>60</v>
      </c>
      <c r="AQ269">
        <v>2004</v>
      </c>
      <c r="AR269" t="s">
        <v>31</v>
      </c>
      <c r="AS269" t="s">
        <v>306</v>
      </c>
      <c r="AT269" t="s">
        <v>317</v>
      </c>
      <c r="AU269" t="s">
        <v>242</v>
      </c>
      <c r="AV269" t="s">
        <v>308</v>
      </c>
      <c r="AW269">
        <v>2.1</v>
      </c>
    </row>
    <row r="270" spans="41:49" x14ac:dyDescent="0.25">
      <c r="AO270" t="s">
        <v>68</v>
      </c>
      <c r="AP270" t="s">
        <v>60</v>
      </c>
      <c r="AQ270">
        <v>2004</v>
      </c>
      <c r="AR270" t="s">
        <v>31</v>
      </c>
      <c r="AS270" t="s">
        <v>306</v>
      </c>
      <c r="AT270" t="s">
        <v>317</v>
      </c>
      <c r="AU270" t="s">
        <v>242</v>
      </c>
      <c r="AV270" t="s">
        <v>309</v>
      </c>
      <c r="AW270">
        <v>8.4</v>
      </c>
    </row>
    <row r="271" spans="41:49" x14ac:dyDescent="0.25">
      <c r="AO271" t="s">
        <v>68</v>
      </c>
      <c r="AP271" t="s">
        <v>60</v>
      </c>
      <c r="AQ271">
        <v>2004</v>
      </c>
      <c r="AR271" t="s">
        <v>31</v>
      </c>
      <c r="AS271" t="s">
        <v>306</v>
      </c>
      <c r="AT271" t="s">
        <v>317</v>
      </c>
      <c r="AU271" t="s">
        <v>242</v>
      </c>
      <c r="AV271" t="s">
        <v>268</v>
      </c>
      <c r="AW271">
        <v>10.5</v>
      </c>
    </row>
    <row r="272" spans="41:49" x14ac:dyDescent="0.25">
      <c r="AO272" t="s">
        <v>68</v>
      </c>
      <c r="AP272" t="s">
        <v>60</v>
      </c>
      <c r="AQ272">
        <v>2004</v>
      </c>
      <c r="AR272" t="s">
        <v>31</v>
      </c>
      <c r="AS272" t="s">
        <v>306</v>
      </c>
      <c r="AT272" t="s">
        <v>317</v>
      </c>
      <c r="AU272" t="s">
        <v>243</v>
      </c>
      <c r="AV272" t="s">
        <v>247</v>
      </c>
      <c r="AW272">
        <v>0</v>
      </c>
    </row>
    <row r="273" spans="41:49" x14ac:dyDescent="0.25">
      <c r="AO273" t="s">
        <v>68</v>
      </c>
      <c r="AP273" t="s">
        <v>60</v>
      </c>
      <c r="AQ273">
        <v>2004</v>
      </c>
      <c r="AR273" t="s">
        <v>31</v>
      </c>
      <c r="AS273" t="s">
        <v>306</v>
      </c>
      <c r="AT273" t="s">
        <v>317</v>
      </c>
      <c r="AU273" t="s">
        <v>243</v>
      </c>
      <c r="AV273" t="s">
        <v>248</v>
      </c>
      <c r="AW273">
        <v>0</v>
      </c>
    </row>
    <row r="274" spans="41:49" x14ac:dyDescent="0.25">
      <c r="AO274" t="s">
        <v>68</v>
      </c>
      <c r="AP274" t="s">
        <v>60</v>
      </c>
      <c r="AQ274">
        <v>2004</v>
      </c>
      <c r="AR274" t="s">
        <v>31</v>
      </c>
      <c r="AS274" t="s">
        <v>306</v>
      </c>
      <c r="AT274" t="s">
        <v>317</v>
      </c>
      <c r="AU274" t="s">
        <v>243</v>
      </c>
      <c r="AV274" t="s">
        <v>312</v>
      </c>
      <c r="AW274">
        <v>30.65</v>
      </c>
    </row>
    <row r="275" spans="41:49" x14ac:dyDescent="0.25">
      <c r="AO275" t="s">
        <v>106</v>
      </c>
      <c r="AP275" t="s">
        <v>60</v>
      </c>
      <c r="AQ275">
        <v>2004</v>
      </c>
      <c r="AR275" t="s">
        <v>31</v>
      </c>
      <c r="AS275" t="s">
        <v>306</v>
      </c>
      <c r="AT275" t="s">
        <v>317</v>
      </c>
      <c r="AU275" t="s">
        <v>218</v>
      </c>
      <c r="AV275" t="s">
        <v>308</v>
      </c>
      <c r="AW275">
        <v>3.9</v>
      </c>
    </row>
    <row r="276" spans="41:49" x14ac:dyDescent="0.25">
      <c r="AO276" t="s">
        <v>106</v>
      </c>
      <c r="AP276" t="s">
        <v>60</v>
      </c>
      <c r="AQ276">
        <v>2004</v>
      </c>
      <c r="AR276" t="s">
        <v>31</v>
      </c>
      <c r="AS276" t="s">
        <v>306</v>
      </c>
      <c r="AT276" t="s">
        <v>317</v>
      </c>
      <c r="AU276" t="s">
        <v>218</v>
      </c>
      <c r="AV276" t="s">
        <v>309</v>
      </c>
      <c r="AW276">
        <v>8.4</v>
      </c>
    </row>
    <row r="277" spans="41:49" x14ac:dyDescent="0.25">
      <c r="AO277" t="s">
        <v>106</v>
      </c>
      <c r="AP277" t="s">
        <v>60</v>
      </c>
      <c r="AQ277">
        <v>2004</v>
      </c>
      <c r="AR277" t="s">
        <v>31</v>
      </c>
      <c r="AS277" t="s">
        <v>306</v>
      </c>
      <c r="AT277" t="s">
        <v>317</v>
      </c>
      <c r="AU277" t="s">
        <v>218</v>
      </c>
      <c r="AV277" t="s">
        <v>268</v>
      </c>
      <c r="AW277">
        <v>12.3</v>
      </c>
    </row>
    <row r="278" spans="41:49" x14ac:dyDescent="0.25">
      <c r="AO278" t="s">
        <v>106</v>
      </c>
      <c r="AP278" t="s">
        <v>60</v>
      </c>
      <c r="AQ278">
        <v>2004</v>
      </c>
      <c r="AR278" t="s">
        <v>31</v>
      </c>
      <c r="AS278" t="s">
        <v>306</v>
      </c>
      <c r="AT278" t="s">
        <v>317</v>
      </c>
      <c r="AU278" t="s">
        <v>238</v>
      </c>
      <c r="AV278" t="s">
        <v>308</v>
      </c>
      <c r="AW278">
        <v>2.2999999999999998</v>
      </c>
    </row>
    <row r="279" spans="41:49" x14ac:dyDescent="0.25">
      <c r="AO279" t="s">
        <v>106</v>
      </c>
      <c r="AP279" t="s">
        <v>60</v>
      </c>
      <c r="AQ279">
        <v>2004</v>
      </c>
      <c r="AR279" t="s">
        <v>31</v>
      </c>
      <c r="AS279" t="s">
        <v>306</v>
      </c>
      <c r="AT279" t="s">
        <v>317</v>
      </c>
      <c r="AU279" t="s">
        <v>238</v>
      </c>
      <c r="AV279" t="s">
        <v>309</v>
      </c>
      <c r="AW279">
        <v>2</v>
      </c>
    </row>
    <row r="280" spans="41:49" x14ac:dyDescent="0.25">
      <c r="AO280" t="s">
        <v>106</v>
      </c>
      <c r="AP280" t="s">
        <v>60</v>
      </c>
      <c r="AQ280">
        <v>2004</v>
      </c>
      <c r="AR280" t="s">
        <v>31</v>
      </c>
      <c r="AS280" t="s">
        <v>306</v>
      </c>
      <c r="AT280" t="s">
        <v>317</v>
      </c>
      <c r="AU280" t="s">
        <v>238</v>
      </c>
      <c r="AV280" t="s">
        <v>268</v>
      </c>
      <c r="AW280">
        <v>4.3</v>
      </c>
    </row>
    <row r="281" spans="41:49" x14ac:dyDescent="0.25">
      <c r="AO281" t="s">
        <v>106</v>
      </c>
      <c r="AP281" t="s">
        <v>60</v>
      </c>
      <c r="AQ281">
        <v>2004</v>
      </c>
      <c r="AR281" t="s">
        <v>31</v>
      </c>
      <c r="AS281" t="s">
        <v>306</v>
      </c>
      <c r="AT281" t="s">
        <v>317</v>
      </c>
      <c r="AU281" t="s">
        <v>239</v>
      </c>
      <c r="AV281" t="s">
        <v>308</v>
      </c>
      <c r="AW281">
        <v>0</v>
      </c>
    </row>
    <row r="282" spans="41:49" x14ac:dyDescent="0.25">
      <c r="AO282" t="s">
        <v>106</v>
      </c>
      <c r="AP282" t="s">
        <v>60</v>
      </c>
      <c r="AQ282">
        <v>2004</v>
      </c>
      <c r="AR282" t="s">
        <v>31</v>
      </c>
      <c r="AS282" t="s">
        <v>306</v>
      </c>
      <c r="AT282" t="s">
        <v>317</v>
      </c>
      <c r="AU282" t="s">
        <v>239</v>
      </c>
      <c r="AV282" t="s">
        <v>309</v>
      </c>
      <c r="AW282">
        <v>0</v>
      </c>
    </row>
    <row r="283" spans="41:49" x14ac:dyDescent="0.25">
      <c r="AO283" t="s">
        <v>106</v>
      </c>
      <c r="AP283" t="s">
        <v>60</v>
      </c>
      <c r="AQ283">
        <v>2004</v>
      </c>
      <c r="AR283" t="s">
        <v>31</v>
      </c>
      <c r="AS283" t="s">
        <v>306</v>
      </c>
      <c r="AT283" t="s">
        <v>317</v>
      </c>
      <c r="AU283" t="s">
        <v>239</v>
      </c>
      <c r="AV283" t="s">
        <v>268</v>
      </c>
      <c r="AW283">
        <v>0</v>
      </c>
    </row>
    <row r="284" spans="41:49" x14ac:dyDescent="0.25">
      <c r="AO284" t="s">
        <v>106</v>
      </c>
      <c r="AP284" t="s">
        <v>60</v>
      </c>
      <c r="AQ284">
        <v>2004</v>
      </c>
      <c r="AR284" t="s">
        <v>31</v>
      </c>
      <c r="AS284" t="s">
        <v>306</v>
      </c>
      <c r="AT284" t="s">
        <v>317</v>
      </c>
      <c r="AU284" t="s">
        <v>240</v>
      </c>
      <c r="AV284" t="s">
        <v>308</v>
      </c>
      <c r="AW284">
        <v>0</v>
      </c>
    </row>
    <row r="285" spans="41:49" x14ac:dyDescent="0.25">
      <c r="AO285" t="s">
        <v>106</v>
      </c>
      <c r="AP285" t="s">
        <v>60</v>
      </c>
      <c r="AQ285">
        <v>2004</v>
      </c>
      <c r="AR285" t="s">
        <v>31</v>
      </c>
      <c r="AS285" t="s">
        <v>306</v>
      </c>
      <c r="AT285" t="s">
        <v>317</v>
      </c>
      <c r="AU285" t="s">
        <v>240</v>
      </c>
      <c r="AV285" t="s">
        <v>309</v>
      </c>
      <c r="AW285">
        <v>0</v>
      </c>
    </row>
    <row r="286" spans="41:49" x14ac:dyDescent="0.25">
      <c r="AO286" t="s">
        <v>106</v>
      </c>
      <c r="AP286" t="s">
        <v>60</v>
      </c>
      <c r="AQ286">
        <v>2004</v>
      </c>
      <c r="AR286" t="s">
        <v>31</v>
      </c>
      <c r="AS286" t="s">
        <v>306</v>
      </c>
      <c r="AT286" t="s">
        <v>317</v>
      </c>
      <c r="AU286" t="s">
        <v>240</v>
      </c>
      <c r="AV286" t="s">
        <v>268</v>
      </c>
      <c r="AW286">
        <v>0</v>
      </c>
    </row>
    <row r="287" spans="41:49" x14ac:dyDescent="0.25">
      <c r="AO287" t="s">
        <v>106</v>
      </c>
      <c r="AP287" t="s">
        <v>60</v>
      </c>
      <c r="AQ287">
        <v>2004</v>
      </c>
      <c r="AR287" t="s">
        <v>31</v>
      </c>
      <c r="AS287" t="s">
        <v>306</v>
      </c>
      <c r="AT287" t="s">
        <v>317</v>
      </c>
      <c r="AU287" t="s">
        <v>314</v>
      </c>
      <c r="AV287" t="s">
        <v>308</v>
      </c>
      <c r="AW287">
        <v>2.5</v>
      </c>
    </row>
    <row r="288" spans="41:49" x14ac:dyDescent="0.25">
      <c r="AO288" t="s">
        <v>106</v>
      </c>
      <c r="AP288" t="s">
        <v>60</v>
      </c>
      <c r="AQ288">
        <v>2004</v>
      </c>
      <c r="AR288" t="s">
        <v>31</v>
      </c>
      <c r="AS288" t="s">
        <v>306</v>
      </c>
      <c r="AT288" t="s">
        <v>317</v>
      </c>
      <c r="AU288" t="s">
        <v>314</v>
      </c>
      <c r="AV288" t="s">
        <v>309</v>
      </c>
      <c r="AW288">
        <v>7.45</v>
      </c>
    </row>
    <row r="289" spans="41:49" x14ac:dyDescent="0.25">
      <c r="AO289" t="s">
        <v>106</v>
      </c>
      <c r="AP289" t="s">
        <v>60</v>
      </c>
      <c r="AQ289">
        <v>2004</v>
      </c>
      <c r="AR289" t="s">
        <v>31</v>
      </c>
      <c r="AS289" t="s">
        <v>306</v>
      </c>
      <c r="AT289" t="s">
        <v>317</v>
      </c>
      <c r="AU289" t="s">
        <v>314</v>
      </c>
      <c r="AV289" t="s">
        <v>268</v>
      </c>
      <c r="AW289">
        <v>9.9499999999999993</v>
      </c>
    </row>
    <row r="290" spans="41:49" x14ac:dyDescent="0.25">
      <c r="AO290" t="s">
        <v>106</v>
      </c>
      <c r="AP290" t="s">
        <v>60</v>
      </c>
      <c r="AQ290">
        <v>2004</v>
      </c>
      <c r="AR290" t="s">
        <v>31</v>
      </c>
      <c r="AS290" t="s">
        <v>306</v>
      </c>
      <c r="AT290" t="s">
        <v>317</v>
      </c>
      <c r="AU290" t="s">
        <v>242</v>
      </c>
      <c r="AV290" t="s">
        <v>308</v>
      </c>
      <c r="AW290">
        <v>0</v>
      </c>
    </row>
    <row r="291" spans="41:49" x14ac:dyDescent="0.25">
      <c r="AO291" t="s">
        <v>106</v>
      </c>
      <c r="AP291" t="s">
        <v>60</v>
      </c>
      <c r="AQ291">
        <v>2004</v>
      </c>
      <c r="AR291" t="s">
        <v>31</v>
      </c>
      <c r="AS291" t="s">
        <v>306</v>
      </c>
      <c r="AT291" t="s">
        <v>317</v>
      </c>
      <c r="AU291" t="s">
        <v>242</v>
      </c>
      <c r="AV291" t="s">
        <v>309</v>
      </c>
      <c r="AW291">
        <v>0</v>
      </c>
    </row>
    <row r="292" spans="41:49" x14ac:dyDescent="0.25">
      <c r="AO292" t="s">
        <v>106</v>
      </c>
      <c r="AP292" t="s">
        <v>60</v>
      </c>
      <c r="AQ292">
        <v>2004</v>
      </c>
      <c r="AR292" t="s">
        <v>31</v>
      </c>
      <c r="AS292" t="s">
        <v>306</v>
      </c>
      <c r="AT292" t="s">
        <v>317</v>
      </c>
      <c r="AU292" t="s">
        <v>242</v>
      </c>
      <c r="AV292" t="s">
        <v>268</v>
      </c>
      <c r="AW292">
        <v>0</v>
      </c>
    </row>
    <row r="293" spans="41:49" x14ac:dyDescent="0.25">
      <c r="AO293" t="s">
        <v>106</v>
      </c>
      <c r="AP293" t="s">
        <v>60</v>
      </c>
      <c r="AQ293">
        <v>2004</v>
      </c>
      <c r="AR293" t="s">
        <v>31</v>
      </c>
      <c r="AS293" t="s">
        <v>306</v>
      </c>
      <c r="AT293" t="s">
        <v>317</v>
      </c>
      <c r="AU293" t="s">
        <v>243</v>
      </c>
      <c r="AV293" t="s">
        <v>247</v>
      </c>
      <c r="AW293">
        <v>0</v>
      </c>
    </row>
    <row r="294" spans="41:49" x14ac:dyDescent="0.25">
      <c r="AO294" t="s">
        <v>106</v>
      </c>
      <c r="AP294" t="s">
        <v>60</v>
      </c>
      <c r="AQ294">
        <v>2004</v>
      </c>
      <c r="AR294" t="s">
        <v>31</v>
      </c>
      <c r="AS294" t="s">
        <v>306</v>
      </c>
      <c r="AT294" t="s">
        <v>317</v>
      </c>
      <c r="AU294" t="s">
        <v>243</v>
      </c>
      <c r="AV294" t="s">
        <v>248</v>
      </c>
      <c r="AW294">
        <v>0</v>
      </c>
    </row>
    <row r="295" spans="41:49" x14ac:dyDescent="0.25">
      <c r="AO295" t="s">
        <v>106</v>
      </c>
      <c r="AP295" t="s">
        <v>60</v>
      </c>
      <c r="AQ295">
        <v>2004</v>
      </c>
      <c r="AR295" t="s">
        <v>31</v>
      </c>
      <c r="AS295" t="s">
        <v>306</v>
      </c>
      <c r="AT295" t="s">
        <v>317</v>
      </c>
      <c r="AU295" t="s">
        <v>243</v>
      </c>
      <c r="AV295" t="s">
        <v>312</v>
      </c>
      <c r="AW295">
        <v>26.55</v>
      </c>
    </row>
    <row r="296" spans="41:49" x14ac:dyDescent="0.25">
      <c r="AO296" t="s">
        <v>92</v>
      </c>
      <c r="AP296" t="s">
        <v>60</v>
      </c>
      <c r="AQ296">
        <v>2004</v>
      </c>
      <c r="AR296" t="s">
        <v>39</v>
      </c>
      <c r="AS296" t="s">
        <v>306</v>
      </c>
      <c r="AT296" t="s">
        <v>317</v>
      </c>
      <c r="AU296" t="s">
        <v>218</v>
      </c>
      <c r="AV296" t="s">
        <v>308</v>
      </c>
      <c r="AW296">
        <v>0</v>
      </c>
    </row>
    <row r="297" spans="41:49" x14ac:dyDescent="0.25">
      <c r="AO297" t="s">
        <v>92</v>
      </c>
      <c r="AP297" t="s">
        <v>60</v>
      </c>
      <c r="AQ297">
        <v>2004</v>
      </c>
      <c r="AR297" t="s">
        <v>39</v>
      </c>
      <c r="AS297" t="s">
        <v>306</v>
      </c>
      <c r="AT297" t="s">
        <v>317</v>
      </c>
      <c r="AU297" t="s">
        <v>218</v>
      </c>
      <c r="AV297" t="s">
        <v>309</v>
      </c>
      <c r="AW297">
        <v>0</v>
      </c>
    </row>
    <row r="298" spans="41:49" x14ac:dyDescent="0.25">
      <c r="AO298" t="s">
        <v>92</v>
      </c>
      <c r="AP298" t="s">
        <v>60</v>
      </c>
      <c r="AQ298">
        <v>2004</v>
      </c>
      <c r="AR298" t="s">
        <v>39</v>
      </c>
      <c r="AS298" t="s">
        <v>306</v>
      </c>
      <c r="AT298" t="s">
        <v>317</v>
      </c>
      <c r="AU298" t="s">
        <v>218</v>
      </c>
      <c r="AV298" t="s">
        <v>268</v>
      </c>
      <c r="AW298">
        <v>0</v>
      </c>
    </row>
    <row r="299" spans="41:49" x14ac:dyDescent="0.25">
      <c r="AO299" t="s">
        <v>92</v>
      </c>
      <c r="AP299" t="s">
        <v>60</v>
      </c>
      <c r="AQ299">
        <v>2004</v>
      </c>
      <c r="AR299" t="s">
        <v>39</v>
      </c>
      <c r="AS299" t="s">
        <v>306</v>
      </c>
      <c r="AT299" t="s">
        <v>317</v>
      </c>
      <c r="AU299" t="s">
        <v>238</v>
      </c>
      <c r="AV299" t="s">
        <v>308</v>
      </c>
      <c r="AW299">
        <v>4</v>
      </c>
    </row>
    <row r="300" spans="41:49" x14ac:dyDescent="0.25">
      <c r="AO300" t="s">
        <v>92</v>
      </c>
      <c r="AP300" t="s">
        <v>60</v>
      </c>
      <c r="AQ300">
        <v>2004</v>
      </c>
      <c r="AR300" t="s">
        <v>39</v>
      </c>
      <c r="AS300" t="s">
        <v>306</v>
      </c>
      <c r="AT300" t="s">
        <v>317</v>
      </c>
      <c r="AU300" t="s">
        <v>238</v>
      </c>
      <c r="AV300" t="s">
        <v>309</v>
      </c>
      <c r="AW300">
        <v>8.65</v>
      </c>
    </row>
    <row r="301" spans="41:49" x14ac:dyDescent="0.25">
      <c r="AO301" t="s">
        <v>92</v>
      </c>
      <c r="AP301" t="s">
        <v>60</v>
      </c>
      <c r="AQ301">
        <v>2004</v>
      </c>
      <c r="AR301" t="s">
        <v>39</v>
      </c>
      <c r="AS301" t="s">
        <v>306</v>
      </c>
      <c r="AT301" t="s">
        <v>317</v>
      </c>
      <c r="AU301" t="s">
        <v>238</v>
      </c>
      <c r="AV301" t="s">
        <v>268</v>
      </c>
      <c r="AW301">
        <v>12.65</v>
      </c>
    </row>
    <row r="302" spans="41:49" x14ac:dyDescent="0.25">
      <c r="AO302" t="s">
        <v>92</v>
      </c>
      <c r="AP302" t="s">
        <v>60</v>
      </c>
      <c r="AQ302">
        <v>2004</v>
      </c>
      <c r="AR302" t="s">
        <v>39</v>
      </c>
      <c r="AS302" t="s">
        <v>306</v>
      </c>
      <c r="AT302" t="s">
        <v>317</v>
      </c>
      <c r="AU302" t="s">
        <v>239</v>
      </c>
      <c r="AV302" t="s">
        <v>308</v>
      </c>
      <c r="AW302">
        <v>0</v>
      </c>
    </row>
    <row r="303" spans="41:49" x14ac:dyDescent="0.25">
      <c r="AO303" t="s">
        <v>92</v>
      </c>
      <c r="AP303" t="s">
        <v>60</v>
      </c>
      <c r="AQ303">
        <v>2004</v>
      </c>
      <c r="AR303" t="s">
        <v>39</v>
      </c>
      <c r="AS303" t="s">
        <v>306</v>
      </c>
      <c r="AT303" t="s">
        <v>317</v>
      </c>
      <c r="AU303" t="s">
        <v>239</v>
      </c>
      <c r="AV303" t="s">
        <v>309</v>
      </c>
      <c r="AW303">
        <v>0</v>
      </c>
    </row>
    <row r="304" spans="41:49" x14ac:dyDescent="0.25">
      <c r="AO304" t="s">
        <v>92</v>
      </c>
      <c r="AP304" t="s">
        <v>60</v>
      </c>
      <c r="AQ304">
        <v>2004</v>
      </c>
      <c r="AR304" t="s">
        <v>39</v>
      </c>
      <c r="AS304" t="s">
        <v>306</v>
      </c>
      <c r="AT304" t="s">
        <v>317</v>
      </c>
      <c r="AU304" t="s">
        <v>239</v>
      </c>
      <c r="AV304" t="s">
        <v>268</v>
      </c>
      <c r="AW304">
        <v>0</v>
      </c>
    </row>
    <row r="305" spans="41:49" x14ac:dyDescent="0.25">
      <c r="AO305" t="s">
        <v>92</v>
      </c>
      <c r="AP305" t="s">
        <v>60</v>
      </c>
      <c r="AQ305">
        <v>2004</v>
      </c>
      <c r="AR305" t="s">
        <v>39</v>
      </c>
      <c r="AS305" t="s">
        <v>306</v>
      </c>
      <c r="AT305" t="s">
        <v>317</v>
      </c>
      <c r="AU305" t="s">
        <v>240</v>
      </c>
      <c r="AV305" t="s">
        <v>308</v>
      </c>
      <c r="AW305">
        <v>0</v>
      </c>
    </row>
    <row r="306" spans="41:49" x14ac:dyDescent="0.25">
      <c r="AO306" t="s">
        <v>92</v>
      </c>
      <c r="AP306" t="s">
        <v>60</v>
      </c>
      <c r="AQ306">
        <v>2004</v>
      </c>
      <c r="AR306" t="s">
        <v>39</v>
      </c>
      <c r="AS306" t="s">
        <v>306</v>
      </c>
      <c r="AT306" t="s">
        <v>317</v>
      </c>
      <c r="AU306" t="s">
        <v>240</v>
      </c>
      <c r="AV306" t="s">
        <v>309</v>
      </c>
      <c r="AW306">
        <v>0</v>
      </c>
    </row>
    <row r="307" spans="41:49" x14ac:dyDescent="0.25">
      <c r="AO307" t="s">
        <v>92</v>
      </c>
      <c r="AP307" t="s">
        <v>60</v>
      </c>
      <c r="AQ307">
        <v>2004</v>
      </c>
      <c r="AR307" t="s">
        <v>39</v>
      </c>
      <c r="AS307" t="s">
        <v>306</v>
      </c>
      <c r="AT307" t="s">
        <v>317</v>
      </c>
      <c r="AU307" t="s">
        <v>240</v>
      </c>
      <c r="AV307" t="s">
        <v>268</v>
      </c>
      <c r="AW307">
        <v>0</v>
      </c>
    </row>
    <row r="308" spans="41:49" x14ac:dyDescent="0.25">
      <c r="AO308" t="s">
        <v>92</v>
      </c>
      <c r="AP308" t="s">
        <v>60</v>
      </c>
      <c r="AQ308">
        <v>2004</v>
      </c>
      <c r="AR308" t="s">
        <v>39</v>
      </c>
      <c r="AS308" t="s">
        <v>306</v>
      </c>
      <c r="AT308" t="s">
        <v>317</v>
      </c>
      <c r="AU308" t="s">
        <v>314</v>
      </c>
      <c r="AV308" t="s">
        <v>308</v>
      </c>
      <c r="AW308">
        <v>0</v>
      </c>
    </row>
    <row r="309" spans="41:49" x14ac:dyDescent="0.25">
      <c r="AO309" t="s">
        <v>92</v>
      </c>
      <c r="AP309" t="s">
        <v>60</v>
      </c>
      <c r="AQ309">
        <v>2004</v>
      </c>
      <c r="AR309" t="s">
        <v>39</v>
      </c>
      <c r="AS309" t="s">
        <v>306</v>
      </c>
      <c r="AT309" t="s">
        <v>317</v>
      </c>
      <c r="AU309" t="s">
        <v>314</v>
      </c>
      <c r="AV309" t="s">
        <v>309</v>
      </c>
      <c r="AW309">
        <v>0</v>
      </c>
    </row>
    <row r="310" spans="41:49" x14ac:dyDescent="0.25">
      <c r="AO310" t="s">
        <v>92</v>
      </c>
      <c r="AP310" t="s">
        <v>60</v>
      </c>
      <c r="AQ310">
        <v>2004</v>
      </c>
      <c r="AR310" t="s">
        <v>39</v>
      </c>
      <c r="AS310" t="s">
        <v>306</v>
      </c>
      <c r="AT310" t="s">
        <v>317</v>
      </c>
      <c r="AU310" t="s">
        <v>314</v>
      </c>
      <c r="AV310" t="s">
        <v>268</v>
      </c>
      <c r="AW310">
        <v>0</v>
      </c>
    </row>
    <row r="311" spans="41:49" x14ac:dyDescent="0.25">
      <c r="AO311" t="s">
        <v>92</v>
      </c>
      <c r="AP311" t="s">
        <v>60</v>
      </c>
      <c r="AQ311">
        <v>2004</v>
      </c>
      <c r="AR311" t="s">
        <v>39</v>
      </c>
      <c r="AS311" t="s">
        <v>306</v>
      </c>
      <c r="AT311" t="s">
        <v>317</v>
      </c>
      <c r="AU311" t="s">
        <v>242</v>
      </c>
      <c r="AV311" t="s">
        <v>308</v>
      </c>
      <c r="AW311">
        <v>0</v>
      </c>
    </row>
    <row r="312" spans="41:49" x14ac:dyDescent="0.25">
      <c r="AO312" t="s">
        <v>92</v>
      </c>
      <c r="AP312" t="s">
        <v>60</v>
      </c>
      <c r="AQ312">
        <v>2004</v>
      </c>
      <c r="AR312" t="s">
        <v>39</v>
      </c>
      <c r="AS312" t="s">
        <v>306</v>
      </c>
      <c r="AT312" t="s">
        <v>317</v>
      </c>
      <c r="AU312" t="s">
        <v>242</v>
      </c>
      <c r="AV312" t="s">
        <v>309</v>
      </c>
      <c r="AW312">
        <v>0</v>
      </c>
    </row>
    <row r="313" spans="41:49" x14ac:dyDescent="0.25">
      <c r="AO313" t="s">
        <v>92</v>
      </c>
      <c r="AP313" t="s">
        <v>60</v>
      </c>
      <c r="AQ313">
        <v>2004</v>
      </c>
      <c r="AR313" t="s">
        <v>39</v>
      </c>
      <c r="AS313" t="s">
        <v>306</v>
      </c>
      <c r="AT313" t="s">
        <v>317</v>
      </c>
      <c r="AU313" t="s">
        <v>242</v>
      </c>
      <c r="AV313" t="s">
        <v>268</v>
      </c>
      <c r="AW313">
        <v>0</v>
      </c>
    </row>
    <row r="314" spans="41:49" x14ac:dyDescent="0.25">
      <c r="AO314" t="s">
        <v>92</v>
      </c>
      <c r="AP314" t="s">
        <v>60</v>
      </c>
      <c r="AQ314">
        <v>2004</v>
      </c>
      <c r="AR314" t="s">
        <v>39</v>
      </c>
      <c r="AS314" t="s">
        <v>306</v>
      </c>
      <c r="AT314" t="s">
        <v>317</v>
      </c>
      <c r="AU314" t="s">
        <v>243</v>
      </c>
      <c r="AV314" t="s">
        <v>247</v>
      </c>
      <c r="AW314">
        <v>0</v>
      </c>
    </row>
    <row r="315" spans="41:49" x14ac:dyDescent="0.25">
      <c r="AO315" t="s">
        <v>92</v>
      </c>
      <c r="AP315" t="s">
        <v>60</v>
      </c>
      <c r="AQ315">
        <v>2004</v>
      </c>
      <c r="AR315" t="s">
        <v>39</v>
      </c>
      <c r="AS315" t="s">
        <v>306</v>
      </c>
      <c r="AT315" t="s">
        <v>317</v>
      </c>
      <c r="AU315" t="s">
        <v>243</v>
      </c>
      <c r="AV315" t="s">
        <v>248</v>
      </c>
      <c r="AW315">
        <v>0</v>
      </c>
    </row>
    <row r="316" spans="41:49" x14ac:dyDescent="0.25">
      <c r="AO316" t="s">
        <v>92</v>
      </c>
      <c r="AP316" t="s">
        <v>60</v>
      </c>
      <c r="AQ316">
        <v>2004</v>
      </c>
      <c r="AR316" t="s">
        <v>39</v>
      </c>
      <c r="AS316" t="s">
        <v>306</v>
      </c>
      <c r="AT316" t="s">
        <v>317</v>
      </c>
      <c r="AU316" t="s">
        <v>243</v>
      </c>
      <c r="AV316" t="s">
        <v>312</v>
      </c>
      <c r="AW316">
        <v>12.65</v>
      </c>
    </row>
    <row r="317" spans="41:49" x14ac:dyDescent="0.25">
      <c r="AO317" t="s">
        <v>25</v>
      </c>
      <c r="AP317" t="s">
        <v>26</v>
      </c>
      <c r="AQ317">
        <v>2008</v>
      </c>
      <c r="AR317" t="s">
        <v>28</v>
      </c>
      <c r="AS317" t="s">
        <v>305</v>
      </c>
      <c r="AT317" t="s">
        <v>317</v>
      </c>
      <c r="AU317" t="s">
        <v>218</v>
      </c>
      <c r="AV317" t="s">
        <v>308</v>
      </c>
      <c r="AW317">
        <v>4</v>
      </c>
    </row>
    <row r="318" spans="41:49" x14ac:dyDescent="0.25">
      <c r="AO318" t="s">
        <v>25</v>
      </c>
      <c r="AP318" t="s">
        <v>26</v>
      </c>
      <c r="AQ318">
        <v>2008</v>
      </c>
      <c r="AR318" t="s">
        <v>28</v>
      </c>
      <c r="AS318" t="s">
        <v>305</v>
      </c>
      <c r="AT318" t="s">
        <v>317</v>
      </c>
      <c r="AU318" t="s">
        <v>218</v>
      </c>
      <c r="AV318" t="s">
        <v>309</v>
      </c>
      <c r="AW318">
        <v>8.9499999999999993</v>
      </c>
    </row>
    <row r="319" spans="41:49" x14ac:dyDescent="0.25">
      <c r="AO319" t="s">
        <v>25</v>
      </c>
      <c r="AP319" t="s">
        <v>26</v>
      </c>
      <c r="AQ319">
        <v>2008</v>
      </c>
      <c r="AR319" t="s">
        <v>28</v>
      </c>
      <c r="AS319" t="s">
        <v>305</v>
      </c>
      <c r="AT319" t="s">
        <v>317</v>
      </c>
      <c r="AU319" t="s">
        <v>218</v>
      </c>
      <c r="AV319" t="s">
        <v>268</v>
      </c>
      <c r="AW319">
        <v>12.95</v>
      </c>
    </row>
    <row r="320" spans="41:49" x14ac:dyDescent="0.25">
      <c r="AO320" t="s">
        <v>25</v>
      </c>
      <c r="AP320" t="s">
        <v>26</v>
      </c>
      <c r="AQ320">
        <v>2008</v>
      </c>
      <c r="AR320" t="s">
        <v>28</v>
      </c>
      <c r="AS320" t="s">
        <v>305</v>
      </c>
      <c r="AT320" t="s">
        <v>317</v>
      </c>
      <c r="AU320" t="s">
        <v>238</v>
      </c>
      <c r="AV320" t="s">
        <v>308</v>
      </c>
      <c r="AW320">
        <v>3.8</v>
      </c>
    </row>
    <row r="321" spans="41:49" x14ac:dyDescent="0.25">
      <c r="AO321" t="s">
        <v>25</v>
      </c>
      <c r="AP321" t="s">
        <v>26</v>
      </c>
      <c r="AQ321">
        <v>2008</v>
      </c>
      <c r="AR321" t="s">
        <v>28</v>
      </c>
      <c r="AS321" t="s">
        <v>305</v>
      </c>
      <c r="AT321" t="s">
        <v>317</v>
      </c>
      <c r="AU321" t="s">
        <v>238</v>
      </c>
      <c r="AV321" t="s">
        <v>309</v>
      </c>
      <c r="AW321">
        <v>8.9499999999999993</v>
      </c>
    </row>
    <row r="322" spans="41:49" x14ac:dyDescent="0.25">
      <c r="AO322" t="s">
        <v>25</v>
      </c>
      <c r="AP322" t="s">
        <v>26</v>
      </c>
      <c r="AQ322">
        <v>2008</v>
      </c>
      <c r="AR322" t="s">
        <v>28</v>
      </c>
      <c r="AS322" t="s">
        <v>305</v>
      </c>
      <c r="AT322" t="s">
        <v>317</v>
      </c>
      <c r="AU322" t="s">
        <v>238</v>
      </c>
      <c r="AV322" t="s">
        <v>268</v>
      </c>
      <c r="AW322">
        <v>12.75</v>
      </c>
    </row>
    <row r="323" spans="41:49" x14ac:dyDescent="0.25">
      <c r="AO323" t="s">
        <v>25</v>
      </c>
      <c r="AP323" t="s">
        <v>26</v>
      </c>
      <c r="AQ323">
        <v>2008</v>
      </c>
      <c r="AR323" t="s">
        <v>28</v>
      </c>
      <c r="AS323" t="s">
        <v>305</v>
      </c>
      <c r="AT323" t="s">
        <v>317</v>
      </c>
      <c r="AU323" t="s">
        <v>239</v>
      </c>
      <c r="AV323" t="s">
        <v>308</v>
      </c>
      <c r="AW323">
        <v>2.8</v>
      </c>
    </row>
    <row r="324" spans="41:49" x14ac:dyDescent="0.25">
      <c r="AO324" t="s">
        <v>25</v>
      </c>
      <c r="AP324" t="s">
        <v>26</v>
      </c>
      <c r="AQ324">
        <v>2008</v>
      </c>
      <c r="AR324" t="s">
        <v>28</v>
      </c>
      <c r="AS324" t="s">
        <v>305</v>
      </c>
      <c r="AT324" t="s">
        <v>317</v>
      </c>
      <c r="AU324" t="s">
        <v>239</v>
      </c>
      <c r="AV324" t="s">
        <v>309</v>
      </c>
      <c r="AW324">
        <v>8.85</v>
      </c>
    </row>
    <row r="325" spans="41:49" x14ac:dyDescent="0.25">
      <c r="AO325" t="s">
        <v>25</v>
      </c>
      <c r="AP325" t="s">
        <v>26</v>
      </c>
      <c r="AQ325">
        <v>2008</v>
      </c>
      <c r="AR325" t="s">
        <v>28</v>
      </c>
      <c r="AS325" t="s">
        <v>305</v>
      </c>
      <c r="AT325" t="s">
        <v>317</v>
      </c>
      <c r="AU325" t="s">
        <v>239</v>
      </c>
      <c r="AV325" t="s">
        <v>268</v>
      </c>
      <c r="AW325">
        <v>11.65</v>
      </c>
    </row>
    <row r="326" spans="41:49" x14ac:dyDescent="0.25">
      <c r="AO326" t="s">
        <v>25</v>
      </c>
      <c r="AP326" t="s">
        <v>26</v>
      </c>
      <c r="AQ326">
        <v>2008</v>
      </c>
      <c r="AR326" t="s">
        <v>28</v>
      </c>
      <c r="AS326" t="s">
        <v>305</v>
      </c>
      <c r="AT326" t="s">
        <v>317</v>
      </c>
      <c r="AU326" t="s">
        <v>240</v>
      </c>
      <c r="AV326" t="s">
        <v>308</v>
      </c>
      <c r="AW326">
        <v>2.2000000000000002</v>
      </c>
    </row>
    <row r="327" spans="41:49" x14ac:dyDescent="0.25">
      <c r="AO327" t="s">
        <v>25</v>
      </c>
      <c r="AP327" t="s">
        <v>26</v>
      </c>
      <c r="AQ327">
        <v>2008</v>
      </c>
      <c r="AR327" t="s">
        <v>28</v>
      </c>
      <c r="AS327" t="s">
        <v>305</v>
      </c>
      <c r="AT327" t="s">
        <v>317</v>
      </c>
      <c r="AU327" t="s">
        <v>240</v>
      </c>
      <c r="AV327" t="s">
        <v>309</v>
      </c>
      <c r="AW327">
        <v>9.4</v>
      </c>
    </row>
    <row r="328" spans="41:49" x14ac:dyDescent="0.25">
      <c r="AO328" t="s">
        <v>25</v>
      </c>
      <c r="AP328" t="s">
        <v>26</v>
      </c>
      <c r="AQ328">
        <v>2008</v>
      </c>
      <c r="AR328" t="s">
        <v>28</v>
      </c>
      <c r="AS328" t="s">
        <v>305</v>
      </c>
      <c r="AT328" t="s">
        <v>317</v>
      </c>
      <c r="AU328" t="s">
        <v>240</v>
      </c>
      <c r="AV328" t="s">
        <v>268</v>
      </c>
      <c r="AW328">
        <v>11.6</v>
      </c>
    </row>
    <row r="329" spans="41:49" x14ac:dyDescent="0.25">
      <c r="AO329" t="s">
        <v>25</v>
      </c>
      <c r="AP329" t="s">
        <v>26</v>
      </c>
      <c r="AQ329">
        <v>2008</v>
      </c>
      <c r="AR329" t="s">
        <v>28</v>
      </c>
      <c r="AS329" t="s">
        <v>305</v>
      </c>
      <c r="AT329" t="s">
        <v>317</v>
      </c>
      <c r="AU329" t="s">
        <v>314</v>
      </c>
      <c r="AV329" t="s">
        <v>308</v>
      </c>
      <c r="AW329">
        <v>4.0999999999999996</v>
      </c>
    </row>
    <row r="330" spans="41:49" x14ac:dyDescent="0.25">
      <c r="AO330" t="s">
        <v>25</v>
      </c>
      <c r="AP330" t="s">
        <v>26</v>
      </c>
      <c r="AQ330">
        <v>2008</v>
      </c>
      <c r="AR330" t="s">
        <v>28</v>
      </c>
      <c r="AS330" t="s">
        <v>305</v>
      </c>
      <c r="AT330" t="s">
        <v>317</v>
      </c>
      <c r="AU330" t="s">
        <v>314</v>
      </c>
      <c r="AV330" t="s">
        <v>309</v>
      </c>
      <c r="AW330">
        <v>8.5500000000000007</v>
      </c>
    </row>
    <row r="331" spans="41:49" x14ac:dyDescent="0.25">
      <c r="AO331" t="s">
        <v>25</v>
      </c>
      <c r="AP331" t="s">
        <v>26</v>
      </c>
      <c r="AQ331">
        <v>2008</v>
      </c>
      <c r="AR331" t="s">
        <v>28</v>
      </c>
      <c r="AS331" t="s">
        <v>305</v>
      </c>
      <c r="AT331" t="s">
        <v>317</v>
      </c>
      <c r="AU331" t="s">
        <v>314</v>
      </c>
      <c r="AV331" t="s">
        <v>268</v>
      </c>
      <c r="AW331">
        <v>12.65</v>
      </c>
    </row>
    <row r="332" spans="41:49" x14ac:dyDescent="0.25">
      <c r="AO332" t="s">
        <v>25</v>
      </c>
      <c r="AP332" t="s">
        <v>26</v>
      </c>
      <c r="AQ332">
        <v>2008</v>
      </c>
      <c r="AR332" t="s">
        <v>28</v>
      </c>
      <c r="AS332" t="s">
        <v>305</v>
      </c>
      <c r="AT332" t="s">
        <v>317</v>
      </c>
      <c r="AU332" t="s">
        <v>242</v>
      </c>
      <c r="AV332" t="s">
        <v>308</v>
      </c>
      <c r="AW332">
        <v>2.6</v>
      </c>
    </row>
    <row r="333" spans="41:49" x14ac:dyDescent="0.25">
      <c r="AO333" t="s">
        <v>25</v>
      </c>
      <c r="AP333" t="s">
        <v>26</v>
      </c>
      <c r="AQ333">
        <v>2008</v>
      </c>
      <c r="AR333" t="s">
        <v>28</v>
      </c>
      <c r="AS333" t="s">
        <v>305</v>
      </c>
      <c r="AT333" t="s">
        <v>317</v>
      </c>
      <c r="AU333" t="s">
        <v>242</v>
      </c>
      <c r="AV333" t="s">
        <v>309</v>
      </c>
      <c r="AW333">
        <v>9</v>
      </c>
    </row>
    <row r="334" spans="41:49" x14ac:dyDescent="0.25">
      <c r="AO334" t="s">
        <v>25</v>
      </c>
      <c r="AP334" t="s">
        <v>26</v>
      </c>
      <c r="AQ334">
        <v>2008</v>
      </c>
      <c r="AR334" t="s">
        <v>28</v>
      </c>
      <c r="AS334" t="s">
        <v>305</v>
      </c>
      <c r="AT334" t="s">
        <v>317</v>
      </c>
      <c r="AU334" t="s">
        <v>242</v>
      </c>
      <c r="AV334" t="s">
        <v>268</v>
      </c>
      <c r="AW334">
        <v>11.6</v>
      </c>
    </row>
    <row r="335" spans="41:49" x14ac:dyDescent="0.25">
      <c r="AO335" t="s">
        <v>25</v>
      </c>
      <c r="AP335" t="s">
        <v>26</v>
      </c>
      <c r="AQ335">
        <v>2008</v>
      </c>
      <c r="AR335" t="s">
        <v>28</v>
      </c>
      <c r="AS335" t="s">
        <v>305</v>
      </c>
      <c r="AT335" t="s">
        <v>317</v>
      </c>
      <c r="AU335" t="s">
        <v>243</v>
      </c>
      <c r="AV335" t="s">
        <v>247</v>
      </c>
      <c r="AW335">
        <v>19.5</v>
      </c>
    </row>
    <row r="336" spans="41:49" x14ac:dyDescent="0.25">
      <c r="AO336" t="s">
        <v>25</v>
      </c>
      <c r="AP336" t="s">
        <v>26</v>
      </c>
      <c r="AQ336">
        <v>2008</v>
      </c>
      <c r="AR336" t="s">
        <v>28</v>
      </c>
      <c r="AS336" t="s">
        <v>305</v>
      </c>
      <c r="AT336" t="s">
        <v>317</v>
      </c>
      <c r="AU336" t="s">
        <v>243</v>
      </c>
      <c r="AV336" t="s">
        <v>248</v>
      </c>
      <c r="AW336">
        <v>53.7</v>
      </c>
    </row>
    <row r="337" spans="41:49" x14ac:dyDescent="0.25">
      <c r="AO337" t="s">
        <v>25</v>
      </c>
      <c r="AP337" t="s">
        <v>26</v>
      </c>
      <c r="AQ337">
        <v>2008</v>
      </c>
      <c r="AR337" t="s">
        <v>28</v>
      </c>
      <c r="AS337" t="s">
        <v>305</v>
      </c>
      <c r="AT337" t="s">
        <v>317</v>
      </c>
      <c r="AU337" t="s">
        <v>243</v>
      </c>
      <c r="AV337" t="s">
        <v>312</v>
      </c>
      <c r="AW337">
        <v>73.2</v>
      </c>
    </row>
    <row r="338" spans="41:49" x14ac:dyDescent="0.25">
      <c r="AO338" t="s">
        <v>112</v>
      </c>
      <c r="AP338" t="s">
        <v>26</v>
      </c>
      <c r="AQ338">
        <v>2005</v>
      </c>
      <c r="AR338" t="s">
        <v>31</v>
      </c>
      <c r="AS338" t="s">
        <v>305</v>
      </c>
      <c r="AT338" t="s">
        <v>317</v>
      </c>
      <c r="AU338" t="s">
        <v>218</v>
      </c>
      <c r="AV338" t="s">
        <v>308</v>
      </c>
      <c r="AW338">
        <v>4</v>
      </c>
    </row>
    <row r="339" spans="41:49" x14ac:dyDescent="0.25">
      <c r="AO339" t="s">
        <v>112</v>
      </c>
      <c r="AP339" t="s">
        <v>26</v>
      </c>
      <c r="AQ339">
        <v>2005</v>
      </c>
      <c r="AR339" t="s">
        <v>31</v>
      </c>
      <c r="AS339" t="s">
        <v>305</v>
      </c>
      <c r="AT339" t="s">
        <v>317</v>
      </c>
      <c r="AU339" t="s">
        <v>218</v>
      </c>
      <c r="AV339" t="s">
        <v>309</v>
      </c>
      <c r="AW339">
        <v>7.8</v>
      </c>
    </row>
    <row r="340" spans="41:49" x14ac:dyDescent="0.25">
      <c r="AO340" t="s">
        <v>112</v>
      </c>
      <c r="AP340" t="s">
        <v>26</v>
      </c>
      <c r="AQ340">
        <v>2005</v>
      </c>
      <c r="AR340" t="s">
        <v>31</v>
      </c>
      <c r="AS340" t="s">
        <v>305</v>
      </c>
      <c r="AT340" t="s">
        <v>317</v>
      </c>
      <c r="AU340" t="s">
        <v>218</v>
      </c>
      <c r="AV340" t="s">
        <v>268</v>
      </c>
      <c r="AW340">
        <v>11.8</v>
      </c>
    </row>
    <row r="341" spans="41:49" x14ac:dyDescent="0.25">
      <c r="AO341" t="s">
        <v>112</v>
      </c>
      <c r="AP341" t="s">
        <v>26</v>
      </c>
      <c r="AQ341">
        <v>2005</v>
      </c>
      <c r="AR341" t="s">
        <v>31</v>
      </c>
      <c r="AS341" t="s">
        <v>305</v>
      </c>
      <c r="AT341" t="s">
        <v>317</v>
      </c>
      <c r="AU341" t="s">
        <v>238</v>
      </c>
      <c r="AV341" t="s">
        <v>308</v>
      </c>
      <c r="AW341">
        <v>3.1</v>
      </c>
    </row>
    <row r="342" spans="41:49" x14ac:dyDescent="0.25">
      <c r="AO342" t="s">
        <v>112</v>
      </c>
      <c r="AP342" t="s">
        <v>26</v>
      </c>
      <c r="AQ342">
        <v>2005</v>
      </c>
      <c r="AR342" t="s">
        <v>31</v>
      </c>
      <c r="AS342" t="s">
        <v>305</v>
      </c>
      <c r="AT342" t="s">
        <v>317</v>
      </c>
      <c r="AU342" t="s">
        <v>238</v>
      </c>
      <c r="AV342" t="s">
        <v>309</v>
      </c>
      <c r="AW342">
        <v>7.65</v>
      </c>
    </row>
    <row r="343" spans="41:49" x14ac:dyDescent="0.25">
      <c r="AO343" t="s">
        <v>112</v>
      </c>
      <c r="AP343" t="s">
        <v>26</v>
      </c>
      <c r="AQ343">
        <v>2005</v>
      </c>
      <c r="AR343" t="s">
        <v>31</v>
      </c>
      <c r="AS343" t="s">
        <v>305</v>
      </c>
      <c r="AT343" t="s">
        <v>317</v>
      </c>
      <c r="AU343" t="s">
        <v>238</v>
      </c>
      <c r="AV343" t="s">
        <v>268</v>
      </c>
      <c r="AW343">
        <v>10.75</v>
      </c>
    </row>
    <row r="344" spans="41:49" x14ac:dyDescent="0.25">
      <c r="AO344" t="s">
        <v>112</v>
      </c>
      <c r="AP344" t="s">
        <v>26</v>
      </c>
      <c r="AQ344">
        <v>2005</v>
      </c>
      <c r="AR344" t="s">
        <v>31</v>
      </c>
      <c r="AS344" t="s">
        <v>305</v>
      </c>
      <c r="AT344" t="s">
        <v>317</v>
      </c>
      <c r="AU344" t="s">
        <v>239</v>
      </c>
      <c r="AV344" t="s">
        <v>308</v>
      </c>
      <c r="AW344">
        <v>2.9</v>
      </c>
    </row>
    <row r="345" spans="41:49" x14ac:dyDescent="0.25">
      <c r="AO345" t="s">
        <v>112</v>
      </c>
      <c r="AP345" t="s">
        <v>26</v>
      </c>
      <c r="AQ345">
        <v>2005</v>
      </c>
      <c r="AR345" t="s">
        <v>31</v>
      </c>
      <c r="AS345" t="s">
        <v>305</v>
      </c>
      <c r="AT345" t="s">
        <v>317</v>
      </c>
      <c r="AU345" t="s">
        <v>239</v>
      </c>
      <c r="AV345" t="s">
        <v>309</v>
      </c>
      <c r="AW345">
        <v>8</v>
      </c>
    </row>
    <row r="346" spans="41:49" x14ac:dyDescent="0.25">
      <c r="AO346" t="s">
        <v>112</v>
      </c>
      <c r="AP346" t="s">
        <v>26</v>
      </c>
      <c r="AQ346">
        <v>2005</v>
      </c>
      <c r="AR346" t="s">
        <v>31</v>
      </c>
      <c r="AS346" t="s">
        <v>305</v>
      </c>
      <c r="AT346" t="s">
        <v>317</v>
      </c>
      <c r="AU346" t="s">
        <v>239</v>
      </c>
      <c r="AV346" t="s">
        <v>268</v>
      </c>
      <c r="AW346">
        <v>10.9</v>
      </c>
    </row>
    <row r="347" spans="41:49" x14ac:dyDescent="0.25">
      <c r="AO347" t="s">
        <v>112</v>
      </c>
      <c r="AP347" t="s">
        <v>26</v>
      </c>
      <c r="AQ347">
        <v>2005</v>
      </c>
      <c r="AR347" t="s">
        <v>31</v>
      </c>
      <c r="AS347" t="s">
        <v>305</v>
      </c>
      <c r="AT347" t="s">
        <v>317</v>
      </c>
      <c r="AU347" t="s">
        <v>240</v>
      </c>
      <c r="AV347" t="s">
        <v>308</v>
      </c>
      <c r="AW347">
        <v>4</v>
      </c>
    </row>
    <row r="348" spans="41:49" x14ac:dyDescent="0.25">
      <c r="AO348" t="s">
        <v>112</v>
      </c>
      <c r="AP348" t="s">
        <v>26</v>
      </c>
      <c r="AQ348">
        <v>2005</v>
      </c>
      <c r="AR348" t="s">
        <v>31</v>
      </c>
      <c r="AS348" t="s">
        <v>305</v>
      </c>
      <c r="AT348" t="s">
        <v>317</v>
      </c>
      <c r="AU348" t="s">
        <v>240</v>
      </c>
      <c r="AV348" t="s">
        <v>309</v>
      </c>
      <c r="AW348">
        <v>8.5</v>
      </c>
    </row>
    <row r="349" spans="41:49" x14ac:dyDescent="0.25">
      <c r="AO349" t="s">
        <v>112</v>
      </c>
      <c r="AP349" t="s">
        <v>26</v>
      </c>
      <c r="AQ349">
        <v>2005</v>
      </c>
      <c r="AR349" t="s">
        <v>31</v>
      </c>
      <c r="AS349" t="s">
        <v>305</v>
      </c>
      <c r="AT349" t="s">
        <v>317</v>
      </c>
      <c r="AU349" t="s">
        <v>240</v>
      </c>
      <c r="AV349" t="s">
        <v>268</v>
      </c>
      <c r="AW349">
        <v>12.5</v>
      </c>
    </row>
    <row r="350" spans="41:49" x14ac:dyDescent="0.25">
      <c r="AO350" t="s">
        <v>112</v>
      </c>
      <c r="AP350" t="s">
        <v>26</v>
      </c>
      <c r="AQ350">
        <v>2005</v>
      </c>
      <c r="AR350" t="s">
        <v>31</v>
      </c>
      <c r="AS350" t="s">
        <v>305</v>
      </c>
      <c r="AT350" t="s">
        <v>317</v>
      </c>
      <c r="AU350" t="s">
        <v>314</v>
      </c>
      <c r="AV350" t="s">
        <v>308</v>
      </c>
      <c r="AW350">
        <v>3.1</v>
      </c>
    </row>
    <row r="351" spans="41:49" x14ac:dyDescent="0.25">
      <c r="AO351" t="s">
        <v>112</v>
      </c>
      <c r="AP351" t="s">
        <v>26</v>
      </c>
      <c r="AQ351">
        <v>2005</v>
      </c>
      <c r="AR351" t="s">
        <v>31</v>
      </c>
      <c r="AS351" t="s">
        <v>305</v>
      </c>
      <c r="AT351" t="s">
        <v>317</v>
      </c>
      <c r="AU351" t="s">
        <v>314</v>
      </c>
      <c r="AV351" t="s">
        <v>309</v>
      </c>
      <c r="AW351">
        <v>8.65</v>
      </c>
    </row>
    <row r="352" spans="41:49" x14ac:dyDescent="0.25">
      <c r="AO352" t="s">
        <v>112</v>
      </c>
      <c r="AP352" t="s">
        <v>26</v>
      </c>
      <c r="AQ352">
        <v>2005</v>
      </c>
      <c r="AR352" t="s">
        <v>31</v>
      </c>
      <c r="AS352" t="s">
        <v>305</v>
      </c>
      <c r="AT352" t="s">
        <v>317</v>
      </c>
      <c r="AU352" t="s">
        <v>314</v>
      </c>
      <c r="AV352" t="s">
        <v>268</v>
      </c>
      <c r="AW352">
        <v>11.75</v>
      </c>
    </row>
    <row r="353" spans="41:49" x14ac:dyDescent="0.25">
      <c r="AO353" t="s">
        <v>112</v>
      </c>
      <c r="AP353" t="s">
        <v>26</v>
      </c>
      <c r="AQ353">
        <v>2005</v>
      </c>
      <c r="AR353" t="s">
        <v>31</v>
      </c>
      <c r="AS353" t="s">
        <v>305</v>
      </c>
      <c r="AT353" t="s">
        <v>317</v>
      </c>
      <c r="AU353" t="s">
        <v>242</v>
      </c>
      <c r="AV353" t="s">
        <v>308</v>
      </c>
      <c r="AW353">
        <v>3.4</v>
      </c>
    </row>
    <row r="354" spans="41:49" x14ac:dyDescent="0.25">
      <c r="AO354" t="s">
        <v>112</v>
      </c>
      <c r="AP354" t="s">
        <v>26</v>
      </c>
      <c r="AQ354">
        <v>2005</v>
      </c>
      <c r="AR354" t="s">
        <v>31</v>
      </c>
      <c r="AS354" t="s">
        <v>305</v>
      </c>
      <c r="AT354" t="s">
        <v>317</v>
      </c>
      <c r="AU354" t="s">
        <v>242</v>
      </c>
      <c r="AV354" t="s">
        <v>309</v>
      </c>
      <c r="AW354">
        <v>7.8</v>
      </c>
    </row>
    <row r="355" spans="41:49" x14ac:dyDescent="0.25">
      <c r="AO355" t="s">
        <v>112</v>
      </c>
      <c r="AP355" t="s">
        <v>26</v>
      </c>
      <c r="AQ355">
        <v>2005</v>
      </c>
      <c r="AR355" t="s">
        <v>31</v>
      </c>
      <c r="AS355" t="s">
        <v>305</v>
      </c>
      <c r="AT355" t="s">
        <v>317</v>
      </c>
      <c r="AU355" t="s">
        <v>242</v>
      </c>
      <c r="AV355" t="s">
        <v>268</v>
      </c>
      <c r="AW355">
        <v>11.2</v>
      </c>
    </row>
    <row r="356" spans="41:49" x14ac:dyDescent="0.25">
      <c r="AO356" t="s">
        <v>112</v>
      </c>
      <c r="AP356" t="s">
        <v>26</v>
      </c>
      <c r="AQ356">
        <v>2005</v>
      </c>
      <c r="AR356" t="s">
        <v>31</v>
      </c>
      <c r="AS356" t="s">
        <v>305</v>
      </c>
      <c r="AT356" t="s">
        <v>317</v>
      </c>
      <c r="AU356" t="s">
        <v>243</v>
      </c>
      <c r="AV356" t="s">
        <v>247</v>
      </c>
      <c r="AW356">
        <v>20.5</v>
      </c>
    </row>
    <row r="357" spans="41:49" x14ac:dyDescent="0.25">
      <c r="AO357" t="s">
        <v>112</v>
      </c>
      <c r="AP357" t="s">
        <v>26</v>
      </c>
      <c r="AQ357">
        <v>2005</v>
      </c>
      <c r="AR357" t="s">
        <v>31</v>
      </c>
      <c r="AS357" t="s">
        <v>305</v>
      </c>
      <c r="AT357" t="s">
        <v>317</v>
      </c>
      <c r="AU357" t="s">
        <v>243</v>
      </c>
      <c r="AV357" t="s">
        <v>248</v>
      </c>
      <c r="AW357">
        <v>48.4</v>
      </c>
    </row>
    <row r="358" spans="41:49" x14ac:dyDescent="0.25">
      <c r="AO358" t="s">
        <v>112</v>
      </c>
      <c r="AP358" t="s">
        <v>26</v>
      </c>
      <c r="AQ358">
        <v>2005</v>
      </c>
      <c r="AR358" t="s">
        <v>31</v>
      </c>
      <c r="AS358" t="s">
        <v>305</v>
      </c>
      <c r="AT358" t="s">
        <v>317</v>
      </c>
      <c r="AU358" t="s">
        <v>243</v>
      </c>
      <c r="AV358" t="s">
        <v>312</v>
      </c>
      <c r="AW358">
        <v>68.900000000000006</v>
      </c>
    </row>
    <row r="359" spans="41:49" x14ac:dyDescent="0.25">
      <c r="AO359" t="s">
        <v>34</v>
      </c>
      <c r="AP359" t="s">
        <v>26</v>
      </c>
      <c r="AQ359">
        <v>2006</v>
      </c>
      <c r="AR359" t="s">
        <v>36</v>
      </c>
      <c r="AS359" t="s">
        <v>305</v>
      </c>
      <c r="AT359" t="s">
        <v>317</v>
      </c>
      <c r="AU359" t="s">
        <v>218</v>
      </c>
      <c r="AV359" t="s">
        <v>308</v>
      </c>
      <c r="AW359">
        <v>3.8</v>
      </c>
    </row>
    <row r="360" spans="41:49" x14ac:dyDescent="0.25">
      <c r="AO360" t="s">
        <v>34</v>
      </c>
      <c r="AP360" t="s">
        <v>26</v>
      </c>
      <c r="AQ360">
        <v>2006</v>
      </c>
      <c r="AR360" t="s">
        <v>36</v>
      </c>
      <c r="AS360" t="s">
        <v>305</v>
      </c>
      <c r="AT360" t="s">
        <v>317</v>
      </c>
      <c r="AU360" t="s">
        <v>218</v>
      </c>
      <c r="AV360" t="s">
        <v>309</v>
      </c>
      <c r="AW360">
        <v>8.6999999999999993</v>
      </c>
    </row>
    <row r="361" spans="41:49" x14ac:dyDescent="0.25">
      <c r="AO361" t="s">
        <v>34</v>
      </c>
      <c r="AP361" t="s">
        <v>26</v>
      </c>
      <c r="AQ361">
        <v>2006</v>
      </c>
      <c r="AR361" t="s">
        <v>36</v>
      </c>
      <c r="AS361" t="s">
        <v>305</v>
      </c>
      <c r="AT361" t="s">
        <v>317</v>
      </c>
      <c r="AU361" t="s">
        <v>218</v>
      </c>
      <c r="AV361" t="s">
        <v>268</v>
      </c>
      <c r="AW361">
        <v>12.5</v>
      </c>
    </row>
    <row r="362" spans="41:49" x14ac:dyDescent="0.25">
      <c r="AO362" t="s">
        <v>34</v>
      </c>
      <c r="AP362" t="s">
        <v>26</v>
      </c>
      <c r="AQ362">
        <v>2006</v>
      </c>
      <c r="AR362" t="s">
        <v>36</v>
      </c>
      <c r="AS362" t="s">
        <v>305</v>
      </c>
      <c r="AT362" t="s">
        <v>317</v>
      </c>
      <c r="AU362" t="s">
        <v>238</v>
      </c>
      <c r="AV362" t="s">
        <v>308</v>
      </c>
      <c r="AW362">
        <v>4.4000000000000004</v>
      </c>
    </row>
    <row r="363" spans="41:49" x14ac:dyDescent="0.25">
      <c r="AO363" t="s">
        <v>34</v>
      </c>
      <c r="AP363" t="s">
        <v>26</v>
      </c>
      <c r="AQ363">
        <v>2006</v>
      </c>
      <c r="AR363" t="s">
        <v>36</v>
      </c>
      <c r="AS363" t="s">
        <v>305</v>
      </c>
      <c r="AT363" t="s">
        <v>317</v>
      </c>
      <c r="AU363" t="s">
        <v>238</v>
      </c>
      <c r="AV363" t="s">
        <v>309</v>
      </c>
      <c r="AW363">
        <v>7</v>
      </c>
    </row>
    <row r="364" spans="41:49" x14ac:dyDescent="0.25">
      <c r="AO364" t="s">
        <v>34</v>
      </c>
      <c r="AP364" t="s">
        <v>26</v>
      </c>
      <c r="AQ364">
        <v>2006</v>
      </c>
      <c r="AR364" t="s">
        <v>36</v>
      </c>
      <c r="AS364" t="s">
        <v>305</v>
      </c>
      <c r="AT364" t="s">
        <v>317</v>
      </c>
      <c r="AU364" t="s">
        <v>238</v>
      </c>
      <c r="AV364" t="s">
        <v>268</v>
      </c>
      <c r="AW364">
        <v>11.4</v>
      </c>
    </row>
    <row r="365" spans="41:49" x14ac:dyDescent="0.25">
      <c r="AO365" t="s">
        <v>34</v>
      </c>
      <c r="AP365" t="s">
        <v>26</v>
      </c>
      <c r="AQ365">
        <v>2006</v>
      </c>
      <c r="AR365" t="s">
        <v>36</v>
      </c>
      <c r="AS365" t="s">
        <v>305</v>
      </c>
      <c r="AT365" t="s">
        <v>317</v>
      </c>
      <c r="AU365" t="s">
        <v>239</v>
      </c>
      <c r="AV365" t="s">
        <v>308</v>
      </c>
      <c r="AW365">
        <v>3.6</v>
      </c>
    </row>
    <row r="366" spans="41:49" x14ac:dyDescent="0.25">
      <c r="AO366" t="s">
        <v>34</v>
      </c>
      <c r="AP366" t="s">
        <v>26</v>
      </c>
      <c r="AQ366">
        <v>2006</v>
      </c>
      <c r="AR366" t="s">
        <v>36</v>
      </c>
      <c r="AS366" t="s">
        <v>305</v>
      </c>
      <c r="AT366" t="s">
        <v>317</v>
      </c>
      <c r="AU366" t="s">
        <v>239</v>
      </c>
      <c r="AV366" t="s">
        <v>309</v>
      </c>
      <c r="AW366">
        <v>7.8</v>
      </c>
    </row>
    <row r="367" spans="41:49" x14ac:dyDescent="0.25">
      <c r="AO367" t="s">
        <v>34</v>
      </c>
      <c r="AP367" t="s">
        <v>26</v>
      </c>
      <c r="AQ367">
        <v>2006</v>
      </c>
      <c r="AR367" t="s">
        <v>36</v>
      </c>
      <c r="AS367" t="s">
        <v>305</v>
      </c>
      <c r="AT367" t="s">
        <v>317</v>
      </c>
      <c r="AU367" t="s">
        <v>239</v>
      </c>
      <c r="AV367" t="s">
        <v>268</v>
      </c>
      <c r="AW367">
        <v>11.4</v>
      </c>
    </row>
    <row r="368" spans="41:49" x14ac:dyDescent="0.25">
      <c r="AO368" t="s">
        <v>34</v>
      </c>
      <c r="AP368" t="s">
        <v>26</v>
      </c>
      <c r="AQ368">
        <v>2006</v>
      </c>
      <c r="AR368" t="s">
        <v>36</v>
      </c>
      <c r="AS368" t="s">
        <v>305</v>
      </c>
      <c r="AT368" t="s">
        <v>317</v>
      </c>
      <c r="AU368" t="s">
        <v>240</v>
      </c>
      <c r="AV368" t="s">
        <v>308</v>
      </c>
      <c r="AW368">
        <v>1.6</v>
      </c>
    </row>
    <row r="369" spans="41:49" x14ac:dyDescent="0.25">
      <c r="AO369" t="s">
        <v>34</v>
      </c>
      <c r="AP369" t="s">
        <v>26</v>
      </c>
      <c r="AQ369">
        <v>2006</v>
      </c>
      <c r="AR369" t="s">
        <v>36</v>
      </c>
      <c r="AS369" t="s">
        <v>305</v>
      </c>
      <c r="AT369" t="s">
        <v>317</v>
      </c>
      <c r="AU369" t="s">
        <v>240</v>
      </c>
      <c r="AV369" t="s">
        <v>309</v>
      </c>
      <c r="AW369">
        <v>8.8000000000000007</v>
      </c>
    </row>
    <row r="370" spans="41:49" x14ac:dyDescent="0.25">
      <c r="AO370" t="s">
        <v>34</v>
      </c>
      <c r="AP370" t="s">
        <v>26</v>
      </c>
      <c r="AQ370">
        <v>2006</v>
      </c>
      <c r="AR370" t="s">
        <v>36</v>
      </c>
      <c r="AS370" t="s">
        <v>305</v>
      </c>
      <c r="AT370" t="s">
        <v>317</v>
      </c>
      <c r="AU370" t="s">
        <v>240</v>
      </c>
      <c r="AV370" t="s">
        <v>268</v>
      </c>
      <c r="AW370">
        <v>10.4</v>
      </c>
    </row>
    <row r="371" spans="41:49" x14ac:dyDescent="0.25">
      <c r="AO371" t="s">
        <v>34</v>
      </c>
      <c r="AP371" t="s">
        <v>26</v>
      </c>
      <c r="AQ371">
        <v>2006</v>
      </c>
      <c r="AR371" t="s">
        <v>36</v>
      </c>
      <c r="AS371" t="s">
        <v>305</v>
      </c>
      <c r="AT371" t="s">
        <v>317</v>
      </c>
      <c r="AU371" t="s">
        <v>314</v>
      </c>
      <c r="AV371" t="s">
        <v>308</v>
      </c>
      <c r="AW371">
        <v>3.2</v>
      </c>
    </row>
    <row r="372" spans="41:49" x14ac:dyDescent="0.25">
      <c r="AO372" t="s">
        <v>34</v>
      </c>
      <c r="AP372" t="s">
        <v>26</v>
      </c>
      <c r="AQ372">
        <v>2006</v>
      </c>
      <c r="AR372" t="s">
        <v>36</v>
      </c>
      <c r="AS372" t="s">
        <v>305</v>
      </c>
      <c r="AT372" t="s">
        <v>317</v>
      </c>
      <c r="AU372" t="s">
        <v>314</v>
      </c>
      <c r="AV372" t="s">
        <v>309</v>
      </c>
      <c r="AW372">
        <v>8.6</v>
      </c>
    </row>
    <row r="373" spans="41:49" x14ac:dyDescent="0.25">
      <c r="AO373" t="s">
        <v>34</v>
      </c>
      <c r="AP373" t="s">
        <v>26</v>
      </c>
      <c r="AQ373">
        <v>2006</v>
      </c>
      <c r="AR373" t="s">
        <v>36</v>
      </c>
      <c r="AS373" t="s">
        <v>305</v>
      </c>
      <c r="AT373" t="s">
        <v>317</v>
      </c>
      <c r="AU373" t="s">
        <v>314</v>
      </c>
      <c r="AV373" t="s">
        <v>268</v>
      </c>
      <c r="AW373">
        <v>11.8</v>
      </c>
    </row>
    <row r="374" spans="41:49" x14ac:dyDescent="0.25">
      <c r="AO374" t="s">
        <v>34</v>
      </c>
      <c r="AP374" t="s">
        <v>26</v>
      </c>
      <c r="AQ374">
        <v>2006</v>
      </c>
      <c r="AR374" t="s">
        <v>36</v>
      </c>
      <c r="AS374" t="s">
        <v>305</v>
      </c>
      <c r="AT374" t="s">
        <v>317</v>
      </c>
      <c r="AU374" t="s">
        <v>242</v>
      </c>
      <c r="AV374" t="s">
        <v>308</v>
      </c>
      <c r="AW374">
        <v>3.4</v>
      </c>
    </row>
    <row r="375" spans="41:49" x14ac:dyDescent="0.25">
      <c r="AO375" t="s">
        <v>34</v>
      </c>
      <c r="AP375" t="s">
        <v>26</v>
      </c>
      <c r="AQ375">
        <v>2006</v>
      </c>
      <c r="AR375" t="s">
        <v>36</v>
      </c>
      <c r="AS375" t="s">
        <v>305</v>
      </c>
      <c r="AT375" t="s">
        <v>317</v>
      </c>
      <c r="AU375" t="s">
        <v>242</v>
      </c>
      <c r="AV375" t="s">
        <v>309</v>
      </c>
      <c r="AW375">
        <v>7.4</v>
      </c>
    </row>
    <row r="376" spans="41:49" x14ac:dyDescent="0.25">
      <c r="AO376" t="s">
        <v>34</v>
      </c>
      <c r="AP376" t="s">
        <v>26</v>
      </c>
      <c r="AQ376">
        <v>2006</v>
      </c>
      <c r="AR376" t="s">
        <v>36</v>
      </c>
      <c r="AS376" t="s">
        <v>305</v>
      </c>
      <c r="AT376" t="s">
        <v>317</v>
      </c>
      <c r="AU376" t="s">
        <v>242</v>
      </c>
      <c r="AV376" t="s">
        <v>268</v>
      </c>
      <c r="AW376">
        <v>10.8</v>
      </c>
    </row>
    <row r="377" spans="41:49" x14ac:dyDescent="0.25">
      <c r="AO377" t="s">
        <v>34</v>
      </c>
      <c r="AP377" t="s">
        <v>26</v>
      </c>
      <c r="AQ377">
        <v>2006</v>
      </c>
      <c r="AR377" t="s">
        <v>36</v>
      </c>
      <c r="AS377" t="s">
        <v>305</v>
      </c>
      <c r="AT377" t="s">
        <v>317</v>
      </c>
      <c r="AU377" t="s">
        <v>243</v>
      </c>
      <c r="AV377" t="s">
        <v>247</v>
      </c>
      <c r="AW377">
        <v>19.999999999999996</v>
      </c>
    </row>
    <row r="378" spans="41:49" x14ac:dyDescent="0.25">
      <c r="AO378" t="s">
        <v>34</v>
      </c>
      <c r="AP378" t="s">
        <v>26</v>
      </c>
      <c r="AQ378">
        <v>2006</v>
      </c>
      <c r="AR378" t="s">
        <v>36</v>
      </c>
      <c r="AS378" t="s">
        <v>305</v>
      </c>
      <c r="AT378" t="s">
        <v>317</v>
      </c>
      <c r="AU378" t="s">
        <v>243</v>
      </c>
      <c r="AV378" t="s">
        <v>248</v>
      </c>
      <c r="AW378">
        <v>48.3</v>
      </c>
    </row>
    <row r="379" spans="41:49" x14ac:dyDescent="0.25">
      <c r="AO379" t="s">
        <v>34</v>
      </c>
      <c r="AP379" t="s">
        <v>26</v>
      </c>
      <c r="AQ379">
        <v>2006</v>
      </c>
      <c r="AR379" t="s">
        <v>36</v>
      </c>
      <c r="AS379" t="s">
        <v>305</v>
      </c>
      <c r="AT379" t="s">
        <v>317</v>
      </c>
      <c r="AU379" t="s">
        <v>243</v>
      </c>
      <c r="AV379" t="s">
        <v>312</v>
      </c>
      <c r="AW379">
        <v>68.3</v>
      </c>
    </row>
    <row r="380" spans="41:49" x14ac:dyDescent="0.25">
      <c r="AO380" t="s">
        <v>32</v>
      </c>
      <c r="AP380" t="s">
        <v>26</v>
      </c>
      <c r="AQ380">
        <v>2005</v>
      </c>
      <c r="AR380" t="s">
        <v>31</v>
      </c>
      <c r="AS380" t="s">
        <v>305</v>
      </c>
      <c r="AT380" t="s">
        <v>317</v>
      </c>
      <c r="AU380" t="s">
        <v>218</v>
      </c>
      <c r="AV380" t="s">
        <v>308</v>
      </c>
      <c r="AW380">
        <v>4.2</v>
      </c>
    </row>
    <row r="381" spans="41:49" x14ac:dyDescent="0.25">
      <c r="AO381" t="s">
        <v>32</v>
      </c>
      <c r="AP381" t="s">
        <v>26</v>
      </c>
      <c r="AQ381">
        <v>2005</v>
      </c>
      <c r="AR381" t="s">
        <v>31</v>
      </c>
      <c r="AS381" t="s">
        <v>305</v>
      </c>
      <c r="AT381" t="s">
        <v>317</v>
      </c>
      <c r="AU381" t="s">
        <v>218</v>
      </c>
      <c r="AV381" t="s">
        <v>309</v>
      </c>
      <c r="AW381">
        <v>8.6</v>
      </c>
    </row>
    <row r="382" spans="41:49" x14ac:dyDescent="0.25">
      <c r="AO382" t="s">
        <v>32</v>
      </c>
      <c r="AP382" t="s">
        <v>26</v>
      </c>
      <c r="AQ382">
        <v>2005</v>
      </c>
      <c r="AR382" t="s">
        <v>31</v>
      </c>
      <c r="AS382" t="s">
        <v>305</v>
      </c>
      <c r="AT382" t="s">
        <v>317</v>
      </c>
      <c r="AU382" t="s">
        <v>218</v>
      </c>
      <c r="AV382" t="s">
        <v>268</v>
      </c>
      <c r="AW382">
        <v>12.8</v>
      </c>
    </row>
    <row r="383" spans="41:49" x14ac:dyDescent="0.25">
      <c r="AO383" t="s">
        <v>32</v>
      </c>
      <c r="AP383" t="s">
        <v>26</v>
      </c>
      <c r="AQ383">
        <v>2005</v>
      </c>
      <c r="AR383" t="s">
        <v>31</v>
      </c>
      <c r="AS383" t="s">
        <v>305</v>
      </c>
      <c r="AT383" t="s">
        <v>317</v>
      </c>
      <c r="AU383" t="s">
        <v>238</v>
      </c>
      <c r="AV383" t="s">
        <v>308</v>
      </c>
      <c r="AW383">
        <v>3.6</v>
      </c>
    </row>
    <row r="384" spans="41:49" x14ac:dyDescent="0.25">
      <c r="AO384" t="s">
        <v>32</v>
      </c>
      <c r="AP384" t="s">
        <v>26</v>
      </c>
      <c r="AQ384">
        <v>2005</v>
      </c>
      <c r="AR384" t="s">
        <v>31</v>
      </c>
      <c r="AS384" t="s">
        <v>305</v>
      </c>
      <c r="AT384" t="s">
        <v>317</v>
      </c>
      <c r="AU384" t="s">
        <v>238</v>
      </c>
      <c r="AV384" t="s">
        <v>309</v>
      </c>
      <c r="AW384">
        <v>7</v>
      </c>
    </row>
    <row r="385" spans="41:49" x14ac:dyDescent="0.25">
      <c r="AO385" t="s">
        <v>32</v>
      </c>
      <c r="AP385" t="s">
        <v>26</v>
      </c>
      <c r="AQ385">
        <v>2005</v>
      </c>
      <c r="AR385" t="s">
        <v>31</v>
      </c>
      <c r="AS385" t="s">
        <v>305</v>
      </c>
      <c r="AT385" t="s">
        <v>317</v>
      </c>
      <c r="AU385" t="s">
        <v>238</v>
      </c>
      <c r="AV385" t="s">
        <v>268</v>
      </c>
      <c r="AW385">
        <v>10.6</v>
      </c>
    </row>
    <row r="386" spans="41:49" x14ac:dyDescent="0.25">
      <c r="AO386" t="s">
        <v>32</v>
      </c>
      <c r="AP386" t="s">
        <v>26</v>
      </c>
      <c r="AQ386">
        <v>2005</v>
      </c>
      <c r="AR386" t="s">
        <v>31</v>
      </c>
      <c r="AS386" t="s">
        <v>305</v>
      </c>
      <c r="AT386" t="s">
        <v>317</v>
      </c>
      <c r="AU386" t="s">
        <v>239</v>
      </c>
      <c r="AV386" t="s">
        <v>308</v>
      </c>
      <c r="AW386">
        <v>3.3</v>
      </c>
    </row>
    <row r="387" spans="41:49" x14ac:dyDescent="0.25">
      <c r="AO387" t="s">
        <v>32</v>
      </c>
      <c r="AP387" t="s">
        <v>26</v>
      </c>
      <c r="AQ387">
        <v>2005</v>
      </c>
      <c r="AR387" t="s">
        <v>31</v>
      </c>
      <c r="AS387" t="s">
        <v>305</v>
      </c>
      <c r="AT387" t="s">
        <v>317</v>
      </c>
      <c r="AU387" t="s">
        <v>239</v>
      </c>
      <c r="AV387" t="s">
        <v>309</v>
      </c>
      <c r="AW387">
        <v>7.1</v>
      </c>
    </row>
    <row r="388" spans="41:49" x14ac:dyDescent="0.25">
      <c r="AO388" t="s">
        <v>32</v>
      </c>
      <c r="AP388" t="s">
        <v>26</v>
      </c>
      <c r="AQ388">
        <v>2005</v>
      </c>
      <c r="AR388" t="s">
        <v>31</v>
      </c>
      <c r="AS388" t="s">
        <v>305</v>
      </c>
      <c r="AT388" t="s">
        <v>317</v>
      </c>
      <c r="AU388" t="s">
        <v>239</v>
      </c>
      <c r="AV388" t="s">
        <v>268</v>
      </c>
      <c r="AW388">
        <v>10.4</v>
      </c>
    </row>
    <row r="389" spans="41:49" x14ac:dyDescent="0.25">
      <c r="AO389" t="s">
        <v>32</v>
      </c>
      <c r="AP389" t="s">
        <v>26</v>
      </c>
      <c r="AQ389">
        <v>2005</v>
      </c>
      <c r="AR389" t="s">
        <v>31</v>
      </c>
      <c r="AS389" t="s">
        <v>305</v>
      </c>
      <c r="AT389" t="s">
        <v>317</v>
      </c>
      <c r="AU389" t="s">
        <v>240</v>
      </c>
      <c r="AV389" t="s">
        <v>308</v>
      </c>
      <c r="AW389">
        <v>3.2</v>
      </c>
    </row>
    <row r="390" spans="41:49" x14ac:dyDescent="0.25">
      <c r="AO390" t="s">
        <v>32</v>
      </c>
      <c r="AP390" t="s">
        <v>26</v>
      </c>
      <c r="AQ390">
        <v>2005</v>
      </c>
      <c r="AR390" t="s">
        <v>31</v>
      </c>
      <c r="AS390" t="s">
        <v>305</v>
      </c>
      <c r="AT390" t="s">
        <v>317</v>
      </c>
      <c r="AU390" t="s">
        <v>240</v>
      </c>
      <c r="AV390" t="s">
        <v>309</v>
      </c>
      <c r="AW390">
        <v>9</v>
      </c>
    </row>
    <row r="391" spans="41:49" x14ac:dyDescent="0.25">
      <c r="AO391" t="s">
        <v>32</v>
      </c>
      <c r="AP391" t="s">
        <v>26</v>
      </c>
      <c r="AQ391">
        <v>2005</v>
      </c>
      <c r="AR391" t="s">
        <v>31</v>
      </c>
      <c r="AS391" t="s">
        <v>305</v>
      </c>
      <c r="AT391" t="s">
        <v>317</v>
      </c>
      <c r="AU391" t="s">
        <v>240</v>
      </c>
      <c r="AV391" t="s">
        <v>268</v>
      </c>
      <c r="AW391">
        <v>12.2</v>
      </c>
    </row>
    <row r="392" spans="41:49" x14ac:dyDescent="0.25">
      <c r="AO392" t="s">
        <v>32</v>
      </c>
      <c r="AP392" t="s">
        <v>26</v>
      </c>
      <c r="AQ392">
        <v>2005</v>
      </c>
      <c r="AR392" t="s">
        <v>31</v>
      </c>
      <c r="AS392" t="s">
        <v>305</v>
      </c>
      <c r="AT392" t="s">
        <v>317</v>
      </c>
      <c r="AU392" t="s">
        <v>314</v>
      </c>
      <c r="AV392" t="s">
        <v>308</v>
      </c>
      <c r="AW392">
        <v>3.5</v>
      </c>
    </row>
    <row r="393" spans="41:49" x14ac:dyDescent="0.25">
      <c r="AO393" t="s">
        <v>32</v>
      </c>
      <c r="AP393" t="s">
        <v>26</v>
      </c>
      <c r="AQ393">
        <v>2005</v>
      </c>
      <c r="AR393" t="s">
        <v>31</v>
      </c>
      <c r="AS393" t="s">
        <v>305</v>
      </c>
      <c r="AT393" t="s">
        <v>317</v>
      </c>
      <c r="AU393" t="s">
        <v>314</v>
      </c>
      <c r="AV393" t="s">
        <v>309</v>
      </c>
      <c r="AW393">
        <v>7.95</v>
      </c>
    </row>
    <row r="394" spans="41:49" x14ac:dyDescent="0.25">
      <c r="AO394" t="s">
        <v>32</v>
      </c>
      <c r="AP394" t="s">
        <v>26</v>
      </c>
      <c r="AQ394">
        <v>2005</v>
      </c>
      <c r="AR394" t="s">
        <v>31</v>
      </c>
      <c r="AS394" t="s">
        <v>305</v>
      </c>
      <c r="AT394" t="s">
        <v>317</v>
      </c>
      <c r="AU394" t="s">
        <v>314</v>
      </c>
      <c r="AV394" t="s">
        <v>268</v>
      </c>
      <c r="AW394">
        <v>11.45</v>
      </c>
    </row>
    <row r="395" spans="41:49" x14ac:dyDescent="0.25">
      <c r="AO395" t="s">
        <v>32</v>
      </c>
      <c r="AP395" t="s">
        <v>26</v>
      </c>
      <c r="AQ395">
        <v>2005</v>
      </c>
      <c r="AR395" t="s">
        <v>31</v>
      </c>
      <c r="AS395" t="s">
        <v>305</v>
      </c>
      <c r="AT395" t="s">
        <v>317</v>
      </c>
      <c r="AU395" t="s">
        <v>242</v>
      </c>
      <c r="AV395" t="s">
        <v>308</v>
      </c>
      <c r="AW395">
        <v>3.1</v>
      </c>
    </row>
    <row r="396" spans="41:49" x14ac:dyDescent="0.25">
      <c r="AO396" t="s">
        <v>32</v>
      </c>
      <c r="AP396" t="s">
        <v>26</v>
      </c>
      <c r="AQ396">
        <v>2005</v>
      </c>
      <c r="AR396" t="s">
        <v>31</v>
      </c>
      <c r="AS396" t="s">
        <v>305</v>
      </c>
      <c r="AT396" t="s">
        <v>317</v>
      </c>
      <c r="AU396" t="s">
        <v>242</v>
      </c>
      <c r="AV396" t="s">
        <v>309</v>
      </c>
      <c r="AW396">
        <v>7.7</v>
      </c>
    </row>
    <row r="397" spans="41:49" x14ac:dyDescent="0.25">
      <c r="AO397" t="s">
        <v>32</v>
      </c>
      <c r="AP397" t="s">
        <v>26</v>
      </c>
      <c r="AQ397">
        <v>2005</v>
      </c>
      <c r="AR397" t="s">
        <v>31</v>
      </c>
      <c r="AS397" t="s">
        <v>305</v>
      </c>
      <c r="AT397" t="s">
        <v>317</v>
      </c>
      <c r="AU397" t="s">
        <v>242</v>
      </c>
      <c r="AV397" t="s">
        <v>268</v>
      </c>
      <c r="AW397">
        <v>10.8</v>
      </c>
    </row>
    <row r="398" spans="41:49" x14ac:dyDescent="0.25">
      <c r="AO398" t="s">
        <v>32</v>
      </c>
      <c r="AP398" t="s">
        <v>26</v>
      </c>
      <c r="AQ398">
        <v>2005</v>
      </c>
      <c r="AR398" t="s">
        <v>31</v>
      </c>
      <c r="AS398" t="s">
        <v>305</v>
      </c>
      <c r="AT398" t="s">
        <v>317</v>
      </c>
      <c r="AU398" t="s">
        <v>243</v>
      </c>
      <c r="AV398" t="s">
        <v>247</v>
      </c>
      <c r="AW398">
        <v>20.900000000000002</v>
      </c>
    </row>
    <row r="399" spans="41:49" x14ac:dyDescent="0.25">
      <c r="AO399" t="s">
        <v>32</v>
      </c>
      <c r="AP399" t="s">
        <v>26</v>
      </c>
      <c r="AQ399">
        <v>2005</v>
      </c>
      <c r="AR399" t="s">
        <v>31</v>
      </c>
      <c r="AS399" t="s">
        <v>305</v>
      </c>
      <c r="AT399" t="s">
        <v>317</v>
      </c>
      <c r="AU399" t="s">
        <v>243</v>
      </c>
      <c r="AV399" t="s">
        <v>248</v>
      </c>
      <c r="AW399">
        <v>47.35</v>
      </c>
    </row>
    <row r="400" spans="41:49" x14ac:dyDescent="0.25">
      <c r="AO400" t="s">
        <v>32</v>
      </c>
      <c r="AP400" t="s">
        <v>26</v>
      </c>
      <c r="AQ400">
        <v>2005</v>
      </c>
      <c r="AR400" t="s">
        <v>31</v>
      </c>
      <c r="AS400" t="s">
        <v>305</v>
      </c>
      <c r="AT400" t="s">
        <v>317</v>
      </c>
      <c r="AU400" t="s">
        <v>243</v>
      </c>
      <c r="AV400" t="s">
        <v>312</v>
      </c>
      <c r="AW400">
        <v>68.25</v>
      </c>
    </row>
    <row r="401" spans="41:49" x14ac:dyDescent="0.25">
      <c r="AO401" t="s">
        <v>37</v>
      </c>
      <c r="AP401" t="s">
        <v>26</v>
      </c>
      <c r="AQ401">
        <v>2006</v>
      </c>
      <c r="AR401" t="s">
        <v>39</v>
      </c>
      <c r="AS401" t="s">
        <v>305</v>
      </c>
      <c r="AT401" t="s">
        <v>317</v>
      </c>
      <c r="AU401" t="s">
        <v>218</v>
      </c>
      <c r="AV401" t="s">
        <v>308</v>
      </c>
      <c r="AW401">
        <v>3.3</v>
      </c>
    </row>
    <row r="402" spans="41:49" x14ac:dyDescent="0.25">
      <c r="AO402" t="s">
        <v>37</v>
      </c>
      <c r="AP402" t="s">
        <v>26</v>
      </c>
      <c r="AQ402">
        <v>2006</v>
      </c>
      <c r="AR402" t="s">
        <v>39</v>
      </c>
      <c r="AS402" t="s">
        <v>305</v>
      </c>
      <c r="AT402" t="s">
        <v>317</v>
      </c>
      <c r="AU402" t="s">
        <v>218</v>
      </c>
      <c r="AV402" t="s">
        <v>309</v>
      </c>
      <c r="AW402">
        <v>8.3000000000000007</v>
      </c>
    </row>
    <row r="403" spans="41:49" x14ac:dyDescent="0.25">
      <c r="AO403" t="s">
        <v>37</v>
      </c>
      <c r="AP403" t="s">
        <v>26</v>
      </c>
      <c r="AQ403">
        <v>2006</v>
      </c>
      <c r="AR403" t="s">
        <v>39</v>
      </c>
      <c r="AS403" t="s">
        <v>305</v>
      </c>
      <c r="AT403" t="s">
        <v>317</v>
      </c>
      <c r="AU403" t="s">
        <v>218</v>
      </c>
      <c r="AV403" t="s">
        <v>268</v>
      </c>
      <c r="AW403">
        <v>11.6</v>
      </c>
    </row>
    <row r="404" spans="41:49" x14ac:dyDescent="0.25">
      <c r="AO404" t="s">
        <v>37</v>
      </c>
      <c r="AP404" t="s">
        <v>26</v>
      </c>
      <c r="AQ404">
        <v>2006</v>
      </c>
      <c r="AR404" t="s">
        <v>39</v>
      </c>
      <c r="AS404" t="s">
        <v>305</v>
      </c>
      <c r="AT404" t="s">
        <v>317</v>
      </c>
      <c r="AU404" t="s">
        <v>238</v>
      </c>
      <c r="AV404" t="s">
        <v>308</v>
      </c>
      <c r="AW404">
        <v>4.4000000000000004</v>
      </c>
    </row>
    <row r="405" spans="41:49" x14ac:dyDescent="0.25">
      <c r="AO405" t="s">
        <v>37</v>
      </c>
      <c r="AP405" t="s">
        <v>26</v>
      </c>
      <c r="AQ405">
        <v>2006</v>
      </c>
      <c r="AR405" t="s">
        <v>39</v>
      </c>
      <c r="AS405" t="s">
        <v>305</v>
      </c>
      <c r="AT405" t="s">
        <v>317</v>
      </c>
      <c r="AU405" t="s">
        <v>238</v>
      </c>
      <c r="AV405" t="s">
        <v>309</v>
      </c>
      <c r="AW405">
        <v>7.85</v>
      </c>
    </row>
    <row r="406" spans="41:49" x14ac:dyDescent="0.25">
      <c r="AO406" t="s">
        <v>37</v>
      </c>
      <c r="AP406" t="s">
        <v>26</v>
      </c>
      <c r="AQ406">
        <v>2006</v>
      </c>
      <c r="AR406" t="s">
        <v>39</v>
      </c>
      <c r="AS406" t="s">
        <v>305</v>
      </c>
      <c r="AT406" t="s">
        <v>317</v>
      </c>
      <c r="AU406" t="s">
        <v>238</v>
      </c>
      <c r="AV406" t="s">
        <v>268</v>
      </c>
      <c r="AW406">
        <v>12.25</v>
      </c>
    </row>
    <row r="407" spans="41:49" x14ac:dyDescent="0.25">
      <c r="AO407" t="s">
        <v>37</v>
      </c>
      <c r="AP407" t="s">
        <v>26</v>
      </c>
      <c r="AQ407">
        <v>2006</v>
      </c>
      <c r="AR407" t="s">
        <v>39</v>
      </c>
      <c r="AS407" t="s">
        <v>305</v>
      </c>
      <c r="AT407" t="s">
        <v>317</v>
      </c>
      <c r="AU407" t="s">
        <v>239</v>
      </c>
      <c r="AV407" t="s">
        <v>308</v>
      </c>
      <c r="AW407">
        <v>2.2999999999999998</v>
      </c>
    </row>
    <row r="408" spans="41:49" x14ac:dyDescent="0.25">
      <c r="AO408" t="s">
        <v>37</v>
      </c>
      <c r="AP408" t="s">
        <v>26</v>
      </c>
      <c r="AQ408">
        <v>2006</v>
      </c>
      <c r="AR408" t="s">
        <v>39</v>
      </c>
      <c r="AS408" t="s">
        <v>305</v>
      </c>
      <c r="AT408" t="s">
        <v>317</v>
      </c>
      <c r="AU408" t="s">
        <v>239</v>
      </c>
      <c r="AV408" t="s">
        <v>309</v>
      </c>
      <c r="AW408">
        <v>7.3</v>
      </c>
    </row>
    <row r="409" spans="41:49" x14ac:dyDescent="0.25">
      <c r="AO409" t="s">
        <v>37</v>
      </c>
      <c r="AP409" t="s">
        <v>26</v>
      </c>
      <c r="AQ409">
        <v>2006</v>
      </c>
      <c r="AR409" t="s">
        <v>39</v>
      </c>
      <c r="AS409" t="s">
        <v>305</v>
      </c>
      <c r="AT409" t="s">
        <v>317</v>
      </c>
      <c r="AU409" t="s">
        <v>239</v>
      </c>
      <c r="AV409" t="s">
        <v>268</v>
      </c>
      <c r="AW409">
        <v>9.6</v>
      </c>
    </row>
    <row r="410" spans="41:49" x14ac:dyDescent="0.25">
      <c r="AO410" t="s">
        <v>37</v>
      </c>
      <c r="AP410" t="s">
        <v>26</v>
      </c>
      <c r="AQ410">
        <v>2006</v>
      </c>
      <c r="AR410" t="s">
        <v>39</v>
      </c>
      <c r="AS410" t="s">
        <v>305</v>
      </c>
      <c r="AT410" t="s">
        <v>317</v>
      </c>
      <c r="AU410" t="s">
        <v>240</v>
      </c>
      <c r="AV410" t="s">
        <v>308</v>
      </c>
      <c r="AW410">
        <v>2.4</v>
      </c>
    </row>
    <row r="411" spans="41:49" x14ac:dyDescent="0.25">
      <c r="AO411" t="s">
        <v>37</v>
      </c>
      <c r="AP411" t="s">
        <v>26</v>
      </c>
      <c r="AQ411">
        <v>2006</v>
      </c>
      <c r="AR411" t="s">
        <v>39</v>
      </c>
      <c r="AS411" t="s">
        <v>305</v>
      </c>
      <c r="AT411" t="s">
        <v>317</v>
      </c>
      <c r="AU411" t="s">
        <v>240</v>
      </c>
      <c r="AV411" t="s">
        <v>309</v>
      </c>
      <c r="AW411">
        <v>8.85</v>
      </c>
    </row>
    <row r="412" spans="41:49" x14ac:dyDescent="0.25">
      <c r="AO412" t="s">
        <v>37</v>
      </c>
      <c r="AP412" t="s">
        <v>26</v>
      </c>
      <c r="AQ412">
        <v>2006</v>
      </c>
      <c r="AR412" t="s">
        <v>39</v>
      </c>
      <c r="AS412" t="s">
        <v>305</v>
      </c>
      <c r="AT412" t="s">
        <v>317</v>
      </c>
      <c r="AU412" t="s">
        <v>240</v>
      </c>
      <c r="AV412" t="s">
        <v>268</v>
      </c>
      <c r="AW412">
        <v>11.25</v>
      </c>
    </row>
    <row r="413" spans="41:49" x14ac:dyDescent="0.25">
      <c r="AO413" t="s">
        <v>37</v>
      </c>
      <c r="AP413" t="s">
        <v>26</v>
      </c>
      <c r="AQ413">
        <v>2006</v>
      </c>
      <c r="AR413" t="s">
        <v>39</v>
      </c>
      <c r="AS413" t="s">
        <v>305</v>
      </c>
      <c r="AT413" t="s">
        <v>317</v>
      </c>
      <c r="AU413" t="s">
        <v>314</v>
      </c>
      <c r="AV413" t="s">
        <v>308</v>
      </c>
      <c r="AW413">
        <v>3.1</v>
      </c>
    </row>
    <row r="414" spans="41:49" x14ac:dyDescent="0.25">
      <c r="AO414" t="s">
        <v>37</v>
      </c>
      <c r="AP414" t="s">
        <v>26</v>
      </c>
      <c r="AQ414">
        <v>2006</v>
      </c>
      <c r="AR414" t="s">
        <v>39</v>
      </c>
      <c r="AS414" t="s">
        <v>305</v>
      </c>
      <c r="AT414" t="s">
        <v>317</v>
      </c>
      <c r="AU414" t="s">
        <v>314</v>
      </c>
      <c r="AV414" t="s">
        <v>309</v>
      </c>
      <c r="AW414">
        <v>8.5</v>
      </c>
    </row>
    <row r="415" spans="41:49" x14ac:dyDescent="0.25">
      <c r="AO415" t="s">
        <v>37</v>
      </c>
      <c r="AP415" t="s">
        <v>26</v>
      </c>
      <c r="AQ415">
        <v>2006</v>
      </c>
      <c r="AR415" t="s">
        <v>39</v>
      </c>
      <c r="AS415" t="s">
        <v>305</v>
      </c>
      <c r="AT415" t="s">
        <v>317</v>
      </c>
      <c r="AU415" t="s">
        <v>314</v>
      </c>
      <c r="AV415" t="s">
        <v>268</v>
      </c>
      <c r="AW415">
        <v>11.6</v>
      </c>
    </row>
    <row r="416" spans="41:49" x14ac:dyDescent="0.25">
      <c r="AO416" t="s">
        <v>37</v>
      </c>
      <c r="AP416" t="s">
        <v>26</v>
      </c>
      <c r="AQ416">
        <v>2006</v>
      </c>
      <c r="AR416" t="s">
        <v>39</v>
      </c>
      <c r="AS416" t="s">
        <v>305</v>
      </c>
      <c r="AT416" t="s">
        <v>317</v>
      </c>
      <c r="AU416" t="s">
        <v>242</v>
      </c>
      <c r="AV416" t="s">
        <v>308</v>
      </c>
      <c r="AW416">
        <v>3</v>
      </c>
    </row>
    <row r="417" spans="41:49" x14ac:dyDescent="0.25">
      <c r="AO417" t="s">
        <v>37</v>
      </c>
      <c r="AP417" t="s">
        <v>26</v>
      </c>
      <c r="AQ417">
        <v>2006</v>
      </c>
      <c r="AR417" t="s">
        <v>39</v>
      </c>
      <c r="AS417" t="s">
        <v>305</v>
      </c>
      <c r="AT417" t="s">
        <v>317</v>
      </c>
      <c r="AU417" t="s">
        <v>242</v>
      </c>
      <c r="AV417" t="s">
        <v>309</v>
      </c>
      <c r="AW417">
        <v>7.8</v>
      </c>
    </row>
    <row r="418" spans="41:49" x14ac:dyDescent="0.25">
      <c r="AO418" t="s">
        <v>37</v>
      </c>
      <c r="AP418" t="s">
        <v>26</v>
      </c>
      <c r="AQ418">
        <v>2006</v>
      </c>
      <c r="AR418" t="s">
        <v>39</v>
      </c>
      <c r="AS418" t="s">
        <v>305</v>
      </c>
      <c r="AT418" t="s">
        <v>317</v>
      </c>
      <c r="AU418" t="s">
        <v>242</v>
      </c>
      <c r="AV418" t="s">
        <v>268</v>
      </c>
      <c r="AW418">
        <v>10.8</v>
      </c>
    </row>
    <row r="419" spans="41:49" x14ac:dyDescent="0.25">
      <c r="AO419" t="s">
        <v>37</v>
      </c>
      <c r="AP419" t="s">
        <v>26</v>
      </c>
      <c r="AQ419">
        <v>2006</v>
      </c>
      <c r="AR419" t="s">
        <v>39</v>
      </c>
      <c r="AS419" t="s">
        <v>305</v>
      </c>
      <c r="AT419" t="s">
        <v>317</v>
      </c>
      <c r="AU419" t="s">
        <v>243</v>
      </c>
      <c r="AV419" t="s">
        <v>247</v>
      </c>
      <c r="AW419">
        <v>18.5</v>
      </c>
    </row>
    <row r="420" spans="41:49" x14ac:dyDescent="0.25">
      <c r="AO420" t="s">
        <v>37</v>
      </c>
      <c r="AP420" t="s">
        <v>26</v>
      </c>
      <c r="AQ420">
        <v>2006</v>
      </c>
      <c r="AR420" t="s">
        <v>39</v>
      </c>
      <c r="AS420" t="s">
        <v>305</v>
      </c>
      <c r="AT420" t="s">
        <v>317</v>
      </c>
      <c r="AU420" t="s">
        <v>243</v>
      </c>
      <c r="AV420" t="s">
        <v>248</v>
      </c>
      <c r="AW420">
        <v>48.599999999999994</v>
      </c>
    </row>
    <row r="421" spans="41:49" x14ac:dyDescent="0.25">
      <c r="AO421" t="s">
        <v>37</v>
      </c>
      <c r="AP421" t="s">
        <v>26</v>
      </c>
      <c r="AQ421">
        <v>2006</v>
      </c>
      <c r="AR421" t="s">
        <v>39</v>
      </c>
      <c r="AS421" t="s">
        <v>305</v>
      </c>
      <c r="AT421" t="s">
        <v>317</v>
      </c>
      <c r="AU421" t="s">
        <v>243</v>
      </c>
      <c r="AV421" t="s">
        <v>312</v>
      </c>
      <c r="AW421">
        <v>67.100000000000009</v>
      </c>
    </row>
    <row r="422" spans="41:49" x14ac:dyDescent="0.25">
      <c r="AO422" t="s">
        <v>44</v>
      </c>
      <c r="AP422" t="s">
        <v>26</v>
      </c>
      <c r="AQ422">
        <v>2007</v>
      </c>
      <c r="AR422" t="s">
        <v>39</v>
      </c>
      <c r="AS422" t="s">
        <v>305</v>
      </c>
      <c r="AT422" t="s">
        <v>317</v>
      </c>
      <c r="AU422" t="s">
        <v>218</v>
      </c>
      <c r="AV422" t="s">
        <v>308</v>
      </c>
      <c r="AW422">
        <v>3.4</v>
      </c>
    </row>
    <row r="423" spans="41:49" x14ac:dyDescent="0.25">
      <c r="AO423" t="s">
        <v>44</v>
      </c>
      <c r="AP423" t="s">
        <v>26</v>
      </c>
      <c r="AQ423">
        <v>2007</v>
      </c>
      <c r="AR423" t="s">
        <v>39</v>
      </c>
      <c r="AS423" t="s">
        <v>305</v>
      </c>
      <c r="AT423" t="s">
        <v>317</v>
      </c>
      <c r="AU423" t="s">
        <v>218</v>
      </c>
      <c r="AV423" t="s">
        <v>309</v>
      </c>
      <c r="AW423">
        <v>8.4</v>
      </c>
    </row>
    <row r="424" spans="41:49" x14ac:dyDescent="0.25">
      <c r="AO424" t="s">
        <v>44</v>
      </c>
      <c r="AP424" t="s">
        <v>26</v>
      </c>
      <c r="AQ424">
        <v>2007</v>
      </c>
      <c r="AR424" t="s">
        <v>39</v>
      </c>
      <c r="AS424" t="s">
        <v>305</v>
      </c>
      <c r="AT424" t="s">
        <v>317</v>
      </c>
      <c r="AU424" t="s">
        <v>218</v>
      </c>
      <c r="AV424" t="s">
        <v>268</v>
      </c>
      <c r="AW424">
        <v>11.8</v>
      </c>
    </row>
    <row r="425" spans="41:49" x14ac:dyDescent="0.25">
      <c r="AO425" t="s">
        <v>44</v>
      </c>
      <c r="AP425" t="s">
        <v>26</v>
      </c>
      <c r="AQ425">
        <v>2007</v>
      </c>
      <c r="AR425" t="s">
        <v>39</v>
      </c>
      <c r="AS425" t="s">
        <v>305</v>
      </c>
      <c r="AT425" t="s">
        <v>317</v>
      </c>
      <c r="AU425" t="s">
        <v>238</v>
      </c>
      <c r="AV425" t="s">
        <v>308</v>
      </c>
      <c r="AW425">
        <v>3</v>
      </c>
    </row>
    <row r="426" spans="41:49" x14ac:dyDescent="0.25">
      <c r="AO426" t="s">
        <v>44</v>
      </c>
      <c r="AP426" t="s">
        <v>26</v>
      </c>
      <c r="AQ426">
        <v>2007</v>
      </c>
      <c r="AR426" t="s">
        <v>39</v>
      </c>
      <c r="AS426" t="s">
        <v>305</v>
      </c>
      <c r="AT426" t="s">
        <v>317</v>
      </c>
      <c r="AU426" t="s">
        <v>238</v>
      </c>
      <c r="AV426" t="s">
        <v>309</v>
      </c>
      <c r="AW426">
        <v>8.6</v>
      </c>
    </row>
    <row r="427" spans="41:49" x14ac:dyDescent="0.25">
      <c r="AO427" t="s">
        <v>44</v>
      </c>
      <c r="AP427" t="s">
        <v>26</v>
      </c>
      <c r="AQ427">
        <v>2007</v>
      </c>
      <c r="AR427" t="s">
        <v>39</v>
      </c>
      <c r="AS427" t="s">
        <v>305</v>
      </c>
      <c r="AT427" t="s">
        <v>317</v>
      </c>
      <c r="AU427" t="s">
        <v>238</v>
      </c>
      <c r="AV427" t="s">
        <v>268</v>
      </c>
      <c r="AW427">
        <v>11.6</v>
      </c>
    </row>
    <row r="428" spans="41:49" x14ac:dyDescent="0.25">
      <c r="AO428" t="s">
        <v>44</v>
      </c>
      <c r="AP428" t="s">
        <v>26</v>
      </c>
      <c r="AQ428">
        <v>2007</v>
      </c>
      <c r="AR428" t="s">
        <v>39</v>
      </c>
      <c r="AS428" t="s">
        <v>305</v>
      </c>
      <c r="AT428" t="s">
        <v>317</v>
      </c>
      <c r="AU428" t="s">
        <v>239</v>
      </c>
      <c r="AV428" t="s">
        <v>308</v>
      </c>
      <c r="AW428">
        <v>2.2999999999999998</v>
      </c>
    </row>
    <row r="429" spans="41:49" x14ac:dyDescent="0.25">
      <c r="AO429" t="s">
        <v>44</v>
      </c>
      <c r="AP429" t="s">
        <v>26</v>
      </c>
      <c r="AQ429">
        <v>2007</v>
      </c>
      <c r="AR429" t="s">
        <v>39</v>
      </c>
      <c r="AS429" t="s">
        <v>305</v>
      </c>
      <c r="AT429" t="s">
        <v>317</v>
      </c>
      <c r="AU429" t="s">
        <v>239</v>
      </c>
      <c r="AV429" t="s">
        <v>309</v>
      </c>
      <c r="AW429">
        <v>7.3</v>
      </c>
    </row>
    <row r="430" spans="41:49" x14ac:dyDescent="0.25">
      <c r="AO430" t="s">
        <v>44</v>
      </c>
      <c r="AP430" t="s">
        <v>26</v>
      </c>
      <c r="AQ430">
        <v>2007</v>
      </c>
      <c r="AR430" t="s">
        <v>39</v>
      </c>
      <c r="AS430" t="s">
        <v>305</v>
      </c>
      <c r="AT430" t="s">
        <v>317</v>
      </c>
      <c r="AU430" t="s">
        <v>239</v>
      </c>
      <c r="AV430" t="s">
        <v>268</v>
      </c>
      <c r="AW430">
        <v>9.6</v>
      </c>
    </row>
    <row r="431" spans="41:49" x14ac:dyDescent="0.25">
      <c r="AO431" t="s">
        <v>44</v>
      </c>
      <c r="AP431" t="s">
        <v>26</v>
      </c>
      <c r="AQ431">
        <v>2007</v>
      </c>
      <c r="AR431" t="s">
        <v>39</v>
      </c>
      <c r="AS431" t="s">
        <v>305</v>
      </c>
      <c r="AT431" t="s">
        <v>317</v>
      </c>
      <c r="AU431" t="s">
        <v>240</v>
      </c>
      <c r="AV431" t="s">
        <v>308</v>
      </c>
      <c r="AW431">
        <v>2.8</v>
      </c>
    </row>
    <row r="432" spans="41:49" x14ac:dyDescent="0.25">
      <c r="AO432" t="s">
        <v>44</v>
      </c>
      <c r="AP432" t="s">
        <v>26</v>
      </c>
      <c r="AQ432">
        <v>2007</v>
      </c>
      <c r="AR432" t="s">
        <v>39</v>
      </c>
      <c r="AS432" t="s">
        <v>305</v>
      </c>
      <c r="AT432" t="s">
        <v>317</v>
      </c>
      <c r="AU432" t="s">
        <v>240</v>
      </c>
      <c r="AV432" t="s">
        <v>309</v>
      </c>
      <c r="AW432">
        <v>8.5</v>
      </c>
    </row>
    <row r="433" spans="41:49" x14ac:dyDescent="0.25">
      <c r="AO433" t="s">
        <v>44</v>
      </c>
      <c r="AP433" t="s">
        <v>26</v>
      </c>
      <c r="AQ433">
        <v>2007</v>
      </c>
      <c r="AR433" t="s">
        <v>39</v>
      </c>
      <c r="AS433" t="s">
        <v>305</v>
      </c>
      <c r="AT433" t="s">
        <v>317</v>
      </c>
      <c r="AU433" t="s">
        <v>240</v>
      </c>
      <c r="AV433" t="s">
        <v>268</v>
      </c>
      <c r="AW433">
        <v>11.3</v>
      </c>
    </row>
    <row r="434" spans="41:49" x14ac:dyDescent="0.25">
      <c r="AO434" t="s">
        <v>44</v>
      </c>
      <c r="AP434" t="s">
        <v>26</v>
      </c>
      <c r="AQ434">
        <v>2007</v>
      </c>
      <c r="AR434" t="s">
        <v>39</v>
      </c>
      <c r="AS434" t="s">
        <v>305</v>
      </c>
      <c r="AT434" t="s">
        <v>317</v>
      </c>
      <c r="AU434" t="s">
        <v>314</v>
      </c>
      <c r="AV434" t="s">
        <v>308</v>
      </c>
      <c r="AW434">
        <v>3.1</v>
      </c>
    </row>
    <row r="435" spans="41:49" x14ac:dyDescent="0.25">
      <c r="AO435" t="s">
        <v>44</v>
      </c>
      <c r="AP435" t="s">
        <v>26</v>
      </c>
      <c r="AQ435">
        <v>2007</v>
      </c>
      <c r="AR435" t="s">
        <v>39</v>
      </c>
      <c r="AS435" t="s">
        <v>305</v>
      </c>
      <c r="AT435" t="s">
        <v>317</v>
      </c>
      <c r="AU435" t="s">
        <v>314</v>
      </c>
      <c r="AV435" t="s">
        <v>309</v>
      </c>
      <c r="AW435">
        <v>8.6999999999999993</v>
      </c>
    </row>
    <row r="436" spans="41:49" x14ac:dyDescent="0.25">
      <c r="AO436" t="s">
        <v>44</v>
      </c>
      <c r="AP436" t="s">
        <v>26</v>
      </c>
      <c r="AQ436">
        <v>2007</v>
      </c>
      <c r="AR436" t="s">
        <v>39</v>
      </c>
      <c r="AS436" t="s">
        <v>305</v>
      </c>
      <c r="AT436" t="s">
        <v>317</v>
      </c>
      <c r="AU436" t="s">
        <v>314</v>
      </c>
      <c r="AV436" t="s">
        <v>268</v>
      </c>
      <c r="AW436">
        <v>11.8</v>
      </c>
    </row>
    <row r="437" spans="41:49" x14ac:dyDescent="0.25">
      <c r="AO437" t="s">
        <v>44</v>
      </c>
      <c r="AP437" t="s">
        <v>26</v>
      </c>
      <c r="AQ437">
        <v>2007</v>
      </c>
      <c r="AR437" t="s">
        <v>39</v>
      </c>
      <c r="AS437" t="s">
        <v>305</v>
      </c>
      <c r="AT437" t="s">
        <v>317</v>
      </c>
      <c r="AU437" t="s">
        <v>242</v>
      </c>
      <c r="AV437" t="s">
        <v>308</v>
      </c>
      <c r="AW437">
        <v>2.4</v>
      </c>
    </row>
    <row r="438" spans="41:49" x14ac:dyDescent="0.25">
      <c r="AO438" t="s">
        <v>44</v>
      </c>
      <c r="AP438" t="s">
        <v>26</v>
      </c>
      <c r="AQ438">
        <v>2007</v>
      </c>
      <c r="AR438" t="s">
        <v>39</v>
      </c>
      <c r="AS438" t="s">
        <v>305</v>
      </c>
      <c r="AT438" t="s">
        <v>317</v>
      </c>
      <c r="AU438" t="s">
        <v>242</v>
      </c>
      <c r="AV438" t="s">
        <v>309</v>
      </c>
      <c r="AW438">
        <v>7.8</v>
      </c>
    </row>
    <row r="439" spans="41:49" x14ac:dyDescent="0.25">
      <c r="AO439" t="s">
        <v>44</v>
      </c>
      <c r="AP439" t="s">
        <v>26</v>
      </c>
      <c r="AQ439">
        <v>2007</v>
      </c>
      <c r="AR439" t="s">
        <v>39</v>
      </c>
      <c r="AS439" t="s">
        <v>305</v>
      </c>
      <c r="AT439" t="s">
        <v>317</v>
      </c>
      <c r="AU439" t="s">
        <v>242</v>
      </c>
      <c r="AV439" t="s">
        <v>268</v>
      </c>
      <c r="AW439">
        <v>10.199999999999999</v>
      </c>
    </row>
    <row r="440" spans="41:49" x14ac:dyDescent="0.25">
      <c r="AO440" t="s">
        <v>44</v>
      </c>
      <c r="AP440" t="s">
        <v>26</v>
      </c>
      <c r="AQ440">
        <v>2007</v>
      </c>
      <c r="AR440" t="s">
        <v>39</v>
      </c>
      <c r="AS440" t="s">
        <v>305</v>
      </c>
      <c r="AT440" t="s">
        <v>317</v>
      </c>
      <c r="AU440" t="s">
        <v>243</v>
      </c>
      <c r="AV440" t="s">
        <v>247</v>
      </c>
      <c r="AW440">
        <v>17</v>
      </c>
    </row>
    <row r="441" spans="41:49" x14ac:dyDescent="0.25">
      <c r="AO441" t="s">
        <v>44</v>
      </c>
      <c r="AP441" t="s">
        <v>26</v>
      </c>
      <c r="AQ441">
        <v>2007</v>
      </c>
      <c r="AR441" t="s">
        <v>39</v>
      </c>
      <c r="AS441" t="s">
        <v>305</v>
      </c>
      <c r="AT441" t="s">
        <v>317</v>
      </c>
      <c r="AU441" t="s">
        <v>243</v>
      </c>
      <c r="AV441" t="s">
        <v>248</v>
      </c>
      <c r="AW441">
        <v>49.3</v>
      </c>
    </row>
    <row r="442" spans="41:49" x14ac:dyDescent="0.25">
      <c r="AO442" t="s">
        <v>44</v>
      </c>
      <c r="AP442" t="s">
        <v>26</v>
      </c>
      <c r="AQ442">
        <v>2007</v>
      </c>
      <c r="AR442" t="s">
        <v>39</v>
      </c>
      <c r="AS442" t="s">
        <v>305</v>
      </c>
      <c r="AT442" t="s">
        <v>317</v>
      </c>
      <c r="AU442" t="s">
        <v>243</v>
      </c>
      <c r="AV442" t="s">
        <v>312</v>
      </c>
      <c r="AW442">
        <v>66.3</v>
      </c>
    </row>
    <row r="443" spans="41:49" x14ac:dyDescent="0.25">
      <c r="AO443" t="s">
        <v>29</v>
      </c>
      <c r="AP443" t="s">
        <v>26</v>
      </c>
      <c r="AQ443">
        <v>2005</v>
      </c>
      <c r="AR443" t="s">
        <v>31</v>
      </c>
      <c r="AS443" t="s">
        <v>305</v>
      </c>
      <c r="AT443" t="s">
        <v>317</v>
      </c>
      <c r="AU443" t="s">
        <v>218</v>
      </c>
      <c r="AV443" t="s">
        <v>308</v>
      </c>
      <c r="AW443">
        <v>4</v>
      </c>
    </row>
    <row r="444" spans="41:49" x14ac:dyDescent="0.25">
      <c r="AO444" t="s">
        <v>29</v>
      </c>
      <c r="AP444" t="s">
        <v>26</v>
      </c>
      <c r="AQ444">
        <v>2005</v>
      </c>
      <c r="AR444" t="s">
        <v>31</v>
      </c>
      <c r="AS444" t="s">
        <v>305</v>
      </c>
      <c r="AT444" t="s">
        <v>317</v>
      </c>
      <c r="AU444" t="s">
        <v>218</v>
      </c>
      <c r="AV444" t="s">
        <v>309</v>
      </c>
      <c r="AW444">
        <v>8.9499999999999993</v>
      </c>
    </row>
    <row r="445" spans="41:49" x14ac:dyDescent="0.25">
      <c r="AO445" t="s">
        <v>29</v>
      </c>
      <c r="AP445" t="s">
        <v>26</v>
      </c>
      <c r="AQ445">
        <v>2005</v>
      </c>
      <c r="AR445" t="s">
        <v>31</v>
      </c>
      <c r="AS445" t="s">
        <v>305</v>
      </c>
      <c r="AT445" t="s">
        <v>317</v>
      </c>
      <c r="AU445" t="s">
        <v>218</v>
      </c>
      <c r="AV445" t="s">
        <v>268</v>
      </c>
      <c r="AW445">
        <v>12.95</v>
      </c>
    </row>
    <row r="446" spans="41:49" x14ac:dyDescent="0.25">
      <c r="AO446" t="s">
        <v>29</v>
      </c>
      <c r="AP446" t="s">
        <v>26</v>
      </c>
      <c r="AQ446">
        <v>2005</v>
      </c>
      <c r="AR446" t="s">
        <v>31</v>
      </c>
      <c r="AS446" t="s">
        <v>305</v>
      </c>
      <c r="AT446" t="s">
        <v>317</v>
      </c>
      <c r="AU446" t="s">
        <v>238</v>
      </c>
      <c r="AV446" t="s">
        <v>308</v>
      </c>
      <c r="AW446">
        <v>3.3</v>
      </c>
    </row>
    <row r="447" spans="41:49" x14ac:dyDescent="0.25">
      <c r="AO447" t="s">
        <v>29</v>
      </c>
      <c r="AP447" t="s">
        <v>26</v>
      </c>
      <c r="AQ447">
        <v>2005</v>
      </c>
      <c r="AR447" t="s">
        <v>31</v>
      </c>
      <c r="AS447" t="s">
        <v>305</v>
      </c>
      <c r="AT447" t="s">
        <v>317</v>
      </c>
      <c r="AU447" t="s">
        <v>238</v>
      </c>
      <c r="AV447" t="s">
        <v>309</v>
      </c>
      <c r="AW447">
        <v>6.65</v>
      </c>
    </row>
    <row r="448" spans="41:49" x14ac:dyDescent="0.25">
      <c r="AO448" t="s">
        <v>29</v>
      </c>
      <c r="AP448" t="s">
        <v>26</v>
      </c>
      <c r="AQ448">
        <v>2005</v>
      </c>
      <c r="AR448" t="s">
        <v>31</v>
      </c>
      <c r="AS448" t="s">
        <v>305</v>
      </c>
      <c r="AT448" t="s">
        <v>317</v>
      </c>
      <c r="AU448" t="s">
        <v>238</v>
      </c>
      <c r="AV448" t="s">
        <v>268</v>
      </c>
      <c r="AW448">
        <v>9.9499999999999993</v>
      </c>
    </row>
    <row r="449" spans="41:49" x14ac:dyDescent="0.25">
      <c r="AO449" t="s">
        <v>29</v>
      </c>
      <c r="AP449" t="s">
        <v>26</v>
      </c>
      <c r="AQ449">
        <v>2005</v>
      </c>
      <c r="AR449" t="s">
        <v>31</v>
      </c>
      <c r="AS449" t="s">
        <v>305</v>
      </c>
      <c r="AT449" t="s">
        <v>317</v>
      </c>
      <c r="AU449" t="s">
        <v>239</v>
      </c>
      <c r="AV449" t="s">
        <v>308</v>
      </c>
      <c r="AW449">
        <v>2.6</v>
      </c>
    </row>
    <row r="450" spans="41:49" x14ac:dyDescent="0.25">
      <c r="AO450" t="s">
        <v>29</v>
      </c>
      <c r="AP450" t="s">
        <v>26</v>
      </c>
      <c r="AQ450">
        <v>2005</v>
      </c>
      <c r="AR450" t="s">
        <v>31</v>
      </c>
      <c r="AS450" t="s">
        <v>305</v>
      </c>
      <c r="AT450" t="s">
        <v>317</v>
      </c>
      <c r="AU450" t="s">
        <v>239</v>
      </c>
      <c r="AV450" t="s">
        <v>309</v>
      </c>
      <c r="AW450">
        <v>6.9</v>
      </c>
    </row>
    <row r="451" spans="41:49" x14ac:dyDescent="0.25">
      <c r="AO451" t="s">
        <v>29</v>
      </c>
      <c r="AP451" t="s">
        <v>26</v>
      </c>
      <c r="AQ451">
        <v>2005</v>
      </c>
      <c r="AR451" t="s">
        <v>31</v>
      </c>
      <c r="AS451" t="s">
        <v>305</v>
      </c>
      <c r="AT451" t="s">
        <v>317</v>
      </c>
      <c r="AU451" t="s">
        <v>239</v>
      </c>
      <c r="AV451" t="s">
        <v>268</v>
      </c>
      <c r="AW451">
        <v>9.5</v>
      </c>
    </row>
    <row r="452" spans="41:49" x14ac:dyDescent="0.25">
      <c r="AO452" t="s">
        <v>29</v>
      </c>
      <c r="AP452" t="s">
        <v>26</v>
      </c>
      <c r="AQ452">
        <v>2005</v>
      </c>
      <c r="AR452" t="s">
        <v>31</v>
      </c>
      <c r="AS452" t="s">
        <v>305</v>
      </c>
      <c r="AT452" t="s">
        <v>317</v>
      </c>
      <c r="AU452" t="s">
        <v>240</v>
      </c>
      <c r="AV452" t="s">
        <v>308</v>
      </c>
      <c r="AW452">
        <v>2.8</v>
      </c>
    </row>
    <row r="453" spans="41:49" x14ac:dyDescent="0.25">
      <c r="AO453" t="s">
        <v>29</v>
      </c>
      <c r="AP453" t="s">
        <v>26</v>
      </c>
      <c r="AQ453">
        <v>2005</v>
      </c>
      <c r="AR453" t="s">
        <v>31</v>
      </c>
      <c r="AS453" t="s">
        <v>305</v>
      </c>
      <c r="AT453" t="s">
        <v>317</v>
      </c>
      <c r="AU453" t="s">
        <v>240</v>
      </c>
      <c r="AV453" t="s">
        <v>309</v>
      </c>
      <c r="AW453">
        <v>8.6</v>
      </c>
    </row>
    <row r="454" spans="41:49" x14ac:dyDescent="0.25">
      <c r="AO454" t="s">
        <v>29</v>
      </c>
      <c r="AP454" t="s">
        <v>26</v>
      </c>
      <c r="AQ454">
        <v>2005</v>
      </c>
      <c r="AR454" t="s">
        <v>31</v>
      </c>
      <c r="AS454" t="s">
        <v>305</v>
      </c>
      <c r="AT454" t="s">
        <v>317</v>
      </c>
      <c r="AU454" t="s">
        <v>240</v>
      </c>
      <c r="AV454" t="s">
        <v>268</v>
      </c>
      <c r="AW454">
        <v>11.4</v>
      </c>
    </row>
    <row r="455" spans="41:49" x14ac:dyDescent="0.25">
      <c r="AO455" t="s">
        <v>29</v>
      </c>
      <c r="AP455" t="s">
        <v>26</v>
      </c>
      <c r="AQ455">
        <v>2005</v>
      </c>
      <c r="AR455" t="s">
        <v>31</v>
      </c>
      <c r="AS455" t="s">
        <v>305</v>
      </c>
      <c r="AT455" t="s">
        <v>317</v>
      </c>
      <c r="AU455" t="s">
        <v>314</v>
      </c>
      <c r="AV455" t="s">
        <v>308</v>
      </c>
      <c r="AW455">
        <v>3.2</v>
      </c>
    </row>
    <row r="456" spans="41:49" x14ac:dyDescent="0.25">
      <c r="AO456" t="s">
        <v>29</v>
      </c>
      <c r="AP456" t="s">
        <v>26</v>
      </c>
      <c r="AQ456">
        <v>2005</v>
      </c>
      <c r="AR456" t="s">
        <v>31</v>
      </c>
      <c r="AS456" t="s">
        <v>305</v>
      </c>
      <c r="AT456" t="s">
        <v>317</v>
      </c>
      <c r="AU456" t="s">
        <v>314</v>
      </c>
      <c r="AV456" t="s">
        <v>309</v>
      </c>
      <c r="AW456">
        <v>8.4499999999999993</v>
      </c>
    </row>
    <row r="457" spans="41:49" x14ac:dyDescent="0.25">
      <c r="AO457" t="s">
        <v>29</v>
      </c>
      <c r="AP457" t="s">
        <v>26</v>
      </c>
      <c r="AQ457">
        <v>2005</v>
      </c>
      <c r="AR457" t="s">
        <v>31</v>
      </c>
      <c r="AS457" t="s">
        <v>305</v>
      </c>
      <c r="AT457" t="s">
        <v>317</v>
      </c>
      <c r="AU457" t="s">
        <v>314</v>
      </c>
      <c r="AV457" t="s">
        <v>268</v>
      </c>
      <c r="AW457">
        <v>11.65</v>
      </c>
    </row>
    <row r="458" spans="41:49" x14ac:dyDescent="0.25">
      <c r="AO458" t="s">
        <v>29</v>
      </c>
      <c r="AP458" t="s">
        <v>26</v>
      </c>
      <c r="AQ458">
        <v>2005</v>
      </c>
      <c r="AR458" t="s">
        <v>31</v>
      </c>
      <c r="AS458" t="s">
        <v>305</v>
      </c>
      <c r="AT458" t="s">
        <v>317</v>
      </c>
      <c r="AU458" t="s">
        <v>242</v>
      </c>
      <c r="AV458" t="s">
        <v>308</v>
      </c>
      <c r="AW458">
        <v>2.4</v>
      </c>
    </row>
    <row r="459" spans="41:49" x14ac:dyDescent="0.25">
      <c r="AO459" t="s">
        <v>29</v>
      </c>
      <c r="AP459" t="s">
        <v>26</v>
      </c>
      <c r="AQ459">
        <v>2005</v>
      </c>
      <c r="AR459" t="s">
        <v>31</v>
      </c>
      <c r="AS459" t="s">
        <v>305</v>
      </c>
      <c r="AT459" t="s">
        <v>317</v>
      </c>
      <c r="AU459" t="s">
        <v>242</v>
      </c>
      <c r="AV459" t="s">
        <v>309</v>
      </c>
      <c r="AW459">
        <v>7.9</v>
      </c>
    </row>
    <row r="460" spans="41:49" x14ac:dyDescent="0.25">
      <c r="AO460" t="s">
        <v>29</v>
      </c>
      <c r="AP460" t="s">
        <v>26</v>
      </c>
      <c r="AQ460">
        <v>2005</v>
      </c>
      <c r="AR460" t="s">
        <v>31</v>
      </c>
      <c r="AS460" t="s">
        <v>305</v>
      </c>
      <c r="AT460" t="s">
        <v>317</v>
      </c>
      <c r="AU460" t="s">
        <v>242</v>
      </c>
      <c r="AV460" t="s">
        <v>268</v>
      </c>
      <c r="AW460">
        <v>10.3</v>
      </c>
    </row>
    <row r="461" spans="41:49" x14ac:dyDescent="0.25">
      <c r="AO461" t="s">
        <v>29</v>
      </c>
      <c r="AP461" t="s">
        <v>26</v>
      </c>
      <c r="AQ461">
        <v>2005</v>
      </c>
      <c r="AR461" t="s">
        <v>31</v>
      </c>
      <c r="AS461" t="s">
        <v>305</v>
      </c>
      <c r="AT461" t="s">
        <v>317</v>
      </c>
      <c r="AU461" t="s">
        <v>243</v>
      </c>
      <c r="AV461" t="s">
        <v>247</v>
      </c>
      <c r="AW461">
        <v>18.299999999999997</v>
      </c>
    </row>
    <row r="462" spans="41:49" x14ac:dyDescent="0.25">
      <c r="AO462" t="s">
        <v>29</v>
      </c>
      <c r="AP462" t="s">
        <v>26</v>
      </c>
      <c r="AQ462">
        <v>2005</v>
      </c>
      <c r="AR462" t="s">
        <v>31</v>
      </c>
      <c r="AS462" t="s">
        <v>305</v>
      </c>
      <c r="AT462" t="s">
        <v>317</v>
      </c>
      <c r="AU462" t="s">
        <v>243</v>
      </c>
      <c r="AV462" t="s">
        <v>248</v>
      </c>
      <c r="AW462">
        <v>47.449999999999996</v>
      </c>
    </row>
    <row r="463" spans="41:49" x14ac:dyDescent="0.25">
      <c r="AO463" t="s">
        <v>29</v>
      </c>
      <c r="AP463" t="s">
        <v>26</v>
      </c>
      <c r="AQ463">
        <v>2005</v>
      </c>
      <c r="AR463" t="s">
        <v>31</v>
      </c>
      <c r="AS463" t="s">
        <v>305</v>
      </c>
      <c r="AT463" t="s">
        <v>317</v>
      </c>
      <c r="AU463" t="s">
        <v>243</v>
      </c>
      <c r="AV463" t="s">
        <v>312</v>
      </c>
      <c r="AW463">
        <v>65.75</v>
      </c>
    </row>
    <row r="464" spans="41:49" x14ac:dyDescent="0.25">
      <c r="AO464" t="s">
        <v>132</v>
      </c>
      <c r="AP464" t="s">
        <v>26</v>
      </c>
      <c r="AQ464">
        <v>2008</v>
      </c>
      <c r="AR464" t="s">
        <v>39</v>
      </c>
      <c r="AS464" t="s">
        <v>305</v>
      </c>
      <c r="AT464" t="s">
        <v>317</v>
      </c>
      <c r="AU464" t="s">
        <v>218</v>
      </c>
      <c r="AV464" t="s">
        <v>308</v>
      </c>
      <c r="AW464">
        <v>3.8</v>
      </c>
    </row>
    <row r="465" spans="41:49" x14ac:dyDescent="0.25">
      <c r="AO465" t="s">
        <v>132</v>
      </c>
      <c r="AP465" t="s">
        <v>26</v>
      </c>
      <c r="AQ465">
        <v>2008</v>
      </c>
      <c r="AR465" t="s">
        <v>39</v>
      </c>
      <c r="AS465" t="s">
        <v>305</v>
      </c>
      <c r="AT465" t="s">
        <v>317</v>
      </c>
      <c r="AU465" t="s">
        <v>218</v>
      </c>
      <c r="AV465" t="s">
        <v>309</v>
      </c>
      <c r="AW465">
        <v>7.8</v>
      </c>
    </row>
    <row r="466" spans="41:49" x14ac:dyDescent="0.25">
      <c r="AO466" t="s">
        <v>132</v>
      </c>
      <c r="AP466" t="s">
        <v>26</v>
      </c>
      <c r="AQ466">
        <v>2008</v>
      </c>
      <c r="AR466" t="s">
        <v>39</v>
      </c>
      <c r="AS466" t="s">
        <v>305</v>
      </c>
      <c r="AT466" t="s">
        <v>317</v>
      </c>
      <c r="AU466" t="s">
        <v>218</v>
      </c>
      <c r="AV466" t="s">
        <v>268</v>
      </c>
      <c r="AW466">
        <v>11.6</v>
      </c>
    </row>
    <row r="467" spans="41:49" x14ac:dyDescent="0.25">
      <c r="AO467" t="s">
        <v>132</v>
      </c>
      <c r="AP467" t="s">
        <v>26</v>
      </c>
      <c r="AQ467">
        <v>2008</v>
      </c>
      <c r="AR467" t="s">
        <v>39</v>
      </c>
      <c r="AS467" t="s">
        <v>305</v>
      </c>
      <c r="AT467" t="s">
        <v>317</v>
      </c>
      <c r="AU467" t="s">
        <v>238</v>
      </c>
      <c r="AV467" t="s">
        <v>308</v>
      </c>
      <c r="AW467">
        <v>3</v>
      </c>
    </row>
    <row r="468" spans="41:49" x14ac:dyDescent="0.25">
      <c r="AO468" t="s">
        <v>132</v>
      </c>
      <c r="AP468" t="s">
        <v>26</v>
      </c>
      <c r="AQ468">
        <v>2008</v>
      </c>
      <c r="AR468" t="s">
        <v>39</v>
      </c>
      <c r="AS468" t="s">
        <v>305</v>
      </c>
      <c r="AT468" t="s">
        <v>317</v>
      </c>
      <c r="AU468" t="s">
        <v>238</v>
      </c>
      <c r="AV468" t="s">
        <v>309</v>
      </c>
      <c r="AW468">
        <v>7.6</v>
      </c>
    </row>
    <row r="469" spans="41:49" x14ac:dyDescent="0.25">
      <c r="AO469" t="s">
        <v>132</v>
      </c>
      <c r="AP469" t="s">
        <v>26</v>
      </c>
      <c r="AQ469">
        <v>2008</v>
      </c>
      <c r="AR469" t="s">
        <v>39</v>
      </c>
      <c r="AS469" t="s">
        <v>305</v>
      </c>
      <c r="AT469" t="s">
        <v>317</v>
      </c>
      <c r="AU469" t="s">
        <v>238</v>
      </c>
      <c r="AV469" t="s">
        <v>268</v>
      </c>
      <c r="AW469">
        <v>10.6</v>
      </c>
    </row>
    <row r="470" spans="41:49" x14ac:dyDescent="0.25">
      <c r="AO470" t="s">
        <v>132</v>
      </c>
      <c r="AP470" t="s">
        <v>26</v>
      </c>
      <c r="AQ470">
        <v>2008</v>
      </c>
      <c r="AR470" t="s">
        <v>39</v>
      </c>
      <c r="AS470" t="s">
        <v>305</v>
      </c>
      <c r="AT470" t="s">
        <v>317</v>
      </c>
      <c r="AU470" t="s">
        <v>239</v>
      </c>
      <c r="AV470" t="s">
        <v>308</v>
      </c>
      <c r="AW470">
        <v>2.2999999999999998</v>
      </c>
    </row>
    <row r="471" spans="41:49" x14ac:dyDescent="0.25">
      <c r="AO471" t="s">
        <v>132</v>
      </c>
      <c r="AP471" t="s">
        <v>26</v>
      </c>
      <c r="AQ471">
        <v>2008</v>
      </c>
      <c r="AR471" t="s">
        <v>39</v>
      </c>
      <c r="AS471" t="s">
        <v>305</v>
      </c>
      <c r="AT471" t="s">
        <v>317</v>
      </c>
      <c r="AU471" t="s">
        <v>239</v>
      </c>
      <c r="AV471" t="s">
        <v>309</v>
      </c>
      <c r="AW471">
        <v>7.15</v>
      </c>
    </row>
    <row r="472" spans="41:49" x14ac:dyDescent="0.25">
      <c r="AO472" t="s">
        <v>132</v>
      </c>
      <c r="AP472" t="s">
        <v>26</v>
      </c>
      <c r="AQ472">
        <v>2008</v>
      </c>
      <c r="AR472" t="s">
        <v>39</v>
      </c>
      <c r="AS472" t="s">
        <v>305</v>
      </c>
      <c r="AT472" t="s">
        <v>317</v>
      </c>
      <c r="AU472" t="s">
        <v>239</v>
      </c>
      <c r="AV472" t="s">
        <v>268</v>
      </c>
      <c r="AW472">
        <v>9.4499999999999993</v>
      </c>
    </row>
    <row r="473" spans="41:49" x14ac:dyDescent="0.25">
      <c r="AO473" t="s">
        <v>132</v>
      </c>
      <c r="AP473" t="s">
        <v>26</v>
      </c>
      <c r="AQ473">
        <v>2008</v>
      </c>
      <c r="AR473" t="s">
        <v>39</v>
      </c>
      <c r="AS473" t="s">
        <v>305</v>
      </c>
      <c r="AT473" t="s">
        <v>317</v>
      </c>
      <c r="AU473" t="s">
        <v>240</v>
      </c>
      <c r="AV473" t="s">
        <v>308</v>
      </c>
      <c r="AW473">
        <v>2.2000000000000002</v>
      </c>
    </row>
    <row r="474" spans="41:49" x14ac:dyDescent="0.25">
      <c r="AO474" t="s">
        <v>132</v>
      </c>
      <c r="AP474" t="s">
        <v>26</v>
      </c>
      <c r="AQ474">
        <v>2008</v>
      </c>
      <c r="AR474" t="s">
        <v>39</v>
      </c>
      <c r="AS474" t="s">
        <v>305</v>
      </c>
      <c r="AT474" t="s">
        <v>317</v>
      </c>
      <c r="AU474" t="s">
        <v>240</v>
      </c>
      <c r="AV474" t="s">
        <v>309</v>
      </c>
      <c r="AW474">
        <v>9.1</v>
      </c>
    </row>
    <row r="475" spans="41:49" x14ac:dyDescent="0.25">
      <c r="AO475" t="s">
        <v>132</v>
      </c>
      <c r="AP475" t="s">
        <v>26</v>
      </c>
      <c r="AQ475">
        <v>2008</v>
      </c>
      <c r="AR475" t="s">
        <v>39</v>
      </c>
      <c r="AS475" t="s">
        <v>305</v>
      </c>
      <c r="AT475" t="s">
        <v>317</v>
      </c>
      <c r="AU475" t="s">
        <v>240</v>
      </c>
      <c r="AV475" t="s">
        <v>268</v>
      </c>
      <c r="AW475">
        <v>11.3</v>
      </c>
    </row>
    <row r="476" spans="41:49" x14ac:dyDescent="0.25">
      <c r="AO476" t="s">
        <v>132</v>
      </c>
      <c r="AP476" t="s">
        <v>26</v>
      </c>
      <c r="AQ476">
        <v>2008</v>
      </c>
      <c r="AR476" t="s">
        <v>39</v>
      </c>
      <c r="AS476" t="s">
        <v>305</v>
      </c>
      <c r="AT476" t="s">
        <v>317</v>
      </c>
      <c r="AU476" t="s">
        <v>314</v>
      </c>
      <c r="AV476" t="s">
        <v>308</v>
      </c>
      <c r="AW476">
        <v>3</v>
      </c>
    </row>
    <row r="477" spans="41:49" x14ac:dyDescent="0.25">
      <c r="AO477" t="s">
        <v>132</v>
      </c>
      <c r="AP477" t="s">
        <v>26</v>
      </c>
      <c r="AQ477">
        <v>2008</v>
      </c>
      <c r="AR477" t="s">
        <v>39</v>
      </c>
      <c r="AS477" t="s">
        <v>305</v>
      </c>
      <c r="AT477" t="s">
        <v>317</v>
      </c>
      <c r="AU477" t="s">
        <v>314</v>
      </c>
      <c r="AV477" t="s">
        <v>309</v>
      </c>
      <c r="AW477">
        <v>8.0500000000000007</v>
      </c>
    </row>
    <row r="478" spans="41:49" x14ac:dyDescent="0.25">
      <c r="AO478" t="s">
        <v>132</v>
      </c>
      <c r="AP478" t="s">
        <v>26</v>
      </c>
      <c r="AQ478">
        <v>2008</v>
      </c>
      <c r="AR478" t="s">
        <v>39</v>
      </c>
      <c r="AS478" t="s">
        <v>305</v>
      </c>
      <c r="AT478" t="s">
        <v>317</v>
      </c>
      <c r="AU478" t="s">
        <v>314</v>
      </c>
      <c r="AV478" t="s">
        <v>268</v>
      </c>
      <c r="AW478">
        <v>11.05</v>
      </c>
    </row>
    <row r="479" spans="41:49" x14ac:dyDescent="0.25">
      <c r="AO479" t="s">
        <v>132</v>
      </c>
      <c r="AP479" t="s">
        <v>26</v>
      </c>
      <c r="AQ479">
        <v>2008</v>
      </c>
      <c r="AR479" t="s">
        <v>39</v>
      </c>
      <c r="AS479" t="s">
        <v>305</v>
      </c>
      <c r="AT479" t="s">
        <v>317</v>
      </c>
      <c r="AU479" t="s">
        <v>242</v>
      </c>
      <c r="AV479" t="s">
        <v>308</v>
      </c>
      <c r="AW479">
        <v>2.4</v>
      </c>
    </row>
    <row r="480" spans="41:49" x14ac:dyDescent="0.25">
      <c r="AO480" t="s">
        <v>132</v>
      </c>
      <c r="AP480" t="s">
        <v>26</v>
      </c>
      <c r="AQ480">
        <v>2008</v>
      </c>
      <c r="AR480" t="s">
        <v>39</v>
      </c>
      <c r="AS480" t="s">
        <v>305</v>
      </c>
      <c r="AT480" t="s">
        <v>317</v>
      </c>
      <c r="AU480" t="s">
        <v>242</v>
      </c>
      <c r="AV480" t="s">
        <v>309</v>
      </c>
      <c r="AW480">
        <v>9.1</v>
      </c>
    </row>
    <row r="481" spans="41:49" x14ac:dyDescent="0.25">
      <c r="AO481" t="s">
        <v>132</v>
      </c>
      <c r="AP481" t="s">
        <v>26</v>
      </c>
      <c r="AQ481">
        <v>2008</v>
      </c>
      <c r="AR481" t="s">
        <v>39</v>
      </c>
      <c r="AS481" t="s">
        <v>305</v>
      </c>
      <c r="AT481" t="s">
        <v>317</v>
      </c>
      <c r="AU481" t="s">
        <v>242</v>
      </c>
      <c r="AV481" t="s">
        <v>268</v>
      </c>
      <c r="AW481">
        <v>11.5</v>
      </c>
    </row>
    <row r="482" spans="41:49" x14ac:dyDescent="0.25">
      <c r="AO482" t="s">
        <v>132</v>
      </c>
      <c r="AP482" t="s">
        <v>26</v>
      </c>
      <c r="AQ482">
        <v>2008</v>
      </c>
      <c r="AR482" t="s">
        <v>39</v>
      </c>
      <c r="AS482" t="s">
        <v>305</v>
      </c>
      <c r="AT482" t="s">
        <v>317</v>
      </c>
      <c r="AU482" t="s">
        <v>243</v>
      </c>
      <c r="AV482" t="s">
        <v>247</v>
      </c>
      <c r="AW482">
        <v>16.7</v>
      </c>
    </row>
    <row r="483" spans="41:49" x14ac:dyDescent="0.25">
      <c r="AO483" t="s">
        <v>132</v>
      </c>
      <c r="AP483" t="s">
        <v>26</v>
      </c>
      <c r="AQ483">
        <v>2008</v>
      </c>
      <c r="AR483" t="s">
        <v>39</v>
      </c>
      <c r="AS483" t="s">
        <v>305</v>
      </c>
      <c r="AT483" t="s">
        <v>317</v>
      </c>
      <c r="AU483" t="s">
        <v>243</v>
      </c>
      <c r="AV483" t="s">
        <v>248</v>
      </c>
      <c r="AW483">
        <v>48.800000000000004</v>
      </c>
    </row>
    <row r="484" spans="41:49" x14ac:dyDescent="0.25">
      <c r="AO484" t="s">
        <v>132</v>
      </c>
      <c r="AP484" t="s">
        <v>26</v>
      </c>
      <c r="AQ484">
        <v>2008</v>
      </c>
      <c r="AR484" t="s">
        <v>39</v>
      </c>
      <c r="AS484" t="s">
        <v>305</v>
      </c>
      <c r="AT484" t="s">
        <v>317</v>
      </c>
      <c r="AU484" t="s">
        <v>243</v>
      </c>
      <c r="AV484" t="s">
        <v>312</v>
      </c>
      <c r="AW484">
        <v>65.5</v>
      </c>
    </row>
    <row r="485" spans="41:49" x14ac:dyDescent="0.25">
      <c r="AO485" t="s">
        <v>48</v>
      </c>
      <c r="AP485" t="s">
        <v>26</v>
      </c>
      <c r="AQ485">
        <v>2006</v>
      </c>
      <c r="AR485" t="s">
        <v>36</v>
      </c>
      <c r="AS485" t="s">
        <v>305</v>
      </c>
      <c r="AT485" t="s">
        <v>317</v>
      </c>
      <c r="AU485" t="s">
        <v>218</v>
      </c>
      <c r="AV485" t="s">
        <v>308</v>
      </c>
      <c r="AW485">
        <v>3.7</v>
      </c>
    </row>
    <row r="486" spans="41:49" x14ac:dyDescent="0.25">
      <c r="AO486" t="s">
        <v>48</v>
      </c>
      <c r="AP486" t="s">
        <v>26</v>
      </c>
      <c r="AQ486">
        <v>2006</v>
      </c>
      <c r="AR486" t="s">
        <v>36</v>
      </c>
      <c r="AS486" t="s">
        <v>305</v>
      </c>
      <c r="AT486" t="s">
        <v>317</v>
      </c>
      <c r="AU486" t="s">
        <v>218</v>
      </c>
      <c r="AV486" t="s">
        <v>309</v>
      </c>
      <c r="AW486">
        <v>7.4</v>
      </c>
    </row>
    <row r="487" spans="41:49" x14ac:dyDescent="0.25">
      <c r="AO487" t="s">
        <v>48</v>
      </c>
      <c r="AP487" t="s">
        <v>26</v>
      </c>
      <c r="AQ487">
        <v>2006</v>
      </c>
      <c r="AR487" t="s">
        <v>36</v>
      </c>
      <c r="AS487" t="s">
        <v>305</v>
      </c>
      <c r="AT487" t="s">
        <v>317</v>
      </c>
      <c r="AU487" t="s">
        <v>218</v>
      </c>
      <c r="AV487" t="s">
        <v>268</v>
      </c>
      <c r="AW487">
        <v>11.1</v>
      </c>
    </row>
    <row r="488" spans="41:49" x14ac:dyDescent="0.25">
      <c r="AO488" t="s">
        <v>48</v>
      </c>
      <c r="AP488" t="s">
        <v>26</v>
      </c>
      <c r="AQ488">
        <v>2006</v>
      </c>
      <c r="AR488" t="s">
        <v>36</v>
      </c>
      <c r="AS488" t="s">
        <v>305</v>
      </c>
      <c r="AT488" t="s">
        <v>317</v>
      </c>
      <c r="AU488" t="s">
        <v>238</v>
      </c>
      <c r="AV488" t="s">
        <v>308</v>
      </c>
      <c r="AW488">
        <v>2.8</v>
      </c>
    </row>
    <row r="489" spans="41:49" x14ac:dyDescent="0.25">
      <c r="AO489" t="s">
        <v>48</v>
      </c>
      <c r="AP489" t="s">
        <v>26</v>
      </c>
      <c r="AQ489">
        <v>2006</v>
      </c>
      <c r="AR489" t="s">
        <v>36</v>
      </c>
      <c r="AS489" t="s">
        <v>305</v>
      </c>
      <c r="AT489" t="s">
        <v>317</v>
      </c>
      <c r="AU489" t="s">
        <v>238</v>
      </c>
      <c r="AV489" t="s">
        <v>309</v>
      </c>
      <c r="AW489">
        <v>4</v>
      </c>
    </row>
    <row r="490" spans="41:49" x14ac:dyDescent="0.25">
      <c r="AO490" t="s">
        <v>48</v>
      </c>
      <c r="AP490" t="s">
        <v>26</v>
      </c>
      <c r="AQ490">
        <v>2006</v>
      </c>
      <c r="AR490" t="s">
        <v>36</v>
      </c>
      <c r="AS490" t="s">
        <v>305</v>
      </c>
      <c r="AT490" t="s">
        <v>317</v>
      </c>
      <c r="AU490" t="s">
        <v>238</v>
      </c>
      <c r="AV490" t="s">
        <v>268</v>
      </c>
      <c r="AW490">
        <v>6.8</v>
      </c>
    </row>
    <row r="491" spans="41:49" x14ac:dyDescent="0.25">
      <c r="AO491" t="s">
        <v>48</v>
      </c>
      <c r="AP491" t="s">
        <v>26</v>
      </c>
      <c r="AQ491">
        <v>2006</v>
      </c>
      <c r="AR491" t="s">
        <v>36</v>
      </c>
      <c r="AS491" t="s">
        <v>305</v>
      </c>
      <c r="AT491" t="s">
        <v>317</v>
      </c>
      <c r="AU491" t="s">
        <v>239</v>
      </c>
      <c r="AV491" t="s">
        <v>308</v>
      </c>
      <c r="AW491">
        <v>2.4</v>
      </c>
    </row>
    <row r="492" spans="41:49" x14ac:dyDescent="0.25">
      <c r="AO492" t="s">
        <v>48</v>
      </c>
      <c r="AP492" t="s">
        <v>26</v>
      </c>
      <c r="AQ492">
        <v>2006</v>
      </c>
      <c r="AR492" t="s">
        <v>36</v>
      </c>
      <c r="AS492" t="s">
        <v>305</v>
      </c>
      <c r="AT492" t="s">
        <v>317</v>
      </c>
      <c r="AU492" t="s">
        <v>239</v>
      </c>
      <c r="AV492" t="s">
        <v>309</v>
      </c>
      <c r="AW492">
        <v>7.55</v>
      </c>
    </row>
    <row r="493" spans="41:49" x14ac:dyDescent="0.25">
      <c r="AO493" t="s">
        <v>48</v>
      </c>
      <c r="AP493" t="s">
        <v>26</v>
      </c>
      <c r="AQ493">
        <v>2006</v>
      </c>
      <c r="AR493" t="s">
        <v>36</v>
      </c>
      <c r="AS493" t="s">
        <v>305</v>
      </c>
      <c r="AT493" t="s">
        <v>317</v>
      </c>
      <c r="AU493" t="s">
        <v>239</v>
      </c>
      <c r="AV493" t="s">
        <v>268</v>
      </c>
      <c r="AW493">
        <v>9.9499999999999993</v>
      </c>
    </row>
    <row r="494" spans="41:49" x14ac:dyDescent="0.25">
      <c r="AO494" t="s">
        <v>48</v>
      </c>
      <c r="AP494" t="s">
        <v>26</v>
      </c>
      <c r="AQ494">
        <v>2006</v>
      </c>
      <c r="AR494" t="s">
        <v>36</v>
      </c>
      <c r="AS494" t="s">
        <v>305</v>
      </c>
      <c r="AT494" t="s">
        <v>317</v>
      </c>
      <c r="AU494" t="s">
        <v>240</v>
      </c>
      <c r="AV494" t="s">
        <v>308</v>
      </c>
      <c r="AW494">
        <v>2.4</v>
      </c>
    </row>
    <row r="495" spans="41:49" x14ac:dyDescent="0.25">
      <c r="AO495" t="s">
        <v>48</v>
      </c>
      <c r="AP495" t="s">
        <v>26</v>
      </c>
      <c r="AQ495">
        <v>2006</v>
      </c>
      <c r="AR495" t="s">
        <v>36</v>
      </c>
      <c r="AS495" t="s">
        <v>305</v>
      </c>
      <c r="AT495" t="s">
        <v>317</v>
      </c>
      <c r="AU495" t="s">
        <v>240</v>
      </c>
      <c r="AV495" t="s">
        <v>309</v>
      </c>
      <c r="AW495">
        <v>7.8</v>
      </c>
    </row>
    <row r="496" spans="41:49" x14ac:dyDescent="0.25">
      <c r="AO496" t="s">
        <v>48</v>
      </c>
      <c r="AP496" t="s">
        <v>26</v>
      </c>
      <c r="AQ496">
        <v>2006</v>
      </c>
      <c r="AR496" t="s">
        <v>36</v>
      </c>
      <c r="AS496" t="s">
        <v>305</v>
      </c>
      <c r="AT496" t="s">
        <v>317</v>
      </c>
      <c r="AU496" t="s">
        <v>240</v>
      </c>
      <c r="AV496" t="s">
        <v>268</v>
      </c>
      <c r="AW496">
        <v>10.199999999999999</v>
      </c>
    </row>
    <row r="497" spans="41:49" x14ac:dyDescent="0.25">
      <c r="AO497" t="s">
        <v>48</v>
      </c>
      <c r="AP497" t="s">
        <v>26</v>
      </c>
      <c r="AQ497">
        <v>2006</v>
      </c>
      <c r="AR497" t="s">
        <v>36</v>
      </c>
      <c r="AS497" t="s">
        <v>305</v>
      </c>
      <c r="AT497" t="s">
        <v>317</v>
      </c>
      <c r="AU497" t="s">
        <v>314</v>
      </c>
      <c r="AV497" t="s">
        <v>308</v>
      </c>
      <c r="AW497">
        <v>3.1</v>
      </c>
    </row>
    <row r="498" spans="41:49" x14ac:dyDescent="0.25">
      <c r="AO498" t="s">
        <v>48</v>
      </c>
      <c r="AP498" t="s">
        <v>26</v>
      </c>
      <c r="AQ498">
        <v>2006</v>
      </c>
      <c r="AR498" t="s">
        <v>36</v>
      </c>
      <c r="AS498" t="s">
        <v>305</v>
      </c>
      <c r="AT498" t="s">
        <v>317</v>
      </c>
      <c r="AU498" t="s">
        <v>314</v>
      </c>
      <c r="AV498" t="s">
        <v>309</v>
      </c>
      <c r="AW498">
        <v>8.0500000000000007</v>
      </c>
    </row>
    <row r="499" spans="41:49" x14ac:dyDescent="0.25">
      <c r="AO499" t="s">
        <v>48</v>
      </c>
      <c r="AP499" t="s">
        <v>26</v>
      </c>
      <c r="AQ499">
        <v>2006</v>
      </c>
      <c r="AR499" t="s">
        <v>36</v>
      </c>
      <c r="AS499" t="s">
        <v>305</v>
      </c>
      <c r="AT499" t="s">
        <v>317</v>
      </c>
      <c r="AU499" t="s">
        <v>314</v>
      </c>
      <c r="AV499" t="s">
        <v>268</v>
      </c>
      <c r="AW499">
        <v>11.15</v>
      </c>
    </row>
    <row r="500" spans="41:49" x14ac:dyDescent="0.25">
      <c r="AO500" t="s">
        <v>48</v>
      </c>
      <c r="AP500" t="s">
        <v>26</v>
      </c>
      <c r="AQ500">
        <v>2006</v>
      </c>
      <c r="AR500" t="s">
        <v>36</v>
      </c>
      <c r="AS500" t="s">
        <v>305</v>
      </c>
      <c r="AT500" t="s">
        <v>317</v>
      </c>
      <c r="AU500" t="s">
        <v>242</v>
      </c>
      <c r="AV500" t="s">
        <v>308</v>
      </c>
      <c r="AW500">
        <v>1.9</v>
      </c>
    </row>
    <row r="501" spans="41:49" x14ac:dyDescent="0.25">
      <c r="AO501" t="s">
        <v>48</v>
      </c>
      <c r="AP501" t="s">
        <v>26</v>
      </c>
      <c r="AQ501">
        <v>2006</v>
      </c>
      <c r="AR501" t="s">
        <v>36</v>
      </c>
      <c r="AS501" t="s">
        <v>305</v>
      </c>
      <c r="AT501" t="s">
        <v>317</v>
      </c>
      <c r="AU501" t="s">
        <v>242</v>
      </c>
      <c r="AV501" t="s">
        <v>309</v>
      </c>
      <c r="AW501">
        <v>8</v>
      </c>
    </row>
    <row r="502" spans="41:49" x14ac:dyDescent="0.25">
      <c r="AO502" t="s">
        <v>48</v>
      </c>
      <c r="AP502" t="s">
        <v>26</v>
      </c>
      <c r="AQ502">
        <v>2006</v>
      </c>
      <c r="AR502" t="s">
        <v>36</v>
      </c>
      <c r="AS502" t="s">
        <v>305</v>
      </c>
      <c r="AT502" t="s">
        <v>317</v>
      </c>
      <c r="AU502" t="s">
        <v>242</v>
      </c>
      <c r="AV502" t="s">
        <v>268</v>
      </c>
      <c r="AW502">
        <v>9.9</v>
      </c>
    </row>
    <row r="503" spans="41:49" x14ac:dyDescent="0.25">
      <c r="AO503" t="s">
        <v>48</v>
      </c>
      <c r="AP503" t="s">
        <v>26</v>
      </c>
      <c r="AQ503">
        <v>2006</v>
      </c>
      <c r="AR503" t="s">
        <v>36</v>
      </c>
      <c r="AS503" t="s">
        <v>305</v>
      </c>
      <c r="AT503" t="s">
        <v>317</v>
      </c>
      <c r="AU503" t="s">
        <v>243</v>
      </c>
      <c r="AV503" t="s">
        <v>247</v>
      </c>
      <c r="AW503">
        <v>16.3</v>
      </c>
    </row>
    <row r="504" spans="41:49" x14ac:dyDescent="0.25">
      <c r="AO504" t="s">
        <v>48</v>
      </c>
      <c r="AP504" t="s">
        <v>26</v>
      </c>
      <c r="AQ504">
        <v>2006</v>
      </c>
      <c r="AR504" t="s">
        <v>36</v>
      </c>
      <c r="AS504" t="s">
        <v>305</v>
      </c>
      <c r="AT504" t="s">
        <v>317</v>
      </c>
      <c r="AU504" t="s">
        <v>243</v>
      </c>
      <c r="AV504" t="s">
        <v>248</v>
      </c>
      <c r="AW504">
        <v>42.8</v>
      </c>
    </row>
    <row r="505" spans="41:49" x14ac:dyDescent="0.25">
      <c r="AO505" t="s">
        <v>48</v>
      </c>
      <c r="AP505" t="s">
        <v>26</v>
      </c>
      <c r="AQ505">
        <v>2006</v>
      </c>
      <c r="AR505" t="s">
        <v>36</v>
      </c>
      <c r="AS505" t="s">
        <v>305</v>
      </c>
      <c r="AT505" t="s">
        <v>317</v>
      </c>
      <c r="AU505" t="s">
        <v>243</v>
      </c>
      <c r="AV505" t="s">
        <v>312</v>
      </c>
      <c r="AW505">
        <v>59.099999999999994</v>
      </c>
    </row>
    <row r="506" spans="41:49" x14ac:dyDescent="0.25">
      <c r="AO506" t="s">
        <v>57</v>
      </c>
      <c r="AP506" t="s">
        <v>26</v>
      </c>
      <c r="AQ506">
        <v>2007</v>
      </c>
      <c r="AR506" t="s">
        <v>36</v>
      </c>
      <c r="AS506" t="s">
        <v>305</v>
      </c>
      <c r="AT506" t="s">
        <v>317</v>
      </c>
      <c r="AU506" t="s">
        <v>218</v>
      </c>
      <c r="AV506" t="s">
        <v>308</v>
      </c>
      <c r="AW506">
        <v>3.2</v>
      </c>
    </row>
    <row r="507" spans="41:49" x14ac:dyDescent="0.25">
      <c r="AO507" t="s">
        <v>57</v>
      </c>
      <c r="AP507" t="s">
        <v>26</v>
      </c>
      <c r="AQ507">
        <v>2007</v>
      </c>
      <c r="AR507" t="s">
        <v>36</v>
      </c>
      <c r="AS507" t="s">
        <v>305</v>
      </c>
      <c r="AT507" t="s">
        <v>317</v>
      </c>
      <c r="AU507" t="s">
        <v>218</v>
      </c>
      <c r="AV507" t="s">
        <v>309</v>
      </c>
      <c r="AW507">
        <v>7.3</v>
      </c>
    </row>
    <row r="508" spans="41:49" x14ac:dyDescent="0.25">
      <c r="AO508" t="s">
        <v>57</v>
      </c>
      <c r="AP508" t="s">
        <v>26</v>
      </c>
      <c r="AQ508">
        <v>2007</v>
      </c>
      <c r="AR508" t="s">
        <v>36</v>
      </c>
      <c r="AS508" t="s">
        <v>305</v>
      </c>
      <c r="AT508" t="s">
        <v>317</v>
      </c>
      <c r="AU508" t="s">
        <v>218</v>
      </c>
      <c r="AV508" t="s">
        <v>268</v>
      </c>
      <c r="AW508">
        <v>10.5</v>
      </c>
    </row>
    <row r="509" spans="41:49" x14ac:dyDescent="0.25">
      <c r="AO509" t="s">
        <v>57</v>
      </c>
      <c r="AP509" t="s">
        <v>26</v>
      </c>
      <c r="AQ509">
        <v>2007</v>
      </c>
      <c r="AR509" t="s">
        <v>36</v>
      </c>
      <c r="AS509" t="s">
        <v>305</v>
      </c>
      <c r="AT509" t="s">
        <v>317</v>
      </c>
      <c r="AU509" t="s">
        <v>238</v>
      </c>
      <c r="AV509" t="s">
        <v>308</v>
      </c>
      <c r="AW509">
        <v>2.6</v>
      </c>
    </row>
    <row r="510" spans="41:49" x14ac:dyDescent="0.25">
      <c r="AO510" t="s">
        <v>57</v>
      </c>
      <c r="AP510" t="s">
        <v>26</v>
      </c>
      <c r="AQ510">
        <v>2007</v>
      </c>
      <c r="AR510" t="s">
        <v>36</v>
      </c>
      <c r="AS510" t="s">
        <v>305</v>
      </c>
      <c r="AT510" t="s">
        <v>317</v>
      </c>
      <c r="AU510" t="s">
        <v>238</v>
      </c>
      <c r="AV510" t="s">
        <v>309</v>
      </c>
      <c r="AW510">
        <v>6</v>
      </c>
    </row>
    <row r="511" spans="41:49" x14ac:dyDescent="0.25">
      <c r="AO511" t="s">
        <v>57</v>
      </c>
      <c r="AP511" t="s">
        <v>26</v>
      </c>
      <c r="AQ511">
        <v>2007</v>
      </c>
      <c r="AR511" t="s">
        <v>36</v>
      </c>
      <c r="AS511" t="s">
        <v>305</v>
      </c>
      <c r="AT511" t="s">
        <v>317</v>
      </c>
      <c r="AU511" t="s">
        <v>238</v>
      </c>
      <c r="AV511" t="s">
        <v>268</v>
      </c>
      <c r="AW511">
        <v>8.6</v>
      </c>
    </row>
    <row r="512" spans="41:49" x14ac:dyDescent="0.25">
      <c r="AO512" t="s">
        <v>57</v>
      </c>
      <c r="AP512" t="s">
        <v>26</v>
      </c>
      <c r="AQ512">
        <v>2007</v>
      </c>
      <c r="AR512" t="s">
        <v>36</v>
      </c>
      <c r="AS512" t="s">
        <v>305</v>
      </c>
      <c r="AT512" t="s">
        <v>317</v>
      </c>
      <c r="AU512" t="s">
        <v>239</v>
      </c>
      <c r="AV512" t="s">
        <v>308</v>
      </c>
      <c r="AW512">
        <v>2.8</v>
      </c>
    </row>
    <row r="513" spans="41:49" x14ac:dyDescent="0.25">
      <c r="AO513" t="s">
        <v>57</v>
      </c>
      <c r="AP513" t="s">
        <v>26</v>
      </c>
      <c r="AQ513">
        <v>2007</v>
      </c>
      <c r="AR513" t="s">
        <v>36</v>
      </c>
      <c r="AS513" t="s">
        <v>305</v>
      </c>
      <c r="AT513" t="s">
        <v>317</v>
      </c>
      <c r="AU513" t="s">
        <v>239</v>
      </c>
      <c r="AV513" t="s">
        <v>309</v>
      </c>
      <c r="AW513">
        <v>8.1</v>
      </c>
    </row>
    <row r="514" spans="41:49" x14ac:dyDescent="0.25">
      <c r="AO514" t="s">
        <v>57</v>
      </c>
      <c r="AP514" t="s">
        <v>26</v>
      </c>
      <c r="AQ514">
        <v>2007</v>
      </c>
      <c r="AR514" t="s">
        <v>36</v>
      </c>
      <c r="AS514" t="s">
        <v>305</v>
      </c>
      <c r="AT514" t="s">
        <v>317</v>
      </c>
      <c r="AU514" t="s">
        <v>239</v>
      </c>
      <c r="AV514" t="s">
        <v>268</v>
      </c>
      <c r="AW514">
        <v>10.9</v>
      </c>
    </row>
    <row r="515" spans="41:49" x14ac:dyDescent="0.25">
      <c r="AO515" t="s">
        <v>57</v>
      </c>
      <c r="AP515" t="s">
        <v>26</v>
      </c>
      <c r="AQ515">
        <v>2007</v>
      </c>
      <c r="AR515" t="s">
        <v>36</v>
      </c>
      <c r="AS515" t="s">
        <v>305</v>
      </c>
      <c r="AT515" t="s">
        <v>317</v>
      </c>
      <c r="AU515" t="s">
        <v>240</v>
      </c>
      <c r="AV515" t="s">
        <v>308</v>
      </c>
      <c r="AW515">
        <v>1.6</v>
      </c>
    </row>
    <row r="516" spans="41:49" x14ac:dyDescent="0.25">
      <c r="AO516" t="s">
        <v>57</v>
      </c>
      <c r="AP516" t="s">
        <v>26</v>
      </c>
      <c r="AQ516">
        <v>2007</v>
      </c>
      <c r="AR516" t="s">
        <v>36</v>
      </c>
      <c r="AS516" t="s">
        <v>305</v>
      </c>
      <c r="AT516" t="s">
        <v>317</v>
      </c>
      <c r="AU516" t="s">
        <v>240</v>
      </c>
      <c r="AV516" t="s">
        <v>309</v>
      </c>
      <c r="AW516">
        <v>8.6999999999999993</v>
      </c>
    </row>
    <row r="517" spans="41:49" x14ac:dyDescent="0.25">
      <c r="AO517" t="s">
        <v>57</v>
      </c>
      <c r="AP517" t="s">
        <v>26</v>
      </c>
      <c r="AQ517">
        <v>2007</v>
      </c>
      <c r="AR517" t="s">
        <v>36</v>
      </c>
      <c r="AS517" t="s">
        <v>305</v>
      </c>
      <c r="AT517" t="s">
        <v>317</v>
      </c>
      <c r="AU517" t="s">
        <v>240</v>
      </c>
      <c r="AV517" t="s">
        <v>268</v>
      </c>
      <c r="AW517">
        <v>10.3</v>
      </c>
    </row>
    <row r="518" spans="41:49" x14ac:dyDescent="0.25">
      <c r="AO518" t="s">
        <v>57</v>
      </c>
      <c r="AP518" t="s">
        <v>26</v>
      </c>
      <c r="AQ518">
        <v>2007</v>
      </c>
      <c r="AR518" t="s">
        <v>36</v>
      </c>
      <c r="AS518" t="s">
        <v>305</v>
      </c>
      <c r="AT518" t="s">
        <v>317</v>
      </c>
      <c r="AU518" t="s">
        <v>314</v>
      </c>
      <c r="AV518" t="s">
        <v>308</v>
      </c>
      <c r="AW518">
        <v>2.5</v>
      </c>
    </row>
    <row r="519" spans="41:49" x14ac:dyDescent="0.25">
      <c r="AO519" t="s">
        <v>57</v>
      </c>
      <c r="AP519" t="s">
        <v>26</v>
      </c>
      <c r="AQ519">
        <v>2007</v>
      </c>
      <c r="AR519" t="s">
        <v>36</v>
      </c>
      <c r="AS519" t="s">
        <v>305</v>
      </c>
      <c r="AT519" t="s">
        <v>317</v>
      </c>
      <c r="AU519" t="s">
        <v>314</v>
      </c>
      <c r="AV519" t="s">
        <v>309</v>
      </c>
      <c r="AW519">
        <v>5.7</v>
      </c>
    </row>
    <row r="520" spans="41:49" x14ac:dyDescent="0.25">
      <c r="AO520" t="s">
        <v>57</v>
      </c>
      <c r="AP520" t="s">
        <v>26</v>
      </c>
      <c r="AQ520">
        <v>2007</v>
      </c>
      <c r="AR520" t="s">
        <v>36</v>
      </c>
      <c r="AS520" t="s">
        <v>305</v>
      </c>
      <c r="AT520" t="s">
        <v>317</v>
      </c>
      <c r="AU520" t="s">
        <v>314</v>
      </c>
      <c r="AV520" t="s">
        <v>268</v>
      </c>
      <c r="AW520">
        <v>8.1999999999999993</v>
      </c>
    </row>
    <row r="521" spans="41:49" x14ac:dyDescent="0.25">
      <c r="AO521" t="s">
        <v>57</v>
      </c>
      <c r="AP521" t="s">
        <v>26</v>
      </c>
      <c r="AQ521">
        <v>2007</v>
      </c>
      <c r="AR521" t="s">
        <v>36</v>
      </c>
      <c r="AS521" t="s">
        <v>305</v>
      </c>
      <c r="AT521" t="s">
        <v>317</v>
      </c>
      <c r="AU521" t="s">
        <v>242</v>
      </c>
      <c r="AV521" t="s">
        <v>308</v>
      </c>
      <c r="AW521">
        <v>1.9</v>
      </c>
    </row>
    <row r="522" spans="41:49" x14ac:dyDescent="0.25">
      <c r="AO522" t="s">
        <v>57</v>
      </c>
      <c r="AP522" t="s">
        <v>26</v>
      </c>
      <c r="AQ522">
        <v>2007</v>
      </c>
      <c r="AR522" t="s">
        <v>36</v>
      </c>
      <c r="AS522" t="s">
        <v>305</v>
      </c>
      <c r="AT522" t="s">
        <v>317</v>
      </c>
      <c r="AU522" t="s">
        <v>242</v>
      </c>
      <c r="AV522" t="s">
        <v>309</v>
      </c>
      <c r="AW522">
        <v>8.1</v>
      </c>
    </row>
    <row r="523" spans="41:49" x14ac:dyDescent="0.25">
      <c r="AO523" t="s">
        <v>57</v>
      </c>
      <c r="AP523" t="s">
        <v>26</v>
      </c>
      <c r="AQ523">
        <v>2007</v>
      </c>
      <c r="AR523" t="s">
        <v>36</v>
      </c>
      <c r="AS523" t="s">
        <v>305</v>
      </c>
      <c r="AT523" t="s">
        <v>317</v>
      </c>
      <c r="AU523" t="s">
        <v>242</v>
      </c>
      <c r="AV523" t="s">
        <v>268</v>
      </c>
      <c r="AW523">
        <v>10</v>
      </c>
    </row>
    <row r="524" spans="41:49" x14ac:dyDescent="0.25">
      <c r="AO524" t="s">
        <v>57</v>
      </c>
      <c r="AP524" t="s">
        <v>26</v>
      </c>
      <c r="AQ524">
        <v>2007</v>
      </c>
      <c r="AR524" t="s">
        <v>36</v>
      </c>
      <c r="AS524" t="s">
        <v>305</v>
      </c>
      <c r="AT524" t="s">
        <v>317</v>
      </c>
      <c r="AU524" t="s">
        <v>243</v>
      </c>
      <c r="AV524" t="s">
        <v>247</v>
      </c>
      <c r="AW524">
        <v>14.600000000000001</v>
      </c>
    </row>
    <row r="525" spans="41:49" x14ac:dyDescent="0.25">
      <c r="AO525" t="s">
        <v>57</v>
      </c>
      <c r="AP525" t="s">
        <v>26</v>
      </c>
      <c r="AQ525">
        <v>2007</v>
      </c>
      <c r="AR525" t="s">
        <v>36</v>
      </c>
      <c r="AS525" t="s">
        <v>305</v>
      </c>
      <c r="AT525" t="s">
        <v>317</v>
      </c>
      <c r="AU525" t="s">
        <v>243</v>
      </c>
      <c r="AV525" t="s">
        <v>248</v>
      </c>
      <c r="AW525">
        <v>43.9</v>
      </c>
    </row>
    <row r="526" spans="41:49" x14ac:dyDescent="0.25">
      <c r="AO526" t="s">
        <v>57</v>
      </c>
      <c r="AP526" t="s">
        <v>26</v>
      </c>
      <c r="AQ526">
        <v>2007</v>
      </c>
      <c r="AR526" t="s">
        <v>36</v>
      </c>
      <c r="AS526" t="s">
        <v>305</v>
      </c>
      <c r="AT526" t="s">
        <v>317</v>
      </c>
      <c r="AU526" t="s">
        <v>243</v>
      </c>
      <c r="AV526" t="s">
        <v>312</v>
      </c>
      <c r="AW526">
        <v>58.5</v>
      </c>
    </row>
    <row r="527" spans="41:49" x14ac:dyDescent="0.25">
      <c r="AO527" t="s">
        <v>120</v>
      </c>
      <c r="AP527" t="s">
        <v>26</v>
      </c>
      <c r="AQ527">
        <v>2006</v>
      </c>
      <c r="AR527" t="s">
        <v>39</v>
      </c>
      <c r="AS527" t="s">
        <v>306</v>
      </c>
      <c r="AT527" t="s">
        <v>317</v>
      </c>
      <c r="AU527" t="s">
        <v>218</v>
      </c>
      <c r="AV527" t="s">
        <v>308</v>
      </c>
      <c r="AW527">
        <v>3</v>
      </c>
    </row>
    <row r="528" spans="41:49" x14ac:dyDescent="0.25">
      <c r="AO528" t="s">
        <v>120</v>
      </c>
      <c r="AP528" t="s">
        <v>26</v>
      </c>
      <c r="AQ528">
        <v>2006</v>
      </c>
      <c r="AR528" t="s">
        <v>39</v>
      </c>
      <c r="AS528" t="s">
        <v>306</v>
      </c>
      <c r="AT528" t="s">
        <v>317</v>
      </c>
      <c r="AU528" t="s">
        <v>218</v>
      </c>
      <c r="AV528" t="s">
        <v>309</v>
      </c>
      <c r="AW528">
        <v>8.3000000000000007</v>
      </c>
    </row>
    <row r="529" spans="41:49" x14ac:dyDescent="0.25">
      <c r="AO529" t="s">
        <v>120</v>
      </c>
      <c r="AP529" t="s">
        <v>26</v>
      </c>
      <c r="AQ529">
        <v>2006</v>
      </c>
      <c r="AR529" t="s">
        <v>39</v>
      </c>
      <c r="AS529" t="s">
        <v>306</v>
      </c>
      <c r="AT529" t="s">
        <v>317</v>
      </c>
      <c r="AU529" t="s">
        <v>218</v>
      </c>
      <c r="AV529" t="s">
        <v>268</v>
      </c>
      <c r="AW529">
        <v>11.3</v>
      </c>
    </row>
    <row r="530" spans="41:49" x14ac:dyDescent="0.25">
      <c r="AO530" t="s">
        <v>120</v>
      </c>
      <c r="AP530" t="s">
        <v>26</v>
      </c>
      <c r="AQ530">
        <v>2006</v>
      </c>
      <c r="AR530" t="s">
        <v>39</v>
      </c>
      <c r="AS530" t="s">
        <v>306</v>
      </c>
      <c r="AT530" t="s">
        <v>317</v>
      </c>
      <c r="AU530" t="s">
        <v>238</v>
      </c>
      <c r="AV530" t="s">
        <v>308</v>
      </c>
      <c r="AW530">
        <v>2.6</v>
      </c>
    </row>
    <row r="531" spans="41:49" x14ac:dyDescent="0.25">
      <c r="AO531" t="s">
        <v>120</v>
      </c>
      <c r="AP531" t="s">
        <v>26</v>
      </c>
      <c r="AQ531">
        <v>2006</v>
      </c>
      <c r="AR531" t="s">
        <v>39</v>
      </c>
      <c r="AS531" t="s">
        <v>306</v>
      </c>
      <c r="AT531" t="s">
        <v>317</v>
      </c>
      <c r="AU531" t="s">
        <v>238</v>
      </c>
      <c r="AV531" t="s">
        <v>309</v>
      </c>
      <c r="AW531">
        <v>4.4000000000000004</v>
      </c>
    </row>
    <row r="532" spans="41:49" x14ac:dyDescent="0.25">
      <c r="AO532" t="s">
        <v>120</v>
      </c>
      <c r="AP532" t="s">
        <v>26</v>
      </c>
      <c r="AQ532">
        <v>2006</v>
      </c>
      <c r="AR532" t="s">
        <v>39</v>
      </c>
      <c r="AS532" t="s">
        <v>306</v>
      </c>
      <c r="AT532" t="s">
        <v>317</v>
      </c>
      <c r="AU532" t="s">
        <v>238</v>
      </c>
      <c r="AV532" t="s">
        <v>268</v>
      </c>
      <c r="AW532">
        <v>7</v>
      </c>
    </row>
    <row r="533" spans="41:49" x14ac:dyDescent="0.25">
      <c r="AO533" t="s">
        <v>120</v>
      </c>
      <c r="AP533" t="s">
        <v>26</v>
      </c>
      <c r="AQ533">
        <v>2006</v>
      </c>
      <c r="AR533" t="s">
        <v>39</v>
      </c>
      <c r="AS533" t="s">
        <v>306</v>
      </c>
      <c r="AT533" t="s">
        <v>317</v>
      </c>
      <c r="AU533" t="s">
        <v>239</v>
      </c>
      <c r="AV533" t="s">
        <v>308</v>
      </c>
      <c r="AW533">
        <v>2.9</v>
      </c>
    </row>
    <row r="534" spans="41:49" x14ac:dyDescent="0.25">
      <c r="AO534" t="s">
        <v>120</v>
      </c>
      <c r="AP534" t="s">
        <v>26</v>
      </c>
      <c r="AQ534">
        <v>2006</v>
      </c>
      <c r="AR534" t="s">
        <v>39</v>
      </c>
      <c r="AS534" t="s">
        <v>306</v>
      </c>
      <c r="AT534" t="s">
        <v>317</v>
      </c>
      <c r="AU534" t="s">
        <v>239</v>
      </c>
      <c r="AV534" t="s">
        <v>309</v>
      </c>
      <c r="AW534">
        <v>6.7</v>
      </c>
    </row>
    <row r="535" spans="41:49" x14ac:dyDescent="0.25">
      <c r="AO535" t="s">
        <v>120</v>
      </c>
      <c r="AP535" t="s">
        <v>26</v>
      </c>
      <c r="AQ535">
        <v>2006</v>
      </c>
      <c r="AR535" t="s">
        <v>39</v>
      </c>
      <c r="AS535" t="s">
        <v>306</v>
      </c>
      <c r="AT535" t="s">
        <v>317</v>
      </c>
      <c r="AU535" t="s">
        <v>239</v>
      </c>
      <c r="AV535" t="s">
        <v>268</v>
      </c>
      <c r="AW535">
        <v>9.6</v>
      </c>
    </row>
    <row r="536" spans="41:49" x14ac:dyDescent="0.25">
      <c r="AO536" t="s">
        <v>120</v>
      </c>
      <c r="AP536" t="s">
        <v>26</v>
      </c>
      <c r="AQ536">
        <v>2006</v>
      </c>
      <c r="AR536" t="s">
        <v>39</v>
      </c>
      <c r="AS536" t="s">
        <v>306</v>
      </c>
      <c r="AT536" t="s">
        <v>317</v>
      </c>
      <c r="AU536" t="s">
        <v>240</v>
      </c>
      <c r="AV536" t="s">
        <v>308</v>
      </c>
      <c r="AW536">
        <v>3.2</v>
      </c>
    </row>
    <row r="537" spans="41:49" x14ac:dyDescent="0.25">
      <c r="AO537" t="s">
        <v>120</v>
      </c>
      <c r="AP537" t="s">
        <v>26</v>
      </c>
      <c r="AQ537">
        <v>2006</v>
      </c>
      <c r="AR537" t="s">
        <v>39</v>
      </c>
      <c r="AS537" t="s">
        <v>306</v>
      </c>
      <c r="AT537" t="s">
        <v>317</v>
      </c>
      <c r="AU537" t="s">
        <v>240</v>
      </c>
      <c r="AV537" t="s">
        <v>309</v>
      </c>
      <c r="AW537">
        <v>9</v>
      </c>
    </row>
    <row r="538" spans="41:49" x14ac:dyDescent="0.25">
      <c r="AO538" t="s">
        <v>120</v>
      </c>
      <c r="AP538" t="s">
        <v>26</v>
      </c>
      <c r="AQ538">
        <v>2006</v>
      </c>
      <c r="AR538" t="s">
        <v>39</v>
      </c>
      <c r="AS538" t="s">
        <v>306</v>
      </c>
      <c r="AT538" t="s">
        <v>317</v>
      </c>
      <c r="AU538" t="s">
        <v>240</v>
      </c>
      <c r="AV538" t="s">
        <v>268</v>
      </c>
      <c r="AW538">
        <v>12.2</v>
      </c>
    </row>
    <row r="539" spans="41:49" x14ac:dyDescent="0.25">
      <c r="AO539" t="s">
        <v>120</v>
      </c>
      <c r="AP539" t="s">
        <v>26</v>
      </c>
      <c r="AQ539">
        <v>2006</v>
      </c>
      <c r="AR539" t="s">
        <v>39</v>
      </c>
      <c r="AS539" t="s">
        <v>306</v>
      </c>
      <c r="AT539" t="s">
        <v>317</v>
      </c>
      <c r="AU539" t="s">
        <v>314</v>
      </c>
      <c r="AV539" t="s">
        <v>308</v>
      </c>
      <c r="AW539">
        <v>3.1</v>
      </c>
    </row>
    <row r="540" spans="41:49" x14ac:dyDescent="0.25">
      <c r="AO540" t="s">
        <v>120</v>
      </c>
      <c r="AP540" t="s">
        <v>26</v>
      </c>
      <c r="AQ540">
        <v>2006</v>
      </c>
      <c r="AR540" t="s">
        <v>39</v>
      </c>
      <c r="AS540" t="s">
        <v>306</v>
      </c>
      <c r="AT540" t="s">
        <v>317</v>
      </c>
      <c r="AU540" t="s">
        <v>314</v>
      </c>
      <c r="AV540" t="s">
        <v>309</v>
      </c>
      <c r="AW540">
        <v>7.45</v>
      </c>
    </row>
    <row r="541" spans="41:49" x14ac:dyDescent="0.25">
      <c r="AO541" t="s">
        <v>120</v>
      </c>
      <c r="AP541" t="s">
        <v>26</v>
      </c>
      <c r="AQ541">
        <v>2006</v>
      </c>
      <c r="AR541" t="s">
        <v>39</v>
      </c>
      <c r="AS541" t="s">
        <v>306</v>
      </c>
      <c r="AT541" t="s">
        <v>317</v>
      </c>
      <c r="AU541" t="s">
        <v>314</v>
      </c>
      <c r="AV541" t="s">
        <v>268</v>
      </c>
      <c r="AW541">
        <v>10.55</v>
      </c>
    </row>
    <row r="542" spans="41:49" x14ac:dyDescent="0.25">
      <c r="AO542" t="s">
        <v>120</v>
      </c>
      <c r="AP542" t="s">
        <v>26</v>
      </c>
      <c r="AQ542">
        <v>2006</v>
      </c>
      <c r="AR542" t="s">
        <v>39</v>
      </c>
      <c r="AS542" t="s">
        <v>306</v>
      </c>
      <c r="AT542" t="s">
        <v>317</v>
      </c>
      <c r="AU542" t="s">
        <v>242</v>
      </c>
      <c r="AV542" t="s">
        <v>308</v>
      </c>
      <c r="AW542">
        <v>0</v>
      </c>
    </row>
    <row r="543" spans="41:49" x14ac:dyDescent="0.25">
      <c r="AO543" t="s">
        <v>120</v>
      </c>
      <c r="AP543" t="s">
        <v>26</v>
      </c>
      <c r="AQ543">
        <v>2006</v>
      </c>
      <c r="AR543" t="s">
        <v>39</v>
      </c>
      <c r="AS543" t="s">
        <v>306</v>
      </c>
      <c r="AT543" t="s">
        <v>317</v>
      </c>
      <c r="AU543" t="s">
        <v>242</v>
      </c>
      <c r="AV543" t="s">
        <v>309</v>
      </c>
      <c r="AW543">
        <v>0</v>
      </c>
    </row>
    <row r="544" spans="41:49" x14ac:dyDescent="0.25">
      <c r="AO544" t="s">
        <v>120</v>
      </c>
      <c r="AP544" t="s">
        <v>26</v>
      </c>
      <c r="AQ544">
        <v>2006</v>
      </c>
      <c r="AR544" t="s">
        <v>39</v>
      </c>
      <c r="AS544" t="s">
        <v>306</v>
      </c>
      <c r="AT544" t="s">
        <v>317</v>
      </c>
      <c r="AU544" t="s">
        <v>242</v>
      </c>
      <c r="AV544" t="s">
        <v>268</v>
      </c>
      <c r="AW544">
        <v>0</v>
      </c>
    </row>
    <row r="545" spans="41:49" x14ac:dyDescent="0.25">
      <c r="AO545" t="s">
        <v>120</v>
      </c>
      <c r="AP545" t="s">
        <v>26</v>
      </c>
      <c r="AQ545">
        <v>2006</v>
      </c>
      <c r="AR545" t="s">
        <v>39</v>
      </c>
      <c r="AS545" t="s">
        <v>306</v>
      </c>
      <c r="AT545" t="s">
        <v>317</v>
      </c>
      <c r="AU545" t="s">
        <v>243</v>
      </c>
      <c r="AV545" t="s">
        <v>247</v>
      </c>
      <c r="AW545">
        <v>0</v>
      </c>
    </row>
    <row r="546" spans="41:49" x14ac:dyDescent="0.25">
      <c r="AO546" t="s">
        <v>120</v>
      </c>
      <c r="AP546" t="s">
        <v>26</v>
      </c>
      <c r="AQ546">
        <v>2006</v>
      </c>
      <c r="AR546" t="s">
        <v>39</v>
      </c>
      <c r="AS546" t="s">
        <v>306</v>
      </c>
      <c r="AT546" t="s">
        <v>317</v>
      </c>
      <c r="AU546" t="s">
        <v>243</v>
      </c>
      <c r="AV546" t="s">
        <v>248</v>
      </c>
      <c r="AW546">
        <v>0</v>
      </c>
    </row>
    <row r="547" spans="41:49" x14ac:dyDescent="0.25">
      <c r="AO547" t="s">
        <v>120</v>
      </c>
      <c r="AP547" t="s">
        <v>26</v>
      </c>
      <c r="AQ547">
        <v>2006</v>
      </c>
      <c r="AR547" t="s">
        <v>39</v>
      </c>
      <c r="AS547" t="s">
        <v>306</v>
      </c>
      <c r="AT547" t="s">
        <v>317</v>
      </c>
      <c r="AU547" t="s">
        <v>243</v>
      </c>
      <c r="AV547" t="s">
        <v>312</v>
      </c>
      <c r="AW547">
        <v>50.649999999999991</v>
      </c>
    </row>
    <row r="548" spans="41:49" x14ac:dyDescent="0.25">
      <c r="AO548" t="s">
        <v>42</v>
      </c>
      <c r="AP548" t="s">
        <v>26</v>
      </c>
      <c r="AQ548">
        <v>2007</v>
      </c>
      <c r="AR548" t="s">
        <v>36</v>
      </c>
      <c r="AS548" t="s">
        <v>306</v>
      </c>
      <c r="AT548" t="s">
        <v>317</v>
      </c>
      <c r="AU548" t="s">
        <v>218</v>
      </c>
      <c r="AV548" t="s">
        <v>308</v>
      </c>
      <c r="AW548">
        <v>4</v>
      </c>
    </row>
    <row r="549" spans="41:49" x14ac:dyDescent="0.25">
      <c r="AO549" t="s">
        <v>42</v>
      </c>
      <c r="AP549" t="s">
        <v>26</v>
      </c>
      <c r="AQ549">
        <v>2007</v>
      </c>
      <c r="AR549" t="s">
        <v>36</v>
      </c>
      <c r="AS549" t="s">
        <v>306</v>
      </c>
      <c r="AT549" t="s">
        <v>317</v>
      </c>
      <c r="AU549" t="s">
        <v>218</v>
      </c>
      <c r="AV549" t="s">
        <v>309</v>
      </c>
      <c r="AW549">
        <v>8.1999999999999993</v>
      </c>
    </row>
    <row r="550" spans="41:49" x14ac:dyDescent="0.25">
      <c r="AO550" t="s">
        <v>42</v>
      </c>
      <c r="AP550" t="s">
        <v>26</v>
      </c>
      <c r="AQ550">
        <v>2007</v>
      </c>
      <c r="AR550" t="s">
        <v>36</v>
      </c>
      <c r="AS550" t="s">
        <v>306</v>
      </c>
      <c r="AT550" t="s">
        <v>317</v>
      </c>
      <c r="AU550" t="s">
        <v>218</v>
      </c>
      <c r="AV550" t="s">
        <v>268</v>
      </c>
      <c r="AW550">
        <v>12.2</v>
      </c>
    </row>
    <row r="551" spans="41:49" x14ac:dyDescent="0.25">
      <c r="AO551" t="s">
        <v>42</v>
      </c>
      <c r="AP551" t="s">
        <v>26</v>
      </c>
      <c r="AQ551">
        <v>2007</v>
      </c>
      <c r="AR551" t="s">
        <v>36</v>
      </c>
      <c r="AS551" t="s">
        <v>306</v>
      </c>
      <c r="AT551" t="s">
        <v>317</v>
      </c>
      <c r="AU551" t="s">
        <v>238</v>
      </c>
      <c r="AV551" t="s">
        <v>308</v>
      </c>
      <c r="AW551">
        <v>2.6</v>
      </c>
    </row>
    <row r="552" spans="41:49" x14ac:dyDescent="0.25">
      <c r="AO552" t="s">
        <v>42</v>
      </c>
      <c r="AP552" t="s">
        <v>26</v>
      </c>
      <c r="AQ552">
        <v>2007</v>
      </c>
      <c r="AR552" t="s">
        <v>36</v>
      </c>
      <c r="AS552" t="s">
        <v>306</v>
      </c>
      <c r="AT552" t="s">
        <v>317</v>
      </c>
      <c r="AU552" t="s">
        <v>238</v>
      </c>
      <c r="AV552" t="s">
        <v>309</v>
      </c>
      <c r="AW552">
        <v>7.7</v>
      </c>
    </row>
    <row r="553" spans="41:49" x14ac:dyDescent="0.25">
      <c r="AO553" t="s">
        <v>42</v>
      </c>
      <c r="AP553" t="s">
        <v>26</v>
      </c>
      <c r="AQ553">
        <v>2007</v>
      </c>
      <c r="AR553" t="s">
        <v>36</v>
      </c>
      <c r="AS553" t="s">
        <v>306</v>
      </c>
      <c r="AT553" t="s">
        <v>317</v>
      </c>
      <c r="AU553" t="s">
        <v>238</v>
      </c>
      <c r="AV553" t="s">
        <v>268</v>
      </c>
      <c r="AW553">
        <v>10.3</v>
      </c>
    </row>
    <row r="554" spans="41:49" x14ac:dyDescent="0.25">
      <c r="AO554" t="s">
        <v>42</v>
      </c>
      <c r="AP554" t="s">
        <v>26</v>
      </c>
      <c r="AQ554">
        <v>2007</v>
      </c>
      <c r="AR554" t="s">
        <v>36</v>
      </c>
      <c r="AS554" t="s">
        <v>306</v>
      </c>
      <c r="AT554" t="s">
        <v>317</v>
      </c>
      <c r="AU554" t="s">
        <v>239</v>
      </c>
      <c r="AV554" t="s">
        <v>308</v>
      </c>
      <c r="AW554">
        <v>2.4</v>
      </c>
    </row>
    <row r="555" spans="41:49" x14ac:dyDescent="0.25">
      <c r="AO555" t="s">
        <v>42</v>
      </c>
      <c r="AP555" t="s">
        <v>26</v>
      </c>
      <c r="AQ555">
        <v>2007</v>
      </c>
      <c r="AR555" t="s">
        <v>36</v>
      </c>
      <c r="AS555" t="s">
        <v>306</v>
      </c>
      <c r="AT555" t="s">
        <v>317</v>
      </c>
      <c r="AU555" t="s">
        <v>239</v>
      </c>
      <c r="AV555" t="s">
        <v>309</v>
      </c>
      <c r="AW555">
        <v>7.8</v>
      </c>
    </row>
    <row r="556" spans="41:49" x14ac:dyDescent="0.25">
      <c r="AO556" t="s">
        <v>42</v>
      </c>
      <c r="AP556" t="s">
        <v>26</v>
      </c>
      <c r="AQ556">
        <v>2007</v>
      </c>
      <c r="AR556" t="s">
        <v>36</v>
      </c>
      <c r="AS556" t="s">
        <v>306</v>
      </c>
      <c r="AT556" t="s">
        <v>317</v>
      </c>
      <c r="AU556" t="s">
        <v>239</v>
      </c>
      <c r="AV556" t="s">
        <v>268</v>
      </c>
      <c r="AW556">
        <v>10.199999999999999</v>
      </c>
    </row>
    <row r="557" spans="41:49" x14ac:dyDescent="0.25">
      <c r="AO557" t="s">
        <v>42</v>
      </c>
      <c r="AP557" t="s">
        <v>26</v>
      </c>
      <c r="AQ557">
        <v>2007</v>
      </c>
      <c r="AR557" t="s">
        <v>36</v>
      </c>
      <c r="AS557" t="s">
        <v>306</v>
      </c>
      <c r="AT557" t="s">
        <v>317</v>
      </c>
      <c r="AU557" t="s">
        <v>240</v>
      </c>
      <c r="AV557" t="s">
        <v>308</v>
      </c>
      <c r="AW557">
        <v>4</v>
      </c>
    </row>
    <row r="558" spans="41:49" x14ac:dyDescent="0.25">
      <c r="AO558" t="s">
        <v>42</v>
      </c>
      <c r="AP558" t="s">
        <v>26</v>
      </c>
      <c r="AQ558">
        <v>2007</v>
      </c>
      <c r="AR558" t="s">
        <v>36</v>
      </c>
      <c r="AS558" t="s">
        <v>306</v>
      </c>
      <c r="AT558" t="s">
        <v>317</v>
      </c>
      <c r="AU558" t="s">
        <v>240</v>
      </c>
      <c r="AV558" t="s">
        <v>309</v>
      </c>
      <c r="AW558">
        <v>7.9</v>
      </c>
    </row>
    <row r="559" spans="41:49" x14ac:dyDescent="0.25">
      <c r="AO559" t="s">
        <v>42</v>
      </c>
      <c r="AP559" t="s">
        <v>26</v>
      </c>
      <c r="AQ559">
        <v>2007</v>
      </c>
      <c r="AR559" t="s">
        <v>36</v>
      </c>
      <c r="AS559" t="s">
        <v>306</v>
      </c>
      <c r="AT559" t="s">
        <v>317</v>
      </c>
      <c r="AU559" t="s">
        <v>240</v>
      </c>
      <c r="AV559" t="s">
        <v>268</v>
      </c>
      <c r="AW559">
        <v>11.9</v>
      </c>
    </row>
    <row r="560" spans="41:49" x14ac:dyDescent="0.25">
      <c r="AO560" t="s">
        <v>42</v>
      </c>
      <c r="AP560" t="s">
        <v>26</v>
      </c>
      <c r="AQ560">
        <v>2007</v>
      </c>
      <c r="AR560" t="s">
        <v>36</v>
      </c>
      <c r="AS560" t="s">
        <v>306</v>
      </c>
      <c r="AT560" t="s">
        <v>317</v>
      </c>
      <c r="AU560" t="s">
        <v>314</v>
      </c>
      <c r="AV560" t="s">
        <v>308</v>
      </c>
      <c r="AW560">
        <v>0</v>
      </c>
    </row>
    <row r="561" spans="41:49" x14ac:dyDescent="0.25">
      <c r="AO561" t="s">
        <v>42</v>
      </c>
      <c r="AP561" t="s">
        <v>26</v>
      </c>
      <c r="AQ561">
        <v>2007</v>
      </c>
      <c r="AR561" t="s">
        <v>36</v>
      </c>
      <c r="AS561" t="s">
        <v>306</v>
      </c>
      <c r="AT561" t="s">
        <v>317</v>
      </c>
      <c r="AU561" t="s">
        <v>314</v>
      </c>
      <c r="AV561" t="s">
        <v>309</v>
      </c>
      <c r="AW561">
        <v>0</v>
      </c>
    </row>
    <row r="562" spans="41:49" x14ac:dyDescent="0.25">
      <c r="AO562" t="s">
        <v>42</v>
      </c>
      <c r="AP562" t="s">
        <v>26</v>
      </c>
      <c r="AQ562">
        <v>2007</v>
      </c>
      <c r="AR562" t="s">
        <v>36</v>
      </c>
      <c r="AS562" t="s">
        <v>306</v>
      </c>
      <c r="AT562" t="s">
        <v>317</v>
      </c>
      <c r="AU562" t="s">
        <v>314</v>
      </c>
      <c r="AV562" t="s">
        <v>268</v>
      </c>
      <c r="AW562">
        <v>0</v>
      </c>
    </row>
    <row r="563" spans="41:49" x14ac:dyDescent="0.25">
      <c r="AO563" t="s">
        <v>42</v>
      </c>
      <c r="AP563" t="s">
        <v>26</v>
      </c>
      <c r="AQ563">
        <v>2007</v>
      </c>
      <c r="AR563" t="s">
        <v>36</v>
      </c>
      <c r="AS563" t="s">
        <v>306</v>
      </c>
      <c r="AT563" t="s">
        <v>317</v>
      </c>
      <c r="AU563" t="s">
        <v>242</v>
      </c>
      <c r="AV563" t="s">
        <v>308</v>
      </c>
      <c r="AW563">
        <v>0</v>
      </c>
    </row>
    <row r="564" spans="41:49" x14ac:dyDescent="0.25">
      <c r="AO564" t="s">
        <v>42</v>
      </c>
      <c r="AP564" t="s">
        <v>26</v>
      </c>
      <c r="AQ564">
        <v>2007</v>
      </c>
      <c r="AR564" t="s">
        <v>36</v>
      </c>
      <c r="AS564" t="s">
        <v>306</v>
      </c>
      <c r="AT564" t="s">
        <v>317</v>
      </c>
      <c r="AU564" t="s">
        <v>242</v>
      </c>
      <c r="AV564" t="s">
        <v>309</v>
      </c>
      <c r="AW564">
        <v>0</v>
      </c>
    </row>
    <row r="565" spans="41:49" x14ac:dyDescent="0.25">
      <c r="AO565" t="s">
        <v>42</v>
      </c>
      <c r="AP565" t="s">
        <v>26</v>
      </c>
      <c r="AQ565">
        <v>2007</v>
      </c>
      <c r="AR565" t="s">
        <v>36</v>
      </c>
      <c r="AS565" t="s">
        <v>306</v>
      </c>
      <c r="AT565" t="s">
        <v>317</v>
      </c>
      <c r="AU565" t="s">
        <v>242</v>
      </c>
      <c r="AV565" t="s">
        <v>268</v>
      </c>
      <c r="AW565">
        <v>0</v>
      </c>
    </row>
    <row r="566" spans="41:49" x14ac:dyDescent="0.25">
      <c r="AO566" t="s">
        <v>42</v>
      </c>
      <c r="AP566" t="s">
        <v>26</v>
      </c>
      <c r="AQ566">
        <v>2007</v>
      </c>
      <c r="AR566" t="s">
        <v>36</v>
      </c>
      <c r="AS566" t="s">
        <v>306</v>
      </c>
      <c r="AT566" t="s">
        <v>317</v>
      </c>
      <c r="AU566" t="s">
        <v>243</v>
      </c>
      <c r="AV566" t="s">
        <v>247</v>
      </c>
      <c r="AW566">
        <v>0</v>
      </c>
    </row>
    <row r="567" spans="41:49" x14ac:dyDescent="0.25">
      <c r="AO567" t="s">
        <v>42</v>
      </c>
      <c r="AP567" t="s">
        <v>26</v>
      </c>
      <c r="AQ567">
        <v>2007</v>
      </c>
      <c r="AR567" t="s">
        <v>36</v>
      </c>
      <c r="AS567" t="s">
        <v>306</v>
      </c>
      <c r="AT567" t="s">
        <v>317</v>
      </c>
      <c r="AU567" t="s">
        <v>243</v>
      </c>
      <c r="AV567" t="s">
        <v>248</v>
      </c>
      <c r="AW567">
        <v>0</v>
      </c>
    </row>
    <row r="568" spans="41:49" x14ac:dyDescent="0.25">
      <c r="AO568" t="s">
        <v>42</v>
      </c>
      <c r="AP568" t="s">
        <v>26</v>
      </c>
      <c r="AQ568">
        <v>2007</v>
      </c>
      <c r="AR568" t="s">
        <v>36</v>
      </c>
      <c r="AS568" t="s">
        <v>306</v>
      </c>
      <c r="AT568" t="s">
        <v>317</v>
      </c>
      <c r="AU568" t="s">
        <v>243</v>
      </c>
      <c r="AV568" t="s">
        <v>312</v>
      </c>
      <c r="AW568">
        <v>44.6</v>
      </c>
    </row>
    <row r="569" spans="41:49" x14ac:dyDescent="0.25">
      <c r="AO569" t="s">
        <v>134</v>
      </c>
      <c r="AP569" t="s">
        <v>26</v>
      </c>
      <c r="AQ569">
        <v>2006</v>
      </c>
      <c r="AR569" t="s">
        <v>36</v>
      </c>
      <c r="AS569" t="s">
        <v>306</v>
      </c>
      <c r="AT569" t="s">
        <v>317</v>
      </c>
      <c r="AU569" t="s">
        <v>218</v>
      </c>
      <c r="AV569" t="s">
        <v>308</v>
      </c>
      <c r="AW569">
        <v>0</v>
      </c>
    </row>
    <row r="570" spans="41:49" x14ac:dyDescent="0.25">
      <c r="AO570" t="s">
        <v>134</v>
      </c>
      <c r="AP570" t="s">
        <v>26</v>
      </c>
      <c r="AQ570">
        <v>2006</v>
      </c>
      <c r="AR570" t="s">
        <v>36</v>
      </c>
      <c r="AS570" t="s">
        <v>306</v>
      </c>
      <c r="AT570" t="s">
        <v>317</v>
      </c>
      <c r="AU570" t="s">
        <v>218</v>
      </c>
      <c r="AV570" t="s">
        <v>309</v>
      </c>
      <c r="AW570">
        <v>0</v>
      </c>
    </row>
    <row r="571" spans="41:49" x14ac:dyDescent="0.25">
      <c r="AO571" t="s">
        <v>134</v>
      </c>
      <c r="AP571" t="s">
        <v>26</v>
      </c>
      <c r="AQ571">
        <v>2006</v>
      </c>
      <c r="AR571" t="s">
        <v>36</v>
      </c>
      <c r="AS571" t="s">
        <v>306</v>
      </c>
      <c r="AT571" t="s">
        <v>317</v>
      </c>
      <c r="AU571" t="s">
        <v>218</v>
      </c>
      <c r="AV571" t="s">
        <v>268</v>
      </c>
      <c r="AW571">
        <v>0</v>
      </c>
    </row>
    <row r="572" spans="41:49" x14ac:dyDescent="0.25">
      <c r="AO572" t="s">
        <v>134</v>
      </c>
      <c r="AP572" t="s">
        <v>26</v>
      </c>
      <c r="AQ572">
        <v>2006</v>
      </c>
      <c r="AR572" t="s">
        <v>36</v>
      </c>
      <c r="AS572" t="s">
        <v>306</v>
      </c>
      <c r="AT572" t="s">
        <v>317</v>
      </c>
      <c r="AU572" t="s">
        <v>238</v>
      </c>
      <c r="AV572" t="s">
        <v>308</v>
      </c>
      <c r="AW572">
        <v>2.6</v>
      </c>
    </row>
    <row r="573" spans="41:49" x14ac:dyDescent="0.25">
      <c r="AO573" t="s">
        <v>134</v>
      </c>
      <c r="AP573" t="s">
        <v>26</v>
      </c>
      <c r="AQ573">
        <v>2006</v>
      </c>
      <c r="AR573" t="s">
        <v>36</v>
      </c>
      <c r="AS573" t="s">
        <v>306</v>
      </c>
      <c r="AT573" t="s">
        <v>317</v>
      </c>
      <c r="AU573" t="s">
        <v>238</v>
      </c>
      <c r="AV573" t="s">
        <v>309</v>
      </c>
      <c r="AW573">
        <v>4.9000000000000004</v>
      </c>
    </row>
    <row r="574" spans="41:49" x14ac:dyDescent="0.25">
      <c r="AO574" t="s">
        <v>134</v>
      </c>
      <c r="AP574" t="s">
        <v>26</v>
      </c>
      <c r="AQ574">
        <v>2006</v>
      </c>
      <c r="AR574" t="s">
        <v>36</v>
      </c>
      <c r="AS574" t="s">
        <v>306</v>
      </c>
      <c r="AT574" t="s">
        <v>317</v>
      </c>
      <c r="AU574" t="s">
        <v>238</v>
      </c>
      <c r="AV574" t="s">
        <v>268</v>
      </c>
      <c r="AW574">
        <v>7.5</v>
      </c>
    </row>
    <row r="575" spans="41:49" x14ac:dyDescent="0.25">
      <c r="AO575" t="s">
        <v>134</v>
      </c>
      <c r="AP575" t="s">
        <v>26</v>
      </c>
      <c r="AQ575">
        <v>2006</v>
      </c>
      <c r="AR575" t="s">
        <v>36</v>
      </c>
      <c r="AS575" t="s">
        <v>306</v>
      </c>
      <c r="AT575" t="s">
        <v>317</v>
      </c>
      <c r="AU575" t="s">
        <v>239</v>
      </c>
      <c r="AV575" t="s">
        <v>308</v>
      </c>
      <c r="AW575">
        <v>0</v>
      </c>
    </row>
    <row r="576" spans="41:49" x14ac:dyDescent="0.25">
      <c r="AO576" t="s">
        <v>134</v>
      </c>
      <c r="AP576" t="s">
        <v>26</v>
      </c>
      <c r="AQ576">
        <v>2006</v>
      </c>
      <c r="AR576" t="s">
        <v>36</v>
      </c>
      <c r="AS576" t="s">
        <v>306</v>
      </c>
      <c r="AT576" t="s">
        <v>317</v>
      </c>
      <c r="AU576" t="s">
        <v>239</v>
      </c>
      <c r="AV576" t="s">
        <v>309</v>
      </c>
      <c r="AW576">
        <v>0</v>
      </c>
    </row>
    <row r="577" spans="41:49" x14ac:dyDescent="0.25">
      <c r="AO577" t="s">
        <v>134</v>
      </c>
      <c r="AP577" t="s">
        <v>26</v>
      </c>
      <c r="AQ577">
        <v>2006</v>
      </c>
      <c r="AR577" t="s">
        <v>36</v>
      </c>
      <c r="AS577" t="s">
        <v>306</v>
      </c>
      <c r="AT577" t="s">
        <v>317</v>
      </c>
      <c r="AU577" t="s">
        <v>239</v>
      </c>
      <c r="AV577" t="s">
        <v>268</v>
      </c>
      <c r="AW577">
        <v>0</v>
      </c>
    </row>
    <row r="578" spans="41:49" x14ac:dyDescent="0.25">
      <c r="AO578" t="s">
        <v>134</v>
      </c>
      <c r="AP578" t="s">
        <v>26</v>
      </c>
      <c r="AQ578">
        <v>2006</v>
      </c>
      <c r="AR578" t="s">
        <v>36</v>
      </c>
      <c r="AS578" t="s">
        <v>306</v>
      </c>
      <c r="AT578" t="s">
        <v>317</v>
      </c>
      <c r="AU578" t="s">
        <v>240</v>
      </c>
      <c r="AV578" t="s">
        <v>308</v>
      </c>
      <c r="AW578">
        <v>2.4</v>
      </c>
    </row>
    <row r="579" spans="41:49" x14ac:dyDescent="0.25">
      <c r="AO579" t="s">
        <v>134</v>
      </c>
      <c r="AP579" t="s">
        <v>26</v>
      </c>
      <c r="AQ579">
        <v>2006</v>
      </c>
      <c r="AR579" t="s">
        <v>36</v>
      </c>
      <c r="AS579" t="s">
        <v>306</v>
      </c>
      <c r="AT579" t="s">
        <v>317</v>
      </c>
      <c r="AU579" t="s">
        <v>240</v>
      </c>
      <c r="AV579" t="s">
        <v>309</v>
      </c>
      <c r="AW579">
        <v>8.8000000000000007</v>
      </c>
    </row>
    <row r="580" spans="41:49" x14ac:dyDescent="0.25">
      <c r="AO580" t="s">
        <v>134</v>
      </c>
      <c r="AP580" t="s">
        <v>26</v>
      </c>
      <c r="AQ580">
        <v>2006</v>
      </c>
      <c r="AR580" t="s">
        <v>36</v>
      </c>
      <c r="AS580" t="s">
        <v>306</v>
      </c>
      <c r="AT580" t="s">
        <v>317</v>
      </c>
      <c r="AU580" t="s">
        <v>240</v>
      </c>
      <c r="AV580" t="s">
        <v>268</v>
      </c>
      <c r="AW580">
        <v>11.2</v>
      </c>
    </row>
    <row r="581" spans="41:49" x14ac:dyDescent="0.25">
      <c r="AO581" t="s">
        <v>134</v>
      </c>
      <c r="AP581" t="s">
        <v>26</v>
      </c>
      <c r="AQ581">
        <v>2006</v>
      </c>
      <c r="AR581" t="s">
        <v>36</v>
      </c>
      <c r="AS581" t="s">
        <v>306</v>
      </c>
      <c r="AT581" t="s">
        <v>317</v>
      </c>
      <c r="AU581" t="s">
        <v>314</v>
      </c>
      <c r="AV581" t="s">
        <v>308</v>
      </c>
      <c r="AW581">
        <v>2.4</v>
      </c>
    </row>
    <row r="582" spans="41:49" x14ac:dyDescent="0.25">
      <c r="AO582" t="s">
        <v>134</v>
      </c>
      <c r="AP582" t="s">
        <v>26</v>
      </c>
      <c r="AQ582">
        <v>2006</v>
      </c>
      <c r="AR582" t="s">
        <v>36</v>
      </c>
      <c r="AS582" t="s">
        <v>306</v>
      </c>
      <c r="AT582" t="s">
        <v>317</v>
      </c>
      <c r="AU582" t="s">
        <v>314</v>
      </c>
      <c r="AV582" t="s">
        <v>309</v>
      </c>
      <c r="AW582">
        <v>8.1</v>
      </c>
    </row>
    <row r="583" spans="41:49" x14ac:dyDescent="0.25">
      <c r="AO583" t="s">
        <v>134</v>
      </c>
      <c r="AP583" t="s">
        <v>26</v>
      </c>
      <c r="AQ583">
        <v>2006</v>
      </c>
      <c r="AR583" t="s">
        <v>36</v>
      </c>
      <c r="AS583" t="s">
        <v>306</v>
      </c>
      <c r="AT583" t="s">
        <v>317</v>
      </c>
      <c r="AU583" t="s">
        <v>314</v>
      </c>
      <c r="AV583" t="s">
        <v>268</v>
      </c>
      <c r="AW583">
        <v>10.5</v>
      </c>
    </row>
    <row r="584" spans="41:49" x14ac:dyDescent="0.25">
      <c r="AO584" t="s">
        <v>134</v>
      </c>
      <c r="AP584" t="s">
        <v>26</v>
      </c>
      <c r="AQ584">
        <v>2006</v>
      </c>
      <c r="AR584" t="s">
        <v>36</v>
      </c>
      <c r="AS584" t="s">
        <v>306</v>
      </c>
      <c r="AT584" t="s">
        <v>317</v>
      </c>
      <c r="AU584" t="s">
        <v>242</v>
      </c>
      <c r="AV584" t="s">
        <v>308</v>
      </c>
      <c r="AW584">
        <v>1.8</v>
      </c>
    </row>
    <row r="585" spans="41:49" x14ac:dyDescent="0.25">
      <c r="AO585" t="s">
        <v>134</v>
      </c>
      <c r="AP585" t="s">
        <v>26</v>
      </c>
      <c r="AQ585">
        <v>2006</v>
      </c>
      <c r="AR585" t="s">
        <v>36</v>
      </c>
      <c r="AS585" t="s">
        <v>306</v>
      </c>
      <c r="AT585" t="s">
        <v>317</v>
      </c>
      <c r="AU585" t="s">
        <v>242</v>
      </c>
      <c r="AV585" t="s">
        <v>309</v>
      </c>
      <c r="AW585">
        <v>8</v>
      </c>
    </row>
    <row r="586" spans="41:49" x14ac:dyDescent="0.25">
      <c r="AO586" t="s">
        <v>134</v>
      </c>
      <c r="AP586" t="s">
        <v>26</v>
      </c>
      <c r="AQ586">
        <v>2006</v>
      </c>
      <c r="AR586" t="s">
        <v>36</v>
      </c>
      <c r="AS586" t="s">
        <v>306</v>
      </c>
      <c r="AT586" t="s">
        <v>317</v>
      </c>
      <c r="AU586" t="s">
        <v>242</v>
      </c>
      <c r="AV586" t="s">
        <v>268</v>
      </c>
      <c r="AW586">
        <v>9.8000000000000007</v>
      </c>
    </row>
    <row r="587" spans="41:49" x14ac:dyDescent="0.25">
      <c r="AO587" t="s">
        <v>134</v>
      </c>
      <c r="AP587" t="s">
        <v>26</v>
      </c>
      <c r="AQ587">
        <v>2006</v>
      </c>
      <c r="AR587" t="s">
        <v>36</v>
      </c>
      <c r="AS587" t="s">
        <v>306</v>
      </c>
      <c r="AT587" t="s">
        <v>317</v>
      </c>
      <c r="AU587" t="s">
        <v>243</v>
      </c>
      <c r="AV587" t="s">
        <v>247</v>
      </c>
      <c r="AW587">
        <v>0</v>
      </c>
    </row>
    <row r="588" spans="41:49" x14ac:dyDescent="0.25">
      <c r="AO588" t="s">
        <v>134</v>
      </c>
      <c r="AP588" t="s">
        <v>26</v>
      </c>
      <c r="AQ588">
        <v>2006</v>
      </c>
      <c r="AR588" t="s">
        <v>36</v>
      </c>
      <c r="AS588" t="s">
        <v>306</v>
      </c>
      <c r="AT588" t="s">
        <v>317</v>
      </c>
      <c r="AU588" t="s">
        <v>243</v>
      </c>
      <c r="AV588" t="s">
        <v>248</v>
      </c>
      <c r="AW588">
        <v>0</v>
      </c>
    </row>
    <row r="589" spans="41:49" x14ac:dyDescent="0.25">
      <c r="AO589" t="s">
        <v>134</v>
      </c>
      <c r="AP589" t="s">
        <v>26</v>
      </c>
      <c r="AQ589">
        <v>2006</v>
      </c>
      <c r="AR589" t="s">
        <v>36</v>
      </c>
      <c r="AS589" t="s">
        <v>306</v>
      </c>
      <c r="AT589" t="s">
        <v>317</v>
      </c>
      <c r="AU589" t="s">
        <v>243</v>
      </c>
      <c r="AV589" t="s">
        <v>312</v>
      </c>
      <c r="AW589">
        <v>39</v>
      </c>
    </row>
    <row r="590" spans="41:49" x14ac:dyDescent="0.25">
      <c r="AO590" t="s">
        <v>135</v>
      </c>
      <c r="AP590" t="s">
        <v>26</v>
      </c>
      <c r="AQ590">
        <v>2007</v>
      </c>
      <c r="AR590" t="s">
        <v>124</v>
      </c>
      <c r="AS590" t="s">
        <v>305</v>
      </c>
      <c r="AT590" t="s">
        <v>317</v>
      </c>
      <c r="AU590" t="s">
        <v>218</v>
      </c>
      <c r="AV590" t="s">
        <v>308</v>
      </c>
      <c r="AW590">
        <v>2.9</v>
      </c>
    </row>
    <row r="591" spans="41:49" x14ac:dyDescent="0.25">
      <c r="AO591" t="s">
        <v>135</v>
      </c>
      <c r="AP591" t="s">
        <v>26</v>
      </c>
      <c r="AQ591">
        <v>2007</v>
      </c>
      <c r="AR591" t="s">
        <v>124</v>
      </c>
      <c r="AS591" t="s">
        <v>305</v>
      </c>
      <c r="AT591" t="s">
        <v>317</v>
      </c>
      <c r="AU591" t="s">
        <v>218</v>
      </c>
      <c r="AV591" t="s">
        <v>309</v>
      </c>
      <c r="AW591">
        <v>7.8</v>
      </c>
    </row>
    <row r="592" spans="41:49" x14ac:dyDescent="0.25">
      <c r="AO592" t="s">
        <v>135</v>
      </c>
      <c r="AP592" t="s">
        <v>26</v>
      </c>
      <c r="AQ592">
        <v>2007</v>
      </c>
      <c r="AR592" t="s">
        <v>124</v>
      </c>
      <c r="AS592" t="s">
        <v>305</v>
      </c>
      <c r="AT592" t="s">
        <v>317</v>
      </c>
      <c r="AU592" t="s">
        <v>218</v>
      </c>
      <c r="AV592" t="s">
        <v>268</v>
      </c>
      <c r="AW592">
        <v>10.7</v>
      </c>
    </row>
    <row r="593" spans="41:49" x14ac:dyDescent="0.25">
      <c r="AO593" t="s">
        <v>135</v>
      </c>
      <c r="AP593" t="s">
        <v>26</v>
      </c>
      <c r="AQ593">
        <v>2007</v>
      </c>
      <c r="AR593" t="s">
        <v>124</v>
      </c>
      <c r="AS593" t="s">
        <v>305</v>
      </c>
      <c r="AT593" t="s">
        <v>317</v>
      </c>
      <c r="AU593" t="s">
        <v>238</v>
      </c>
      <c r="AV593" t="s">
        <v>308</v>
      </c>
      <c r="AW593">
        <v>1.3</v>
      </c>
    </row>
    <row r="594" spans="41:49" x14ac:dyDescent="0.25">
      <c r="AO594" t="s">
        <v>135</v>
      </c>
      <c r="AP594" t="s">
        <v>26</v>
      </c>
      <c r="AQ594">
        <v>2007</v>
      </c>
      <c r="AR594" t="s">
        <v>124</v>
      </c>
      <c r="AS594" t="s">
        <v>305</v>
      </c>
      <c r="AT594" t="s">
        <v>317</v>
      </c>
      <c r="AU594" t="s">
        <v>238</v>
      </c>
      <c r="AV594" t="s">
        <v>309</v>
      </c>
      <c r="AW594">
        <v>0</v>
      </c>
    </row>
    <row r="595" spans="41:49" x14ac:dyDescent="0.25">
      <c r="AO595" t="s">
        <v>135</v>
      </c>
      <c r="AP595" t="s">
        <v>26</v>
      </c>
      <c r="AQ595">
        <v>2007</v>
      </c>
      <c r="AR595" t="s">
        <v>124</v>
      </c>
      <c r="AS595" t="s">
        <v>305</v>
      </c>
      <c r="AT595" t="s">
        <v>317</v>
      </c>
      <c r="AU595" t="s">
        <v>238</v>
      </c>
      <c r="AV595" t="s">
        <v>268</v>
      </c>
      <c r="AW595">
        <v>1.3</v>
      </c>
    </row>
    <row r="596" spans="41:49" x14ac:dyDescent="0.25">
      <c r="AO596" t="s">
        <v>135</v>
      </c>
      <c r="AP596" t="s">
        <v>26</v>
      </c>
      <c r="AQ596">
        <v>2007</v>
      </c>
      <c r="AR596" t="s">
        <v>124</v>
      </c>
      <c r="AS596" t="s">
        <v>305</v>
      </c>
      <c r="AT596" t="s">
        <v>317</v>
      </c>
      <c r="AU596" t="s">
        <v>239</v>
      </c>
      <c r="AV596" t="s">
        <v>308</v>
      </c>
      <c r="AW596">
        <v>2.1</v>
      </c>
    </row>
    <row r="597" spans="41:49" x14ac:dyDescent="0.25">
      <c r="AO597" t="s">
        <v>135</v>
      </c>
      <c r="AP597" t="s">
        <v>26</v>
      </c>
      <c r="AQ597">
        <v>2007</v>
      </c>
      <c r="AR597" t="s">
        <v>124</v>
      </c>
      <c r="AS597" t="s">
        <v>305</v>
      </c>
      <c r="AT597" t="s">
        <v>317</v>
      </c>
      <c r="AU597" t="s">
        <v>239</v>
      </c>
      <c r="AV597" t="s">
        <v>309</v>
      </c>
      <c r="AW597">
        <v>5.2</v>
      </c>
    </row>
    <row r="598" spans="41:49" x14ac:dyDescent="0.25">
      <c r="AO598" t="s">
        <v>135</v>
      </c>
      <c r="AP598" t="s">
        <v>26</v>
      </c>
      <c r="AQ598">
        <v>2007</v>
      </c>
      <c r="AR598" t="s">
        <v>124</v>
      </c>
      <c r="AS598" t="s">
        <v>305</v>
      </c>
      <c r="AT598" t="s">
        <v>317</v>
      </c>
      <c r="AU598" t="s">
        <v>239</v>
      </c>
      <c r="AV598" t="s">
        <v>268</v>
      </c>
      <c r="AW598">
        <v>7.3</v>
      </c>
    </row>
    <row r="599" spans="41:49" x14ac:dyDescent="0.25">
      <c r="AO599" t="s">
        <v>135</v>
      </c>
      <c r="AP599" t="s">
        <v>26</v>
      </c>
      <c r="AQ599">
        <v>2007</v>
      </c>
      <c r="AR599" t="s">
        <v>124</v>
      </c>
      <c r="AS599" t="s">
        <v>305</v>
      </c>
      <c r="AT599" t="s">
        <v>317</v>
      </c>
      <c r="AU599" t="s">
        <v>240</v>
      </c>
      <c r="AV599" t="s">
        <v>308</v>
      </c>
      <c r="AW599">
        <v>2.4</v>
      </c>
    </row>
    <row r="600" spans="41:49" x14ac:dyDescent="0.25">
      <c r="AO600" t="s">
        <v>135</v>
      </c>
      <c r="AP600" t="s">
        <v>26</v>
      </c>
      <c r="AQ600">
        <v>2007</v>
      </c>
      <c r="AR600" t="s">
        <v>124</v>
      </c>
      <c r="AS600" t="s">
        <v>305</v>
      </c>
      <c r="AT600" t="s">
        <v>317</v>
      </c>
      <c r="AU600" t="s">
        <v>240</v>
      </c>
      <c r="AV600" t="s">
        <v>309</v>
      </c>
      <c r="AW600">
        <v>7.5</v>
      </c>
    </row>
    <row r="601" spans="41:49" x14ac:dyDescent="0.25">
      <c r="AO601" t="s">
        <v>135</v>
      </c>
      <c r="AP601" t="s">
        <v>26</v>
      </c>
      <c r="AQ601">
        <v>2007</v>
      </c>
      <c r="AR601" t="s">
        <v>124</v>
      </c>
      <c r="AS601" t="s">
        <v>305</v>
      </c>
      <c r="AT601" t="s">
        <v>317</v>
      </c>
      <c r="AU601" t="s">
        <v>240</v>
      </c>
      <c r="AV601" t="s">
        <v>268</v>
      </c>
      <c r="AW601">
        <v>9.9</v>
      </c>
    </row>
    <row r="602" spans="41:49" x14ac:dyDescent="0.25">
      <c r="AO602" t="s">
        <v>135</v>
      </c>
      <c r="AP602" t="s">
        <v>26</v>
      </c>
      <c r="AQ602">
        <v>2007</v>
      </c>
      <c r="AR602" t="s">
        <v>124</v>
      </c>
      <c r="AS602" t="s">
        <v>305</v>
      </c>
      <c r="AT602" t="s">
        <v>317</v>
      </c>
      <c r="AU602" t="s">
        <v>314</v>
      </c>
      <c r="AV602" t="s">
        <v>308</v>
      </c>
      <c r="AW602">
        <v>1.4</v>
      </c>
    </row>
    <row r="603" spans="41:49" x14ac:dyDescent="0.25">
      <c r="AO603" t="s">
        <v>135</v>
      </c>
      <c r="AP603" t="s">
        <v>26</v>
      </c>
      <c r="AQ603">
        <v>2007</v>
      </c>
      <c r="AR603" t="s">
        <v>124</v>
      </c>
      <c r="AS603" t="s">
        <v>305</v>
      </c>
      <c r="AT603" t="s">
        <v>317</v>
      </c>
      <c r="AU603" t="s">
        <v>314</v>
      </c>
      <c r="AV603" t="s">
        <v>309</v>
      </c>
      <c r="AW603">
        <v>1.7</v>
      </c>
    </row>
    <row r="604" spans="41:49" x14ac:dyDescent="0.25">
      <c r="AO604" t="s">
        <v>135</v>
      </c>
      <c r="AP604" t="s">
        <v>26</v>
      </c>
      <c r="AQ604">
        <v>2007</v>
      </c>
      <c r="AR604" t="s">
        <v>124</v>
      </c>
      <c r="AS604" t="s">
        <v>305</v>
      </c>
      <c r="AT604" t="s">
        <v>317</v>
      </c>
      <c r="AU604" t="s">
        <v>314</v>
      </c>
      <c r="AV604" t="s">
        <v>268</v>
      </c>
      <c r="AW604">
        <v>3.1</v>
      </c>
    </row>
    <row r="605" spans="41:49" x14ac:dyDescent="0.25">
      <c r="AO605" t="s">
        <v>135</v>
      </c>
      <c r="AP605" t="s">
        <v>26</v>
      </c>
      <c r="AQ605">
        <v>2007</v>
      </c>
      <c r="AR605" t="s">
        <v>124</v>
      </c>
      <c r="AS605" t="s">
        <v>305</v>
      </c>
      <c r="AT605" t="s">
        <v>317</v>
      </c>
      <c r="AU605" t="s">
        <v>242</v>
      </c>
      <c r="AV605" t="s">
        <v>308</v>
      </c>
      <c r="AW605">
        <v>1.5</v>
      </c>
    </row>
    <row r="606" spans="41:49" x14ac:dyDescent="0.25">
      <c r="AO606" t="s">
        <v>135</v>
      </c>
      <c r="AP606" t="s">
        <v>26</v>
      </c>
      <c r="AQ606">
        <v>2007</v>
      </c>
      <c r="AR606" t="s">
        <v>124</v>
      </c>
      <c r="AS606" t="s">
        <v>305</v>
      </c>
      <c r="AT606" t="s">
        <v>317</v>
      </c>
      <c r="AU606" t="s">
        <v>242</v>
      </c>
      <c r="AV606" t="s">
        <v>309</v>
      </c>
      <c r="AW606">
        <v>5</v>
      </c>
    </row>
    <row r="607" spans="41:49" x14ac:dyDescent="0.25">
      <c r="AO607" t="s">
        <v>135</v>
      </c>
      <c r="AP607" t="s">
        <v>26</v>
      </c>
      <c r="AQ607">
        <v>2007</v>
      </c>
      <c r="AR607" t="s">
        <v>124</v>
      </c>
      <c r="AS607" t="s">
        <v>305</v>
      </c>
      <c r="AT607" t="s">
        <v>317</v>
      </c>
      <c r="AU607" t="s">
        <v>242</v>
      </c>
      <c r="AV607" t="s">
        <v>268</v>
      </c>
      <c r="AW607">
        <v>6.5</v>
      </c>
    </row>
    <row r="608" spans="41:49" x14ac:dyDescent="0.25">
      <c r="AO608" t="s">
        <v>135</v>
      </c>
      <c r="AP608" t="s">
        <v>26</v>
      </c>
      <c r="AQ608">
        <v>2007</v>
      </c>
      <c r="AR608" t="s">
        <v>124</v>
      </c>
      <c r="AS608" t="s">
        <v>305</v>
      </c>
      <c r="AT608" t="s">
        <v>317</v>
      </c>
      <c r="AU608" t="s">
        <v>243</v>
      </c>
      <c r="AV608" t="s">
        <v>247</v>
      </c>
      <c r="AW608">
        <v>11.600000000000001</v>
      </c>
    </row>
    <row r="609" spans="41:49" x14ac:dyDescent="0.25">
      <c r="AO609" t="s">
        <v>135</v>
      </c>
      <c r="AP609" t="s">
        <v>26</v>
      </c>
      <c r="AQ609">
        <v>2007</v>
      </c>
      <c r="AR609" t="s">
        <v>124</v>
      </c>
      <c r="AS609" t="s">
        <v>305</v>
      </c>
      <c r="AT609" t="s">
        <v>317</v>
      </c>
      <c r="AU609" t="s">
        <v>243</v>
      </c>
      <c r="AV609" t="s">
        <v>248</v>
      </c>
      <c r="AW609">
        <v>27.2</v>
      </c>
    </row>
    <row r="610" spans="41:49" x14ac:dyDescent="0.25">
      <c r="AO610" t="s">
        <v>135</v>
      </c>
      <c r="AP610" t="s">
        <v>26</v>
      </c>
      <c r="AQ610">
        <v>2007</v>
      </c>
      <c r="AR610" t="s">
        <v>124</v>
      </c>
      <c r="AS610" t="s">
        <v>305</v>
      </c>
      <c r="AT610" t="s">
        <v>317</v>
      </c>
      <c r="AU610" t="s">
        <v>243</v>
      </c>
      <c r="AV610" t="s">
        <v>312</v>
      </c>
      <c r="AW610">
        <v>38.800000000000004</v>
      </c>
    </row>
    <row r="611" spans="41:49" x14ac:dyDescent="0.25">
      <c r="AO611" t="s">
        <v>137</v>
      </c>
      <c r="AP611" t="s">
        <v>26</v>
      </c>
      <c r="AQ611">
        <v>2007</v>
      </c>
      <c r="AR611" t="s">
        <v>124</v>
      </c>
      <c r="AS611" t="s">
        <v>305</v>
      </c>
      <c r="AT611" t="s">
        <v>317</v>
      </c>
      <c r="AU611" t="s">
        <v>218</v>
      </c>
      <c r="AV611" t="s">
        <v>308</v>
      </c>
      <c r="AW611">
        <v>2.5</v>
      </c>
    </row>
    <row r="612" spans="41:49" x14ac:dyDescent="0.25">
      <c r="AO612" t="s">
        <v>137</v>
      </c>
      <c r="AP612" t="s">
        <v>26</v>
      </c>
      <c r="AQ612">
        <v>2007</v>
      </c>
      <c r="AR612" t="s">
        <v>124</v>
      </c>
      <c r="AS612" t="s">
        <v>305</v>
      </c>
      <c r="AT612" t="s">
        <v>317</v>
      </c>
      <c r="AU612" t="s">
        <v>218</v>
      </c>
      <c r="AV612" t="s">
        <v>309</v>
      </c>
      <c r="AW612">
        <v>8.3000000000000007</v>
      </c>
    </row>
    <row r="613" spans="41:49" x14ac:dyDescent="0.25">
      <c r="AO613" t="s">
        <v>137</v>
      </c>
      <c r="AP613" t="s">
        <v>26</v>
      </c>
      <c r="AQ613">
        <v>2007</v>
      </c>
      <c r="AR613" t="s">
        <v>124</v>
      </c>
      <c r="AS613" t="s">
        <v>305</v>
      </c>
      <c r="AT613" t="s">
        <v>317</v>
      </c>
      <c r="AU613" t="s">
        <v>218</v>
      </c>
      <c r="AV613" t="s">
        <v>268</v>
      </c>
      <c r="AW613">
        <v>10.8</v>
      </c>
    </row>
    <row r="614" spans="41:49" x14ac:dyDescent="0.25">
      <c r="AO614" t="s">
        <v>137</v>
      </c>
      <c r="AP614" t="s">
        <v>26</v>
      </c>
      <c r="AQ614">
        <v>2007</v>
      </c>
      <c r="AR614" t="s">
        <v>124</v>
      </c>
      <c r="AS614" t="s">
        <v>305</v>
      </c>
      <c r="AT614" t="s">
        <v>317</v>
      </c>
      <c r="AU614" t="s">
        <v>238</v>
      </c>
      <c r="AV614" t="s">
        <v>308</v>
      </c>
      <c r="AW614">
        <v>0.6</v>
      </c>
    </row>
    <row r="615" spans="41:49" x14ac:dyDescent="0.25">
      <c r="AO615" t="s">
        <v>137</v>
      </c>
      <c r="AP615" t="s">
        <v>26</v>
      </c>
      <c r="AQ615">
        <v>2007</v>
      </c>
      <c r="AR615" t="s">
        <v>124</v>
      </c>
      <c r="AS615" t="s">
        <v>305</v>
      </c>
      <c r="AT615" t="s">
        <v>317</v>
      </c>
      <c r="AU615" t="s">
        <v>238</v>
      </c>
      <c r="AV615" t="s">
        <v>309</v>
      </c>
      <c r="AW615">
        <v>0</v>
      </c>
    </row>
    <row r="616" spans="41:49" x14ac:dyDescent="0.25">
      <c r="AO616" t="s">
        <v>137</v>
      </c>
      <c r="AP616" t="s">
        <v>26</v>
      </c>
      <c r="AQ616">
        <v>2007</v>
      </c>
      <c r="AR616" t="s">
        <v>124</v>
      </c>
      <c r="AS616" t="s">
        <v>305</v>
      </c>
      <c r="AT616" t="s">
        <v>317</v>
      </c>
      <c r="AU616" t="s">
        <v>238</v>
      </c>
      <c r="AV616" t="s">
        <v>268</v>
      </c>
      <c r="AW616">
        <v>0.6</v>
      </c>
    </row>
    <row r="617" spans="41:49" x14ac:dyDescent="0.25">
      <c r="AO617" t="s">
        <v>137</v>
      </c>
      <c r="AP617" t="s">
        <v>26</v>
      </c>
      <c r="AQ617">
        <v>2007</v>
      </c>
      <c r="AR617" t="s">
        <v>124</v>
      </c>
      <c r="AS617" t="s">
        <v>305</v>
      </c>
      <c r="AT617" t="s">
        <v>317</v>
      </c>
      <c r="AU617" t="s">
        <v>239</v>
      </c>
      <c r="AV617" t="s">
        <v>308</v>
      </c>
      <c r="AW617">
        <v>1.5</v>
      </c>
    </row>
    <row r="618" spans="41:49" x14ac:dyDescent="0.25">
      <c r="AO618" t="s">
        <v>137</v>
      </c>
      <c r="AP618" t="s">
        <v>26</v>
      </c>
      <c r="AQ618">
        <v>2007</v>
      </c>
      <c r="AR618" t="s">
        <v>124</v>
      </c>
      <c r="AS618" t="s">
        <v>305</v>
      </c>
      <c r="AT618" t="s">
        <v>317</v>
      </c>
      <c r="AU618" t="s">
        <v>239</v>
      </c>
      <c r="AV618" t="s">
        <v>309</v>
      </c>
      <c r="AW618">
        <v>3.3</v>
      </c>
    </row>
    <row r="619" spans="41:49" x14ac:dyDescent="0.25">
      <c r="AO619" t="s">
        <v>137</v>
      </c>
      <c r="AP619" t="s">
        <v>26</v>
      </c>
      <c r="AQ619">
        <v>2007</v>
      </c>
      <c r="AR619" t="s">
        <v>124</v>
      </c>
      <c r="AS619" t="s">
        <v>305</v>
      </c>
      <c r="AT619" t="s">
        <v>317</v>
      </c>
      <c r="AU619" t="s">
        <v>239</v>
      </c>
      <c r="AV619" t="s">
        <v>268</v>
      </c>
      <c r="AW619">
        <v>4.8</v>
      </c>
    </row>
    <row r="620" spans="41:49" x14ac:dyDescent="0.25">
      <c r="AO620" t="s">
        <v>137</v>
      </c>
      <c r="AP620" t="s">
        <v>26</v>
      </c>
      <c r="AQ620">
        <v>2007</v>
      </c>
      <c r="AR620" t="s">
        <v>124</v>
      </c>
      <c r="AS620" t="s">
        <v>305</v>
      </c>
      <c r="AT620" t="s">
        <v>317</v>
      </c>
      <c r="AU620" t="s">
        <v>240</v>
      </c>
      <c r="AV620" t="s">
        <v>308</v>
      </c>
      <c r="AW620">
        <v>1.6</v>
      </c>
    </row>
    <row r="621" spans="41:49" x14ac:dyDescent="0.25">
      <c r="AO621" t="s">
        <v>137</v>
      </c>
      <c r="AP621" t="s">
        <v>26</v>
      </c>
      <c r="AQ621">
        <v>2007</v>
      </c>
      <c r="AR621" t="s">
        <v>124</v>
      </c>
      <c r="AS621" t="s">
        <v>305</v>
      </c>
      <c r="AT621" t="s">
        <v>317</v>
      </c>
      <c r="AU621" t="s">
        <v>240</v>
      </c>
      <c r="AV621" t="s">
        <v>309</v>
      </c>
      <c r="AW621">
        <v>9</v>
      </c>
    </row>
    <row r="622" spans="41:49" x14ac:dyDescent="0.25">
      <c r="AO622" t="s">
        <v>137</v>
      </c>
      <c r="AP622" t="s">
        <v>26</v>
      </c>
      <c r="AQ622">
        <v>2007</v>
      </c>
      <c r="AR622" t="s">
        <v>124</v>
      </c>
      <c r="AS622" t="s">
        <v>305</v>
      </c>
      <c r="AT622" t="s">
        <v>317</v>
      </c>
      <c r="AU622" t="s">
        <v>240</v>
      </c>
      <c r="AV622" t="s">
        <v>268</v>
      </c>
      <c r="AW622">
        <v>10.6</v>
      </c>
    </row>
    <row r="623" spans="41:49" x14ac:dyDescent="0.25">
      <c r="AO623" t="s">
        <v>137</v>
      </c>
      <c r="AP623" t="s">
        <v>26</v>
      </c>
      <c r="AQ623">
        <v>2007</v>
      </c>
      <c r="AR623" t="s">
        <v>124</v>
      </c>
      <c r="AS623" t="s">
        <v>305</v>
      </c>
      <c r="AT623" t="s">
        <v>317</v>
      </c>
      <c r="AU623" t="s">
        <v>314</v>
      </c>
      <c r="AV623" t="s">
        <v>308</v>
      </c>
      <c r="AW623">
        <v>1.9</v>
      </c>
    </row>
    <row r="624" spans="41:49" x14ac:dyDescent="0.25">
      <c r="AO624" t="s">
        <v>137</v>
      </c>
      <c r="AP624" t="s">
        <v>26</v>
      </c>
      <c r="AQ624">
        <v>2007</v>
      </c>
      <c r="AR624" t="s">
        <v>124</v>
      </c>
      <c r="AS624" t="s">
        <v>305</v>
      </c>
      <c r="AT624" t="s">
        <v>317</v>
      </c>
      <c r="AU624" t="s">
        <v>314</v>
      </c>
      <c r="AV624" t="s">
        <v>309</v>
      </c>
      <c r="AW624">
        <v>2.85</v>
      </c>
    </row>
    <row r="625" spans="41:49" x14ac:dyDescent="0.25">
      <c r="AO625" t="s">
        <v>137</v>
      </c>
      <c r="AP625" t="s">
        <v>26</v>
      </c>
      <c r="AQ625">
        <v>2007</v>
      </c>
      <c r="AR625" t="s">
        <v>124</v>
      </c>
      <c r="AS625" t="s">
        <v>305</v>
      </c>
      <c r="AT625" t="s">
        <v>317</v>
      </c>
      <c r="AU625" t="s">
        <v>314</v>
      </c>
      <c r="AV625" t="s">
        <v>268</v>
      </c>
      <c r="AW625">
        <v>4.75</v>
      </c>
    </row>
    <row r="626" spans="41:49" x14ac:dyDescent="0.25">
      <c r="AO626" t="s">
        <v>137</v>
      </c>
      <c r="AP626" t="s">
        <v>26</v>
      </c>
      <c r="AQ626">
        <v>2007</v>
      </c>
      <c r="AR626" t="s">
        <v>124</v>
      </c>
      <c r="AS626" t="s">
        <v>305</v>
      </c>
      <c r="AT626" t="s">
        <v>317</v>
      </c>
      <c r="AU626" t="s">
        <v>242</v>
      </c>
      <c r="AV626" t="s">
        <v>308</v>
      </c>
      <c r="AW626">
        <v>0.1</v>
      </c>
    </row>
    <row r="627" spans="41:49" x14ac:dyDescent="0.25">
      <c r="AO627" t="s">
        <v>137</v>
      </c>
      <c r="AP627" t="s">
        <v>26</v>
      </c>
      <c r="AQ627">
        <v>2007</v>
      </c>
      <c r="AR627" t="s">
        <v>124</v>
      </c>
      <c r="AS627" t="s">
        <v>305</v>
      </c>
      <c r="AT627" t="s">
        <v>317</v>
      </c>
      <c r="AU627" t="s">
        <v>242</v>
      </c>
      <c r="AV627" t="s">
        <v>309</v>
      </c>
      <c r="AW627">
        <v>1</v>
      </c>
    </row>
    <row r="628" spans="41:49" x14ac:dyDescent="0.25">
      <c r="AO628" t="s">
        <v>137</v>
      </c>
      <c r="AP628" t="s">
        <v>26</v>
      </c>
      <c r="AQ628">
        <v>2007</v>
      </c>
      <c r="AR628" t="s">
        <v>124</v>
      </c>
      <c r="AS628" t="s">
        <v>305</v>
      </c>
      <c r="AT628" t="s">
        <v>317</v>
      </c>
      <c r="AU628" t="s">
        <v>242</v>
      </c>
      <c r="AV628" t="s">
        <v>268</v>
      </c>
      <c r="AW628">
        <v>1.1000000000000001</v>
      </c>
    </row>
    <row r="629" spans="41:49" x14ac:dyDescent="0.25">
      <c r="AO629" t="s">
        <v>137</v>
      </c>
      <c r="AP629" t="s">
        <v>26</v>
      </c>
      <c r="AQ629">
        <v>2007</v>
      </c>
      <c r="AR629" t="s">
        <v>124</v>
      </c>
      <c r="AS629" t="s">
        <v>305</v>
      </c>
      <c r="AT629" t="s">
        <v>317</v>
      </c>
      <c r="AU629" t="s">
        <v>243</v>
      </c>
      <c r="AV629" t="s">
        <v>247</v>
      </c>
      <c r="AW629">
        <v>8.1999999999999993</v>
      </c>
    </row>
    <row r="630" spans="41:49" x14ac:dyDescent="0.25">
      <c r="AO630" t="s">
        <v>137</v>
      </c>
      <c r="AP630" t="s">
        <v>26</v>
      </c>
      <c r="AQ630">
        <v>2007</v>
      </c>
      <c r="AR630" t="s">
        <v>124</v>
      </c>
      <c r="AS630" t="s">
        <v>305</v>
      </c>
      <c r="AT630" t="s">
        <v>317</v>
      </c>
      <c r="AU630" t="s">
        <v>243</v>
      </c>
      <c r="AV630" t="s">
        <v>248</v>
      </c>
      <c r="AW630">
        <v>24.450000000000003</v>
      </c>
    </row>
    <row r="631" spans="41:49" x14ac:dyDescent="0.25">
      <c r="AO631" t="s">
        <v>137</v>
      </c>
      <c r="AP631" t="s">
        <v>26</v>
      </c>
      <c r="AQ631">
        <v>2007</v>
      </c>
      <c r="AR631" t="s">
        <v>124</v>
      </c>
      <c r="AS631" t="s">
        <v>305</v>
      </c>
      <c r="AT631" t="s">
        <v>317</v>
      </c>
      <c r="AU631" t="s">
        <v>243</v>
      </c>
      <c r="AV631" t="s">
        <v>312</v>
      </c>
      <c r="AW631">
        <v>32.65</v>
      </c>
    </row>
    <row r="632" spans="41:49" x14ac:dyDescent="0.25">
      <c r="AO632" t="s">
        <v>139</v>
      </c>
      <c r="AP632" t="s">
        <v>26</v>
      </c>
      <c r="AQ632">
        <v>2008</v>
      </c>
      <c r="AR632" t="s">
        <v>124</v>
      </c>
      <c r="AS632" t="s">
        <v>306</v>
      </c>
      <c r="AT632" t="s">
        <v>317</v>
      </c>
      <c r="AU632" t="s">
        <v>218</v>
      </c>
      <c r="AV632" t="s">
        <v>308</v>
      </c>
      <c r="AW632">
        <v>3</v>
      </c>
    </row>
    <row r="633" spans="41:49" x14ac:dyDescent="0.25">
      <c r="AO633" t="s">
        <v>139</v>
      </c>
      <c r="AP633" t="s">
        <v>26</v>
      </c>
      <c r="AQ633">
        <v>2008</v>
      </c>
      <c r="AR633" t="s">
        <v>124</v>
      </c>
      <c r="AS633" t="s">
        <v>306</v>
      </c>
      <c r="AT633" t="s">
        <v>317</v>
      </c>
      <c r="AU633" t="s">
        <v>218</v>
      </c>
      <c r="AV633" t="s">
        <v>309</v>
      </c>
      <c r="AW633">
        <v>8.1999999999999993</v>
      </c>
    </row>
    <row r="634" spans="41:49" x14ac:dyDescent="0.25">
      <c r="AO634" t="s">
        <v>139</v>
      </c>
      <c r="AP634" t="s">
        <v>26</v>
      </c>
      <c r="AQ634">
        <v>2008</v>
      </c>
      <c r="AR634" t="s">
        <v>124</v>
      </c>
      <c r="AS634" t="s">
        <v>306</v>
      </c>
      <c r="AT634" t="s">
        <v>317</v>
      </c>
      <c r="AU634" t="s">
        <v>218</v>
      </c>
      <c r="AV634" t="s">
        <v>268</v>
      </c>
      <c r="AW634">
        <v>11.2</v>
      </c>
    </row>
    <row r="635" spans="41:49" x14ac:dyDescent="0.25">
      <c r="AO635" t="s">
        <v>139</v>
      </c>
      <c r="AP635" t="s">
        <v>26</v>
      </c>
      <c r="AQ635">
        <v>2008</v>
      </c>
      <c r="AR635" t="s">
        <v>124</v>
      </c>
      <c r="AS635" t="s">
        <v>306</v>
      </c>
      <c r="AT635" t="s">
        <v>317</v>
      </c>
      <c r="AU635" t="s">
        <v>238</v>
      </c>
      <c r="AV635" t="s">
        <v>308</v>
      </c>
      <c r="AW635">
        <v>1.5</v>
      </c>
    </row>
    <row r="636" spans="41:49" x14ac:dyDescent="0.25">
      <c r="AO636" t="s">
        <v>139</v>
      </c>
      <c r="AP636" t="s">
        <v>26</v>
      </c>
      <c r="AQ636">
        <v>2008</v>
      </c>
      <c r="AR636" t="s">
        <v>124</v>
      </c>
      <c r="AS636" t="s">
        <v>306</v>
      </c>
      <c r="AT636" t="s">
        <v>317</v>
      </c>
      <c r="AU636" t="s">
        <v>238</v>
      </c>
      <c r="AV636" t="s">
        <v>309</v>
      </c>
      <c r="AW636">
        <v>0</v>
      </c>
    </row>
    <row r="637" spans="41:49" x14ac:dyDescent="0.25">
      <c r="AO637" t="s">
        <v>139</v>
      </c>
      <c r="AP637" t="s">
        <v>26</v>
      </c>
      <c r="AQ637">
        <v>2008</v>
      </c>
      <c r="AR637" t="s">
        <v>124</v>
      </c>
      <c r="AS637" t="s">
        <v>306</v>
      </c>
      <c r="AT637" t="s">
        <v>317</v>
      </c>
      <c r="AU637" t="s">
        <v>238</v>
      </c>
      <c r="AV637" t="s">
        <v>268</v>
      </c>
      <c r="AW637">
        <v>1.5</v>
      </c>
    </row>
    <row r="638" spans="41:49" x14ac:dyDescent="0.25">
      <c r="AO638" t="s">
        <v>139</v>
      </c>
      <c r="AP638" t="s">
        <v>26</v>
      </c>
      <c r="AQ638">
        <v>2008</v>
      </c>
      <c r="AR638" t="s">
        <v>124</v>
      </c>
      <c r="AS638" t="s">
        <v>306</v>
      </c>
      <c r="AT638" t="s">
        <v>317</v>
      </c>
      <c r="AU638" t="s">
        <v>239</v>
      </c>
      <c r="AV638" t="s">
        <v>308</v>
      </c>
      <c r="AW638">
        <v>2.1</v>
      </c>
    </row>
    <row r="639" spans="41:49" x14ac:dyDescent="0.25">
      <c r="AO639" t="s">
        <v>139</v>
      </c>
      <c r="AP639" t="s">
        <v>26</v>
      </c>
      <c r="AQ639">
        <v>2008</v>
      </c>
      <c r="AR639" t="s">
        <v>124</v>
      </c>
      <c r="AS639" t="s">
        <v>306</v>
      </c>
      <c r="AT639" t="s">
        <v>317</v>
      </c>
      <c r="AU639" t="s">
        <v>239</v>
      </c>
      <c r="AV639" t="s">
        <v>309</v>
      </c>
      <c r="AW639">
        <v>6.5</v>
      </c>
    </row>
    <row r="640" spans="41:49" x14ac:dyDescent="0.25">
      <c r="AO640" t="s">
        <v>139</v>
      </c>
      <c r="AP640" t="s">
        <v>26</v>
      </c>
      <c r="AQ640">
        <v>2008</v>
      </c>
      <c r="AR640" t="s">
        <v>124</v>
      </c>
      <c r="AS640" t="s">
        <v>306</v>
      </c>
      <c r="AT640" t="s">
        <v>317</v>
      </c>
      <c r="AU640" t="s">
        <v>239</v>
      </c>
      <c r="AV640" t="s">
        <v>268</v>
      </c>
      <c r="AW640">
        <v>8.6</v>
      </c>
    </row>
    <row r="641" spans="41:49" x14ac:dyDescent="0.25">
      <c r="AO641" t="s">
        <v>139</v>
      </c>
      <c r="AP641" t="s">
        <v>26</v>
      </c>
      <c r="AQ641">
        <v>2008</v>
      </c>
      <c r="AR641" t="s">
        <v>124</v>
      </c>
      <c r="AS641" t="s">
        <v>306</v>
      </c>
      <c r="AT641" t="s">
        <v>317</v>
      </c>
      <c r="AU641" t="s">
        <v>240</v>
      </c>
      <c r="AV641" t="s">
        <v>308</v>
      </c>
      <c r="AW641">
        <v>0</v>
      </c>
    </row>
    <row r="642" spans="41:49" x14ac:dyDescent="0.25">
      <c r="AO642" t="s">
        <v>139</v>
      </c>
      <c r="AP642" t="s">
        <v>26</v>
      </c>
      <c r="AQ642">
        <v>2008</v>
      </c>
      <c r="AR642" t="s">
        <v>124</v>
      </c>
      <c r="AS642" t="s">
        <v>306</v>
      </c>
      <c r="AT642" t="s">
        <v>317</v>
      </c>
      <c r="AU642" t="s">
        <v>240</v>
      </c>
      <c r="AV642" t="s">
        <v>309</v>
      </c>
      <c r="AW642">
        <v>0</v>
      </c>
    </row>
    <row r="643" spans="41:49" x14ac:dyDescent="0.25">
      <c r="AO643" t="s">
        <v>139</v>
      </c>
      <c r="AP643" t="s">
        <v>26</v>
      </c>
      <c r="AQ643">
        <v>2008</v>
      </c>
      <c r="AR643" t="s">
        <v>124</v>
      </c>
      <c r="AS643" t="s">
        <v>306</v>
      </c>
      <c r="AT643" t="s">
        <v>317</v>
      </c>
      <c r="AU643" t="s">
        <v>240</v>
      </c>
      <c r="AV643" t="s">
        <v>268</v>
      </c>
      <c r="AW643">
        <v>0</v>
      </c>
    </row>
    <row r="644" spans="41:49" x14ac:dyDescent="0.25">
      <c r="AO644" t="s">
        <v>139</v>
      </c>
      <c r="AP644" t="s">
        <v>26</v>
      </c>
      <c r="AQ644">
        <v>2008</v>
      </c>
      <c r="AR644" t="s">
        <v>124</v>
      </c>
      <c r="AS644" t="s">
        <v>306</v>
      </c>
      <c r="AT644" t="s">
        <v>317</v>
      </c>
      <c r="AU644" t="s">
        <v>314</v>
      </c>
      <c r="AV644" t="s">
        <v>308</v>
      </c>
      <c r="AW644">
        <v>2</v>
      </c>
    </row>
    <row r="645" spans="41:49" x14ac:dyDescent="0.25">
      <c r="AO645" t="s">
        <v>139</v>
      </c>
      <c r="AP645" t="s">
        <v>26</v>
      </c>
      <c r="AQ645">
        <v>2008</v>
      </c>
      <c r="AR645" t="s">
        <v>124</v>
      </c>
      <c r="AS645" t="s">
        <v>306</v>
      </c>
      <c r="AT645" t="s">
        <v>317</v>
      </c>
      <c r="AU645" t="s">
        <v>314</v>
      </c>
      <c r="AV645" t="s">
        <v>309</v>
      </c>
      <c r="AW645">
        <v>3.45</v>
      </c>
    </row>
    <row r="646" spans="41:49" x14ac:dyDescent="0.25">
      <c r="AO646" t="s">
        <v>139</v>
      </c>
      <c r="AP646" t="s">
        <v>26</v>
      </c>
      <c r="AQ646">
        <v>2008</v>
      </c>
      <c r="AR646" t="s">
        <v>124</v>
      </c>
      <c r="AS646" t="s">
        <v>306</v>
      </c>
      <c r="AT646" t="s">
        <v>317</v>
      </c>
      <c r="AU646" t="s">
        <v>314</v>
      </c>
      <c r="AV646" t="s">
        <v>268</v>
      </c>
      <c r="AW646">
        <v>5.45</v>
      </c>
    </row>
    <row r="647" spans="41:49" x14ac:dyDescent="0.25">
      <c r="AO647" t="s">
        <v>139</v>
      </c>
      <c r="AP647" t="s">
        <v>26</v>
      </c>
      <c r="AQ647">
        <v>2008</v>
      </c>
      <c r="AR647" t="s">
        <v>124</v>
      </c>
      <c r="AS647" t="s">
        <v>306</v>
      </c>
      <c r="AT647" t="s">
        <v>317</v>
      </c>
      <c r="AU647" t="s">
        <v>242</v>
      </c>
      <c r="AV647" t="s">
        <v>308</v>
      </c>
      <c r="AW647">
        <v>1</v>
      </c>
    </row>
    <row r="648" spans="41:49" x14ac:dyDescent="0.25">
      <c r="AO648" t="s">
        <v>139</v>
      </c>
      <c r="AP648" t="s">
        <v>26</v>
      </c>
      <c r="AQ648">
        <v>2008</v>
      </c>
      <c r="AR648" t="s">
        <v>124</v>
      </c>
      <c r="AS648" t="s">
        <v>306</v>
      </c>
      <c r="AT648" t="s">
        <v>317</v>
      </c>
      <c r="AU648" t="s">
        <v>242</v>
      </c>
      <c r="AV648" t="s">
        <v>309</v>
      </c>
      <c r="AW648">
        <v>3.1</v>
      </c>
    </row>
    <row r="649" spans="41:49" x14ac:dyDescent="0.25">
      <c r="AO649" t="s">
        <v>139</v>
      </c>
      <c r="AP649" t="s">
        <v>26</v>
      </c>
      <c r="AQ649">
        <v>2008</v>
      </c>
      <c r="AR649" t="s">
        <v>124</v>
      </c>
      <c r="AS649" t="s">
        <v>306</v>
      </c>
      <c r="AT649" t="s">
        <v>317</v>
      </c>
      <c r="AU649" t="s">
        <v>242</v>
      </c>
      <c r="AV649" t="s">
        <v>268</v>
      </c>
      <c r="AW649">
        <v>4.0999999999999996</v>
      </c>
    </row>
    <row r="650" spans="41:49" x14ac:dyDescent="0.25">
      <c r="AO650" t="s">
        <v>139</v>
      </c>
      <c r="AP650" t="s">
        <v>26</v>
      </c>
      <c r="AQ650">
        <v>2008</v>
      </c>
      <c r="AR650" t="s">
        <v>124</v>
      </c>
      <c r="AS650" t="s">
        <v>306</v>
      </c>
      <c r="AT650" t="s">
        <v>317</v>
      </c>
      <c r="AU650" t="s">
        <v>243</v>
      </c>
      <c r="AV650" t="s">
        <v>247</v>
      </c>
      <c r="AW650">
        <v>0</v>
      </c>
    </row>
    <row r="651" spans="41:49" x14ac:dyDescent="0.25">
      <c r="AO651" t="s">
        <v>139</v>
      </c>
      <c r="AP651" t="s">
        <v>26</v>
      </c>
      <c r="AQ651">
        <v>2008</v>
      </c>
      <c r="AR651" t="s">
        <v>124</v>
      </c>
      <c r="AS651" t="s">
        <v>306</v>
      </c>
      <c r="AT651" t="s">
        <v>317</v>
      </c>
      <c r="AU651" t="s">
        <v>243</v>
      </c>
      <c r="AV651" t="s">
        <v>248</v>
      </c>
      <c r="AW651">
        <v>0</v>
      </c>
    </row>
    <row r="652" spans="41:49" x14ac:dyDescent="0.25">
      <c r="AO652" t="s">
        <v>139</v>
      </c>
      <c r="AP652" t="s">
        <v>26</v>
      </c>
      <c r="AQ652">
        <v>2008</v>
      </c>
      <c r="AR652" t="s">
        <v>124</v>
      </c>
      <c r="AS652" t="s">
        <v>306</v>
      </c>
      <c r="AT652" t="s">
        <v>317</v>
      </c>
      <c r="AU652" t="s">
        <v>243</v>
      </c>
      <c r="AV652" t="s">
        <v>312</v>
      </c>
      <c r="AW652">
        <v>30.849999999999994</v>
      </c>
    </row>
    <row r="653" spans="41:49" x14ac:dyDescent="0.25">
      <c r="AO653" t="s">
        <v>52</v>
      </c>
      <c r="AP653" t="s">
        <v>26</v>
      </c>
      <c r="AQ653">
        <v>2006</v>
      </c>
      <c r="AR653" t="s">
        <v>36</v>
      </c>
      <c r="AS653" t="s">
        <v>306</v>
      </c>
      <c r="AT653" t="s">
        <v>317</v>
      </c>
      <c r="AU653" t="s">
        <v>218</v>
      </c>
      <c r="AV653" t="s">
        <v>308</v>
      </c>
      <c r="AW653">
        <v>0</v>
      </c>
    </row>
    <row r="654" spans="41:49" x14ac:dyDescent="0.25">
      <c r="AO654" t="s">
        <v>52</v>
      </c>
      <c r="AP654" t="s">
        <v>26</v>
      </c>
      <c r="AQ654">
        <v>2006</v>
      </c>
      <c r="AR654" t="s">
        <v>36</v>
      </c>
      <c r="AS654" t="s">
        <v>306</v>
      </c>
      <c r="AT654" t="s">
        <v>317</v>
      </c>
      <c r="AU654" t="s">
        <v>218</v>
      </c>
      <c r="AV654" t="s">
        <v>309</v>
      </c>
      <c r="AW654">
        <v>0</v>
      </c>
    </row>
    <row r="655" spans="41:49" x14ac:dyDescent="0.25">
      <c r="AO655" t="s">
        <v>52</v>
      </c>
      <c r="AP655" t="s">
        <v>26</v>
      </c>
      <c r="AQ655">
        <v>2006</v>
      </c>
      <c r="AR655" t="s">
        <v>36</v>
      </c>
      <c r="AS655" t="s">
        <v>306</v>
      </c>
      <c r="AT655" t="s">
        <v>317</v>
      </c>
      <c r="AU655" t="s">
        <v>218</v>
      </c>
      <c r="AV655" t="s">
        <v>268</v>
      </c>
      <c r="AW655">
        <v>0</v>
      </c>
    </row>
    <row r="656" spans="41:49" x14ac:dyDescent="0.25">
      <c r="AO656" t="s">
        <v>52</v>
      </c>
      <c r="AP656" t="s">
        <v>26</v>
      </c>
      <c r="AQ656">
        <v>2006</v>
      </c>
      <c r="AR656" t="s">
        <v>36</v>
      </c>
      <c r="AS656" t="s">
        <v>306</v>
      </c>
      <c r="AT656" t="s">
        <v>317</v>
      </c>
      <c r="AU656" t="s">
        <v>238</v>
      </c>
      <c r="AV656" t="s">
        <v>308</v>
      </c>
      <c r="AW656">
        <v>2.1</v>
      </c>
    </row>
    <row r="657" spans="41:49" x14ac:dyDescent="0.25">
      <c r="AO657" t="s">
        <v>52</v>
      </c>
      <c r="AP657" t="s">
        <v>26</v>
      </c>
      <c r="AQ657">
        <v>2006</v>
      </c>
      <c r="AR657" t="s">
        <v>36</v>
      </c>
      <c r="AS657" t="s">
        <v>306</v>
      </c>
      <c r="AT657" t="s">
        <v>317</v>
      </c>
      <c r="AU657" t="s">
        <v>238</v>
      </c>
      <c r="AV657" t="s">
        <v>309</v>
      </c>
      <c r="AW657">
        <v>4.5</v>
      </c>
    </row>
    <row r="658" spans="41:49" x14ac:dyDescent="0.25">
      <c r="AO658" t="s">
        <v>52</v>
      </c>
      <c r="AP658" t="s">
        <v>26</v>
      </c>
      <c r="AQ658">
        <v>2006</v>
      </c>
      <c r="AR658" t="s">
        <v>36</v>
      </c>
      <c r="AS658" t="s">
        <v>306</v>
      </c>
      <c r="AT658" t="s">
        <v>317</v>
      </c>
      <c r="AU658" t="s">
        <v>238</v>
      </c>
      <c r="AV658" t="s">
        <v>268</v>
      </c>
      <c r="AW658">
        <v>6.6</v>
      </c>
    </row>
    <row r="659" spans="41:49" x14ac:dyDescent="0.25">
      <c r="AO659" t="s">
        <v>52</v>
      </c>
      <c r="AP659" t="s">
        <v>26</v>
      </c>
      <c r="AQ659">
        <v>2006</v>
      </c>
      <c r="AR659" t="s">
        <v>36</v>
      </c>
      <c r="AS659" t="s">
        <v>306</v>
      </c>
      <c r="AT659" t="s">
        <v>317</v>
      </c>
      <c r="AU659" t="s">
        <v>239</v>
      </c>
      <c r="AV659" t="s">
        <v>308</v>
      </c>
      <c r="AW659">
        <v>0</v>
      </c>
    </row>
    <row r="660" spans="41:49" x14ac:dyDescent="0.25">
      <c r="AO660" t="s">
        <v>52</v>
      </c>
      <c r="AP660" t="s">
        <v>26</v>
      </c>
      <c r="AQ660">
        <v>2006</v>
      </c>
      <c r="AR660" t="s">
        <v>36</v>
      </c>
      <c r="AS660" t="s">
        <v>306</v>
      </c>
      <c r="AT660" t="s">
        <v>317</v>
      </c>
      <c r="AU660" t="s">
        <v>239</v>
      </c>
      <c r="AV660" t="s">
        <v>309</v>
      </c>
      <c r="AW660">
        <v>0</v>
      </c>
    </row>
    <row r="661" spans="41:49" x14ac:dyDescent="0.25">
      <c r="AO661" t="s">
        <v>52</v>
      </c>
      <c r="AP661" t="s">
        <v>26</v>
      </c>
      <c r="AQ661">
        <v>2006</v>
      </c>
      <c r="AR661" t="s">
        <v>36</v>
      </c>
      <c r="AS661" t="s">
        <v>306</v>
      </c>
      <c r="AT661" t="s">
        <v>317</v>
      </c>
      <c r="AU661" t="s">
        <v>239</v>
      </c>
      <c r="AV661" t="s">
        <v>268</v>
      </c>
      <c r="AW661">
        <v>0</v>
      </c>
    </row>
    <row r="662" spans="41:49" x14ac:dyDescent="0.25">
      <c r="AO662" t="s">
        <v>52</v>
      </c>
      <c r="AP662" t="s">
        <v>26</v>
      </c>
      <c r="AQ662">
        <v>2006</v>
      </c>
      <c r="AR662" t="s">
        <v>36</v>
      </c>
      <c r="AS662" t="s">
        <v>306</v>
      </c>
      <c r="AT662" t="s">
        <v>317</v>
      </c>
      <c r="AU662" t="s">
        <v>240</v>
      </c>
      <c r="AV662" t="s">
        <v>308</v>
      </c>
      <c r="AW662">
        <v>2.4</v>
      </c>
    </row>
    <row r="663" spans="41:49" x14ac:dyDescent="0.25">
      <c r="AO663" t="s">
        <v>52</v>
      </c>
      <c r="AP663" t="s">
        <v>26</v>
      </c>
      <c r="AQ663">
        <v>2006</v>
      </c>
      <c r="AR663" t="s">
        <v>36</v>
      </c>
      <c r="AS663" t="s">
        <v>306</v>
      </c>
      <c r="AT663" t="s">
        <v>317</v>
      </c>
      <c r="AU663" t="s">
        <v>240</v>
      </c>
      <c r="AV663" t="s">
        <v>309</v>
      </c>
      <c r="AW663">
        <v>7.7</v>
      </c>
    </row>
    <row r="664" spans="41:49" x14ac:dyDescent="0.25">
      <c r="AO664" t="s">
        <v>52</v>
      </c>
      <c r="AP664" t="s">
        <v>26</v>
      </c>
      <c r="AQ664">
        <v>2006</v>
      </c>
      <c r="AR664" t="s">
        <v>36</v>
      </c>
      <c r="AS664" t="s">
        <v>306</v>
      </c>
      <c r="AT664" t="s">
        <v>317</v>
      </c>
      <c r="AU664" t="s">
        <v>240</v>
      </c>
      <c r="AV664" t="s">
        <v>268</v>
      </c>
      <c r="AW664">
        <v>10.1</v>
      </c>
    </row>
    <row r="665" spans="41:49" x14ac:dyDescent="0.25">
      <c r="AO665" t="s">
        <v>52</v>
      </c>
      <c r="AP665" t="s">
        <v>26</v>
      </c>
      <c r="AQ665">
        <v>2006</v>
      </c>
      <c r="AR665" t="s">
        <v>36</v>
      </c>
      <c r="AS665" t="s">
        <v>306</v>
      </c>
      <c r="AT665" t="s">
        <v>317</v>
      </c>
      <c r="AU665" t="s">
        <v>314</v>
      </c>
      <c r="AV665" t="s">
        <v>308</v>
      </c>
      <c r="AW665">
        <v>3.1</v>
      </c>
    </row>
    <row r="666" spans="41:49" x14ac:dyDescent="0.25">
      <c r="AO666" t="s">
        <v>52</v>
      </c>
      <c r="AP666" t="s">
        <v>26</v>
      </c>
      <c r="AQ666">
        <v>2006</v>
      </c>
      <c r="AR666" t="s">
        <v>36</v>
      </c>
      <c r="AS666" t="s">
        <v>306</v>
      </c>
      <c r="AT666" t="s">
        <v>317</v>
      </c>
      <c r="AU666" t="s">
        <v>314</v>
      </c>
      <c r="AV666" t="s">
        <v>309</v>
      </c>
      <c r="AW666">
        <v>8.75</v>
      </c>
    </row>
    <row r="667" spans="41:49" x14ac:dyDescent="0.25">
      <c r="AO667" t="s">
        <v>52</v>
      </c>
      <c r="AP667" t="s">
        <v>26</v>
      </c>
      <c r="AQ667">
        <v>2006</v>
      </c>
      <c r="AR667" t="s">
        <v>36</v>
      </c>
      <c r="AS667" t="s">
        <v>306</v>
      </c>
      <c r="AT667" t="s">
        <v>317</v>
      </c>
      <c r="AU667" t="s">
        <v>314</v>
      </c>
      <c r="AV667" t="s">
        <v>268</v>
      </c>
      <c r="AW667">
        <v>11.85</v>
      </c>
    </row>
    <row r="668" spans="41:49" x14ac:dyDescent="0.25">
      <c r="AO668" t="s">
        <v>52</v>
      </c>
      <c r="AP668" t="s">
        <v>26</v>
      </c>
      <c r="AQ668">
        <v>2006</v>
      </c>
      <c r="AR668" t="s">
        <v>36</v>
      </c>
      <c r="AS668" t="s">
        <v>306</v>
      </c>
      <c r="AT668" t="s">
        <v>317</v>
      </c>
      <c r="AU668" t="s">
        <v>242</v>
      </c>
      <c r="AV668" t="s">
        <v>308</v>
      </c>
      <c r="AW668">
        <v>0</v>
      </c>
    </row>
    <row r="669" spans="41:49" x14ac:dyDescent="0.25">
      <c r="AO669" t="s">
        <v>52</v>
      </c>
      <c r="AP669" t="s">
        <v>26</v>
      </c>
      <c r="AQ669">
        <v>2006</v>
      </c>
      <c r="AR669" t="s">
        <v>36</v>
      </c>
      <c r="AS669" t="s">
        <v>306</v>
      </c>
      <c r="AT669" t="s">
        <v>317</v>
      </c>
      <c r="AU669" t="s">
        <v>242</v>
      </c>
      <c r="AV669" t="s">
        <v>309</v>
      </c>
      <c r="AW669">
        <v>0</v>
      </c>
    </row>
    <row r="670" spans="41:49" x14ac:dyDescent="0.25">
      <c r="AO670" t="s">
        <v>52</v>
      </c>
      <c r="AP670" t="s">
        <v>26</v>
      </c>
      <c r="AQ670">
        <v>2006</v>
      </c>
      <c r="AR670" t="s">
        <v>36</v>
      </c>
      <c r="AS670" t="s">
        <v>306</v>
      </c>
      <c r="AT670" t="s">
        <v>317</v>
      </c>
      <c r="AU670" t="s">
        <v>242</v>
      </c>
      <c r="AV670" t="s">
        <v>268</v>
      </c>
      <c r="AW670">
        <v>0</v>
      </c>
    </row>
    <row r="671" spans="41:49" x14ac:dyDescent="0.25">
      <c r="AO671" t="s">
        <v>52</v>
      </c>
      <c r="AP671" t="s">
        <v>26</v>
      </c>
      <c r="AQ671">
        <v>2006</v>
      </c>
      <c r="AR671" t="s">
        <v>36</v>
      </c>
      <c r="AS671" t="s">
        <v>306</v>
      </c>
      <c r="AT671" t="s">
        <v>317</v>
      </c>
      <c r="AU671" t="s">
        <v>243</v>
      </c>
      <c r="AV671" t="s">
        <v>247</v>
      </c>
      <c r="AW671">
        <v>0</v>
      </c>
    </row>
    <row r="672" spans="41:49" x14ac:dyDescent="0.25">
      <c r="AO672" t="s">
        <v>52</v>
      </c>
      <c r="AP672" t="s">
        <v>26</v>
      </c>
      <c r="AQ672">
        <v>2006</v>
      </c>
      <c r="AR672" t="s">
        <v>36</v>
      </c>
      <c r="AS672" t="s">
        <v>306</v>
      </c>
      <c r="AT672" t="s">
        <v>317</v>
      </c>
      <c r="AU672" t="s">
        <v>243</v>
      </c>
      <c r="AV672" t="s">
        <v>248</v>
      </c>
      <c r="AW672">
        <v>0</v>
      </c>
    </row>
    <row r="673" spans="41:49" x14ac:dyDescent="0.25">
      <c r="AO673" t="s">
        <v>52</v>
      </c>
      <c r="AP673" t="s">
        <v>26</v>
      </c>
      <c r="AQ673">
        <v>2006</v>
      </c>
      <c r="AR673" t="s">
        <v>36</v>
      </c>
      <c r="AS673" t="s">
        <v>306</v>
      </c>
      <c r="AT673" t="s">
        <v>317</v>
      </c>
      <c r="AU673" t="s">
        <v>243</v>
      </c>
      <c r="AV673" t="s">
        <v>312</v>
      </c>
      <c r="AW673">
        <v>28.549999999999997</v>
      </c>
    </row>
  </sheetData>
  <dataConsolidate/>
  <mergeCells count="8">
    <mergeCell ref="AD2:AD8"/>
    <mergeCell ref="AD9:AD15"/>
    <mergeCell ref="M35:P35"/>
    <mergeCell ref="M36:N36"/>
    <mergeCell ref="O36:P36"/>
    <mergeCell ref="R35:U35"/>
    <mergeCell ref="R36:S36"/>
    <mergeCell ref="T36:U36"/>
  </mergeCells>
  <conditionalFormatting sqref="B2:B33">
    <cfRule type="expression" dxfId="722" priority="473">
      <formula>IF($C2="junior",$AB2=MAX(_xlfn._xlws.FILTER($AB$2:$AB$37,$C$2:$C$37="junior")),$AB2=MAX(_xlfn._xlws.FILTER($AB$2:$AB$37,$C$2:$C$37="senior")))</formula>
    </cfRule>
    <cfRule type="expression" dxfId="721" priority="474">
      <formula>IF($C2="junior",$AB2=LARGE(_xlfn._xlws.FILTER($AB$2:$AB$37,$C$2:$C$37="junior"),2),$AB2=LARGE(_xlfn._xlws.FILTER($AB$2:$AB$37,$C$2:$C$37="senior"),2))</formula>
    </cfRule>
    <cfRule type="expression" dxfId="720" priority="475">
      <formula>IF($C2="junior",$AB2=LARGE(_xlfn._xlws.FILTER($AB$2:$AB$37,$C$2:$C$37="junior"),3),$AB2=LARGE(_xlfn._xlws.FILTER($AB$2:$AB$37,$C$2:$C$37="senior"),3))</formula>
    </cfRule>
    <cfRule type="expression" dxfId="719" priority="476">
      <formula>IF($C2="junior",Z2=MAX(_xlfn._xlws.FILTER($Z$2:$Z$37,$C$2:$C$37="junior")),Z2=MAX(_xlfn._xlws.FILTER($Z$2:$Z$37,$C$2:$C$37="senior")))</formula>
    </cfRule>
    <cfRule type="expression" dxfId="718" priority="477">
      <formula>IF($C2="junior",$AA2=MAX(_xlfn._xlws.FILTER($AA$2:$AA$37,$C$2:$C$37="junior")),$AA2=MAX(_xlfn._xlws.FILTER($AA$2:$AA$37,$C$2:$C$37="junior")))</formula>
    </cfRule>
  </conditionalFormatting>
  <conditionalFormatting sqref="H2:H33 K2:K33 N2:N33 Q2:Q33 T2:T33 W2:W33">
    <cfRule type="expression" dxfId="717" priority="38">
      <formula>AND(AND($C2="junior",H2&lt;2.6),H2&gt;0)</formula>
    </cfRule>
    <cfRule type="expression" dxfId="716" priority="40">
      <formula>AND(AND($C2="senior",H2&lt;2.9),H2&gt;0)</formula>
    </cfRule>
  </conditionalFormatting>
  <conditionalFormatting sqref="H2:H33">
    <cfRule type="expression" dxfId="715" priority="26">
      <formula>IF($C2="junior",H2&gt;=$AF$10+$AG$10,H2&gt;=$AF$3+$AG$3)</formula>
    </cfRule>
  </conditionalFormatting>
  <conditionalFormatting sqref="H2:AB33">
    <cfRule type="cellIs" dxfId="714" priority="41" operator="equal">
      <formula>0</formula>
    </cfRule>
  </conditionalFormatting>
  <conditionalFormatting sqref="J2:J33">
    <cfRule type="expression" dxfId="713" priority="42">
      <formula>IF($C2="junior",J2=MAX(_xlfn._xlws.FILTER(J$2:J$37,$C$2:$C$37="junior")),J2=MAX(_xlfn._xlws.FILTER(J$2:J$37,$C$2:$C$37="senior")))</formula>
    </cfRule>
    <cfRule type="expression" dxfId="712" priority="366">
      <formula>IF($C2="junior",J2&gt;=$AJ$10+$AK$10,J2&gt;=$AJ$3+$AK$3)</formula>
    </cfRule>
  </conditionalFormatting>
  <conditionalFormatting sqref="K2:K33">
    <cfRule type="expression" dxfId="711" priority="22">
      <formula>IF($C2="junior",K2&gt;=$AF$13+$AG$13,K2&gt;=$AF$6+$AG$6)</formula>
    </cfRule>
  </conditionalFormatting>
  <conditionalFormatting sqref="M2:M33">
    <cfRule type="expression" dxfId="710" priority="514">
      <formula>IF($C2="junior",M2=MAX(_xlfn._xlws.FILTER(M$2:M$36,$C$2:$C$37="junior")),M2=MAX(_xlfn._xlws.FILTER(M$2:M$36,$C$2:$C$37="senior")))</formula>
    </cfRule>
    <cfRule type="expression" dxfId="709" priority="515">
      <formula>IF($C2="junior",M2&gt;=$AJ$13+$AK$13,M2&gt;=$AJ$6+$AK$6)</formula>
    </cfRule>
  </conditionalFormatting>
  <conditionalFormatting sqref="N2:N33">
    <cfRule type="expression" dxfId="708" priority="21">
      <formula>IF($C2="junior",N2&gt;=$AF$14+$AG$14,N2&gt;=$AF$7+$AG$7)</formula>
    </cfRule>
  </conditionalFormatting>
  <conditionalFormatting sqref="P2:P33">
    <cfRule type="expression" dxfId="707" priority="401">
      <formula>IF($C2="junior",P2=MAX(_xlfn._xlws.FILTER(P$2:P$37,$C$2:$C$37="junior")),P2=MAX(_xlfn._xlws.FILTER(P$2:P$37,$C$2:$C$37="senior")))</formula>
    </cfRule>
    <cfRule type="expression" dxfId="706" priority="402">
      <formula>IF($C2="junior",P2&gt;=$AJ$14+$AK$14,P2&gt;=$AJ$7+$AK$7)</formula>
    </cfRule>
  </conditionalFormatting>
  <conditionalFormatting sqref="Q2:Q33">
    <cfRule type="expression" dxfId="705" priority="20">
      <formula>IF($C2="junior",Q2&gt;=$AF$15+$AG$15,Q2&gt;=$AF$8+$AG$8)</formula>
    </cfRule>
  </conditionalFormatting>
  <conditionalFormatting sqref="S2:S33">
    <cfRule type="expression" dxfId="704" priority="419">
      <formula>IF($C2="junior",S2=MAX(_xlfn._xlws.FILTER(S$2:S$37,$C$2:$C$37="junior")),S2=MAX(_xlfn._xlws.FILTER(S$2:S$37,$C$2:$C$37="senior")))</formula>
    </cfRule>
    <cfRule type="expression" dxfId="703" priority="420">
      <formula>IF($C2="junior",S2&gt;=$AJ$15+$AK$15,S2&gt;=$AJ$8+$AK$8)</formula>
    </cfRule>
  </conditionalFormatting>
  <conditionalFormatting sqref="T2:T33">
    <cfRule type="expression" dxfId="702" priority="19">
      <formula>IF($C2="junior",T2&gt;=$AF$12+$AG$12,T2&gt;=$AF$5+$AG$5)</formula>
    </cfRule>
  </conditionalFormatting>
  <conditionalFormatting sqref="V2:V33">
    <cfRule type="expression" dxfId="701" priority="437">
      <formula>IF($C2="junior",V2=MAX(_xlfn._xlws.FILTER(V$2:V$37,$C$2:$C$37="junior")),V2=MAX(_xlfn._xlws.FILTER(V$2:V$37,$C$2:$C$37="senior")))</formula>
    </cfRule>
    <cfRule type="expression" dxfId="700" priority="438">
      <formula>IF($C2="junior",V2&gt;=$AJ$12+$AK$12,V2&gt;=$AJ$5+$AK$5)</formula>
    </cfRule>
  </conditionalFormatting>
  <conditionalFormatting sqref="W2:W33">
    <cfRule type="expression" dxfId="699" priority="18">
      <formula>IF($C2="junior",W2&gt;=$AF$11+$AG$11,W2&gt;=$AF$4+$AG$4)</formula>
    </cfRule>
  </conditionalFormatting>
  <conditionalFormatting sqref="Y2:Y33">
    <cfRule type="expression" dxfId="698" priority="455">
      <formula>IF($C2="junior",Y2=MAX(_xlfn._xlws.FILTER(Y$2:Y$37,$C$2:$C$37="junior")),Y2=MAX(_xlfn._xlws.FILTER(Y$2:Y$37,$C$2:$C$37="senior")))</formula>
    </cfRule>
    <cfRule type="expression" dxfId="697" priority="456">
      <formula>IF($C2="junior",Y2&gt;=$AJ$11+$AK$11,Y2&gt;=$AJ$4+$AK$4)</formula>
    </cfRule>
  </conditionalFormatting>
  <conditionalFormatting sqref="Z2:Z33">
    <cfRule type="expression" dxfId="696" priority="2">
      <formula>IF($C2="junior",Z2&gt;=$AF$9+$AG$9,Z2&gt;=$AF$2+$AG$2)</formula>
    </cfRule>
  </conditionalFormatting>
  <conditionalFormatting sqref="AA2:AA33">
    <cfRule type="expression" dxfId="695" priority="23">
      <formula>IF($C2="junior",AA2&gt;=$AH$9+$AI$9,AA2&gt;=$AH$2+$AI$2)</formula>
    </cfRule>
  </conditionalFormatting>
  <conditionalFormatting sqref="AB2:AB33">
    <cfRule type="expression" dxfId="694" priority="24">
      <formula>IF($C2="junior",AB2=MAX(_xlfn._xlws.FILTER(AB$2:AB$33,$C$2:$C$33="junior",$G$2:$G$33="Yes")),AB2=MAX(_xlfn._xlws.FILTER(AB$2:AB$33,$C$2:$C$33="senior",$G$2:$G$33="Yes")))</formula>
    </cfRule>
    <cfRule type="expression" dxfId="693" priority="25">
      <formula>IF($C2="junior",AB2&gt;=$AJ$9+$AK$9,AB2&gt;=$AJ$2+$AK$2)</formula>
    </cfRule>
  </conditionalFormatting>
  <pageMargins left="0.7" right="0.7" top="0.75" bottom="0.75" header="0.3" footer="0.3"/>
  <pageSetup paperSize="9" orientation="portrait" r:id="rId2"/>
  <drawing r:id="rId3"/>
  <tableParts count="3">
    <tablePart r:id="rId4"/>
    <tablePart r:id="rId5"/>
    <tablePart r:id="rId6"/>
  </tableParts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8ED06-2471-6745-8B18-820FCAFC026A}">
  <sheetPr codeName="Arkusz3">
    <tabColor theme="4" tint="0.39997558519241921"/>
  </sheetPr>
  <dimension ref="A1:AY778"/>
  <sheetViews>
    <sheetView topLeftCell="P35" zoomScale="75" zoomScaleNormal="75" workbookViewId="0">
      <selection activeCell="AM35" sqref="AM35"/>
    </sheetView>
  </sheetViews>
  <sheetFormatPr defaultColWidth="11" defaultRowHeight="15.75" x14ac:dyDescent="0.25"/>
  <cols>
    <col min="1" max="1" width="8.5" style="2" customWidth="1"/>
    <col min="2" max="2" width="21.125" bestFit="1" customWidth="1"/>
    <col min="3" max="3" width="16.5" style="2" customWidth="1"/>
    <col min="4" max="4" width="15.125" style="2" bestFit="1" customWidth="1"/>
    <col min="5" max="5" width="15.875" style="2" customWidth="1"/>
    <col min="6" max="6" width="21.125" customWidth="1"/>
    <col min="7" max="7" width="15.625" customWidth="1"/>
    <col min="8" max="8" width="12.75" style="3" customWidth="1"/>
    <col min="9" max="9" width="11.75" style="3" customWidth="1"/>
    <col min="10" max="10" width="21.75" style="3" bestFit="1" customWidth="1"/>
    <col min="11" max="11" width="7.625" style="3" customWidth="1"/>
    <col min="12" max="12" width="18.5" style="3" bestFit="1" customWidth="1"/>
    <col min="13" max="15" width="7.625" style="3" customWidth="1"/>
    <col min="16" max="16" width="19.5" style="3" bestFit="1" customWidth="1"/>
    <col min="17" max="17" width="15.25" style="3" bestFit="1" customWidth="1"/>
    <col min="18" max="18" width="15" style="3" bestFit="1" customWidth="1"/>
    <col min="19" max="19" width="19" style="3" bestFit="1" customWidth="1"/>
    <col min="20" max="20" width="15.25" style="3" bestFit="1" customWidth="1"/>
    <col min="21" max="21" width="15" style="3" bestFit="1" customWidth="1"/>
    <col min="22" max="22" width="19" style="3" bestFit="1" customWidth="1"/>
    <col min="23" max="23" width="7.625" style="3" customWidth="1"/>
    <col min="24" max="24" width="15.25" style="3" bestFit="1" customWidth="1"/>
    <col min="25" max="28" width="7.625" style="3" customWidth="1"/>
    <col min="30" max="30" width="22.625" bestFit="1" customWidth="1"/>
    <col min="31" max="31" width="14.5" bestFit="1" customWidth="1"/>
    <col min="32" max="32" width="31.875" bestFit="1" customWidth="1"/>
    <col min="33" max="33" width="28" bestFit="1" customWidth="1"/>
    <col min="34" max="36" width="17.125" bestFit="1" customWidth="1"/>
  </cols>
  <sheetData>
    <row r="1" spans="1:51" s="2" customFormat="1" x14ac:dyDescent="0.25">
      <c r="A1" s="4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243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247</v>
      </c>
      <c r="AA1" s="2" t="s">
        <v>248</v>
      </c>
      <c r="AB1" s="2" t="s">
        <v>24</v>
      </c>
      <c r="AD1" s="20" t="s">
        <v>2</v>
      </c>
      <c r="AE1" s="20" t="s">
        <v>217</v>
      </c>
      <c r="AF1" s="20" t="s">
        <v>244</v>
      </c>
      <c r="AG1" s="20" t="s">
        <v>249</v>
      </c>
      <c r="AH1" s="20" t="s">
        <v>245</v>
      </c>
      <c r="AI1" s="20" t="s">
        <v>250</v>
      </c>
      <c r="AJ1" s="20" t="s">
        <v>246</v>
      </c>
      <c r="AK1" s="20" t="s">
        <v>251</v>
      </c>
      <c r="AL1" s="20" t="s">
        <v>252</v>
      </c>
      <c r="AQ1" t="s">
        <v>1</v>
      </c>
      <c r="AR1" t="s">
        <v>2</v>
      </c>
      <c r="AS1" t="s">
        <v>3</v>
      </c>
      <c r="AT1" t="s">
        <v>5</v>
      </c>
      <c r="AU1" t="s">
        <v>316</v>
      </c>
      <c r="AV1" t="s">
        <v>243</v>
      </c>
      <c r="AW1" t="s">
        <v>217</v>
      </c>
      <c r="AX1" t="s">
        <v>313</v>
      </c>
      <c r="AY1" t="s">
        <v>307</v>
      </c>
    </row>
    <row r="2" spans="1:51" x14ac:dyDescent="0.25">
      <c r="A2" s="2">
        <v>1</v>
      </c>
      <c r="B2" t="s">
        <v>59</v>
      </c>
      <c r="C2" s="2" t="s">
        <v>60</v>
      </c>
      <c r="D2" s="2">
        <v>2002</v>
      </c>
      <c r="E2" s="2" t="s">
        <v>61</v>
      </c>
      <c r="F2" t="s">
        <v>62</v>
      </c>
      <c r="G2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2" s="4">
        <v>5.3</v>
      </c>
      <c r="I2" s="8">
        <v>8.15</v>
      </c>
      <c r="J2" s="7">
        <v>13.45</v>
      </c>
      <c r="K2" s="5">
        <v>4.9000000000000004</v>
      </c>
      <c r="L2" s="8">
        <v>7.4</v>
      </c>
      <c r="M2" s="7">
        <v>12.3</v>
      </c>
      <c r="N2" s="5">
        <v>4.0999999999999996</v>
      </c>
      <c r="O2" s="8">
        <v>8.35</v>
      </c>
      <c r="P2" s="7">
        <v>12.45</v>
      </c>
      <c r="Q2" s="5">
        <v>4.4000000000000004</v>
      </c>
      <c r="R2" s="8">
        <v>9.1</v>
      </c>
      <c r="S2" s="7">
        <v>13.5</v>
      </c>
      <c r="T2" s="5">
        <v>5</v>
      </c>
      <c r="U2" s="8">
        <v>7.45</v>
      </c>
      <c r="V2" s="7">
        <v>12.45</v>
      </c>
      <c r="W2" s="5">
        <v>4.5999999999999996</v>
      </c>
      <c r="X2" s="8">
        <v>7.4</v>
      </c>
      <c r="Y2" s="7">
        <v>12</v>
      </c>
      <c r="Z2" s="4">
        <f>IF(Zabrze_result[[#This Row],[All Around]]="Yes",SUM(H2,K2,N2,Q2,T2,W2),0)</f>
        <v>28.299999999999997</v>
      </c>
      <c r="AA2" s="7">
        <f>IF(Zabrze_result[[#This Row],[All Around]]="Yes",SUM(I2,L2,O2,R2,U2,X2),0)</f>
        <v>47.85</v>
      </c>
      <c r="AB2" s="7">
        <f>SUM(J2,M2,P2,S2,V2,Y2)</f>
        <v>76.150000000000006</v>
      </c>
      <c r="AD2" s="39" t="s">
        <v>60</v>
      </c>
      <c r="AE2" s="20" t="s">
        <v>243</v>
      </c>
      <c r="AF2" s="21">
        <f>AVERAGEIFS(Zabrze_result[AA_Dscore],Zabrze_result[[Category]:[Category]],"senior",Zabrze_result[AA_Dscore],"&lt;&gt;0",Zabrze_result[All Around],"Yes")</f>
        <v>22.863636363636363</v>
      </c>
      <c r="AG2" s="21" cm="1">
        <f t="array" ref="AG2">_xlfn.STDEV.S(_xlfn._xlws.FILTER(Zabrze_result[AA_Dscore],(Zabrze_result[Category]="senior")*(Zabrze_result[All Around]="yes")))</f>
        <v>3.0133943410289863</v>
      </c>
      <c r="AH2" s="22">
        <f>AVERAGEIFS(Zabrze_result[AA_Escore],Zabrze_result[[Category]:[Category]],"senior",Zabrze_result[AA_Escore],"&lt;&gt;0",Zabrze_result[All Around],"Yes")</f>
        <v>47.522727272727273</v>
      </c>
      <c r="AI2" s="22" cm="1">
        <f t="array" ref="AI2">_xlfn.STDEV.S(_xlfn._xlws.FILTER(Zabrze_result[AA_Escore],(Zabrze_result[Category]="senior")*(Zabrze_result[All Around]="yes"),""))</f>
        <v>2.2749025953173954</v>
      </c>
      <c r="AJ2" s="22">
        <f>AVERAGEIFS(Zabrze_result[Total_Score],Zabrze_result[[Category]:[Category]],"senior",Zabrze_result[Total_Score],"&lt;&gt;0",Zabrze_result[All Around],"Yes")</f>
        <v>70.38636363636364</v>
      </c>
      <c r="AK2" s="22" cm="1">
        <f t="array" ref="AK2">_xlfn.STDEV.S(_xlfn._xlws.FILTER(Zabrze_result[Total_Score],(Zabrze_result[Category]="senior")*(Zabrze_result[All Around]="yes")))</f>
        <v>3.1466721237754438</v>
      </c>
      <c r="AL2" s="22" cm="1">
        <f t="array" ref="AL2">MAX(_xlfn._xlws.FILTER(Zabrze_result[Total_Score],Zabrze_result[Category]="senior"))</f>
        <v>76.150000000000006</v>
      </c>
      <c r="AQ2" t="s">
        <v>59</v>
      </c>
      <c r="AR2" t="s">
        <v>60</v>
      </c>
      <c r="AS2">
        <v>2002</v>
      </c>
      <c r="AT2" t="s">
        <v>62</v>
      </c>
      <c r="AU2" t="s">
        <v>325</v>
      </c>
      <c r="AV2" t="s">
        <v>305</v>
      </c>
      <c r="AW2" t="s">
        <v>218</v>
      </c>
      <c r="AX2" t="s">
        <v>308</v>
      </c>
      <c r="AY2">
        <v>5.3</v>
      </c>
    </row>
    <row r="3" spans="1:51" x14ac:dyDescent="0.25">
      <c r="A3" s="2">
        <v>2</v>
      </c>
      <c r="B3" t="s">
        <v>63</v>
      </c>
      <c r="C3" s="2" t="s">
        <v>60</v>
      </c>
      <c r="D3" s="2">
        <v>1997</v>
      </c>
      <c r="E3" s="2" t="s">
        <v>64</v>
      </c>
      <c r="F3" t="s">
        <v>39</v>
      </c>
      <c r="G3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3" s="5">
        <v>6</v>
      </c>
      <c r="I3" s="8">
        <v>6.6</v>
      </c>
      <c r="J3" s="8">
        <v>12.6</v>
      </c>
      <c r="K3" s="5">
        <v>4.5999999999999996</v>
      </c>
      <c r="L3" s="8">
        <v>6.4</v>
      </c>
      <c r="M3" s="8">
        <v>11</v>
      </c>
      <c r="N3" s="5">
        <v>3.9</v>
      </c>
      <c r="O3" s="8">
        <v>8.1</v>
      </c>
      <c r="P3" s="8">
        <v>12</v>
      </c>
      <c r="Q3" s="5">
        <v>5.2</v>
      </c>
      <c r="R3" s="8">
        <v>9.6</v>
      </c>
      <c r="S3" s="8">
        <v>14.8</v>
      </c>
      <c r="T3" s="5">
        <v>4.2</v>
      </c>
      <c r="U3" s="8">
        <v>8.1999999999999993</v>
      </c>
      <c r="V3" s="8">
        <v>12.4</v>
      </c>
      <c r="W3" s="5">
        <v>4.4000000000000004</v>
      </c>
      <c r="X3" s="8">
        <v>6.8</v>
      </c>
      <c r="Y3" s="8">
        <v>11.2</v>
      </c>
      <c r="Z3" s="4">
        <f>IF(Zabrze_result[[#This Row],[All Around]]="Yes",SUM(H3,K3,N3,Q3,T3,W3),0)</f>
        <v>28.299999999999997</v>
      </c>
      <c r="AA3" s="7">
        <f>IF(Zabrze_result[[#This Row],[All Around]]="Yes",SUM(I3,L3,O3,R3,U3,X3),0)</f>
        <v>45.7</v>
      </c>
      <c r="AB3" s="7">
        <f t="shared" ref="AB3:AB38" si="0">SUM(J3,M3,P3,S3,V3,Y3)</f>
        <v>74</v>
      </c>
      <c r="AD3" s="40"/>
      <c r="AE3" s="20" t="s">
        <v>218</v>
      </c>
      <c r="AF3" s="21">
        <f>AVERAGEIFS(Zabrze_result[FX_Dscore],Zabrze_result[[Category]:[Category]],"senior",Zabrze_result[FX_Dscore],"&lt;&gt;0")</f>
        <v>4.2333333333333325</v>
      </c>
      <c r="AG3" s="21" cm="1">
        <f t="array" ref="AG3">_xlfn.STDEV.S(_xlfn._xlws.FILTER(Zabrze_result[FX_Dscore],(Zabrze_result[Category]="senior")*(Zabrze_result[FX_Dscore]&gt;0)))</f>
        <v>0.67475485744606734</v>
      </c>
      <c r="AH3" s="22">
        <f>AVERAGEIFS(Zabrze_result[FX_Escore],Zabrze_result[[Category]:[Category]],"senior",Zabrze_result[FX_Escore],"&lt;&gt;0")</f>
        <v>7.6055555555555561</v>
      </c>
      <c r="AI3" s="22" cm="1">
        <f t="array" ref="AI3">_xlfn.STDEV.S(_xlfn._xlws.FILTER(Zabrze_result[FX_Escore],(Zabrze_result[Category]="senior")*(Zabrze_result[FX_Escore]&gt;0)))</f>
        <v>0.88731069047876676</v>
      </c>
      <c r="AJ3" s="22">
        <f>AVERAGEIFS(Zabrze_result[FX_total_score],Zabrze_result[[Category]:[Category]],"senior",Zabrze_result[FX_total_score],"&lt;&gt;0")</f>
        <v>11.838888888888887</v>
      </c>
      <c r="AK3" s="22" cm="1">
        <f t="array" ref="AK3">_xlfn.STDEV.S(_xlfn._xlws.FILTER(Zabrze_result[FX_total_score],(Zabrze_result[Category]="senior")*(Zabrze_result[FX_total_score]&gt;0)))</f>
        <v>0.91964755965909473</v>
      </c>
      <c r="AL3" s="22" cm="1">
        <f t="array" ref="AL3">MAX(_xlfn._xlws.FILTER(Zabrze_result[FX_total_score],Zabrze_result[Category]="senior"))</f>
        <v>13.45</v>
      </c>
      <c r="AQ3" t="s">
        <v>59</v>
      </c>
      <c r="AR3" t="s">
        <v>60</v>
      </c>
      <c r="AS3">
        <v>2002</v>
      </c>
      <c r="AT3" t="s">
        <v>62</v>
      </c>
      <c r="AU3" t="s">
        <v>325</v>
      </c>
      <c r="AV3" t="s">
        <v>305</v>
      </c>
      <c r="AW3" t="s">
        <v>218</v>
      </c>
      <c r="AX3" t="s">
        <v>309</v>
      </c>
      <c r="AY3">
        <v>8.15</v>
      </c>
    </row>
    <row r="4" spans="1:51" x14ac:dyDescent="0.25">
      <c r="A4" s="2">
        <v>3</v>
      </c>
      <c r="B4" t="s">
        <v>65</v>
      </c>
      <c r="C4" s="2" t="s">
        <v>60</v>
      </c>
      <c r="D4" s="2">
        <v>2001</v>
      </c>
      <c r="E4" s="2" t="s">
        <v>66</v>
      </c>
      <c r="F4" t="s">
        <v>67</v>
      </c>
      <c r="G4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4" s="5">
        <v>3.8</v>
      </c>
      <c r="I4" s="8">
        <v>8.4</v>
      </c>
      <c r="J4" s="8">
        <v>12.2</v>
      </c>
      <c r="K4" s="5">
        <v>3</v>
      </c>
      <c r="L4" s="8">
        <v>8.4</v>
      </c>
      <c r="M4" s="8">
        <v>11.4</v>
      </c>
      <c r="N4" s="5">
        <v>3.9</v>
      </c>
      <c r="O4" s="8">
        <v>8.4</v>
      </c>
      <c r="P4" s="8">
        <v>12.3</v>
      </c>
      <c r="Q4" s="5">
        <v>4</v>
      </c>
      <c r="R4" s="8">
        <v>9.1</v>
      </c>
      <c r="S4" s="8">
        <v>13.1</v>
      </c>
      <c r="T4" s="5">
        <v>3</v>
      </c>
      <c r="U4" s="8">
        <v>9.35</v>
      </c>
      <c r="V4" s="8">
        <v>12.35</v>
      </c>
      <c r="W4" s="5">
        <v>3.6</v>
      </c>
      <c r="X4" s="8">
        <v>7.1</v>
      </c>
      <c r="Y4" s="8">
        <v>10.7</v>
      </c>
      <c r="Z4" s="4">
        <f>IF(Zabrze_result[[#This Row],[All Around]]="Yes",SUM(H4,K4,N4,Q4,T4,W4),0)</f>
        <v>21.3</v>
      </c>
      <c r="AA4" s="7">
        <f>IF(Zabrze_result[[#This Row],[All Around]]="Yes",SUM(I4,L4,O4,R4,U4,X4),0)</f>
        <v>50.750000000000007</v>
      </c>
      <c r="AB4" s="7">
        <f t="shared" si="0"/>
        <v>72.050000000000011</v>
      </c>
      <c r="AD4" s="40"/>
      <c r="AE4" s="20" t="s">
        <v>242</v>
      </c>
      <c r="AF4" s="21">
        <f>AVERAGEIFS(Zabrze_result[HB_Dscore],Zabrze_result[[Category]:[Category]],"senior",Zabrze_result[HB_Dscore],"&lt;&gt;0")</f>
        <v>2.976923076923077</v>
      </c>
      <c r="AG4" s="21" cm="1">
        <f t="array" ref="AG4">_xlfn.STDEV.S(_xlfn._xlws.FILTER(Zabrze_result[HB_Dscore],(Zabrze_result[Category]="senior")*(Zabrze_result[HB_Dscore]&gt;0)))</f>
        <v>0.87001326249838074</v>
      </c>
      <c r="AH4" s="22">
        <f>AVERAGEIFS(Zabrze_result[HB_Escore],Zabrze_result[[Category]:[Category]],"senior",Zabrze_result[HB_Escore],"&lt;&gt;0")</f>
        <v>7.3884615384615397</v>
      </c>
      <c r="AI4" s="22" cm="1">
        <f t="array" ref="AI4">_xlfn.STDEV.S(_xlfn._xlws.FILTER(Zabrze_result[HB_Escore],(Zabrze_result[Category]="senior")*(Zabrze_result[HB_Escore]&gt;0)))</f>
        <v>0.78186578296027864</v>
      </c>
      <c r="AJ4" s="22">
        <f>AVERAGEIFS(Zabrze_result[HB_total_score],Zabrze_result[[Category]:[Category]],"senior",Zabrze_result[HB_total_score],"&lt;&gt;0")</f>
        <v>10.365384615384613</v>
      </c>
      <c r="AK4" s="22" cm="1">
        <f t="array" ref="AK4">_xlfn.STDEV.S(_xlfn._xlws.FILTER(Zabrze_result[HB_total_score],(Zabrze_result[Category]="senior")*(Zabrze_result[HB_total_score]&gt;0)))</f>
        <v>1.2224266534549073</v>
      </c>
      <c r="AL4" s="22" cm="1">
        <f t="array" ref="AL4">MAX(_xlfn._xlws.FILTER(Zabrze_result[HB_total_score],Zabrze_result[Category]="senior"))</f>
        <v>12</v>
      </c>
      <c r="AQ4" t="s">
        <v>59</v>
      </c>
      <c r="AR4" t="s">
        <v>60</v>
      </c>
      <c r="AS4">
        <v>2002</v>
      </c>
      <c r="AT4" t="s">
        <v>62</v>
      </c>
      <c r="AU4" t="s">
        <v>325</v>
      </c>
      <c r="AV4" t="s">
        <v>305</v>
      </c>
      <c r="AW4" t="s">
        <v>218</v>
      </c>
      <c r="AX4" t="s">
        <v>268</v>
      </c>
      <c r="AY4">
        <v>13.45</v>
      </c>
    </row>
    <row r="5" spans="1:51" x14ac:dyDescent="0.25">
      <c r="A5" s="2">
        <v>4</v>
      </c>
      <c r="B5" t="s">
        <v>68</v>
      </c>
      <c r="C5" s="2" t="s">
        <v>60</v>
      </c>
      <c r="D5" s="2">
        <v>2004</v>
      </c>
      <c r="E5" s="2" t="s">
        <v>69</v>
      </c>
      <c r="F5" t="s">
        <v>31</v>
      </c>
      <c r="G5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5" s="5">
        <v>4.2</v>
      </c>
      <c r="I5" s="8">
        <v>8.35</v>
      </c>
      <c r="J5" s="8">
        <v>12.55</v>
      </c>
      <c r="K5" s="5">
        <v>3.8</v>
      </c>
      <c r="L5" s="8">
        <v>7.75</v>
      </c>
      <c r="M5" s="8">
        <v>11.55</v>
      </c>
      <c r="N5" s="5">
        <v>3.8</v>
      </c>
      <c r="O5" s="8">
        <v>7.7</v>
      </c>
      <c r="P5" s="8">
        <v>11.5</v>
      </c>
      <c r="Q5" s="5">
        <v>4</v>
      </c>
      <c r="R5" s="8">
        <v>9.6</v>
      </c>
      <c r="S5" s="8">
        <v>13.6</v>
      </c>
      <c r="T5" s="5">
        <v>3.5</v>
      </c>
      <c r="U5" s="8">
        <v>8.6999999999999993</v>
      </c>
      <c r="V5" s="8">
        <v>12.2</v>
      </c>
      <c r="W5" s="5">
        <v>2.2000000000000002</v>
      </c>
      <c r="X5" s="8">
        <v>7.85</v>
      </c>
      <c r="Y5" s="8">
        <v>10.050000000000001</v>
      </c>
      <c r="Z5" s="4">
        <f>IF(Zabrze_result[[#This Row],[All Around]]="Yes",SUM(H5,K5,N5,Q5,T5,W5),0)</f>
        <v>21.5</v>
      </c>
      <c r="AA5" s="7">
        <f>IF(Zabrze_result[[#This Row],[All Around]]="Yes",SUM(I5,L5,O5,R5,U5,X5),0)</f>
        <v>49.949999999999996</v>
      </c>
      <c r="AB5" s="7">
        <f t="shared" si="0"/>
        <v>71.45</v>
      </c>
      <c r="AD5" s="40"/>
      <c r="AE5" s="20" t="s">
        <v>241</v>
      </c>
      <c r="AF5" s="21">
        <f>AVERAGEIFS(Zabrze_result[PB_Dscore],Zabrze_result[[Category]:[Category]],"senior",Zabrze_result[PB_Dscore],"&lt;&gt;0")</f>
        <v>3.5117647058823529</v>
      </c>
      <c r="AG5" s="21" cm="1">
        <f t="array" ref="AG5">_xlfn.STDEV.S(_xlfn._xlws.FILTER(Zabrze_result[PB_Dscore],(Zabrze_result[Category]="senior")*(Zabrze_result[PB_Dscore]&gt;0)))</f>
        <v>0.73474685516609961</v>
      </c>
      <c r="AH5" s="22">
        <f>AVERAGEIFS(Zabrze_result[PB_Escore],Zabrze_result[[Category]:[Category]],"senior",Zabrze_result[PB_Escore],"&lt;&gt;0")</f>
        <v>8.147058823529413</v>
      </c>
      <c r="AI5" s="22" cm="1">
        <f t="array" ref="AI5">_xlfn.STDEV.S(_xlfn._xlws.FILTER(Zabrze_result[PB_Escore],(Zabrze_result[Category]="senior")*(Zabrze_result[PB_Escore]&gt;0)))</f>
        <v>0.69786965747446661</v>
      </c>
      <c r="AJ5" s="22">
        <f>AVERAGEIFS(Zabrze_result[PB_total_score],Zabrze_result[[Category]:[Category]],"senior",Zabrze_result[PB_total_score],"&lt;&gt;0")</f>
        <v>11.658823529411762</v>
      </c>
      <c r="AK5" s="22" cm="1">
        <f t="array" ref="AK5">_xlfn.STDEV.S(_xlfn._xlws.FILTER(Zabrze_result[PB_total_score],(Zabrze_result[Category]="senior")*(Zabrze_result[PB_total_score]&gt;0)))</f>
        <v>0.82957731973081617</v>
      </c>
      <c r="AL5" s="22" cm="1">
        <f t="array" ref="AL5">MAX(_xlfn._xlws.FILTER(Zabrze_result[PB_total_score],Zabrze_result[Category]="senior"))</f>
        <v>12.55</v>
      </c>
      <c r="AQ5" t="s">
        <v>59</v>
      </c>
      <c r="AR5" t="s">
        <v>60</v>
      </c>
      <c r="AS5">
        <v>2002</v>
      </c>
      <c r="AT5" t="s">
        <v>62</v>
      </c>
      <c r="AU5" t="s">
        <v>325</v>
      </c>
      <c r="AV5" t="s">
        <v>305</v>
      </c>
      <c r="AW5" t="s">
        <v>238</v>
      </c>
      <c r="AX5" t="s">
        <v>308</v>
      </c>
      <c r="AY5">
        <v>4.9000000000000004</v>
      </c>
    </row>
    <row r="6" spans="1:51" x14ac:dyDescent="0.25">
      <c r="A6" s="2">
        <v>5</v>
      </c>
      <c r="B6" t="s">
        <v>70</v>
      </c>
      <c r="C6" s="2" t="s">
        <v>60</v>
      </c>
      <c r="D6" s="2">
        <v>2001</v>
      </c>
      <c r="E6" s="2" t="s">
        <v>71</v>
      </c>
      <c r="F6" t="s">
        <v>72</v>
      </c>
      <c r="G6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6" s="5">
        <v>5</v>
      </c>
      <c r="I6" s="8">
        <v>6.8</v>
      </c>
      <c r="J6" s="8">
        <v>11.8</v>
      </c>
      <c r="K6" s="5">
        <v>3.3</v>
      </c>
      <c r="L6" s="8">
        <v>6</v>
      </c>
      <c r="M6" s="8">
        <v>9.3000000000000007</v>
      </c>
      <c r="N6" s="5">
        <v>4.0999999999999996</v>
      </c>
      <c r="O6" s="8">
        <v>7.6</v>
      </c>
      <c r="P6" s="8">
        <v>11.7</v>
      </c>
      <c r="Q6" s="5">
        <v>5.2</v>
      </c>
      <c r="R6" s="8">
        <v>8.25</v>
      </c>
      <c r="S6" s="8">
        <v>13.45</v>
      </c>
      <c r="T6" s="5">
        <v>4.3</v>
      </c>
      <c r="U6" s="8">
        <v>8.1999999999999993</v>
      </c>
      <c r="V6" s="8">
        <v>12.5</v>
      </c>
      <c r="W6" s="5">
        <v>3.7</v>
      </c>
      <c r="X6" s="8">
        <v>7.95</v>
      </c>
      <c r="Y6" s="8">
        <v>11.65</v>
      </c>
      <c r="Z6" s="4">
        <f>IF(Zabrze_result[[#This Row],[All Around]]="Yes",SUM(H6,K6,N6,Q6,T6,W6),0)</f>
        <v>25.6</v>
      </c>
      <c r="AA6" s="7">
        <f>IF(Zabrze_result[[#This Row],[All Around]]="Yes",SUM(I6,L6,O6,R6,U6,X6),0)</f>
        <v>44.8</v>
      </c>
      <c r="AB6" s="7">
        <f t="shared" si="0"/>
        <v>70.400000000000006</v>
      </c>
      <c r="AD6" s="40"/>
      <c r="AE6" s="20" t="s">
        <v>238</v>
      </c>
      <c r="AF6" s="21">
        <f>AVERAGEIFS(Zabrze_result[PH_Dscore],Zabrze_result[[Category]:[Category]],"senior",Zabrze_result[PH_Dscore],"&lt;&gt;0")</f>
        <v>3.6277777777777782</v>
      </c>
      <c r="AG6" s="21" cm="1">
        <f t="array" ref="AG6">_xlfn.STDEV.S(_xlfn._xlws.FILTER(Zabrze_result[PH_Dscore],(Zabrze_result[Category]="senior")*(Zabrze_result[PH_Dscore]&gt;0)))</f>
        <v>0.66226487997011196</v>
      </c>
      <c r="AH6" s="22">
        <f>AVERAGEIFS(Zabrze_result[PH_Escore],Zabrze_result[[Category]:[Category]],"senior",Zabrze_result[PH_Escore],"&lt;&gt;0")</f>
        <v>6.973529411764706</v>
      </c>
      <c r="AI6" s="22" cm="1">
        <f t="array" ref="AI6">_xlfn.STDEV.S(_xlfn._xlws.FILTER(Zabrze_result[PH_Escore],(Zabrze_result[Category]="senior")*(Zabrze_result[PH_Escore]&gt;0)))</f>
        <v>1.0658209346348413</v>
      </c>
      <c r="AJ6" s="22">
        <f>AVERAGEIFS(Zabrze_result[PH_Total_Score],Zabrze_result[[Category]:[Category]],"senior",Zabrze_result[PH_Total_Score],"&lt;&gt;0")</f>
        <v>10.21388888888889</v>
      </c>
      <c r="AK6" s="22" cm="1">
        <f t="array" ref="AK6">_xlfn.STDEV.S(_xlfn._xlws.FILTER(Zabrze_result[PH_Total_Score],(Zabrze_result[Category]="senior")*(Zabrze_result[PH_Total_Score]&gt;0)))</f>
        <v>2.3036292054798757</v>
      </c>
      <c r="AL6" s="22" cm="1">
        <f t="array" ref="AL6">MAX(_xlfn._xlws.FILTER(Zabrze_result[PH_Total_Score],Zabrze_result[Category]="senior"))</f>
        <v>12.45</v>
      </c>
      <c r="AQ6" t="s">
        <v>59</v>
      </c>
      <c r="AR6" t="s">
        <v>60</v>
      </c>
      <c r="AS6">
        <v>2002</v>
      </c>
      <c r="AT6" t="s">
        <v>62</v>
      </c>
      <c r="AU6" t="s">
        <v>325</v>
      </c>
      <c r="AV6" t="s">
        <v>305</v>
      </c>
      <c r="AW6" t="s">
        <v>238</v>
      </c>
      <c r="AX6" t="s">
        <v>309</v>
      </c>
      <c r="AY6">
        <v>7.4</v>
      </c>
    </row>
    <row r="7" spans="1:51" x14ac:dyDescent="0.25">
      <c r="A7" s="2">
        <v>6</v>
      </c>
      <c r="B7" t="s">
        <v>73</v>
      </c>
      <c r="C7" s="2" t="s">
        <v>60</v>
      </c>
      <c r="D7" s="2">
        <v>2001</v>
      </c>
      <c r="E7" s="2" t="s">
        <v>74</v>
      </c>
      <c r="F7" t="s">
        <v>62</v>
      </c>
      <c r="G7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7" s="5">
        <v>4.7</v>
      </c>
      <c r="I7" s="8">
        <v>8.6999999999999993</v>
      </c>
      <c r="J7" s="8">
        <v>13.4</v>
      </c>
      <c r="K7" s="5">
        <v>3</v>
      </c>
      <c r="L7" s="8">
        <v>7.5</v>
      </c>
      <c r="M7" s="8">
        <v>10.5</v>
      </c>
      <c r="N7" s="5">
        <v>2.5</v>
      </c>
      <c r="O7" s="8">
        <v>8.15</v>
      </c>
      <c r="P7" s="8">
        <v>10.65</v>
      </c>
      <c r="Q7" s="5">
        <v>4</v>
      </c>
      <c r="R7" s="8">
        <v>9.1</v>
      </c>
      <c r="S7" s="8">
        <v>13.1</v>
      </c>
      <c r="T7" s="5">
        <v>4.0999999999999996</v>
      </c>
      <c r="U7" s="8">
        <v>7.9</v>
      </c>
      <c r="V7" s="8">
        <v>12</v>
      </c>
      <c r="W7" s="5">
        <v>2.7</v>
      </c>
      <c r="X7" s="8">
        <v>7.55</v>
      </c>
      <c r="Y7" s="8">
        <v>10.25</v>
      </c>
      <c r="Z7" s="4">
        <f>IF(Zabrze_result[[#This Row],[All Around]]="Yes",SUM(H7,K7,N7,Q7,T7,W7),0)</f>
        <v>20.999999999999996</v>
      </c>
      <c r="AA7" s="7">
        <f>IF(Zabrze_result[[#This Row],[All Around]]="Yes",SUM(I7,L7,O7,R7,U7,X7),0)</f>
        <v>48.9</v>
      </c>
      <c r="AB7" s="7">
        <f t="shared" si="0"/>
        <v>69.900000000000006</v>
      </c>
      <c r="AD7" s="40"/>
      <c r="AE7" s="20" t="s">
        <v>239</v>
      </c>
      <c r="AF7" s="21">
        <f>AVERAGEIFS(Zabrze_result[SR_Dscore],Zabrze_result[[Category]:[Category]],"senior",Zabrze_result[SR_Dscore],"&lt;&gt;0")</f>
        <v>3.5263157894736836</v>
      </c>
      <c r="AG7" s="21" cm="1">
        <f t="array" ref="AG7">_xlfn.STDEV.S(_xlfn._xlws.FILTER(Zabrze_result[SR_Dscore],(Zabrze_result[Category]="senior")*(Zabrze_result[SR_Dscore]&gt;0)))</f>
        <v>0.62613639378791497</v>
      </c>
      <c r="AH7" s="22">
        <f>AVERAGEIFS(Zabrze_result[SR_Escore],Zabrze_result[[Category]:[Category]],"senior",Zabrze_result[SR_Escore],"&lt;&gt;0")</f>
        <v>7.1684210526315786</v>
      </c>
      <c r="AI7" s="22" cm="1">
        <f t="array" ref="AI7">_xlfn.STDEV.S(_xlfn._xlws.FILTER(Zabrze_result[SR_Escore],(Zabrze_result[Category]="senior")*(Zabrze_result[SR_Escore]&gt;0)))</f>
        <v>1.7915860854992114</v>
      </c>
      <c r="AJ7" s="22">
        <f>AVERAGEIFS(Zabrze_result[SR_Total_Score],Zabrze_result[[Category]:[Category]],"senior",Zabrze_result[SR_Total_Score],"&lt;&gt;0")</f>
        <v>10.694736842105263</v>
      </c>
      <c r="AK7" s="22" cm="1">
        <f t="array" ref="AK7">_xlfn.STDEV.S(_xlfn._xlws.FILTER(Zabrze_result[SR_Total_Score],(Zabrze_result[Category]="senior")*(Zabrze_result[SR_Total_Score]&gt;0)))</f>
        <v>2.2313980879485746</v>
      </c>
      <c r="AL7" s="22" cm="1">
        <f t="array" ref="AL7">MAX(_xlfn._xlws.FILTER(Zabrze_result[SR_Total_Score],Zabrze_result[Category]="senior"))</f>
        <v>12.7</v>
      </c>
      <c r="AQ7" t="s">
        <v>59</v>
      </c>
      <c r="AR7" t="s">
        <v>60</v>
      </c>
      <c r="AS7">
        <v>2002</v>
      </c>
      <c r="AT7" t="s">
        <v>62</v>
      </c>
      <c r="AU7" t="s">
        <v>325</v>
      </c>
      <c r="AV7" t="s">
        <v>305</v>
      </c>
      <c r="AW7" t="s">
        <v>238</v>
      </c>
      <c r="AX7" t="s">
        <v>268</v>
      </c>
      <c r="AY7">
        <v>12.3</v>
      </c>
    </row>
    <row r="8" spans="1:51" x14ac:dyDescent="0.25">
      <c r="A8" s="2">
        <v>7</v>
      </c>
      <c r="B8" t="s">
        <v>75</v>
      </c>
      <c r="C8" s="2" t="s">
        <v>60</v>
      </c>
      <c r="D8" s="2">
        <v>2003</v>
      </c>
      <c r="E8" s="2" t="s">
        <v>76</v>
      </c>
      <c r="F8" t="s">
        <v>28</v>
      </c>
      <c r="G8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8" s="5">
        <v>3.8</v>
      </c>
      <c r="I8" s="8">
        <v>7.3</v>
      </c>
      <c r="J8" s="8">
        <v>11.1</v>
      </c>
      <c r="K8" s="5">
        <v>4.2</v>
      </c>
      <c r="L8" s="8">
        <v>8.25</v>
      </c>
      <c r="M8" s="8">
        <v>12.45</v>
      </c>
      <c r="N8" s="5">
        <v>3.8</v>
      </c>
      <c r="O8" s="8">
        <v>7.8</v>
      </c>
      <c r="P8" s="8">
        <v>11.6</v>
      </c>
      <c r="Q8" s="5">
        <v>3.2</v>
      </c>
      <c r="R8" s="8">
        <v>9.4499999999999993</v>
      </c>
      <c r="S8" s="8">
        <v>12.65</v>
      </c>
      <c r="T8" s="5">
        <v>3.5</v>
      </c>
      <c r="U8" s="8">
        <v>8.0500000000000007</v>
      </c>
      <c r="V8" s="8">
        <v>11.55</v>
      </c>
      <c r="W8" s="5">
        <v>2.2000000000000002</v>
      </c>
      <c r="X8" s="8">
        <v>8.1</v>
      </c>
      <c r="Y8" s="8">
        <v>10.3</v>
      </c>
      <c r="Z8" s="4">
        <f>IF(Zabrze_result[[#This Row],[All Around]]="Yes",SUM(H8,K8,N8,Q8,T8,W8),0)</f>
        <v>20.7</v>
      </c>
      <c r="AA8" s="7">
        <f>IF(Zabrze_result[[#This Row],[All Around]]="Yes",SUM(I8,L8,O8,R8,U8,X8),0)</f>
        <v>48.949999999999996</v>
      </c>
      <c r="AB8" s="7">
        <f t="shared" si="0"/>
        <v>69.649999999999991</v>
      </c>
      <c r="AD8" s="41"/>
      <c r="AE8" s="20" t="s">
        <v>240</v>
      </c>
      <c r="AF8" s="21">
        <f>AVERAGEIFS(Zabrze_result[VT_Dscore],Zabrze_result[[Category]:[Category]],"senior",Zabrze_result[VT_Dscore],"&lt;&gt;0")</f>
        <v>3.835294117647059</v>
      </c>
      <c r="AG8" s="21" cm="1">
        <f t="array" ref="AG8">_xlfn.STDEV.S(_xlfn._xlws.FILTER(Zabrze_result[VT_Dscore],(Zabrze_result[Category]="senior")*(Zabrze_result[VT_Dscore]&gt;0)))</f>
        <v>0.67909975010173473</v>
      </c>
      <c r="AH8" s="22">
        <f>AVERAGEIFS(Zabrze_result[VT_Escore],Zabrze_result[[Category]:[Category]],"senior",Zabrze_result[VT_Escore],"&lt;&gt;0")</f>
        <v>9.0264705882352967</v>
      </c>
      <c r="AI8" s="22" cm="1">
        <f t="array" ref="AI8">_xlfn.STDEV.S(_xlfn._xlws.FILTER(Zabrze_result[VT_Escore],(Zabrze_result[Category]="senior")*(Zabrze_result[VT_Escore]&gt;0)))</f>
        <v>0.43269419305773249</v>
      </c>
      <c r="AJ8" s="22">
        <f>AVERAGEIFS(Zabrze_result[VT_total_score],Zabrze_result[[Category]:[Category]],"senior",Zabrze_result[VT_total_score],"&lt;&gt;0")</f>
        <v>12.861764705882351</v>
      </c>
      <c r="AK8" s="22" cm="1">
        <f t="array" ref="AK8">_xlfn.STDEV.S(_xlfn._xlws.FILTER(Zabrze_result[VT_total_score],(Zabrze_result[Category]="senior")*(Zabrze_result[VT_total_score]&gt;0)))</f>
        <v>0.74341471681455884</v>
      </c>
      <c r="AL8" s="22" cm="1">
        <f t="array" ref="AL8">MAX(_xlfn._xlws.FILTER(Zabrze_result[VT_total_score],Zabrze_result[Category]="senior"))</f>
        <v>14.8</v>
      </c>
      <c r="AQ8" t="s">
        <v>59</v>
      </c>
      <c r="AR8" t="s">
        <v>60</v>
      </c>
      <c r="AS8">
        <v>2002</v>
      </c>
      <c r="AT8" t="s">
        <v>62</v>
      </c>
      <c r="AU8" t="s">
        <v>325</v>
      </c>
      <c r="AV8" t="s">
        <v>305</v>
      </c>
      <c r="AW8" t="s">
        <v>239</v>
      </c>
      <c r="AX8" t="s">
        <v>308</v>
      </c>
      <c r="AY8">
        <v>4.0999999999999996</v>
      </c>
    </row>
    <row r="9" spans="1:51" x14ac:dyDescent="0.25">
      <c r="A9" s="2">
        <v>8</v>
      </c>
      <c r="B9" t="s">
        <v>77</v>
      </c>
      <c r="C9" s="2" t="s">
        <v>60</v>
      </c>
      <c r="D9" s="2">
        <v>2002</v>
      </c>
      <c r="E9" s="2" t="s">
        <v>78</v>
      </c>
      <c r="F9" t="s">
        <v>79</v>
      </c>
      <c r="G9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9" s="5">
        <v>3.9</v>
      </c>
      <c r="I9" s="8">
        <v>7.85</v>
      </c>
      <c r="J9" s="8">
        <v>11.75</v>
      </c>
      <c r="K9" s="5">
        <v>3.8</v>
      </c>
      <c r="L9" s="8">
        <v>6.2</v>
      </c>
      <c r="M9" s="8">
        <v>10</v>
      </c>
      <c r="N9" s="5">
        <v>3.8</v>
      </c>
      <c r="O9" s="8">
        <v>8.4</v>
      </c>
      <c r="P9" s="8">
        <v>12.2</v>
      </c>
      <c r="Q9" s="5">
        <v>3.2</v>
      </c>
      <c r="R9" s="8">
        <v>9.15</v>
      </c>
      <c r="S9" s="8">
        <v>12.35</v>
      </c>
      <c r="T9" s="5">
        <v>3.8</v>
      </c>
      <c r="U9" s="8">
        <v>8.75</v>
      </c>
      <c r="V9" s="8">
        <v>12.55</v>
      </c>
      <c r="W9" s="5">
        <v>2.6</v>
      </c>
      <c r="X9" s="8">
        <v>7.5</v>
      </c>
      <c r="Y9" s="8">
        <v>10.1</v>
      </c>
      <c r="Z9" s="4">
        <f>IF(Zabrze_result[[#This Row],[All Around]]="Yes",SUM(H9,K9,N9,Q9,T9,W9),0)</f>
        <v>21.1</v>
      </c>
      <c r="AA9" s="7">
        <f>IF(Zabrze_result[[#This Row],[All Around]]="Yes",SUM(I9,L9,O9,R9,U9,X9),0)</f>
        <v>47.85</v>
      </c>
      <c r="AB9" s="7">
        <f t="shared" si="0"/>
        <v>68.95</v>
      </c>
      <c r="AD9" s="39" t="s">
        <v>26</v>
      </c>
      <c r="AE9" s="20" t="s">
        <v>243</v>
      </c>
      <c r="AF9" s="21">
        <f>AVERAGEIFS(Zabrze_result[AA_Dscore],Zabrze_result[[Category]:[Category]],"junior",Zabrze_result[AA_Dscore],"&lt;&gt;0",Zabrze_result[All Around],"Yes")</f>
        <v>18.149999999999999</v>
      </c>
      <c r="AG9" s="21" cm="1">
        <f t="array" ref="AG9">_xlfn.STDEV.S(_xlfn._xlws.FILTER(Zabrze_result[AA_Dscore],(Zabrze_result[Category]="junior")*(Zabrze_result[All Around]="yes")))</f>
        <v>2.9897045561950435</v>
      </c>
      <c r="AH9" s="22">
        <f>AVERAGEIFS(Zabrze_result[AA_Escore],Zabrze_result[[Category]:[Category]],"junior",Zabrze_result[AA_Escore],"&lt;&gt;0",Zabrze_result[All Around],"Yes")</f>
        <v>48.3</v>
      </c>
      <c r="AI9" s="22" cm="1">
        <f t="array" ref="AI9">_xlfn.STDEV.S(_xlfn._xlws.FILTER(Zabrze_result[AA_Escore],(Zabrze_result[Category]="junior")*(Zabrze_result[All Around]="yes"),""))</f>
        <v>2.9515532633965242</v>
      </c>
      <c r="AJ9" s="22">
        <f>AVERAGEIFS(Zabrze_result[Total_Score],Zabrze_result[[Category]:[Category]],"junior",Zabrze_result[Total_Score],"&lt;&gt;0",Zabrze_result[All Around],"Yes")</f>
        <v>66.45</v>
      </c>
      <c r="AK9" s="22" cm="1">
        <f t="array" ref="AK9">_xlfn.STDEV.S(_xlfn._xlws.FILTER(Zabrze_result[Total_Score],(Zabrze_result[Category]="junior")*(Zabrze_result[All Around]="yes")))</f>
        <v>4.9840857848868447</v>
      </c>
      <c r="AL9" s="22" cm="1">
        <f t="array" ref="AL9">MAX(_xlfn._xlws.FILTER(Zabrze_result[Total_Score],Zabrze_result[Category]="junior"))</f>
        <v>72.55</v>
      </c>
      <c r="AQ9" t="s">
        <v>59</v>
      </c>
      <c r="AR9" t="s">
        <v>60</v>
      </c>
      <c r="AS9">
        <v>2002</v>
      </c>
      <c r="AT9" t="s">
        <v>62</v>
      </c>
      <c r="AU9" t="s">
        <v>325</v>
      </c>
      <c r="AV9" t="s">
        <v>305</v>
      </c>
      <c r="AW9" t="s">
        <v>239</v>
      </c>
      <c r="AX9" t="s">
        <v>309</v>
      </c>
      <c r="AY9">
        <v>8.35</v>
      </c>
    </row>
    <row r="10" spans="1:51" x14ac:dyDescent="0.25">
      <c r="A10" s="2">
        <v>9</v>
      </c>
      <c r="B10" t="s">
        <v>80</v>
      </c>
      <c r="C10" s="2" t="s">
        <v>60</v>
      </c>
      <c r="D10" s="2">
        <v>2004</v>
      </c>
      <c r="E10" s="2" t="s">
        <v>81</v>
      </c>
      <c r="F10" t="s">
        <v>62</v>
      </c>
      <c r="G10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10" s="5">
        <v>3.4</v>
      </c>
      <c r="I10" s="8">
        <v>8.6999999999999993</v>
      </c>
      <c r="J10" s="8">
        <v>12.1</v>
      </c>
      <c r="K10" s="5">
        <v>4.0999999999999996</v>
      </c>
      <c r="L10" s="8">
        <v>6.7</v>
      </c>
      <c r="M10" s="8">
        <v>10.8</v>
      </c>
      <c r="N10" s="5">
        <v>3.7</v>
      </c>
      <c r="O10" s="8">
        <v>7.9</v>
      </c>
      <c r="P10" s="8">
        <v>11.6</v>
      </c>
      <c r="Q10" s="5">
        <v>3.6</v>
      </c>
      <c r="R10" s="8">
        <v>8.15</v>
      </c>
      <c r="S10" s="8">
        <v>11.75</v>
      </c>
      <c r="T10" s="5">
        <v>3.6</v>
      </c>
      <c r="U10" s="8">
        <v>8.65</v>
      </c>
      <c r="V10" s="8">
        <v>12.25</v>
      </c>
      <c r="W10" s="5">
        <v>2.5</v>
      </c>
      <c r="X10" s="8">
        <v>7.9</v>
      </c>
      <c r="Y10" s="8">
        <v>10.4</v>
      </c>
      <c r="Z10" s="4">
        <f>IF(Zabrze_result[[#This Row],[All Around]]="Yes",SUM(H10,K10,N10,Q10,T10,W10),0)</f>
        <v>20.9</v>
      </c>
      <c r="AA10" s="7">
        <f>IF(Zabrze_result[[#This Row],[All Around]]="Yes",SUM(I10,L10,O10,R10,U10,X10),0)</f>
        <v>47.999999999999993</v>
      </c>
      <c r="AB10" s="7">
        <f t="shared" si="0"/>
        <v>68.900000000000006</v>
      </c>
      <c r="AD10" s="40"/>
      <c r="AE10" s="20" t="s">
        <v>218</v>
      </c>
      <c r="AF10" s="21">
        <f>AVERAGEIFS(Zabrze_result[FX_Dscore],Zabrze_result[[Category]:[Category]],"junior",Zabrze_result[FX_Dscore],"&lt;&gt;0")</f>
        <v>3.5636363636363639</v>
      </c>
      <c r="AG10" s="21" cm="1">
        <f t="array" ref="AG10">_xlfn.STDEV.S(_xlfn._xlws.FILTER(Zabrze_result[FX_Dscore],(Zabrze_result[Category]="junior")*(Zabrze_result[FX_Dscore]&gt;0)))</f>
        <v>0.45666777261533625</v>
      </c>
      <c r="AH10" s="22">
        <f>AVERAGEIFS(Zabrze_result[FX_Escore],Zabrze_result[[Category]:[Category]],"junior",Zabrze_result[FX_Escore],"&lt;&gt;0")</f>
        <v>8.3090909090909104</v>
      </c>
      <c r="AI10" s="22" cm="1">
        <f t="array" ref="AI10">_xlfn.STDEV.S(_xlfn._xlws.FILTER(Zabrze_result[FX_Escore],(Zabrze_result[Category]="junior")*(Zabrze_result[FX_Escore]&gt;0)))</f>
        <v>0.18414421226063801</v>
      </c>
      <c r="AJ10" s="22">
        <f>AVERAGEIFS(Zabrze_result[FX_total_score],Zabrze_result[[Category]:[Category]],"junior",Zabrze_result[FX_total_score],"&lt;&gt;0")</f>
        <v>11.872727272727273</v>
      </c>
      <c r="AK10" s="22" cm="1">
        <f t="array" ref="AK10">_xlfn.STDEV.S(_xlfn._xlws.FILTER(Zabrze_result[FX_total_score],(Zabrze_result[Category]="junior")*(Zabrze_result[FX_total_score]&gt;0)))</f>
        <v>0.54880034455329763</v>
      </c>
      <c r="AL10" s="22" cm="1">
        <f t="array" ref="AL10">MAX(_xlfn._xlws.FILTER(Zabrze_result[FX_total_score],Zabrze_result[Category]="junior"))</f>
        <v>12.75</v>
      </c>
      <c r="AQ10" t="s">
        <v>59</v>
      </c>
      <c r="AR10" t="s">
        <v>60</v>
      </c>
      <c r="AS10">
        <v>2002</v>
      </c>
      <c r="AT10" t="s">
        <v>62</v>
      </c>
      <c r="AU10" t="s">
        <v>325</v>
      </c>
      <c r="AV10" t="s">
        <v>305</v>
      </c>
      <c r="AW10" t="s">
        <v>239</v>
      </c>
      <c r="AX10" t="s">
        <v>268</v>
      </c>
      <c r="AY10">
        <v>12.45</v>
      </c>
    </row>
    <row r="11" spans="1:51" x14ac:dyDescent="0.25">
      <c r="A11" s="2">
        <v>10</v>
      </c>
      <c r="B11" t="s">
        <v>82</v>
      </c>
      <c r="C11" s="2" t="s">
        <v>60</v>
      </c>
      <c r="D11" s="2">
        <v>2003</v>
      </c>
      <c r="E11" s="2" t="s">
        <v>83</v>
      </c>
      <c r="F11" t="s">
        <v>36</v>
      </c>
      <c r="G11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11" s="5">
        <v>4.4000000000000004</v>
      </c>
      <c r="I11" s="8">
        <v>8.1</v>
      </c>
      <c r="J11" s="8">
        <v>12.5</v>
      </c>
      <c r="K11" s="5">
        <v>3.4</v>
      </c>
      <c r="L11" s="8">
        <v>5.5</v>
      </c>
      <c r="M11" s="8">
        <v>8.9</v>
      </c>
      <c r="N11" s="5">
        <v>3.8</v>
      </c>
      <c r="O11" s="8">
        <v>7.5</v>
      </c>
      <c r="P11" s="8">
        <v>11.3</v>
      </c>
      <c r="Q11" s="5">
        <v>4</v>
      </c>
      <c r="R11" s="8">
        <v>9.3000000000000007</v>
      </c>
      <c r="S11" s="8">
        <v>13.3</v>
      </c>
      <c r="T11" s="5">
        <v>3</v>
      </c>
      <c r="U11" s="8">
        <v>8.75</v>
      </c>
      <c r="V11" s="8">
        <v>11.75</v>
      </c>
      <c r="W11" s="5">
        <v>3.3</v>
      </c>
      <c r="X11" s="8">
        <v>7.8</v>
      </c>
      <c r="Y11" s="8">
        <v>11.1</v>
      </c>
      <c r="Z11" s="4">
        <f>IF(Zabrze_result[[#This Row],[All Around]]="Yes",SUM(H11,K11,N11,Q11,T11,W11),0)</f>
        <v>21.900000000000002</v>
      </c>
      <c r="AA11" s="7">
        <f>IF(Zabrze_result[[#This Row],[All Around]]="Yes",SUM(I11,L11,O11,R11,U11,X11),0)</f>
        <v>46.95</v>
      </c>
      <c r="AB11" s="7">
        <f t="shared" si="0"/>
        <v>68.849999999999994</v>
      </c>
      <c r="AD11" s="40"/>
      <c r="AE11" s="20" t="s">
        <v>242</v>
      </c>
      <c r="AF11" s="21">
        <f>AVERAGEIFS(Zabrze_result[HB_Dscore],Zabrze_result[[Category]:[Category]],"junior",Zabrze_result[HB_Dscore],"&lt;&gt;0")</f>
        <v>2.5999999999999996</v>
      </c>
      <c r="AG11" s="21" cm="1">
        <f t="array" ref="AG11">_xlfn.STDEV.S(_xlfn._xlws.FILTER(Zabrze_result[HB_Dscore],(Zabrze_result[Category]="junior")*(Zabrze_result[HB_Dscore]&gt;0)))</f>
        <v>0.56213877290220882</v>
      </c>
      <c r="AH11" s="22">
        <f>AVERAGEIFS(Zabrze_result[HB_Escore],Zabrze_result[[Category]:[Category]],"junior",Zabrze_result[HB_Escore],"&lt;&gt;0")</f>
        <v>7.9727272727272727</v>
      </c>
      <c r="AI11" s="22" cm="1">
        <f t="array" ref="AI11">_xlfn.STDEV.S(_xlfn._xlws.FILTER(Zabrze_result[HB_Escore],(Zabrze_result[Category]="junior")*(Zabrze_result[HB_Escore]&gt;0)))</f>
        <v>0.49414756721228326</v>
      </c>
      <c r="AJ11" s="22">
        <f>AVERAGEIFS(Zabrze_result[HB_total_score],Zabrze_result[[Category]:[Category]],"junior",Zabrze_result[HB_total_score],"&lt;&gt;0")</f>
        <v>10.572727272727272</v>
      </c>
      <c r="AK11" s="22" cm="1">
        <f t="array" ref="AK11">_xlfn.STDEV.S(_xlfn._xlws.FILTER(Zabrze_result[HB_total_score],(Zabrze_result[Category]="junior")*(Zabrze_result[HB_total_score]&gt;0)))</f>
        <v>0.60512958792461846</v>
      </c>
      <c r="AL11" s="22" cm="1">
        <f t="array" ref="AL11">MAX(_xlfn._xlws.FILTER(Zabrze_result[HB_total_score],Zabrze_result[Category]="junior"))</f>
        <v>11.8</v>
      </c>
      <c r="AQ11" t="s">
        <v>59</v>
      </c>
      <c r="AR11" t="s">
        <v>60</v>
      </c>
      <c r="AS11">
        <v>2002</v>
      </c>
      <c r="AT11" t="s">
        <v>62</v>
      </c>
      <c r="AU11" t="s">
        <v>325</v>
      </c>
      <c r="AV11" t="s">
        <v>305</v>
      </c>
      <c r="AW11" t="s">
        <v>240</v>
      </c>
      <c r="AX11" t="s">
        <v>308</v>
      </c>
      <c r="AY11">
        <v>4.4000000000000004</v>
      </c>
    </row>
    <row r="12" spans="1:51" x14ac:dyDescent="0.25">
      <c r="A12" s="2">
        <v>11</v>
      </c>
      <c r="B12" t="s">
        <v>84</v>
      </c>
      <c r="C12" s="2" t="s">
        <v>60</v>
      </c>
      <c r="D12" s="2">
        <v>2004</v>
      </c>
      <c r="E12" s="2" t="s">
        <v>85</v>
      </c>
      <c r="F12" t="s">
        <v>39</v>
      </c>
      <c r="G12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12" s="5">
        <v>4.0999999999999996</v>
      </c>
      <c r="I12" s="8">
        <v>6.25</v>
      </c>
      <c r="J12" s="8">
        <v>10.35</v>
      </c>
      <c r="K12" s="5">
        <v>3.2</v>
      </c>
      <c r="L12" s="8">
        <v>4.75</v>
      </c>
      <c r="M12" s="8">
        <v>7.95</v>
      </c>
      <c r="N12" s="5">
        <v>3.4</v>
      </c>
      <c r="O12" s="8">
        <v>7.3</v>
      </c>
      <c r="P12" s="8">
        <v>10.7</v>
      </c>
      <c r="Q12" s="5">
        <v>3.2</v>
      </c>
      <c r="R12" s="8">
        <v>9.25</v>
      </c>
      <c r="S12" s="8">
        <v>12.45</v>
      </c>
      <c r="T12" s="5">
        <v>4.2</v>
      </c>
      <c r="U12" s="8">
        <v>7.5</v>
      </c>
      <c r="V12" s="8">
        <v>11.7</v>
      </c>
      <c r="W12" s="5">
        <v>2.8</v>
      </c>
      <c r="X12" s="8">
        <v>8</v>
      </c>
      <c r="Y12" s="8">
        <v>10.8</v>
      </c>
      <c r="Z12" s="4">
        <f>IF(Zabrze_result[[#This Row],[All Around]]="Yes",SUM(H12,K12,N12,Q12,T12,W12),0)</f>
        <v>20.9</v>
      </c>
      <c r="AA12" s="7">
        <f>IF(Zabrze_result[[#This Row],[All Around]]="Yes",SUM(I12,L12,O12,R12,U12,X12),0)</f>
        <v>43.05</v>
      </c>
      <c r="AB12" s="7">
        <f t="shared" si="0"/>
        <v>63.95</v>
      </c>
      <c r="AD12" s="40"/>
      <c r="AE12" s="20" t="s">
        <v>241</v>
      </c>
      <c r="AF12" s="21">
        <f>AVERAGEIFS(Zabrze_result[PB_Dscore],Zabrze_result[[Category]:[Category]],"junior",Zabrze_result[PB_Dscore],"&lt;&gt;0")</f>
        <v>3.2272727272727271</v>
      </c>
      <c r="AG12" s="21" cm="1">
        <f t="array" ref="AG12">_xlfn.STDEV.S(_xlfn._xlws.FILTER(Zabrze_result[PB_Dscore],(Zabrze_result[Category]="junior")*(Zabrze_result[PB_Dscore]&gt;0)))</f>
        <v>0.45626945786653228</v>
      </c>
      <c r="AH12" s="22">
        <f>AVERAGEIFS(Zabrze_result[PB_Escore],Zabrze_result[[Category]:[Category]],"junior",Zabrze_result[PB_Escore],"&lt;&gt;0")</f>
        <v>8.2727272727272716</v>
      </c>
      <c r="AI12" s="22" cm="1">
        <f t="array" ref="AI12">_xlfn.STDEV.S(_xlfn._xlws.FILTER(Zabrze_result[PB_Escore],(Zabrze_result[Category]="junior")*(Zabrze_result[PB_Escore]&gt;0)))</f>
        <v>0.50614406860282191</v>
      </c>
      <c r="AJ12" s="22">
        <f>AVERAGEIFS(Zabrze_result[PB_total_score],Zabrze_result[[Category]:[Category]],"junior",Zabrze_result[PB_total_score],"&lt;&gt;0")</f>
        <v>11.5</v>
      </c>
      <c r="AK12" s="22" cm="1">
        <f t="array" ref="AK12">_xlfn.STDEV.S(_xlfn._xlws.FILTER(Zabrze_result[PB_total_score],(Zabrze_result[Category]="junior")*(Zabrze_result[PB_total_score]&gt;0)))</f>
        <v>0.68847657912234039</v>
      </c>
      <c r="AL12" s="22" cm="1">
        <f t="array" ref="AL12">MAX(_xlfn._xlws.FILTER(Zabrze_result[PB_total_score],Zabrze_result[Category]="junior"))</f>
        <v>13.3</v>
      </c>
      <c r="AQ12" t="s">
        <v>59</v>
      </c>
      <c r="AR12" t="s">
        <v>60</v>
      </c>
      <c r="AS12">
        <v>2002</v>
      </c>
      <c r="AT12" t="s">
        <v>62</v>
      </c>
      <c r="AU12" t="s">
        <v>325</v>
      </c>
      <c r="AV12" t="s">
        <v>305</v>
      </c>
      <c r="AW12" t="s">
        <v>240</v>
      </c>
      <c r="AX12" t="s">
        <v>309</v>
      </c>
      <c r="AY12">
        <v>9.1</v>
      </c>
    </row>
    <row r="13" spans="1:51" x14ac:dyDescent="0.25">
      <c r="A13" s="2">
        <v>12</v>
      </c>
      <c r="B13" t="s">
        <v>86</v>
      </c>
      <c r="C13" s="2" t="s">
        <v>60</v>
      </c>
      <c r="D13" s="2">
        <v>2003</v>
      </c>
      <c r="E13" s="2" t="s">
        <v>87</v>
      </c>
      <c r="F13" t="s">
        <v>72</v>
      </c>
      <c r="G13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13" s="5">
        <v>3.9</v>
      </c>
      <c r="I13" s="8">
        <v>8</v>
      </c>
      <c r="J13" s="8">
        <v>11.9</v>
      </c>
      <c r="K13" s="5">
        <v>4</v>
      </c>
      <c r="L13" s="8">
        <v>7.8</v>
      </c>
      <c r="M13" s="8">
        <v>11.8</v>
      </c>
      <c r="N13" s="5">
        <v>2.6</v>
      </c>
      <c r="O13" s="8">
        <v>3</v>
      </c>
      <c r="P13" s="8">
        <v>5.6</v>
      </c>
      <c r="Q13" s="5">
        <v>0</v>
      </c>
      <c r="R13" s="8">
        <v>0</v>
      </c>
      <c r="S13" s="8">
        <v>0</v>
      </c>
      <c r="T13" s="5">
        <v>2.8</v>
      </c>
      <c r="U13" s="8">
        <v>7.5</v>
      </c>
      <c r="V13" s="8">
        <v>10.3</v>
      </c>
      <c r="W13" s="5">
        <v>0</v>
      </c>
      <c r="X13" s="8">
        <v>0</v>
      </c>
      <c r="Y13" s="8">
        <v>0</v>
      </c>
      <c r="Z13" s="4">
        <f>IF(Zabrze_result[[#This Row],[All Around]]="Yes",SUM(H13,K13,N13,Q13,T13,W13),0)</f>
        <v>0</v>
      </c>
      <c r="AA13" s="7">
        <f>IF(Zabrze_result[[#This Row],[All Around]]="Yes",SUM(I13,L13,O13,R13,U13,X13),0)</f>
        <v>0</v>
      </c>
      <c r="AB13" s="7">
        <f t="shared" si="0"/>
        <v>39.600000000000009</v>
      </c>
      <c r="AD13" s="40"/>
      <c r="AE13" s="20" t="s">
        <v>238</v>
      </c>
      <c r="AF13" s="21">
        <f>AVERAGEIFS(Zabrze_result[PH_Dscore],Zabrze_result[[Category]:[Category]],"junior",Zabrze_result[PH_Dscore],"&lt;&gt;0")</f>
        <v>3.163636363636364</v>
      </c>
      <c r="AG13" s="21" cm="1">
        <f t="array" ref="AG13">_xlfn.STDEV.S(_xlfn._xlws.FILTER(Zabrze_result[PH_Dscore],(Zabrze_result[Category]="junior")*(Zabrze_result[PH_Dscore]&gt;0)))</f>
        <v>0.71452463536637756</v>
      </c>
      <c r="AH13" s="22">
        <f>AVERAGEIFS(Zabrze_result[PH_Escore],Zabrze_result[[Category]:[Category]],"junior",Zabrze_result[PH_Escore],"&lt;&gt;0")</f>
        <v>6.8636363636363651</v>
      </c>
      <c r="AI13" s="22" cm="1">
        <f t="array" ref="AI13">_xlfn.STDEV.S(_xlfn._xlws.FILTER(Zabrze_result[PH_Escore],(Zabrze_result[Category]="junior")*(Zabrze_result[PH_Escore]&gt;0)))</f>
        <v>1.9098548255156582</v>
      </c>
      <c r="AJ13" s="22">
        <f>AVERAGEIFS(Zabrze_result[PH_Total_Score],Zabrze_result[[Category]:[Category]],"junior",Zabrze_result[PH_Total_Score],"&lt;&gt;0")</f>
        <v>10.027272727272729</v>
      </c>
      <c r="AK13" s="22" cm="1">
        <f t="array" ref="AK13">_xlfn.STDEV.S(_xlfn._xlws.FILTER(Zabrze_result[PH_Total_Score],(Zabrze_result[Category]="junior")*(Zabrze_result[PH_Total_Score]&gt;0)))</f>
        <v>2.2948162929049034</v>
      </c>
      <c r="AL13" s="22" cm="1">
        <f t="array" ref="AL13">MAX(_xlfn._xlws.FILTER(Zabrze_result[PH_Total_Score],Zabrze_result[Category]="junior"))</f>
        <v>12.7</v>
      </c>
      <c r="AQ13" t="s">
        <v>59</v>
      </c>
      <c r="AR13" t="s">
        <v>60</v>
      </c>
      <c r="AS13">
        <v>2002</v>
      </c>
      <c r="AT13" t="s">
        <v>62</v>
      </c>
      <c r="AU13" t="s">
        <v>325</v>
      </c>
      <c r="AV13" t="s">
        <v>305</v>
      </c>
      <c r="AW13" t="s">
        <v>240</v>
      </c>
      <c r="AX13" t="s">
        <v>268</v>
      </c>
      <c r="AY13">
        <v>13.5</v>
      </c>
    </row>
    <row r="14" spans="1:51" x14ac:dyDescent="0.25">
      <c r="A14" s="2">
        <v>13</v>
      </c>
      <c r="B14" t="s">
        <v>88</v>
      </c>
      <c r="C14" s="2" t="s">
        <v>60</v>
      </c>
      <c r="D14" s="2">
        <v>2003</v>
      </c>
      <c r="E14" s="2" t="s">
        <v>89</v>
      </c>
      <c r="F14" t="s">
        <v>36</v>
      </c>
      <c r="G14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14" s="5">
        <v>0</v>
      </c>
      <c r="I14" s="8">
        <v>0</v>
      </c>
      <c r="J14" s="8">
        <v>0</v>
      </c>
      <c r="K14" s="5">
        <v>2.7</v>
      </c>
      <c r="L14" s="8">
        <v>7</v>
      </c>
      <c r="M14" s="8">
        <v>9.6999999999999993</v>
      </c>
      <c r="N14" s="5">
        <v>2.5</v>
      </c>
      <c r="O14" s="8">
        <v>7.2</v>
      </c>
      <c r="P14" s="8">
        <v>9.6999999999999993</v>
      </c>
      <c r="Q14" s="5">
        <v>0</v>
      </c>
      <c r="R14" s="8">
        <v>0</v>
      </c>
      <c r="S14" s="8">
        <v>0</v>
      </c>
      <c r="T14" s="5">
        <v>2.8</v>
      </c>
      <c r="U14" s="8">
        <v>7.4</v>
      </c>
      <c r="V14" s="8">
        <v>10.199999999999999</v>
      </c>
      <c r="W14" s="5">
        <v>2.1</v>
      </c>
      <c r="X14" s="8">
        <v>6.9</v>
      </c>
      <c r="Y14" s="8">
        <v>9</v>
      </c>
      <c r="Z14" s="4">
        <f>IF(Zabrze_result[[#This Row],[All Around]]="Yes",SUM(H14,K14,N14,Q14,T14,W14),0)</f>
        <v>0</v>
      </c>
      <c r="AA14" s="7">
        <f>IF(Zabrze_result[[#This Row],[All Around]]="Yes",SUM(I14,L14,O14,R14,U14,X14),0)</f>
        <v>0</v>
      </c>
      <c r="AB14" s="7">
        <f t="shared" si="0"/>
        <v>38.599999999999994</v>
      </c>
      <c r="AD14" s="40"/>
      <c r="AE14" s="20" t="s">
        <v>239</v>
      </c>
      <c r="AF14" s="21">
        <f>AVERAGEIFS(Zabrze_result[SR_Dscore],Zabrze_result[[Category]:[Category]],"junior",Zabrze_result[SR_Dscore],"&lt;&gt;0")</f>
        <v>2.8545454545454545</v>
      </c>
      <c r="AG14" s="21" cm="1">
        <f t="array" ref="AG14">_xlfn.STDEV.S(_xlfn._xlws.FILTER(Zabrze_result[SR_Dscore],(Zabrze_result[Category]="junior")*(Zabrze_result[SR_Dscore]&gt;0)))</f>
        <v>0.6743346889544346</v>
      </c>
      <c r="AH14" s="22">
        <f>AVERAGEIFS(Zabrze_result[SR_Escore],Zabrze_result[[Category]:[Category]],"junior",Zabrze_result[SR_Escore],"&lt;&gt;0")</f>
        <v>7.9045454545454534</v>
      </c>
      <c r="AI14" s="22" cm="1">
        <f t="array" ref="AI14">_xlfn.STDEV.S(_xlfn._xlws.FILTER(Zabrze_result[SR_Escore],(Zabrze_result[Category]="junior")*(Zabrze_result[SR_Escore]&gt;0)))</f>
        <v>0.68645995711860186</v>
      </c>
      <c r="AJ14" s="22">
        <f>AVERAGEIFS(Zabrze_result[SR_Total_Score],Zabrze_result[[Category]:[Category]],"junior",Zabrze_result[SR_Total_Score],"&lt;&gt;0")</f>
        <v>10.759090909090908</v>
      </c>
      <c r="AK14" s="22" cm="1">
        <f t="array" ref="AK14">_xlfn.STDEV.S(_xlfn._xlws.FILTER(Zabrze_result[SR_Total_Score],(Zabrze_result[Category]="junior")*(Zabrze_result[SR_Total_Score]&gt;0)))</f>
        <v>1.1959971115805925</v>
      </c>
      <c r="AL14" s="22" cm="1">
        <f t="array" ref="AL14">MAX(_xlfn._xlws.FILTER(Zabrze_result[SR_Total_Score],Zabrze_result[Category]="junior"))</f>
        <v>12.2</v>
      </c>
      <c r="AQ14" t="s">
        <v>59</v>
      </c>
      <c r="AR14" t="s">
        <v>60</v>
      </c>
      <c r="AS14">
        <v>2002</v>
      </c>
      <c r="AT14" t="s">
        <v>62</v>
      </c>
      <c r="AU14" t="s">
        <v>325</v>
      </c>
      <c r="AV14" t="s">
        <v>305</v>
      </c>
      <c r="AW14" t="s">
        <v>314</v>
      </c>
      <c r="AX14" t="s">
        <v>308</v>
      </c>
      <c r="AY14">
        <v>5</v>
      </c>
    </row>
    <row r="15" spans="1:51" x14ac:dyDescent="0.25">
      <c r="A15" s="2">
        <v>14</v>
      </c>
      <c r="B15" t="s">
        <v>90</v>
      </c>
      <c r="C15" s="2" t="s">
        <v>60</v>
      </c>
      <c r="D15" s="2">
        <v>2004</v>
      </c>
      <c r="E15" s="2" t="s">
        <v>91</v>
      </c>
      <c r="F15" t="s">
        <v>36</v>
      </c>
      <c r="G15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15" s="5">
        <v>4</v>
      </c>
      <c r="I15" s="8">
        <v>7.85</v>
      </c>
      <c r="J15" s="8">
        <v>11.85</v>
      </c>
      <c r="K15" s="5">
        <v>2.6</v>
      </c>
      <c r="L15" s="8">
        <v>0</v>
      </c>
      <c r="M15" s="8">
        <v>2.6</v>
      </c>
      <c r="N15" s="5">
        <v>3.8</v>
      </c>
      <c r="O15" s="8">
        <v>7</v>
      </c>
      <c r="P15" s="8">
        <v>10.8</v>
      </c>
      <c r="Q15" s="5">
        <v>4</v>
      </c>
      <c r="R15" s="8">
        <v>8.4</v>
      </c>
      <c r="S15" s="8">
        <v>12.4</v>
      </c>
      <c r="T15" s="5">
        <v>0</v>
      </c>
      <c r="U15" s="8">
        <v>0</v>
      </c>
      <c r="V15" s="8">
        <v>0</v>
      </c>
      <c r="W15" s="5">
        <v>0</v>
      </c>
      <c r="X15" s="8">
        <v>0</v>
      </c>
      <c r="Y15" s="8">
        <v>0</v>
      </c>
      <c r="Z15" s="4">
        <f>IF(Zabrze_result[[#This Row],[All Around]]="Yes",SUM(H15,K15,N15,Q15,T15,W15),0)</f>
        <v>0</v>
      </c>
      <c r="AA15" s="7">
        <f>IF(Zabrze_result[[#This Row],[All Around]]="Yes",SUM(I15,L15,O15,R15,U15,X15),0)</f>
        <v>0</v>
      </c>
      <c r="AB15" s="7">
        <f t="shared" si="0"/>
        <v>37.65</v>
      </c>
      <c r="AD15" s="41"/>
      <c r="AE15" s="20" t="s">
        <v>240</v>
      </c>
      <c r="AF15" s="21">
        <f>AVERAGEIFS(Zabrze_result[VT_Dscore],Zabrze_result[[Category]:[Category]],"junior",Zabrze_result[VT_Dscore],"&lt;&gt;0")</f>
        <v>2.6363636363636367</v>
      </c>
      <c r="AG15" s="21" cm="1">
        <f t="array" ref="AG15">_xlfn.STDEV.S(_xlfn._xlws.FILTER(Zabrze_result[VT_Dscore],(Zabrze_result[Category]="junior")*(Zabrze_result[VT_Dscore]&gt;0)))</f>
        <v>0.88912623093993426</v>
      </c>
      <c r="AH15" s="22">
        <f>AVERAGEIFS(Zabrze_result[VT_Escore],Zabrze_result[[Category]:[Category]],"junior",Zabrze_result[VT_Escore],"&lt;&gt;0")</f>
        <v>8.877272727272727</v>
      </c>
      <c r="AI15" s="22" cm="1">
        <f t="array" ref="AI15">_xlfn.STDEV.S(_xlfn._xlws.FILTER(Zabrze_result[VT_Escore],(Zabrze_result[Category]="junior")*(Zabrze_result[VT_Escore]&gt;0)))</f>
        <v>0.45462272070566168</v>
      </c>
      <c r="AJ15" s="22">
        <f>AVERAGEIFS(Zabrze_result[VT_total_score],Zabrze_result[[Category]:[Category]],"junior",Zabrze_result[VT_total_score],"&lt;&gt;0")</f>
        <v>11.513636363636364</v>
      </c>
      <c r="AK15" s="22" cm="1">
        <f t="array" ref="AK15">_xlfn.STDEV.S(_xlfn._xlws.FILTER(Zabrze_result[VT_total_score],(Zabrze_result[Category]="junior")*(Zabrze_result[VT_total_score]&gt;0)))</f>
        <v>0.8666287870509809</v>
      </c>
      <c r="AL15" s="22" cm="1">
        <f t="array" ref="AL15">MAX(_xlfn._xlws.FILTER(Zabrze_result[VT_total_score],Zabrze_result[Category]="junior"))</f>
        <v>12.95</v>
      </c>
      <c r="AQ15" t="s">
        <v>59</v>
      </c>
      <c r="AR15" t="s">
        <v>60</v>
      </c>
      <c r="AS15">
        <v>2002</v>
      </c>
      <c r="AT15" t="s">
        <v>62</v>
      </c>
      <c r="AU15" t="s">
        <v>325</v>
      </c>
      <c r="AV15" t="s">
        <v>305</v>
      </c>
      <c r="AW15" t="s">
        <v>314</v>
      </c>
      <c r="AX15" t="s">
        <v>309</v>
      </c>
      <c r="AY15">
        <v>7.45</v>
      </c>
    </row>
    <row r="16" spans="1:51" x14ac:dyDescent="0.25">
      <c r="A16" s="2">
        <v>15</v>
      </c>
      <c r="B16" t="s">
        <v>92</v>
      </c>
      <c r="C16" s="2" t="s">
        <v>60</v>
      </c>
      <c r="D16" s="2">
        <v>2004</v>
      </c>
      <c r="E16" s="2" t="s">
        <v>93</v>
      </c>
      <c r="F16" t="s">
        <v>39</v>
      </c>
      <c r="G16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16" s="5">
        <v>3.7</v>
      </c>
      <c r="I16" s="8">
        <v>7.95</v>
      </c>
      <c r="J16" s="8">
        <v>11.65</v>
      </c>
      <c r="K16" s="5">
        <v>3.7</v>
      </c>
      <c r="L16" s="8">
        <v>8.6</v>
      </c>
      <c r="M16" s="8">
        <v>12.3</v>
      </c>
      <c r="N16" s="5">
        <v>0</v>
      </c>
      <c r="O16" s="8">
        <v>0</v>
      </c>
      <c r="P16" s="8">
        <v>0</v>
      </c>
      <c r="Q16" s="5">
        <v>4</v>
      </c>
      <c r="R16" s="8">
        <v>8.9</v>
      </c>
      <c r="S16" s="8">
        <v>12.9</v>
      </c>
      <c r="T16" s="5">
        <v>0</v>
      </c>
      <c r="U16" s="8">
        <v>0</v>
      </c>
      <c r="V16" s="8">
        <v>0</v>
      </c>
      <c r="W16" s="5">
        <v>0</v>
      </c>
      <c r="X16" s="8">
        <v>0</v>
      </c>
      <c r="Y16" s="8">
        <v>0</v>
      </c>
      <c r="Z16" s="4">
        <f>IF(Zabrze_result[[#This Row],[All Around]]="Yes",SUM(H16,K16,N16,Q16,T16,W16),0)</f>
        <v>0</v>
      </c>
      <c r="AA16" s="7">
        <f>IF(Zabrze_result[[#This Row],[All Around]]="Yes",SUM(I16,L16,O16,R16,U16,X16),0)</f>
        <v>0</v>
      </c>
      <c r="AB16" s="7">
        <f t="shared" si="0"/>
        <v>36.85</v>
      </c>
      <c r="AJ16" s="1"/>
      <c r="AQ16" t="s">
        <v>59</v>
      </c>
      <c r="AR16" t="s">
        <v>60</v>
      </c>
      <c r="AS16">
        <v>2002</v>
      </c>
      <c r="AT16" t="s">
        <v>62</v>
      </c>
      <c r="AU16" t="s">
        <v>325</v>
      </c>
      <c r="AV16" t="s">
        <v>305</v>
      </c>
      <c r="AW16" t="s">
        <v>314</v>
      </c>
      <c r="AX16" t="s">
        <v>268</v>
      </c>
      <c r="AY16">
        <v>12.45</v>
      </c>
    </row>
    <row r="17" spans="1:51" x14ac:dyDescent="0.25">
      <c r="A17" s="2">
        <v>16</v>
      </c>
      <c r="B17" t="s">
        <v>94</v>
      </c>
      <c r="C17" s="2" t="s">
        <v>60</v>
      </c>
      <c r="D17" s="2">
        <v>2002</v>
      </c>
      <c r="E17" s="2" t="s">
        <v>95</v>
      </c>
      <c r="F17" t="s">
        <v>72</v>
      </c>
      <c r="G17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17" s="5">
        <v>0</v>
      </c>
      <c r="I17" s="8">
        <v>0</v>
      </c>
      <c r="J17" s="8">
        <v>0</v>
      </c>
      <c r="K17" s="5">
        <v>0</v>
      </c>
      <c r="L17" s="8">
        <v>0</v>
      </c>
      <c r="M17" s="8">
        <v>0</v>
      </c>
      <c r="N17" s="5">
        <v>4</v>
      </c>
      <c r="O17" s="8">
        <v>8.4</v>
      </c>
      <c r="P17" s="8">
        <v>12.4</v>
      </c>
      <c r="Q17" s="5">
        <v>2.8</v>
      </c>
      <c r="R17" s="8">
        <v>9.4</v>
      </c>
      <c r="S17" s="8">
        <v>12.2</v>
      </c>
      <c r="T17" s="5">
        <v>3.1</v>
      </c>
      <c r="U17" s="8">
        <v>8.85</v>
      </c>
      <c r="V17" s="8">
        <v>11.95</v>
      </c>
      <c r="W17" s="5">
        <v>0</v>
      </c>
      <c r="X17" s="8">
        <v>0</v>
      </c>
      <c r="Y17" s="8">
        <v>0</v>
      </c>
      <c r="Z17" s="4">
        <f>IF(Zabrze_result[[#This Row],[All Around]]="Yes",SUM(H17,K17,N17,Q17,T17,W17),0)</f>
        <v>0</v>
      </c>
      <c r="AA17" s="7">
        <f>IF(Zabrze_result[[#This Row],[All Around]]="Yes",SUM(I17,L17,O17,R17,U17,X17),0)</f>
        <v>0</v>
      </c>
      <c r="AB17" s="7">
        <f t="shared" si="0"/>
        <v>36.549999999999997</v>
      </c>
      <c r="AD17" s="28" t="s">
        <v>296</v>
      </c>
      <c r="AJ17" s="1"/>
      <c r="AQ17" t="s">
        <v>59</v>
      </c>
      <c r="AR17" t="s">
        <v>60</v>
      </c>
      <c r="AS17">
        <v>2002</v>
      </c>
      <c r="AT17" t="s">
        <v>62</v>
      </c>
      <c r="AU17" t="s">
        <v>325</v>
      </c>
      <c r="AV17" t="s">
        <v>305</v>
      </c>
      <c r="AW17" t="s">
        <v>242</v>
      </c>
      <c r="AX17" t="s">
        <v>308</v>
      </c>
      <c r="AY17">
        <v>4.5999999999999996</v>
      </c>
    </row>
    <row r="18" spans="1:51" x14ac:dyDescent="0.25">
      <c r="A18" s="2">
        <v>17</v>
      </c>
      <c r="B18" t="s">
        <v>96</v>
      </c>
      <c r="C18" s="2" t="s">
        <v>60</v>
      </c>
      <c r="D18" s="2">
        <v>2002</v>
      </c>
      <c r="E18" s="2" t="s">
        <v>97</v>
      </c>
      <c r="F18" t="s">
        <v>62</v>
      </c>
      <c r="G18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18" s="5">
        <v>0</v>
      </c>
      <c r="I18" s="8">
        <v>0</v>
      </c>
      <c r="J18" s="8">
        <v>0</v>
      </c>
      <c r="K18" s="5">
        <v>4.5</v>
      </c>
      <c r="L18" s="8">
        <v>7.3</v>
      </c>
      <c r="M18" s="8">
        <v>11.8</v>
      </c>
      <c r="N18" s="5">
        <v>4.5999999999999996</v>
      </c>
      <c r="O18" s="8">
        <v>8.1</v>
      </c>
      <c r="P18" s="8">
        <v>12.7</v>
      </c>
      <c r="Q18" s="5">
        <v>0</v>
      </c>
      <c r="R18" s="8">
        <v>0</v>
      </c>
      <c r="S18" s="8">
        <v>0</v>
      </c>
      <c r="T18" s="5">
        <v>4</v>
      </c>
      <c r="U18" s="8">
        <v>6.6</v>
      </c>
      <c r="V18" s="8">
        <v>10.6</v>
      </c>
      <c r="W18" s="5">
        <v>0</v>
      </c>
      <c r="X18" s="8">
        <v>0</v>
      </c>
      <c r="Y18" s="8">
        <v>0</v>
      </c>
      <c r="Z18" s="4">
        <f>IF(Zabrze_result[[#This Row],[All Around]]="Yes",SUM(H18,K18,N18,Q18,T18,W18),0)</f>
        <v>0</v>
      </c>
      <c r="AA18" s="7">
        <f>IF(Zabrze_result[[#This Row],[All Around]]="Yes",SUM(I18,L18,O18,R18,U18,X18),0)</f>
        <v>0</v>
      </c>
      <c r="AB18" s="7">
        <f t="shared" si="0"/>
        <v>35.1</v>
      </c>
      <c r="AD18" s="29" t="s">
        <v>297</v>
      </c>
      <c r="AJ18" s="1"/>
      <c r="AQ18" t="s">
        <v>59</v>
      </c>
      <c r="AR18" t="s">
        <v>60</v>
      </c>
      <c r="AS18">
        <v>2002</v>
      </c>
      <c r="AT18" t="s">
        <v>62</v>
      </c>
      <c r="AU18" t="s">
        <v>325</v>
      </c>
      <c r="AV18" t="s">
        <v>305</v>
      </c>
      <c r="AW18" t="s">
        <v>242</v>
      </c>
      <c r="AX18" t="s">
        <v>309</v>
      </c>
      <c r="AY18">
        <v>7.4</v>
      </c>
    </row>
    <row r="19" spans="1:51" ht="21" x14ac:dyDescent="0.35">
      <c r="A19" s="2">
        <v>18</v>
      </c>
      <c r="B19" t="s">
        <v>98</v>
      </c>
      <c r="C19" s="2" t="s">
        <v>60</v>
      </c>
      <c r="D19" s="2">
        <v>2003</v>
      </c>
      <c r="E19" s="2" t="s">
        <v>99</v>
      </c>
      <c r="F19" t="s">
        <v>72</v>
      </c>
      <c r="G19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19" s="5">
        <v>0</v>
      </c>
      <c r="I19" s="8">
        <v>0</v>
      </c>
      <c r="J19" s="8">
        <v>0</v>
      </c>
      <c r="K19" s="5">
        <v>3.4</v>
      </c>
      <c r="L19" s="8">
        <v>7</v>
      </c>
      <c r="M19" s="8">
        <v>10.4</v>
      </c>
      <c r="N19" s="5">
        <v>2.9</v>
      </c>
      <c r="O19" s="8">
        <v>6.7</v>
      </c>
      <c r="P19" s="8">
        <v>9.6</v>
      </c>
      <c r="Q19" s="5">
        <v>0</v>
      </c>
      <c r="R19" s="8">
        <v>0</v>
      </c>
      <c r="S19" s="8">
        <v>0</v>
      </c>
      <c r="T19" s="5">
        <v>2.4</v>
      </c>
      <c r="U19" s="8">
        <v>8.6</v>
      </c>
      <c r="V19" s="8">
        <v>11</v>
      </c>
      <c r="W19" s="5">
        <v>0</v>
      </c>
      <c r="X19" s="8">
        <v>0</v>
      </c>
      <c r="Y19" s="8">
        <v>0</v>
      </c>
      <c r="Z19" s="4">
        <f>IF(Zabrze_result[[#This Row],[All Around]]="Yes",SUM(H19,K19,N19,Q19,T19,W19),0)</f>
        <v>0</v>
      </c>
      <c r="AA19" s="7">
        <f>IF(Zabrze_result[[#This Row],[All Around]]="Yes",SUM(I19,L19,O19,R19,U19,X19),0)</f>
        <v>0</v>
      </c>
      <c r="AB19" s="7">
        <f t="shared" si="0"/>
        <v>31</v>
      </c>
      <c r="AD19" s="30" t="s">
        <v>298</v>
      </c>
      <c r="AF19" s="44" t="s">
        <v>355</v>
      </c>
      <c r="AG19" s="45"/>
      <c r="AH19" s="44" t="s">
        <v>313</v>
      </c>
      <c r="AI19" s="44" t="s">
        <v>2</v>
      </c>
      <c r="AJ19" s="45"/>
      <c r="AQ19" t="s">
        <v>59</v>
      </c>
      <c r="AR19" t="s">
        <v>60</v>
      </c>
      <c r="AS19">
        <v>2002</v>
      </c>
      <c r="AT19" t="s">
        <v>62</v>
      </c>
      <c r="AU19" t="s">
        <v>325</v>
      </c>
      <c r="AV19" t="s">
        <v>305</v>
      </c>
      <c r="AW19" t="s">
        <v>242</v>
      </c>
      <c r="AX19" t="s">
        <v>268</v>
      </c>
      <c r="AY19">
        <v>12</v>
      </c>
    </row>
    <row r="20" spans="1:51" ht="21" x14ac:dyDescent="0.35">
      <c r="A20" s="2">
        <v>19</v>
      </c>
      <c r="B20" t="s">
        <v>100</v>
      </c>
      <c r="C20" s="2" t="s">
        <v>60</v>
      </c>
      <c r="D20" s="2">
        <v>2004</v>
      </c>
      <c r="E20" s="2" t="s">
        <v>101</v>
      </c>
      <c r="F20" t="s">
        <v>31</v>
      </c>
      <c r="G20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20" s="5">
        <v>4.2</v>
      </c>
      <c r="I20" s="8">
        <v>7.3</v>
      </c>
      <c r="J20" s="8">
        <v>11.5</v>
      </c>
      <c r="K20" s="5">
        <v>0</v>
      </c>
      <c r="L20" s="8">
        <v>0</v>
      </c>
      <c r="M20" s="8">
        <v>0</v>
      </c>
      <c r="N20" s="5">
        <v>0</v>
      </c>
      <c r="O20" s="8">
        <v>0</v>
      </c>
      <c r="P20" s="8">
        <v>0</v>
      </c>
      <c r="Q20" s="5">
        <v>0</v>
      </c>
      <c r="R20" s="8">
        <v>0</v>
      </c>
      <c r="S20" s="8">
        <v>0</v>
      </c>
      <c r="T20" s="5">
        <v>2.4</v>
      </c>
      <c r="U20" s="8">
        <v>8.0500000000000007</v>
      </c>
      <c r="V20" s="8">
        <v>10.45</v>
      </c>
      <c r="W20" s="5">
        <v>2</v>
      </c>
      <c r="X20" s="8">
        <v>5.2</v>
      </c>
      <c r="Y20" s="8">
        <v>7.2</v>
      </c>
      <c r="Z20" s="4">
        <f>IF(Zabrze_result[[#This Row],[All Around]]="Yes",SUM(H20,K20,N20,Q20,T20,W20),0)</f>
        <v>0</v>
      </c>
      <c r="AA20" s="7">
        <f>IF(Zabrze_result[[#This Row],[All Around]]="Yes",SUM(I20,L20,O20,R20,U20,X20),0)</f>
        <v>0</v>
      </c>
      <c r="AB20" s="7">
        <f t="shared" si="0"/>
        <v>29.15</v>
      </c>
      <c r="AD20" s="31" t="s">
        <v>300</v>
      </c>
      <c r="AF20" s="45"/>
      <c r="AG20" s="45"/>
      <c r="AH20" s="45" t="s">
        <v>326</v>
      </c>
      <c r="AI20" s="45" t="s">
        <v>327</v>
      </c>
      <c r="AJ20" s="45" t="s">
        <v>328</v>
      </c>
      <c r="AQ20" t="s">
        <v>59</v>
      </c>
      <c r="AR20" t="s">
        <v>60</v>
      </c>
      <c r="AS20">
        <v>2002</v>
      </c>
      <c r="AT20" t="s">
        <v>62</v>
      </c>
      <c r="AU20" t="s">
        <v>325</v>
      </c>
      <c r="AV20" t="s">
        <v>305</v>
      </c>
      <c r="AW20" t="s">
        <v>243</v>
      </c>
      <c r="AX20" t="s">
        <v>326</v>
      </c>
      <c r="AY20">
        <v>28.299999999999997</v>
      </c>
    </row>
    <row r="21" spans="1:51" ht="21" x14ac:dyDescent="0.35">
      <c r="A21" s="2">
        <v>20</v>
      </c>
      <c r="B21" t="s">
        <v>102</v>
      </c>
      <c r="C21" s="2" t="s">
        <v>60</v>
      </c>
      <c r="D21" s="2">
        <v>2003</v>
      </c>
      <c r="E21" s="2" t="s">
        <v>103</v>
      </c>
      <c r="F21" t="s">
        <v>31</v>
      </c>
      <c r="G21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21" s="5">
        <v>0</v>
      </c>
      <c r="I21" s="8">
        <v>0</v>
      </c>
      <c r="J21" s="8">
        <v>0</v>
      </c>
      <c r="K21" s="5">
        <v>0</v>
      </c>
      <c r="L21" s="8">
        <v>0</v>
      </c>
      <c r="M21" s="8">
        <v>0</v>
      </c>
      <c r="N21" s="5">
        <v>3.2</v>
      </c>
      <c r="O21" s="8">
        <v>6.9</v>
      </c>
      <c r="P21" s="8">
        <v>10.1</v>
      </c>
      <c r="Q21" s="5">
        <v>4</v>
      </c>
      <c r="R21" s="8">
        <v>8.85</v>
      </c>
      <c r="S21" s="8">
        <v>12.85</v>
      </c>
      <c r="T21" s="5">
        <v>0</v>
      </c>
      <c r="U21" s="8">
        <v>0</v>
      </c>
      <c r="V21" s="8">
        <v>0</v>
      </c>
      <c r="W21" s="5">
        <v>0</v>
      </c>
      <c r="X21" s="8">
        <v>0</v>
      </c>
      <c r="Y21" s="8">
        <v>0</v>
      </c>
      <c r="Z21" s="4">
        <f>IF(Zabrze_result[[#This Row],[All Around]]="Yes",SUM(H21,K21,N21,Q21,T21,W21),0)</f>
        <v>0</v>
      </c>
      <c r="AA21" s="7">
        <f>IF(Zabrze_result[[#This Row],[All Around]]="Yes",SUM(I21,L21,O21,R21,U21,X21),0)</f>
        <v>0</v>
      </c>
      <c r="AB21" s="7">
        <f t="shared" si="0"/>
        <v>22.95</v>
      </c>
      <c r="AD21" s="32" t="s">
        <v>299</v>
      </c>
      <c r="AF21" s="44" t="s">
        <v>217</v>
      </c>
      <c r="AG21" s="44" t="s">
        <v>1</v>
      </c>
      <c r="AH21" s="45" t="s">
        <v>60</v>
      </c>
      <c r="AI21" s="45" t="s">
        <v>60</v>
      </c>
      <c r="AJ21" s="45" t="s">
        <v>60</v>
      </c>
      <c r="AQ21" t="s">
        <v>59</v>
      </c>
      <c r="AR21" t="s">
        <v>60</v>
      </c>
      <c r="AS21">
        <v>2002</v>
      </c>
      <c r="AT21" t="s">
        <v>62</v>
      </c>
      <c r="AU21" t="s">
        <v>325</v>
      </c>
      <c r="AV21" t="s">
        <v>305</v>
      </c>
      <c r="AW21" t="s">
        <v>243</v>
      </c>
      <c r="AX21" t="s">
        <v>327</v>
      </c>
      <c r="AY21">
        <v>47.85</v>
      </c>
    </row>
    <row r="22" spans="1:51" ht="21" x14ac:dyDescent="0.35">
      <c r="A22" s="2">
        <v>21</v>
      </c>
      <c r="B22" t="s">
        <v>104</v>
      </c>
      <c r="C22" s="2" t="s">
        <v>60</v>
      </c>
      <c r="D22" s="2">
        <v>2004</v>
      </c>
      <c r="E22" s="2" t="s">
        <v>105</v>
      </c>
      <c r="F22" t="s">
        <v>28</v>
      </c>
      <c r="G22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22" s="5">
        <v>4.5</v>
      </c>
      <c r="I22" s="8">
        <v>6.2</v>
      </c>
      <c r="J22" s="8">
        <v>10.7</v>
      </c>
      <c r="K22" s="5">
        <v>0</v>
      </c>
      <c r="L22" s="8">
        <v>0</v>
      </c>
      <c r="M22" s="8">
        <v>0</v>
      </c>
      <c r="N22" s="5">
        <v>0</v>
      </c>
      <c r="O22" s="8">
        <v>0</v>
      </c>
      <c r="P22" s="8">
        <v>0</v>
      </c>
      <c r="Q22" s="5">
        <v>3.2</v>
      </c>
      <c r="R22" s="8">
        <v>8.8000000000000007</v>
      </c>
      <c r="S22" s="8">
        <v>12</v>
      </c>
      <c r="T22" s="5">
        <v>0</v>
      </c>
      <c r="U22" s="8">
        <v>0</v>
      </c>
      <c r="V22" s="8">
        <v>0</v>
      </c>
      <c r="W22" s="5">
        <v>0</v>
      </c>
      <c r="X22" s="8">
        <v>0</v>
      </c>
      <c r="Y22" s="8">
        <v>0</v>
      </c>
      <c r="Z22" s="4">
        <f>IF(Zabrze_result[[#This Row],[All Around]]="Yes",SUM(H22,K22,N22,Q22,T22,W22),0)</f>
        <v>0</v>
      </c>
      <c r="AA22" s="7">
        <f>IF(Zabrze_result[[#This Row],[All Around]]="Yes",SUM(I22,L22,O22,R22,U22,X22),0)</f>
        <v>0</v>
      </c>
      <c r="AB22" s="7">
        <f t="shared" si="0"/>
        <v>22.7</v>
      </c>
      <c r="AD22" s="33" t="s">
        <v>252</v>
      </c>
      <c r="AF22" s="45" t="s">
        <v>243</v>
      </c>
      <c r="AG22" s="45" t="s">
        <v>110</v>
      </c>
      <c r="AH22" s="57">
        <v>0</v>
      </c>
      <c r="AI22" s="56">
        <v>0</v>
      </c>
      <c r="AJ22" s="56">
        <v>9.1</v>
      </c>
      <c r="AQ22" t="s">
        <v>59</v>
      </c>
      <c r="AR22" t="s">
        <v>60</v>
      </c>
      <c r="AS22">
        <v>2002</v>
      </c>
      <c r="AT22" t="s">
        <v>62</v>
      </c>
      <c r="AU22" t="s">
        <v>325</v>
      </c>
      <c r="AV22" t="s">
        <v>305</v>
      </c>
      <c r="AW22" t="s">
        <v>243</v>
      </c>
      <c r="AX22" t="s">
        <v>328</v>
      </c>
      <c r="AY22">
        <v>76.150000000000006</v>
      </c>
    </row>
    <row r="23" spans="1:51" ht="21" x14ac:dyDescent="0.35">
      <c r="A23" s="2">
        <v>22</v>
      </c>
      <c r="B23" t="s">
        <v>106</v>
      </c>
      <c r="C23" s="2" t="s">
        <v>60</v>
      </c>
      <c r="D23" s="2">
        <v>2004</v>
      </c>
      <c r="E23" s="2" t="s">
        <v>107</v>
      </c>
      <c r="F23" t="s">
        <v>31</v>
      </c>
      <c r="G23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23" s="5">
        <v>4</v>
      </c>
      <c r="I23" s="8">
        <v>6</v>
      </c>
      <c r="J23" s="8">
        <v>10</v>
      </c>
      <c r="K23" s="5">
        <v>0</v>
      </c>
      <c r="L23" s="8">
        <v>0</v>
      </c>
      <c r="M23" s="8">
        <v>0</v>
      </c>
      <c r="N23" s="5">
        <v>0</v>
      </c>
      <c r="O23" s="8">
        <v>0</v>
      </c>
      <c r="P23" s="8">
        <v>0</v>
      </c>
      <c r="Q23" s="5">
        <v>3.2</v>
      </c>
      <c r="R23" s="8">
        <v>9.0500000000000007</v>
      </c>
      <c r="S23" s="8">
        <v>12.25</v>
      </c>
      <c r="T23" s="5">
        <v>0</v>
      </c>
      <c r="U23" s="8">
        <v>0</v>
      </c>
      <c r="V23" s="8">
        <v>0</v>
      </c>
      <c r="W23" s="5">
        <v>0</v>
      </c>
      <c r="X23" s="8">
        <v>0</v>
      </c>
      <c r="Y23" s="8">
        <v>0</v>
      </c>
      <c r="Z23" s="4">
        <f>IF(Zabrze_result[[#This Row],[All Around]]="Yes",SUM(H23,K23,N23,Q23,T23,W23),0)</f>
        <v>0</v>
      </c>
      <c r="AA23" s="7">
        <f>IF(Zabrze_result[[#This Row],[All Around]]="Yes",SUM(I23,L23,O23,R23,U23,X23),0)</f>
        <v>0</v>
      </c>
      <c r="AB23" s="7">
        <f t="shared" si="0"/>
        <v>22.25</v>
      </c>
      <c r="AD23" s="34" t="s">
        <v>301</v>
      </c>
      <c r="AF23" s="45"/>
      <c r="AG23" s="45" t="s">
        <v>108</v>
      </c>
      <c r="AH23" s="57">
        <v>0</v>
      </c>
      <c r="AI23" s="56">
        <v>0</v>
      </c>
      <c r="AJ23" s="56">
        <v>16</v>
      </c>
      <c r="AQ23" t="s">
        <v>63</v>
      </c>
      <c r="AR23" t="s">
        <v>60</v>
      </c>
      <c r="AS23">
        <v>1997</v>
      </c>
      <c r="AT23" t="s">
        <v>39</v>
      </c>
      <c r="AU23" t="s">
        <v>325</v>
      </c>
      <c r="AV23" t="s">
        <v>305</v>
      </c>
      <c r="AW23" t="s">
        <v>218</v>
      </c>
      <c r="AX23" t="s">
        <v>308</v>
      </c>
      <c r="AY23">
        <v>6</v>
      </c>
    </row>
    <row r="24" spans="1:51" ht="21" x14ac:dyDescent="0.35">
      <c r="A24" s="2">
        <v>23</v>
      </c>
      <c r="B24" t="s">
        <v>108</v>
      </c>
      <c r="C24" s="2" t="s">
        <v>60</v>
      </c>
      <c r="D24" s="2">
        <v>2000</v>
      </c>
      <c r="E24" s="2" t="s">
        <v>109</v>
      </c>
      <c r="F24" t="s">
        <v>62</v>
      </c>
      <c r="G24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24" s="5">
        <v>3.3</v>
      </c>
      <c r="I24" s="8">
        <v>8.4</v>
      </c>
      <c r="J24" s="8">
        <v>11.7</v>
      </c>
      <c r="K24" s="5">
        <v>0</v>
      </c>
      <c r="L24" s="8">
        <v>0</v>
      </c>
      <c r="M24" s="8">
        <v>0</v>
      </c>
      <c r="N24" s="5">
        <v>2.6</v>
      </c>
      <c r="O24" s="8">
        <v>1.7</v>
      </c>
      <c r="P24" s="8">
        <v>4.3</v>
      </c>
      <c r="Q24" s="5">
        <v>0</v>
      </c>
      <c r="R24" s="8">
        <v>0</v>
      </c>
      <c r="S24" s="8">
        <v>0</v>
      </c>
      <c r="T24" s="5">
        <v>0</v>
      </c>
      <c r="U24" s="8">
        <v>0</v>
      </c>
      <c r="V24" s="8">
        <v>0</v>
      </c>
      <c r="W24" s="5">
        <v>0</v>
      </c>
      <c r="X24" s="8">
        <v>0</v>
      </c>
      <c r="Y24" s="8">
        <v>0</v>
      </c>
      <c r="Z24" s="4">
        <f>IF(Zabrze_result[[#This Row],[All Around]]="Yes",SUM(H24,K24,N24,Q24,T24,W24),0)</f>
        <v>0</v>
      </c>
      <c r="AA24" s="7">
        <f>IF(Zabrze_result[[#This Row],[All Around]]="Yes",SUM(I24,L24,O24,R24,U24,X24),0)</f>
        <v>0</v>
      </c>
      <c r="AB24" s="7">
        <f t="shared" si="0"/>
        <v>16</v>
      </c>
      <c r="AD24" s="37" t="s">
        <v>304</v>
      </c>
      <c r="AF24" s="45"/>
      <c r="AG24" s="45" t="s">
        <v>106</v>
      </c>
      <c r="AH24" s="57">
        <v>0</v>
      </c>
      <c r="AI24" s="56">
        <v>0</v>
      </c>
      <c r="AJ24" s="56">
        <v>22.25</v>
      </c>
      <c r="AQ24" t="s">
        <v>63</v>
      </c>
      <c r="AR24" t="s">
        <v>60</v>
      </c>
      <c r="AS24">
        <v>1997</v>
      </c>
      <c r="AT24" t="s">
        <v>39</v>
      </c>
      <c r="AU24" t="s">
        <v>325</v>
      </c>
      <c r="AV24" t="s">
        <v>305</v>
      </c>
      <c r="AW24" t="s">
        <v>218</v>
      </c>
      <c r="AX24" t="s">
        <v>309</v>
      </c>
      <c r="AY24">
        <v>6.6</v>
      </c>
    </row>
    <row r="25" spans="1:51" ht="21" x14ac:dyDescent="0.35">
      <c r="A25" s="2">
        <v>24</v>
      </c>
      <c r="B25" t="s">
        <v>110</v>
      </c>
      <c r="C25" s="2" t="s">
        <v>60</v>
      </c>
      <c r="D25" s="2">
        <v>2004</v>
      </c>
      <c r="E25" s="2" t="s">
        <v>111</v>
      </c>
      <c r="F25" t="s">
        <v>36</v>
      </c>
      <c r="G25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25" s="5">
        <v>0</v>
      </c>
      <c r="I25" s="8">
        <v>0</v>
      </c>
      <c r="J25" s="8">
        <v>0</v>
      </c>
      <c r="K25" s="5">
        <v>3.1</v>
      </c>
      <c r="L25" s="8">
        <v>6</v>
      </c>
      <c r="M25" s="8">
        <v>9.1</v>
      </c>
      <c r="N25" s="5">
        <v>0</v>
      </c>
      <c r="O25" s="8">
        <v>0</v>
      </c>
      <c r="P25" s="8">
        <v>0</v>
      </c>
      <c r="Q25" s="5">
        <v>0</v>
      </c>
      <c r="R25" s="8">
        <v>0</v>
      </c>
      <c r="S25" s="8">
        <v>0</v>
      </c>
      <c r="T25" s="5">
        <v>0</v>
      </c>
      <c r="U25" s="8">
        <v>0</v>
      </c>
      <c r="V25" s="8">
        <v>0</v>
      </c>
      <c r="W25" s="5">
        <v>0</v>
      </c>
      <c r="X25" s="8">
        <v>0</v>
      </c>
      <c r="Y25" s="8">
        <v>0</v>
      </c>
      <c r="Z25" s="4">
        <f>IF(Zabrze_result[[#This Row],[All Around]]="Yes",SUM(H25,K25,N25,Q25,T25,W25),0)</f>
        <v>0</v>
      </c>
      <c r="AA25" s="7">
        <f>IF(Zabrze_result[[#This Row],[All Around]]="Yes",SUM(I25,L25,O25,R25,U25,X25),0)</f>
        <v>0</v>
      </c>
      <c r="AB25" s="7">
        <f t="shared" si="0"/>
        <v>9.1</v>
      </c>
      <c r="AD25" s="35" t="s">
        <v>302</v>
      </c>
      <c r="AF25" s="45"/>
      <c r="AG25" s="45" t="s">
        <v>104</v>
      </c>
      <c r="AH25" s="57">
        <v>0</v>
      </c>
      <c r="AI25" s="56">
        <v>0</v>
      </c>
      <c r="AJ25" s="56">
        <v>22.7</v>
      </c>
      <c r="AQ25" t="s">
        <v>63</v>
      </c>
      <c r="AR25" t="s">
        <v>60</v>
      </c>
      <c r="AS25">
        <v>1997</v>
      </c>
      <c r="AT25" t="s">
        <v>39</v>
      </c>
      <c r="AU25" t="s">
        <v>325</v>
      </c>
      <c r="AV25" t="s">
        <v>305</v>
      </c>
      <c r="AW25" t="s">
        <v>218</v>
      </c>
      <c r="AX25" t="s">
        <v>268</v>
      </c>
      <c r="AY25">
        <v>12.6</v>
      </c>
    </row>
    <row r="26" spans="1:51" ht="21" x14ac:dyDescent="0.35">
      <c r="A26" s="2">
        <v>1</v>
      </c>
      <c r="B26" t="s">
        <v>25</v>
      </c>
      <c r="C26" s="2" t="s">
        <v>26</v>
      </c>
      <c r="D26" s="2">
        <v>2008</v>
      </c>
      <c r="E26" s="2" t="s">
        <v>27</v>
      </c>
      <c r="F26" t="s">
        <v>28</v>
      </c>
      <c r="G26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26" s="5">
        <v>4</v>
      </c>
      <c r="I26" s="8">
        <v>8.6999999999999993</v>
      </c>
      <c r="J26" s="8">
        <v>12.7</v>
      </c>
      <c r="K26" s="5">
        <v>3.8</v>
      </c>
      <c r="L26" s="8">
        <v>8.9</v>
      </c>
      <c r="M26" s="8">
        <v>12.7</v>
      </c>
      <c r="N26" s="5">
        <v>2.6</v>
      </c>
      <c r="O26" s="8">
        <v>8.1999999999999993</v>
      </c>
      <c r="P26" s="8">
        <v>10.8</v>
      </c>
      <c r="Q26" s="5">
        <v>2.2000000000000002</v>
      </c>
      <c r="R26" s="8">
        <v>9.0500000000000007</v>
      </c>
      <c r="S26" s="8">
        <v>11.25</v>
      </c>
      <c r="T26" s="5">
        <v>4.2</v>
      </c>
      <c r="U26" s="8">
        <v>9.1</v>
      </c>
      <c r="V26" s="8">
        <v>13.3</v>
      </c>
      <c r="W26" s="5">
        <v>2.7</v>
      </c>
      <c r="X26" s="8">
        <v>9.1</v>
      </c>
      <c r="Y26" s="8">
        <v>11.8</v>
      </c>
      <c r="Z26" s="4">
        <f>IF(Zabrze_result[[#This Row],[All Around]]="Yes",SUM(H26,K26,N26,Q26,T26,W26),0)</f>
        <v>19.5</v>
      </c>
      <c r="AA26" s="7">
        <f>IF(Zabrze_result[[#This Row],[All Around]]="Yes",SUM(I26,L26,O26,R26,U26,X26),0)</f>
        <v>53.050000000000004</v>
      </c>
      <c r="AB26" s="7">
        <f t="shared" si="0"/>
        <v>72.55</v>
      </c>
      <c r="AD26" s="36" t="s">
        <v>303</v>
      </c>
      <c r="AF26" s="45"/>
      <c r="AG26" s="45" t="s">
        <v>102</v>
      </c>
      <c r="AH26" s="57">
        <v>0</v>
      </c>
      <c r="AI26" s="56">
        <v>0</v>
      </c>
      <c r="AJ26" s="56">
        <v>22.95</v>
      </c>
      <c r="AQ26" t="s">
        <v>63</v>
      </c>
      <c r="AR26" t="s">
        <v>60</v>
      </c>
      <c r="AS26">
        <v>1997</v>
      </c>
      <c r="AT26" t="s">
        <v>39</v>
      </c>
      <c r="AU26" t="s">
        <v>325</v>
      </c>
      <c r="AV26" t="s">
        <v>305</v>
      </c>
      <c r="AW26" t="s">
        <v>238</v>
      </c>
      <c r="AX26" t="s">
        <v>308</v>
      </c>
      <c r="AY26">
        <v>4.5999999999999996</v>
      </c>
    </row>
    <row r="27" spans="1:51" ht="21" x14ac:dyDescent="0.35">
      <c r="A27" s="2">
        <v>2</v>
      </c>
      <c r="B27" t="s">
        <v>29</v>
      </c>
      <c r="C27" s="2" t="s">
        <v>26</v>
      </c>
      <c r="D27" s="2">
        <v>2005</v>
      </c>
      <c r="E27" s="2" t="s">
        <v>30</v>
      </c>
      <c r="F27" t="s">
        <v>31</v>
      </c>
      <c r="G27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27" s="5">
        <v>4.3</v>
      </c>
      <c r="I27" s="8">
        <v>8.15</v>
      </c>
      <c r="J27" s="8">
        <v>12.45</v>
      </c>
      <c r="K27" s="5">
        <v>3.6</v>
      </c>
      <c r="L27" s="8">
        <v>8.35</v>
      </c>
      <c r="M27" s="8">
        <v>11.95</v>
      </c>
      <c r="N27" s="5">
        <v>2.9</v>
      </c>
      <c r="O27" s="8">
        <v>8.1</v>
      </c>
      <c r="P27" s="8">
        <v>11</v>
      </c>
      <c r="Q27" s="5">
        <v>4</v>
      </c>
      <c r="R27" s="8">
        <v>8.9499999999999993</v>
      </c>
      <c r="S27" s="8">
        <v>12.95</v>
      </c>
      <c r="T27" s="5">
        <v>3.4</v>
      </c>
      <c r="U27" s="8">
        <v>8.35</v>
      </c>
      <c r="V27" s="8">
        <v>11.75</v>
      </c>
      <c r="W27" s="5">
        <v>3</v>
      </c>
      <c r="X27" s="8">
        <v>7.9</v>
      </c>
      <c r="Y27" s="8">
        <v>10.9</v>
      </c>
      <c r="Z27" s="4">
        <f>IF(Zabrze_result[[#This Row],[All Around]]="Yes",SUM(H27,K27,N27,Q27,T27,W27),0)</f>
        <v>21.2</v>
      </c>
      <c r="AA27" s="7">
        <f>IF(Zabrze_result[[#This Row],[All Around]]="Yes",SUM(I27,L27,O27,R27,U27,X27),0)</f>
        <v>49.8</v>
      </c>
      <c r="AB27" s="7">
        <f t="shared" si="0"/>
        <v>71</v>
      </c>
      <c r="AF27" s="45"/>
      <c r="AG27" s="45" t="s">
        <v>100</v>
      </c>
      <c r="AH27" s="57">
        <v>0</v>
      </c>
      <c r="AI27" s="56">
        <v>0</v>
      </c>
      <c r="AJ27" s="56">
        <v>29.15</v>
      </c>
      <c r="AQ27" t="s">
        <v>63</v>
      </c>
      <c r="AR27" t="s">
        <v>60</v>
      </c>
      <c r="AS27">
        <v>1997</v>
      </c>
      <c r="AT27" t="s">
        <v>39</v>
      </c>
      <c r="AU27" t="s">
        <v>325</v>
      </c>
      <c r="AV27" t="s">
        <v>305</v>
      </c>
      <c r="AW27" t="s">
        <v>238</v>
      </c>
      <c r="AX27" t="s">
        <v>309</v>
      </c>
      <c r="AY27">
        <v>6.4</v>
      </c>
    </row>
    <row r="28" spans="1:51" ht="21" x14ac:dyDescent="0.35">
      <c r="A28" s="2">
        <v>3</v>
      </c>
      <c r="B28" t="s">
        <v>32</v>
      </c>
      <c r="C28" s="2" t="s">
        <v>26</v>
      </c>
      <c r="D28" s="2">
        <v>2005</v>
      </c>
      <c r="E28" s="2" t="s">
        <v>33</v>
      </c>
      <c r="F28" t="s">
        <v>31</v>
      </c>
      <c r="G28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28" s="5">
        <v>4.2</v>
      </c>
      <c r="I28" s="8">
        <v>8.5500000000000007</v>
      </c>
      <c r="J28" s="8">
        <v>12.75</v>
      </c>
      <c r="K28" s="5">
        <v>3.6</v>
      </c>
      <c r="L28" s="8">
        <v>6.2</v>
      </c>
      <c r="M28" s="8">
        <v>9.8000000000000007</v>
      </c>
      <c r="N28" s="5">
        <v>3.2</v>
      </c>
      <c r="O28" s="8">
        <v>9</v>
      </c>
      <c r="P28" s="8">
        <v>12.2</v>
      </c>
      <c r="Q28" s="5">
        <v>3.2</v>
      </c>
      <c r="R28" s="8">
        <v>9.4499999999999993</v>
      </c>
      <c r="S28" s="8">
        <v>12.65</v>
      </c>
      <c r="T28" s="5">
        <v>3.4</v>
      </c>
      <c r="U28" s="8">
        <v>7.95</v>
      </c>
      <c r="V28" s="8">
        <v>11.35</v>
      </c>
      <c r="W28" s="5">
        <v>3.2</v>
      </c>
      <c r="X28" s="8">
        <v>7.8</v>
      </c>
      <c r="Y28" s="8">
        <v>11</v>
      </c>
      <c r="Z28" s="4">
        <f>IF(Zabrze_result[[#This Row],[All Around]]="Yes",SUM(H28,K28,N28,Q28,T28,W28),0)</f>
        <v>20.799999999999997</v>
      </c>
      <c r="AA28" s="7">
        <f>IF(Zabrze_result[[#This Row],[All Around]]="Yes",SUM(I28,L28,O28,R28,U28,X28),0)</f>
        <v>48.95</v>
      </c>
      <c r="AB28" s="7">
        <f t="shared" si="0"/>
        <v>69.75</v>
      </c>
      <c r="AF28" s="45"/>
      <c r="AG28" s="45" t="s">
        <v>98</v>
      </c>
      <c r="AH28" s="57">
        <v>0</v>
      </c>
      <c r="AI28" s="56">
        <v>0</v>
      </c>
      <c r="AJ28" s="56">
        <v>31</v>
      </c>
      <c r="AQ28" t="s">
        <v>63</v>
      </c>
      <c r="AR28" t="s">
        <v>60</v>
      </c>
      <c r="AS28">
        <v>1997</v>
      </c>
      <c r="AT28" t="s">
        <v>39</v>
      </c>
      <c r="AU28" t="s">
        <v>325</v>
      </c>
      <c r="AV28" t="s">
        <v>305</v>
      </c>
      <c r="AW28" t="s">
        <v>238</v>
      </c>
      <c r="AX28" t="s">
        <v>268</v>
      </c>
      <c r="AY28">
        <v>11</v>
      </c>
    </row>
    <row r="29" spans="1:51" ht="21" x14ac:dyDescent="0.35">
      <c r="A29" s="2">
        <v>4</v>
      </c>
      <c r="B29" t="s">
        <v>34</v>
      </c>
      <c r="C29" s="2" t="s">
        <v>26</v>
      </c>
      <c r="D29" s="2">
        <v>2006</v>
      </c>
      <c r="E29" s="2" t="s">
        <v>35</v>
      </c>
      <c r="F29" t="s">
        <v>36</v>
      </c>
      <c r="G29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29" s="5">
        <v>3.7</v>
      </c>
      <c r="I29" s="8">
        <v>8.1</v>
      </c>
      <c r="J29" s="8">
        <v>11.8</v>
      </c>
      <c r="K29" s="5">
        <v>3.9</v>
      </c>
      <c r="L29" s="8">
        <v>7</v>
      </c>
      <c r="M29" s="8">
        <v>10.9</v>
      </c>
      <c r="N29" s="5">
        <v>3.9</v>
      </c>
      <c r="O29" s="8">
        <v>8.1</v>
      </c>
      <c r="P29" s="8">
        <v>12</v>
      </c>
      <c r="Q29" s="5">
        <v>2.4</v>
      </c>
      <c r="R29" s="8">
        <v>8.9</v>
      </c>
      <c r="S29" s="8">
        <v>11.3</v>
      </c>
      <c r="T29" s="5">
        <v>3.7</v>
      </c>
      <c r="U29" s="8">
        <v>7.45</v>
      </c>
      <c r="V29" s="8">
        <v>11.15</v>
      </c>
      <c r="W29" s="5">
        <v>3.4</v>
      </c>
      <c r="X29" s="8">
        <v>7.5</v>
      </c>
      <c r="Y29" s="8">
        <v>10.9</v>
      </c>
      <c r="Z29" s="4">
        <f>IF(Zabrze_result[[#This Row],[All Around]]="Yes",SUM(H29,K29,N29,Q29,T29,W29),0)</f>
        <v>21</v>
      </c>
      <c r="AA29" s="7">
        <f>IF(Zabrze_result[[#This Row],[All Around]]="Yes",SUM(I29,L29,O29,R29,U29,X29),0)</f>
        <v>47.050000000000004</v>
      </c>
      <c r="AB29" s="7">
        <f t="shared" si="0"/>
        <v>68.05</v>
      </c>
      <c r="AF29" s="45"/>
      <c r="AG29" s="45" t="s">
        <v>96</v>
      </c>
      <c r="AH29" s="57">
        <v>0</v>
      </c>
      <c r="AI29" s="56">
        <v>0</v>
      </c>
      <c r="AJ29" s="56">
        <v>35.1</v>
      </c>
      <c r="AQ29" t="s">
        <v>63</v>
      </c>
      <c r="AR29" t="s">
        <v>60</v>
      </c>
      <c r="AS29">
        <v>1997</v>
      </c>
      <c r="AT29" t="s">
        <v>39</v>
      </c>
      <c r="AU29" t="s">
        <v>325</v>
      </c>
      <c r="AV29" t="s">
        <v>305</v>
      </c>
      <c r="AW29" t="s">
        <v>239</v>
      </c>
      <c r="AX29" t="s">
        <v>308</v>
      </c>
      <c r="AY29">
        <v>3.9</v>
      </c>
    </row>
    <row r="30" spans="1:51" ht="21" x14ac:dyDescent="0.35">
      <c r="A30" s="2">
        <v>5</v>
      </c>
      <c r="B30" t="s">
        <v>37</v>
      </c>
      <c r="C30" s="2" t="s">
        <v>26</v>
      </c>
      <c r="D30" s="2">
        <v>2006</v>
      </c>
      <c r="E30" s="2" t="s">
        <v>38</v>
      </c>
      <c r="F30" t="s">
        <v>39</v>
      </c>
      <c r="G30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30" s="5">
        <v>3.3</v>
      </c>
      <c r="I30" s="8">
        <v>8.3000000000000007</v>
      </c>
      <c r="J30" s="8">
        <v>11.6</v>
      </c>
      <c r="K30" s="5">
        <v>4.3</v>
      </c>
      <c r="L30" s="8">
        <v>7.9</v>
      </c>
      <c r="M30" s="8">
        <v>12.2</v>
      </c>
      <c r="N30" s="5">
        <v>3</v>
      </c>
      <c r="O30" s="8">
        <v>8</v>
      </c>
      <c r="P30" s="8">
        <v>11</v>
      </c>
      <c r="Q30" s="5">
        <v>3.2</v>
      </c>
      <c r="R30" s="8">
        <v>8.6</v>
      </c>
      <c r="S30" s="8">
        <v>11.8</v>
      </c>
      <c r="T30" s="5">
        <v>3.1</v>
      </c>
      <c r="U30" s="8">
        <v>8</v>
      </c>
      <c r="V30" s="8">
        <v>11.1</v>
      </c>
      <c r="W30" s="5">
        <v>3</v>
      </c>
      <c r="X30" s="8">
        <v>7.2</v>
      </c>
      <c r="Y30" s="8">
        <v>10.199999999999999</v>
      </c>
      <c r="Z30" s="4">
        <f>IF(Zabrze_result[[#This Row],[All Around]]="Yes",SUM(H30,K30,N30,Q30,T30,W30),0)</f>
        <v>19.900000000000002</v>
      </c>
      <c r="AA30" s="7">
        <f>IF(Zabrze_result[[#This Row],[All Around]]="Yes",SUM(I30,L30,O30,R30,U30,X30),0)</f>
        <v>48.000000000000007</v>
      </c>
      <c r="AB30" s="7">
        <f t="shared" si="0"/>
        <v>67.899999999999991</v>
      </c>
      <c r="AF30" s="45"/>
      <c r="AG30" s="45" t="s">
        <v>94</v>
      </c>
      <c r="AH30" s="57">
        <v>0</v>
      </c>
      <c r="AI30" s="56">
        <v>0</v>
      </c>
      <c r="AJ30" s="56">
        <v>36.549999999999997</v>
      </c>
      <c r="AQ30" t="s">
        <v>63</v>
      </c>
      <c r="AR30" t="s">
        <v>60</v>
      </c>
      <c r="AS30">
        <v>1997</v>
      </c>
      <c r="AT30" t="s">
        <v>39</v>
      </c>
      <c r="AU30" t="s">
        <v>325</v>
      </c>
      <c r="AV30" t="s">
        <v>305</v>
      </c>
      <c r="AW30" t="s">
        <v>239</v>
      </c>
      <c r="AX30" t="s">
        <v>309</v>
      </c>
      <c r="AY30">
        <v>8.1</v>
      </c>
    </row>
    <row r="31" spans="1:51" ht="21" x14ac:dyDescent="0.35">
      <c r="A31" s="2">
        <v>6</v>
      </c>
      <c r="B31" t="s">
        <v>40</v>
      </c>
      <c r="C31" s="2" t="s">
        <v>26</v>
      </c>
      <c r="D31" s="2">
        <v>2007</v>
      </c>
      <c r="E31" s="2" t="s">
        <v>41</v>
      </c>
      <c r="F31" t="s">
        <v>39</v>
      </c>
      <c r="G31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31" s="5">
        <v>3.4</v>
      </c>
      <c r="I31" s="8">
        <v>8.1999999999999993</v>
      </c>
      <c r="J31" s="8">
        <v>11.6</v>
      </c>
      <c r="K31" s="5">
        <v>2.9</v>
      </c>
      <c r="L31" s="8">
        <v>7.2</v>
      </c>
      <c r="M31" s="8">
        <v>10.1</v>
      </c>
      <c r="N31" s="5">
        <v>3.4</v>
      </c>
      <c r="O31" s="8">
        <v>8.1999999999999993</v>
      </c>
      <c r="P31" s="8">
        <v>11.6</v>
      </c>
      <c r="Q31" s="5">
        <v>4</v>
      </c>
      <c r="R31" s="8">
        <v>7.95</v>
      </c>
      <c r="S31" s="8">
        <v>11.95</v>
      </c>
      <c r="T31" s="5">
        <v>3</v>
      </c>
      <c r="U31" s="8">
        <v>8.1999999999999993</v>
      </c>
      <c r="V31" s="8">
        <v>11.2</v>
      </c>
      <c r="W31" s="5">
        <v>2.7</v>
      </c>
      <c r="X31" s="8">
        <v>8</v>
      </c>
      <c r="Y31" s="8">
        <v>10.7</v>
      </c>
      <c r="Z31" s="4">
        <f>IF(Zabrze_result[[#This Row],[All Around]]="Yes",SUM(H31,K31,N31,Q31,T31,W31),0)</f>
        <v>19.399999999999999</v>
      </c>
      <c r="AA31" s="7">
        <f>IF(Zabrze_result[[#This Row],[All Around]]="Yes",SUM(I31,L31,O31,R31,U31,X31),0)</f>
        <v>47.75</v>
      </c>
      <c r="AB31" s="7">
        <f t="shared" si="0"/>
        <v>67.150000000000006</v>
      </c>
      <c r="AF31" s="45"/>
      <c r="AG31" s="45" t="s">
        <v>92</v>
      </c>
      <c r="AH31" s="57">
        <v>0</v>
      </c>
      <c r="AI31" s="56">
        <v>0</v>
      </c>
      <c r="AJ31" s="56">
        <v>36.85</v>
      </c>
      <c r="AQ31" t="s">
        <v>63</v>
      </c>
      <c r="AR31" t="s">
        <v>60</v>
      </c>
      <c r="AS31">
        <v>1997</v>
      </c>
      <c r="AT31" t="s">
        <v>39</v>
      </c>
      <c r="AU31" t="s">
        <v>325</v>
      </c>
      <c r="AV31" t="s">
        <v>305</v>
      </c>
      <c r="AW31" t="s">
        <v>239</v>
      </c>
      <c r="AX31" t="s">
        <v>268</v>
      </c>
      <c r="AY31">
        <v>12</v>
      </c>
    </row>
    <row r="32" spans="1:51" ht="21" x14ac:dyDescent="0.35">
      <c r="A32" s="2">
        <v>7</v>
      </c>
      <c r="B32" t="s">
        <v>42</v>
      </c>
      <c r="C32" s="2" t="s">
        <v>26</v>
      </c>
      <c r="D32" s="2">
        <v>2007</v>
      </c>
      <c r="E32" s="2" t="s">
        <v>43</v>
      </c>
      <c r="F32" t="s">
        <v>36</v>
      </c>
      <c r="G32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32" s="5">
        <v>3.4</v>
      </c>
      <c r="I32" s="8">
        <v>8.4</v>
      </c>
      <c r="J32" s="8">
        <v>11.8</v>
      </c>
      <c r="K32" s="5">
        <v>2.6</v>
      </c>
      <c r="L32" s="8">
        <v>8.5500000000000007</v>
      </c>
      <c r="M32" s="8">
        <v>11.15</v>
      </c>
      <c r="N32" s="5">
        <v>2.4</v>
      </c>
      <c r="O32" s="8">
        <v>7.9</v>
      </c>
      <c r="P32" s="8">
        <v>10.3</v>
      </c>
      <c r="Q32" s="5">
        <v>2.8</v>
      </c>
      <c r="R32" s="8">
        <v>9.0500000000000007</v>
      </c>
      <c r="S32" s="8">
        <v>11.85</v>
      </c>
      <c r="T32" s="5">
        <v>3.1</v>
      </c>
      <c r="U32" s="8">
        <v>8.5500000000000007</v>
      </c>
      <c r="V32" s="8">
        <v>11.65</v>
      </c>
      <c r="W32" s="5">
        <v>1.8</v>
      </c>
      <c r="X32" s="8">
        <v>8.4</v>
      </c>
      <c r="Y32" s="8">
        <v>10.199999999999999</v>
      </c>
      <c r="Z32" s="4">
        <f>IF(Zabrze_result[[#This Row],[All Around]]="Yes",SUM(H32,K32,N32,Q32,T32,W32),0)</f>
        <v>16.099999999999998</v>
      </c>
      <c r="AA32" s="7">
        <f>IF(Zabrze_result[[#This Row],[All Around]]="Yes",SUM(I32,L32,O32,R32,U32,X32),0)</f>
        <v>50.85</v>
      </c>
      <c r="AB32" s="7">
        <f t="shared" si="0"/>
        <v>66.95</v>
      </c>
      <c r="AF32" s="45"/>
      <c r="AG32" s="45" t="s">
        <v>90</v>
      </c>
      <c r="AH32" s="57">
        <v>0</v>
      </c>
      <c r="AI32" s="56">
        <v>0</v>
      </c>
      <c r="AJ32" s="56">
        <v>37.65</v>
      </c>
      <c r="AQ32" t="s">
        <v>63</v>
      </c>
      <c r="AR32" t="s">
        <v>60</v>
      </c>
      <c r="AS32">
        <v>1997</v>
      </c>
      <c r="AT32" t="s">
        <v>39</v>
      </c>
      <c r="AU32" t="s">
        <v>325</v>
      </c>
      <c r="AV32" t="s">
        <v>305</v>
      </c>
      <c r="AW32" t="s">
        <v>240</v>
      </c>
      <c r="AX32" t="s">
        <v>308</v>
      </c>
      <c r="AY32">
        <v>5.2</v>
      </c>
    </row>
    <row r="33" spans="1:51" ht="21" x14ac:dyDescent="0.35">
      <c r="A33" s="2">
        <v>8</v>
      </c>
      <c r="B33" t="s">
        <v>44</v>
      </c>
      <c r="C33" s="2" t="s">
        <v>26</v>
      </c>
      <c r="D33" s="2">
        <v>2007</v>
      </c>
      <c r="E33" s="2" t="s">
        <v>45</v>
      </c>
      <c r="F33" t="s">
        <v>39</v>
      </c>
      <c r="G33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33" s="5">
        <v>3.1</v>
      </c>
      <c r="I33" s="8">
        <v>8.35</v>
      </c>
      <c r="J33" s="8">
        <v>11.45</v>
      </c>
      <c r="K33" s="5">
        <v>3</v>
      </c>
      <c r="L33" s="8">
        <v>7.2</v>
      </c>
      <c r="M33" s="8">
        <v>10.199999999999999</v>
      </c>
      <c r="N33" s="5">
        <v>2.1</v>
      </c>
      <c r="O33" s="8">
        <v>8.0500000000000007</v>
      </c>
      <c r="P33" s="8">
        <v>10.15</v>
      </c>
      <c r="Q33" s="5">
        <v>2.4</v>
      </c>
      <c r="R33" s="8">
        <v>8.9</v>
      </c>
      <c r="S33" s="8">
        <v>11.3</v>
      </c>
      <c r="T33" s="5">
        <v>3</v>
      </c>
      <c r="U33" s="8">
        <v>9</v>
      </c>
      <c r="V33" s="8">
        <v>12</v>
      </c>
      <c r="W33" s="5">
        <v>2.4</v>
      </c>
      <c r="X33" s="8">
        <v>7.9</v>
      </c>
      <c r="Y33" s="8">
        <v>10.3</v>
      </c>
      <c r="Z33" s="4">
        <f>IF(Zabrze_result[[#This Row],[All Around]]="Yes",SUM(H33,K33,N33,Q33,T33,W33),0)</f>
        <v>16</v>
      </c>
      <c r="AA33" s="7">
        <f>IF(Zabrze_result[[#This Row],[All Around]]="Yes",SUM(I33,L33,O33,R33,U33,X33),0)</f>
        <v>49.4</v>
      </c>
      <c r="AB33" s="7">
        <f t="shared" si="0"/>
        <v>65.399999999999991</v>
      </c>
      <c r="AF33" s="45"/>
      <c r="AG33" s="45" t="s">
        <v>88</v>
      </c>
      <c r="AH33" s="57">
        <v>0</v>
      </c>
      <c r="AI33" s="56">
        <v>0</v>
      </c>
      <c r="AJ33" s="56">
        <v>38.599999999999994</v>
      </c>
      <c r="AQ33" t="s">
        <v>63</v>
      </c>
      <c r="AR33" t="s">
        <v>60</v>
      </c>
      <c r="AS33">
        <v>1997</v>
      </c>
      <c r="AT33" t="s">
        <v>39</v>
      </c>
      <c r="AU33" t="s">
        <v>325</v>
      </c>
      <c r="AV33" t="s">
        <v>305</v>
      </c>
      <c r="AW33" t="s">
        <v>240</v>
      </c>
      <c r="AX33" t="s">
        <v>309</v>
      </c>
      <c r="AY33">
        <v>9.6</v>
      </c>
    </row>
    <row r="34" spans="1:51" ht="21" x14ac:dyDescent="0.35">
      <c r="A34" s="2">
        <v>9</v>
      </c>
      <c r="B34" t="s">
        <v>46</v>
      </c>
      <c r="C34" s="2" t="s">
        <v>26</v>
      </c>
      <c r="D34" s="2">
        <v>2006</v>
      </c>
      <c r="E34" s="2" t="s">
        <v>47</v>
      </c>
      <c r="F34" t="s">
        <v>36</v>
      </c>
      <c r="G34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34" s="5">
        <v>2.9</v>
      </c>
      <c r="I34" s="8">
        <v>8.1999999999999993</v>
      </c>
      <c r="J34" s="8">
        <v>11.1</v>
      </c>
      <c r="K34" s="5">
        <v>2.2000000000000002</v>
      </c>
      <c r="L34" s="8">
        <v>5.75</v>
      </c>
      <c r="M34" s="8">
        <v>7.95</v>
      </c>
      <c r="N34" s="5">
        <v>1.7</v>
      </c>
      <c r="O34" s="8">
        <v>6.8</v>
      </c>
      <c r="P34" s="8">
        <v>8.5</v>
      </c>
      <c r="Q34" s="5">
        <v>1.6</v>
      </c>
      <c r="R34" s="8">
        <v>9</v>
      </c>
      <c r="S34" s="8">
        <v>10.6</v>
      </c>
      <c r="T34" s="5">
        <v>2.4</v>
      </c>
      <c r="U34" s="8">
        <v>8.6</v>
      </c>
      <c r="V34" s="8">
        <v>11</v>
      </c>
      <c r="W34" s="5">
        <v>1.8</v>
      </c>
      <c r="X34" s="8">
        <v>7.7</v>
      </c>
      <c r="Y34" s="8">
        <v>9.5</v>
      </c>
      <c r="Z34" s="4">
        <f>IF(Zabrze_result[[#This Row],[All Around]]="Yes",SUM(H34,K34,N34,Q34,T34,W34),0)</f>
        <v>12.600000000000001</v>
      </c>
      <c r="AA34" s="7">
        <f>IF(Zabrze_result[[#This Row],[All Around]]="Yes",SUM(I34,L34,O34,R34,U34,X34),0)</f>
        <v>46.050000000000004</v>
      </c>
      <c r="AB34" s="7">
        <f t="shared" si="0"/>
        <v>58.65</v>
      </c>
      <c r="AF34" s="45"/>
      <c r="AG34" s="45" t="s">
        <v>86</v>
      </c>
      <c r="AH34" s="57">
        <v>0</v>
      </c>
      <c r="AI34" s="56">
        <v>0</v>
      </c>
      <c r="AJ34" s="56">
        <v>39.600000000000009</v>
      </c>
      <c r="AQ34" t="s">
        <v>63</v>
      </c>
      <c r="AR34" t="s">
        <v>60</v>
      </c>
      <c r="AS34">
        <v>1997</v>
      </c>
      <c r="AT34" t="s">
        <v>39</v>
      </c>
      <c r="AU34" t="s">
        <v>325</v>
      </c>
      <c r="AV34" t="s">
        <v>305</v>
      </c>
      <c r="AW34" t="s">
        <v>240</v>
      </c>
      <c r="AX34" t="s">
        <v>268</v>
      </c>
      <c r="AY34">
        <v>14.8</v>
      </c>
    </row>
    <row r="35" spans="1:51" ht="21" x14ac:dyDescent="0.35">
      <c r="A35" s="2">
        <v>10</v>
      </c>
      <c r="B35" t="s">
        <v>48</v>
      </c>
      <c r="C35" s="2" t="s">
        <v>26</v>
      </c>
      <c r="D35" s="2">
        <v>2006</v>
      </c>
      <c r="E35" s="2" t="s">
        <v>49</v>
      </c>
      <c r="F35" t="s">
        <v>36</v>
      </c>
      <c r="G35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35" s="5">
        <v>3.2</v>
      </c>
      <c r="I35" s="8">
        <v>8.15</v>
      </c>
      <c r="J35" s="8">
        <v>11.35</v>
      </c>
      <c r="K35" s="5">
        <v>2.7</v>
      </c>
      <c r="L35" s="8">
        <v>1.95</v>
      </c>
      <c r="M35" s="8">
        <v>4.6500000000000004</v>
      </c>
      <c r="N35" s="5">
        <v>2.5</v>
      </c>
      <c r="O35" s="8">
        <v>6.5</v>
      </c>
      <c r="P35" s="8">
        <v>9</v>
      </c>
      <c r="Q35" s="5">
        <v>1.6</v>
      </c>
      <c r="R35" s="8">
        <v>9.5</v>
      </c>
      <c r="S35" s="8">
        <v>11.1</v>
      </c>
      <c r="T35" s="5">
        <v>3.1</v>
      </c>
      <c r="U35" s="8">
        <v>7.8</v>
      </c>
      <c r="V35" s="8">
        <v>10.9</v>
      </c>
      <c r="W35" s="5">
        <v>1.9</v>
      </c>
      <c r="X35" s="8">
        <v>8.1999999999999993</v>
      </c>
      <c r="Y35" s="8">
        <v>10.1</v>
      </c>
      <c r="Z35" s="4">
        <f>IF(Zabrze_result[[#This Row],[All Around]]="Yes",SUM(H35,K35,N35,Q35,T35,W35),0)</f>
        <v>15</v>
      </c>
      <c r="AA35" s="7">
        <f>IF(Zabrze_result[[#This Row],[All Around]]="Yes",SUM(I35,L35,O35,R35,U35,X35),0)</f>
        <v>42.099999999999994</v>
      </c>
      <c r="AB35" s="7">
        <f t="shared" si="0"/>
        <v>57.1</v>
      </c>
      <c r="AF35" s="45"/>
      <c r="AG35" s="45" t="s">
        <v>84</v>
      </c>
      <c r="AH35" s="57">
        <v>20.9</v>
      </c>
      <c r="AI35" s="56">
        <v>43.05</v>
      </c>
      <c r="AJ35" s="56">
        <v>63.95</v>
      </c>
      <c r="AQ35" t="s">
        <v>63</v>
      </c>
      <c r="AR35" t="s">
        <v>60</v>
      </c>
      <c r="AS35">
        <v>1997</v>
      </c>
      <c r="AT35" t="s">
        <v>39</v>
      </c>
      <c r="AU35" t="s">
        <v>325</v>
      </c>
      <c r="AV35" t="s">
        <v>305</v>
      </c>
      <c r="AW35" t="s">
        <v>314</v>
      </c>
      <c r="AX35" t="s">
        <v>308</v>
      </c>
      <c r="AY35">
        <v>4.2</v>
      </c>
    </row>
    <row r="36" spans="1:51" ht="21" x14ac:dyDescent="0.35">
      <c r="A36" s="2">
        <v>11</v>
      </c>
      <c r="B36" t="s">
        <v>50</v>
      </c>
      <c r="C36" s="2" t="s">
        <v>26</v>
      </c>
      <c r="D36" s="2">
        <v>2007</v>
      </c>
      <c r="E36" s="2" t="s">
        <v>51</v>
      </c>
      <c r="F36" t="s">
        <v>36</v>
      </c>
      <c r="G36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36" s="5">
        <v>3.7</v>
      </c>
      <c r="I36" s="8">
        <v>8.3000000000000007</v>
      </c>
      <c r="J36" s="8">
        <v>12</v>
      </c>
      <c r="K36" s="5">
        <v>0</v>
      </c>
      <c r="L36" s="8">
        <v>0</v>
      </c>
      <c r="M36" s="8">
        <v>0</v>
      </c>
      <c r="N36" s="5">
        <v>3.7</v>
      </c>
      <c r="O36" s="8">
        <v>8.1</v>
      </c>
      <c r="P36" s="8">
        <v>11.8</v>
      </c>
      <c r="Q36" s="5">
        <v>0</v>
      </c>
      <c r="R36" s="8">
        <v>0</v>
      </c>
      <c r="S36" s="8">
        <v>0</v>
      </c>
      <c r="T36" s="5">
        <v>0</v>
      </c>
      <c r="U36" s="8">
        <v>0</v>
      </c>
      <c r="V36" s="8">
        <v>0</v>
      </c>
      <c r="W36" s="5">
        <v>2.7</v>
      </c>
      <c r="X36" s="8">
        <v>8</v>
      </c>
      <c r="Y36" s="8">
        <v>10.7</v>
      </c>
      <c r="Z36" s="4">
        <f>IF(Zabrze_result[[#This Row],[All Around]]="Yes",SUM(H36,K36,N36,Q36,T36,W36),0)</f>
        <v>0</v>
      </c>
      <c r="AA36" s="7">
        <f>IF(Zabrze_result[[#This Row],[All Around]]="Yes",SUM(I36,L36,O36,R36,U36,X36),0)</f>
        <v>0</v>
      </c>
      <c r="AB36" s="7">
        <f t="shared" si="0"/>
        <v>34.5</v>
      </c>
      <c r="AF36" s="45"/>
      <c r="AG36" s="45" t="s">
        <v>82</v>
      </c>
      <c r="AH36" s="57">
        <v>21.900000000000002</v>
      </c>
      <c r="AI36" s="56">
        <v>46.95</v>
      </c>
      <c r="AJ36" s="56">
        <v>68.849999999999994</v>
      </c>
      <c r="AQ36" t="s">
        <v>63</v>
      </c>
      <c r="AR36" t="s">
        <v>60</v>
      </c>
      <c r="AS36">
        <v>1997</v>
      </c>
      <c r="AT36" t="s">
        <v>39</v>
      </c>
      <c r="AU36" t="s">
        <v>325</v>
      </c>
      <c r="AV36" t="s">
        <v>305</v>
      </c>
      <c r="AW36" t="s">
        <v>314</v>
      </c>
      <c r="AX36" t="s">
        <v>309</v>
      </c>
      <c r="AY36">
        <v>8.1999999999999993</v>
      </c>
    </row>
    <row r="37" spans="1:51" ht="21" x14ac:dyDescent="0.35">
      <c r="A37" s="2">
        <v>12</v>
      </c>
      <c r="B37" t="s">
        <v>52</v>
      </c>
      <c r="C37" s="2" t="s">
        <v>26</v>
      </c>
      <c r="D37" s="2">
        <v>2006</v>
      </c>
      <c r="E37" s="2" t="s">
        <v>53</v>
      </c>
      <c r="F37" t="s">
        <v>36</v>
      </c>
      <c r="G37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37" s="5">
        <v>0</v>
      </c>
      <c r="I37" s="8">
        <v>0</v>
      </c>
      <c r="J37" s="8">
        <v>0</v>
      </c>
      <c r="K37" s="5">
        <v>2.2000000000000002</v>
      </c>
      <c r="L37" s="8">
        <v>6.5</v>
      </c>
      <c r="M37" s="8">
        <v>8.6999999999999993</v>
      </c>
      <c r="N37" s="5">
        <v>0</v>
      </c>
      <c r="O37" s="8">
        <v>0</v>
      </c>
      <c r="P37" s="8">
        <v>0</v>
      </c>
      <c r="Q37" s="5">
        <v>0</v>
      </c>
      <c r="R37" s="8">
        <v>0</v>
      </c>
      <c r="S37" s="8">
        <v>0</v>
      </c>
      <c r="T37" s="5">
        <v>3.1</v>
      </c>
      <c r="U37" s="8">
        <v>8</v>
      </c>
      <c r="V37" s="8">
        <v>11.1</v>
      </c>
      <c r="W37" s="5">
        <v>0</v>
      </c>
      <c r="X37" s="8">
        <v>0</v>
      </c>
      <c r="Y37" s="8">
        <v>0</v>
      </c>
      <c r="Z37" s="4">
        <f>IF(Zabrze_result[[#This Row],[All Around]]="Yes",SUM(H37,K37,N37,Q37,T37,W37),0)</f>
        <v>0</v>
      </c>
      <c r="AA37" s="7">
        <f>IF(Zabrze_result[[#This Row],[All Around]]="Yes",SUM(I37,L37,O37,R37,U37,X37),0)</f>
        <v>0</v>
      </c>
      <c r="AB37" s="7">
        <f t="shared" si="0"/>
        <v>19.799999999999997</v>
      </c>
      <c r="AF37" s="45"/>
      <c r="AG37" s="45" t="s">
        <v>80</v>
      </c>
      <c r="AH37" s="57">
        <v>20.9</v>
      </c>
      <c r="AI37" s="56">
        <v>47.999999999999993</v>
      </c>
      <c r="AJ37" s="56">
        <v>68.900000000000006</v>
      </c>
      <c r="AQ37" t="s">
        <v>63</v>
      </c>
      <c r="AR37" t="s">
        <v>60</v>
      </c>
      <c r="AS37">
        <v>1997</v>
      </c>
      <c r="AT37" t="s">
        <v>39</v>
      </c>
      <c r="AU37" t="s">
        <v>325</v>
      </c>
      <c r="AV37" t="s">
        <v>305</v>
      </c>
      <c r="AW37" t="s">
        <v>314</v>
      </c>
      <c r="AX37" t="s">
        <v>268</v>
      </c>
      <c r="AY37">
        <v>12.4</v>
      </c>
    </row>
    <row r="38" spans="1:51" ht="21" x14ac:dyDescent="0.35">
      <c r="A38" s="2">
        <v>13</v>
      </c>
      <c r="B38" t="s">
        <v>54</v>
      </c>
      <c r="C38" s="2" t="s">
        <v>26</v>
      </c>
      <c r="D38" s="2">
        <v>2008</v>
      </c>
      <c r="E38" s="2" t="s">
        <v>55</v>
      </c>
      <c r="F38" t="s">
        <v>56</v>
      </c>
      <c r="G38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38" s="5">
        <v>0</v>
      </c>
      <c r="I38" s="8">
        <v>0</v>
      </c>
      <c r="J38" s="8">
        <v>0</v>
      </c>
      <c r="K38" s="5">
        <v>0</v>
      </c>
      <c r="L38" s="8">
        <v>0</v>
      </c>
      <c r="M38" s="8">
        <v>0</v>
      </c>
      <c r="N38" s="5">
        <v>0</v>
      </c>
      <c r="O38" s="8">
        <v>0</v>
      </c>
      <c r="P38" s="8">
        <v>0</v>
      </c>
      <c r="Q38" s="5">
        <v>1.6</v>
      </c>
      <c r="R38" s="8">
        <v>8.3000000000000007</v>
      </c>
      <c r="S38" s="8">
        <v>9.9</v>
      </c>
      <c r="T38" s="5">
        <v>0</v>
      </c>
      <c r="U38" s="8">
        <v>0</v>
      </c>
      <c r="V38" s="8">
        <v>0</v>
      </c>
      <c r="W38" s="5">
        <v>0</v>
      </c>
      <c r="X38" s="8">
        <v>0</v>
      </c>
      <c r="Y38" s="8">
        <v>0</v>
      </c>
      <c r="Z38" s="4">
        <f>IF(Zabrze_result[[#This Row],[All Around]]="Yes",SUM(H38,K38,N38,Q38,T38,W38),0)</f>
        <v>0</v>
      </c>
      <c r="AA38" s="7">
        <f>IF(Zabrze_result[[#This Row],[All Around]]="Yes",SUM(I38,L38,O38,R38,U38,X38),0)</f>
        <v>0</v>
      </c>
      <c r="AB38" s="7">
        <f t="shared" si="0"/>
        <v>9.9</v>
      </c>
      <c r="AF38" s="45"/>
      <c r="AG38" s="45" t="s">
        <v>77</v>
      </c>
      <c r="AH38" s="57">
        <v>21.1</v>
      </c>
      <c r="AI38" s="56">
        <v>47.85</v>
      </c>
      <c r="AJ38" s="56">
        <v>68.95</v>
      </c>
      <c r="AQ38" t="s">
        <v>63</v>
      </c>
      <c r="AR38" t="s">
        <v>60</v>
      </c>
      <c r="AS38">
        <v>1997</v>
      </c>
      <c r="AT38" t="s">
        <v>39</v>
      </c>
      <c r="AU38" t="s">
        <v>325</v>
      </c>
      <c r="AV38" t="s">
        <v>305</v>
      </c>
      <c r="AW38" t="s">
        <v>242</v>
      </c>
      <c r="AX38" t="s">
        <v>308</v>
      </c>
      <c r="AY38">
        <v>4.4000000000000004</v>
      </c>
    </row>
    <row r="39" spans="1:51" ht="21" x14ac:dyDescent="0.35">
      <c r="AF39" s="45"/>
      <c r="AG39" s="45" t="s">
        <v>75</v>
      </c>
      <c r="AH39" s="57">
        <v>20.7</v>
      </c>
      <c r="AI39" s="56">
        <v>48.949999999999996</v>
      </c>
      <c r="AJ39" s="56">
        <v>69.649999999999991</v>
      </c>
      <c r="AQ39" t="s">
        <v>63</v>
      </c>
      <c r="AR39" t="s">
        <v>60</v>
      </c>
      <c r="AS39">
        <v>1997</v>
      </c>
      <c r="AT39" t="s">
        <v>39</v>
      </c>
      <c r="AU39" t="s">
        <v>325</v>
      </c>
      <c r="AV39" t="s">
        <v>305</v>
      </c>
      <c r="AW39" t="s">
        <v>242</v>
      </c>
      <c r="AX39" t="s">
        <v>309</v>
      </c>
      <c r="AY39">
        <v>6.8</v>
      </c>
    </row>
    <row r="40" spans="1:51" ht="21" x14ac:dyDescent="0.35">
      <c r="AF40" s="45"/>
      <c r="AG40" s="45" t="s">
        <v>73</v>
      </c>
      <c r="AH40" s="57">
        <v>20.999999999999996</v>
      </c>
      <c r="AI40" s="56">
        <v>48.9</v>
      </c>
      <c r="AJ40" s="56">
        <v>69.900000000000006</v>
      </c>
      <c r="AQ40" t="s">
        <v>63</v>
      </c>
      <c r="AR40" t="s">
        <v>60</v>
      </c>
      <c r="AS40">
        <v>1997</v>
      </c>
      <c r="AT40" t="s">
        <v>39</v>
      </c>
      <c r="AU40" t="s">
        <v>325</v>
      </c>
      <c r="AV40" t="s">
        <v>305</v>
      </c>
      <c r="AW40" t="s">
        <v>242</v>
      </c>
      <c r="AX40" t="s">
        <v>268</v>
      </c>
      <c r="AY40">
        <v>11.2</v>
      </c>
    </row>
    <row r="41" spans="1:51" ht="21" x14ac:dyDescent="0.35">
      <c r="AF41" s="45"/>
      <c r="AG41" s="45" t="s">
        <v>70</v>
      </c>
      <c r="AH41" s="57">
        <v>25.6</v>
      </c>
      <c r="AI41" s="56">
        <v>44.8</v>
      </c>
      <c r="AJ41" s="56">
        <v>70.400000000000006</v>
      </c>
      <c r="AQ41" t="s">
        <v>63</v>
      </c>
      <c r="AR41" t="s">
        <v>60</v>
      </c>
      <c r="AS41">
        <v>1997</v>
      </c>
      <c r="AT41" t="s">
        <v>39</v>
      </c>
      <c r="AU41" t="s">
        <v>325</v>
      </c>
      <c r="AV41" t="s">
        <v>305</v>
      </c>
      <c r="AW41" t="s">
        <v>243</v>
      </c>
      <c r="AX41" t="s">
        <v>326</v>
      </c>
      <c r="AY41">
        <v>28.299999999999997</v>
      </c>
    </row>
    <row r="42" spans="1:51" ht="31.5" x14ac:dyDescent="0.35">
      <c r="A42" s="2" t="s">
        <v>2</v>
      </c>
      <c r="B42" s="10" t="s">
        <v>217</v>
      </c>
      <c r="C42" s="10" t="s">
        <v>244</v>
      </c>
      <c r="D42" s="10" t="s">
        <v>249</v>
      </c>
      <c r="E42" s="10" t="s">
        <v>245</v>
      </c>
      <c r="F42" s="10" t="s">
        <v>250</v>
      </c>
      <c r="G42" s="10" t="s">
        <v>246</v>
      </c>
      <c r="H42" s="10" t="s">
        <v>251</v>
      </c>
      <c r="I42" s="10" t="s">
        <v>252</v>
      </c>
      <c r="J42" s="10" t="s">
        <v>253</v>
      </c>
      <c r="V42" s="13"/>
      <c r="Z42" s="5"/>
      <c r="AF42" s="45"/>
      <c r="AG42" s="45" t="s">
        <v>68</v>
      </c>
      <c r="AH42" s="57">
        <v>21.5</v>
      </c>
      <c r="AI42" s="56">
        <v>49.949999999999996</v>
      </c>
      <c r="AJ42" s="56">
        <v>71.45</v>
      </c>
      <c r="AQ42" t="s">
        <v>63</v>
      </c>
      <c r="AR42" t="s">
        <v>60</v>
      </c>
      <c r="AS42">
        <v>1997</v>
      </c>
      <c r="AT42" t="s">
        <v>39</v>
      </c>
      <c r="AU42" t="s">
        <v>325</v>
      </c>
      <c r="AV42" t="s">
        <v>305</v>
      </c>
      <c r="AW42" t="s">
        <v>243</v>
      </c>
      <c r="AX42" t="s">
        <v>327</v>
      </c>
      <c r="AY42">
        <v>45.7</v>
      </c>
    </row>
    <row r="43" spans="1:51" ht="21" x14ac:dyDescent="0.35">
      <c r="A43" s="2" t="s">
        <v>60</v>
      </c>
      <c r="B43" s="10" t="s">
        <v>243</v>
      </c>
      <c r="C43" s="11">
        <f>AVERAGEIFS(Zabrze_result[AA_Dscore],Zabrze_result[[Category]:[Category]],"senior",Zabrze_result[AA_Dscore],"&lt;&gt;0",Zabrze_result[All Around],"Yes")</f>
        <v>22.863636363636363</v>
      </c>
      <c r="D43" s="11" cm="1">
        <f t="array" ref="D43">_xlfn.STDEV.S(_xlfn._xlws.FILTER(Zabrze_result[AA_Dscore],(Zabrze_result[Category]="senior")*(Zabrze_result[All Around]="yes")))</f>
        <v>3.0133943410289863</v>
      </c>
      <c r="E43" s="12">
        <f>AVERAGEIFS(Zabrze_result[AA_Escore],Zabrze_result[[Category]:[Category]],"senior",Zabrze_result[AA_Escore],"&lt;&gt;0",Zabrze_result[All Around],"Yes")</f>
        <v>47.522727272727273</v>
      </c>
      <c r="F43" s="12" cm="1">
        <f t="array" ref="F43">_xlfn.STDEV.S(_xlfn._xlws.FILTER(Zabrze_result[AA_Escore],(Zabrze_result[Category]="senior")*(Zabrze_result[All Around]="yes"),""))</f>
        <v>2.2749025953173954</v>
      </c>
      <c r="G43" s="12">
        <f>AVERAGEIFS(Zabrze_result[Total_Score],Zabrze_result[[Category]:[Category]],"senior",Zabrze_result[Total_Score],"&lt;&gt;0",Zabrze_result[All Around],"Yes")</f>
        <v>70.38636363636364</v>
      </c>
      <c r="H43" s="12" cm="1">
        <f t="array" ref="H43">_xlfn.STDEV.S(_xlfn._xlws.FILTER(Zabrze_result[Total_Score],(Zabrze_result[Category]="senior")*(Zabrze_result[All Around]="yes")))</f>
        <v>3.1466721237754438</v>
      </c>
      <c r="I43" s="12" cm="1">
        <f t="array" ref="I43">MAX(_xlfn._xlws.FILTER(Zabrze_result[Total_Score],Zabrze_result[Category]="senior"))</f>
        <v>76.150000000000006</v>
      </c>
      <c r="J43" s="10" t="str" cm="1">
        <f t="array" ref="J43">IF(COUNTIFS(Zabrze_result[Total_Score],I43,Zabrze_result[Category],"senior")&gt;1,_xlfn.XLOOKUP(I43,_xlfn._xlws.FILTER(Zabrze_result[Total_Score],Zabrze_result[Category]="senior"),_xlfn._xlws.FILTER(Zabrze_result[Name],Zabrze_result[Category]="senior"),0)&amp;" and "&amp;(COUNTIFS(Zabrze_result[Total_Score],I43,Zabrze_result[Category],"senior")-1)&amp;" more",_xlfn.XLOOKUP(I43,_xlfn._xlws.FILTER(Zabrze_result[Total_Score],Zabrze_result[Category]="senior"),_xlfn._xlws.FILTER(Zabrze_result[Name],Zabrze_result[Category]="senior"),0))</f>
        <v>GARNCZAREK Kacper</v>
      </c>
      <c r="AF43" s="45"/>
      <c r="AG43" s="45" t="s">
        <v>65</v>
      </c>
      <c r="AH43" s="57">
        <v>21.3</v>
      </c>
      <c r="AI43" s="56">
        <v>50.750000000000007</v>
      </c>
      <c r="AJ43" s="56">
        <v>72.050000000000011</v>
      </c>
      <c r="AQ43" t="s">
        <v>63</v>
      </c>
      <c r="AR43" t="s">
        <v>60</v>
      </c>
      <c r="AS43">
        <v>1997</v>
      </c>
      <c r="AT43" t="s">
        <v>39</v>
      </c>
      <c r="AU43" t="s">
        <v>325</v>
      </c>
      <c r="AV43" t="s">
        <v>305</v>
      </c>
      <c r="AW43" t="s">
        <v>243</v>
      </c>
      <c r="AX43" t="s">
        <v>328</v>
      </c>
      <c r="AY43">
        <v>74</v>
      </c>
    </row>
    <row r="44" spans="1:51" ht="21" x14ac:dyDescent="0.35">
      <c r="A44" s="2" t="s">
        <v>60</v>
      </c>
      <c r="B44" s="10" t="s">
        <v>218</v>
      </c>
      <c r="C44" s="11">
        <f>AVERAGEIFS(Zabrze_result[FX_Dscore],Zabrze_result[[Category]:[Category]],"senior",Zabrze_result[FX_Dscore],"&lt;&gt;0")</f>
        <v>4.2333333333333325</v>
      </c>
      <c r="D44" s="11" cm="1">
        <f t="array" ref="D44">_xlfn.STDEV.S(_xlfn._xlws.FILTER(Zabrze_result[FX_Dscore],(Zabrze_result[Category]="senior")*(Zabrze_result[FX_Dscore]&gt;0)))</f>
        <v>0.67475485744606734</v>
      </c>
      <c r="E44" s="12">
        <f>AVERAGEIFS(Zabrze_result[FX_Escore],Zabrze_result[[Category]:[Category]],"senior",Zabrze_result[FX_Escore],"&lt;&gt;0")</f>
        <v>7.6055555555555561</v>
      </c>
      <c r="F44" s="12" cm="1">
        <f t="array" ref="F44">_xlfn.STDEV.S(_xlfn._xlws.FILTER(Zabrze_result[FX_Escore],(Zabrze_result[Category]="senior")*(Zabrze_result[FX_Escore]&gt;0)))</f>
        <v>0.88731069047876676</v>
      </c>
      <c r="G44" s="12">
        <f>AVERAGEIFS(Zabrze_result[FX_total_score],Zabrze_result[[Category]:[Category]],"senior",Zabrze_result[FX_total_score],"&lt;&gt;0")</f>
        <v>11.838888888888887</v>
      </c>
      <c r="H44" s="12" cm="1">
        <f t="array" ref="H44">_xlfn.STDEV.S(_xlfn._xlws.FILTER(Zabrze_result[FX_total_score],(Zabrze_result[Category]="senior")*(Zabrze_result[FX_total_score]&gt;0)))</f>
        <v>0.91964755965909473</v>
      </c>
      <c r="I44" s="12" cm="1">
        <f t="array" ref="I44">MAX(_xlfn._xlws.FILTER(Zabrze_result[FX_total_score],Zabrze_result[Category]="senior"))</f>
        <v>13.45</v>
      </c>
      <c r="J44" s="10" t="str" cm="1">
        <f t="array" ref="J44">IF(COUNTIFS(Zabrze_result[FX_total_score],I44,Zabrze_result[Category],"senior")&gt;1,_xlfn.XLOOKUP(I44,_xlfn._xlws.FILTER(Zabrze_result[FX_total_score],Zabrze_result[Category]="senior"),_xlfn._xlws.FILTER(Zabrze_result[Name],Zabrze_result[Category]="senior"),0)&amp;" and "&amp;(COUNTIFS(Zabrze_result[FX_total_score],I44,Zabrze_result[Category],"senior")-1)&amp;" more",_xlfn.XLOOKUP(I44,_xlfn._xlws.FILTER(Zabrze_result[FX_total_score],Zabrze_result[Category]="senior"),_xlfn._xlws.FILTER(Zabrze_result[Name],Zabrze_result[Category]="senior"),0))</f>
        <v>GARNCZAREK Kacper</v>
      </c>
      <c r="AF44" s="45"/>
      <c r="AG44" s="45" t="s">
        <v>63</v>
      </c>
      <c r="AH44" s="57">
        <v>28.299999999999997</v>
      </c>
      <c r="AI44" s="56">
        <v>45.7</v>
      </c>
      <c r="AJ44" s="56">
        <v>74</v>
      </c>
      <c r="AQ44" t="s">
        <v>65</v>
      </c>
      <c r="AR44" t="s">
        <v>60</v>
      </c>
      <c r="AS44">
        <v>2001</v>
      </c>
      <c r="AT44" t="s">
        <v>67</v>
      </c>
      <c r="AU44" t="s">
        <v>325</v>
      </c>
      <c r="AV44" t="s">
        <v>305</v>
      </c>
      <c r="AW44" t="s">
        <v>218</v>
      </c>
      <c r="AX44" t="s">
        <v>308</v>
      </c>
      <c r="AY44">
        <v>3.8</v>
      </c>
    </row>
    <row r="45" spans="1:51" ht="21" x14ac:dyDescent="0.35">
      <c r="A45" s="2" t="s">
        <v>60</v>
      </c>
      <c r="B45" s="10" t="s">
        <v>242</v>
      </c>
      <c r="C45" s="11">
        <f>AVERAGEIFS(Zabrze_result[HB_Dscore],Zabrze_result[[Category]:[Category]],"senior",Zabrze_result[HB_Dscore],"&lt;&gt;0")</f>
        <v>2.976923076923077</v>
      </c>
      <c r="D45" s="11" cm="1">
        <f t="array" ref="D45">_xlfn.STDEV.S(_xlfn._xlws.FILTER(Zabrze_result[HB_Dscore],(Zabrze_result[Category]="senior")*(Zabrze_result[HB_Dscore]&gt;0)))</f>
        <v>0.87001326249838074</v>
      </c>
      <c r="E45" s="12">
        <f>AVERAGEIFS(Zabrze_result[HB_Escore],Zabrze_result[[Category]:[Category]],"senior",Zabrze_result[HB_Escore],"&lt;&gt;0")</f>
        <v>7.3884615384615397</v>
      </c>
      <c r="F45" s="12" cm="1">
        <f t="array" ref="F45">_xlfn.STDEV.S(_xlfn._xlws.FILTER(Zabrze_result[HB_Escore],(Zabrze_result[Category]="senior")*(Zabrze_result[HB_Escore]&gt;0)))</f>
        <v>0.78186578296027864</v>
      </c>
      <c r="G45" s="12">
        <f>AVERAGEIFS(Zabrze_result[HB_total_score],Zabrze_result[[Category]:[Category]],"senior",Zabrze_result[HB_total_score],"&lt;&gt;0")</f>
        <v>10.365384615384613</v>
      </c>
      <c r="H45" s="12" cm="1">
        <f t="array" ref="H45">_xlfn.STDEV.S(_xlfn._xlws.FILTER(Zabrze_result[HB_total_score],(Zabrze_result[Category]="senior")*(Zabrze_result[HB_total_score]&gt;0)))</f>
        <v>1.2224266534549073</v>
      </c>
      <c r="I45" s="12" cm="1">
        <f t="array" ref="I45">MAX(_xlfn._xlws.FILTER(Zabrze_result[HB_total_score],Zabrze_result[Category]="senior"))</f>
        <v>12</v>
      </c>
      <c r="J45" s="10" t="str" cm="1">
        <f t="array" ref="J45">IF(COUNTIFS(Zabrze_result[HB_total_score],I45,Zabrze_result[Category],"senior")&gt;1,_xlfn.XLOOKUP(I45,_xlfn._xlws.FILTER(Zabrze_result[HB_total_score],Zabrze_result[Category]="senior"),_xlfn._xlws.FILTER(Zabrze_result[Name],Zabrze_result[Category]="senior"),0)&amp;" and "&amp;(COUNTIFS(Zabrze_result[HB_total_score],I45,Zabrze_result[Category],"senior")-1)&amp;" more",_xlfn.XLOOKUP(I45,_xlfn._xlws.FILTER(Zabrze_result[HB_total_score],Zabrze_result[Category]="senior"),_xlfn._xlws.FILTER(Zabrze_result[Name],Zabrze_result[Category]="senior"),0))</f>
        <v>GARNCZAREK Kacper</v>
      </c>
      <c r="AF45" s="45"/>
      <c r="AG45" s="45" t="s">
        <v>59</v>
      </c>
      <c r="AH45" s="57">
        <v>28.299999999999997</v>
      </c>
      <c r="AI45" s="56">
        <v>47.85</v>
      </c>
      <c r="AJ45" s="56">
        <v>76.150000000000006</v>
      </c>
      <c r="AQ45" t="s">
        <v>65</v>
      </c>
      <c r="AR45" t="s">
        <v>60</v>
      </c>
      <c r="AS45">
        <v>2001</v>
      </c>
      <c r="AT45" t="s">
        <v>67</v>
      </c>
      <c r="AU45" t="s">
        <v>325</v>
      </c>
      <c r="AV45" t="s">
        <v>305</v>
      </c>
      <c r="AW45" t="s">
        <v>218</v>
      </c>
      <c r="AX45" t="s">
        <v>309</v>
      </c>
      <c r="AY45">
        <v>8.4</v>
      </c>
    </row>
    <row r="46" spans="1:51" ht="21" x14ac:dyDescent="0.35">
      <c r="A46" s="2" t="s">
        <v>60</v>
      </c>
      <c r="B46" s="10" t="s">
        <v>241</v>
      </c>
      <c r="C46" s="11">
        <f>AVERAGEIFS(Zabrze_result[PB_Dscore],Zabrze_result[[Category]:[Category]],"senior",Zabrze_result[PB_Dscore],"&lt;&gt;0")</f>
        <v>3.5117647058823529</v>
      </c>
      <c r="D46" s="11" cm="1">
        <f t="array" ref="D46">_xlfn.STDEV.S(_xlfn._xlws.FILTER(Zabrze_result[PB_Dscore],(Zabrze_result[Category]="senior")*(Zabrze_result[PB_Dscore]&gt;0)))</f>
        <v>0.73474685516609961</v>
      </c>
      <c r="E46" s="12">
        <f>AVERAGEIFS(Zabrze_result[PB_Escore],Zabrze_result[[Category]:[Category]],"senior",Zabrze_result[PB_Escore],"&lt;&gt;0")</f>
        <v>8.147058823529413</v>
      </c>
      <c r="F46" s="12" cm="1">
        <f t="array" ref="F46">_xlfn.STDEV.S(_xlfn._xlws.FILTER(Zabrze_result[PB_Escore],(Zabrze_result[Category]="senior")*(Zabrze_result[PB_Escore]&gt;0)))</f>
        <v>0.69786965747446661</v>
      </c>
      <c r="G46" s="12">
        <f>AVERAGEIFS(Zabrze_result[PB_total_score],Zabrze_result[[Category]:[Category]],"senior",Zabrze_result[PB_total_score],"&lt;&gt;0")</f>
        <v>11.658823529411762</v>
      </c>
      <c r="H46" s="12" cm="1">
        <f t="array" ref="H46">_xlfn.STDEV.S(_xlfn._xlws.FILTER(Zabrze_result[PB_total_score],(Zabrze_result[Category]="senior")*(Zabrze_result[PB_total_score]&gt;0)))</f>
        <v>0.82957731973081617</v>
      </c>
      <c r="I46" s="12" cm="1">
        <f t="array" ref="I46">MAX(_xlfn._xlws.FILTER(Zabrze_result[PB_total_score],Zabrze_result[Category]="senior"))</f>
        <v>12.55</v>
      </c>
      <c r="J46" s="10" t="str" cm="1">
        <f t="array" ref="J46">IF(COUNTIFS(Zabrze_result[PB_total_score],I46,Zabrze_result[Category],"senior")&gt;1,_xlfn.XLOOKUP(I46,_xlfn._xlws.FILTER(Zabrze_result[PB_total_score],Zabrze_result[Category]="senior"),_xlfn._xlws.FILTER(Zabrze_result[Name],Zabrze_result[Category]="senior"),0)&amp;" and "&amp;(COUNTIFS(Zabrze_result[PB_total_score],I46,Zabrze_result[Category],"senior")-1)&amp;" more",_xlfn.XLOOKUP(I46,_xlfn._xlws.FILTER(Zabrze_result[PB_total_score],Zabrze_result[Category]="senior"),_xlfn._xlws.FILTER(Zabrze_result[Name],Zabrze_result[Category]="senior"),0))</f>
        <v>BOBER Michał</v>
      </c>
      <c r="AF46" s="45" t="s">
        <v>310</v>
      </c>
      <c r="AG46" s="45"/>
      <c r="AH46" s="47">
        <v>10.479166666666666</v>
      </c>
      <c r="AI46" s="47">
        <v>21.781249999999996</v>
      </c>
      <c r="AJ46" s="47">
        <v>47.989583333333336</v>
      </c>
      <c r="AQ46" t="s">
        <v>65</v>
      </c>
      <c r="AR46" t="s">
        <v>60</v>
      </c>
      <c r="AS46">
        <v>2001</v>
      </c>
      <c r="AT46" t="s">
        <v>67</v>
      </c>
      <c r="AU46" t="s">
        <v>325</v>
      </c>
      <c r="AV46" t="s">
        <v>305</v>
      </c>
      <c r="AW46" t="s">
        <v>218</v>
      </c>
      <c r="AX46" t="s">
        <v>268</v>
      </c>
      <c r="AY46">
        <v>12.2</v>
      </c>
    </row>
    <row r="47" spans="1:51" ht="21" x14ac:dyDescent="0.35">
      <c r="A47" s="2" t="s">
        <v>60</v>
      </c>
      <c r="B47" s="10" t="s">
        <v>238</v>
      </c>
      <c r="C47" s="11">
        <f>AVERAGEIFS(Zabrze_result[PH_Dscore],Zabrze_result[[Category]:[Category]],"senior",Zabrze_result[PH_Dscore],"&lt;&gt;0")</f>
        <v>3.6277777777777782</v>
      </c>
      <c r="D47" s="11" cm="1">
        <f t="array" ref="D47">_xlfn.STDEV.S(_xlfn._xlws.FILTER(Zabrze_result[PH_Dscore],(Zabrze_result[Category]="senior")*(Zabrze_result[PH_Dscore]&gt;0)))</f>
        <v>0.66226487997011196</v>
      </c>
      <c r="E47" s="12">
        <f>AVERAGEIFS(Zabrze_result[PH_Escore],Zabrze_result[[Category]:[Category]],"senior",Zabrze_result[PH_Escore],"&lt;&gt;0")</f>
        <v>6.973529411764706</v>
      </c>
      <c r="F47" s="12" cm="1">
        <f t="array" ref="F47">_xlfn.STDEV.S(_xlfn._xlws.FILTER(Zabrze_result[PH_Escore],(Zabrze_result[Category]="senior")*(Zabrze_result[PH_Escore]&gt;0)))</f>
        <v>1.0658209346348413</v>
      </c>
      <c r="G47" s="12">
        <f>AVERAGEIFS(Zabrze_result[PH_Total_Score],Zabrze_result[[Category]:[Category]],"senior",Zabrze_result[PH_Total_Score],"&lt;&gt;0")</f>
        <v>10.21388888888889</v>
      </c>
      <c r="H47" s="12" cm="1">
        <f t="array" ref="H47">_xlfn.STDEV.S(_xlfn._xlws.FILTER(Zabrze_result[PH_Total_Score],(Zabrze_result[Category]="senior")*(Zabrze_result[PH_Total_Score]&gt;0)))</f>
        <v>2.3036292054798757</v>
      </c>
      <c r="I47" s="12" cm="1">
        <f t="array" ref="I47">MAX(_xlfn._xlws.FILTER(Zabrze_result[PH_Total_Score],Zabrze_result[Category]="senior"))</f>
        <v>12.45</v>
      </c>
      <c r="J47" s="10" t="str" cm="1">
        <f t="array" ref="J47">IF(COUNTIFS(Zabrze_result[PH_Total_Score],I47,Zabrze_result[Category],"senior")&gt;1,_xlfn.XLOOKUP(I47,_xlfn._xlws.FILTER(Zabrze_result[PH_Total_Score],Zabrze_result[Category]="senior"),_xlfn._xlws.FILTER(Zabrze_result[Name],Zabrze_result[Category]="senior"),0)&amp;" and "&amp;(COUNTIFS(Zabrze_result[PH_Total_Score],I47,Zabrze_result[Category],"senior")-1)&amp;" more",_xlfn.XLOOKUP(I47,_xlfn._xlws.FILTER(Zabrze_result[PH_Total_Score],Zabrze_result[Category]="senior"),_xlfn._xlws.FILTER(Zabrze_result[Name],Zabrze_result[Category]="senior"),0))</f>
        <v>LAKHIN Yaroslav</v>
      </c>
      <c r="AQ47" t="s">
        <v>65</v>
      </c>
      <c r="AR47" t="s">
        <v>60</v>
      </c>
      <c r="AS47">
        <v>2001</v>
      </c>
      <c r="AT47" t="s">
        <v>67</v>
      </c>
      <c r="AU47" t="s">
        <v>325</v>
      </c>
      <c r="AV47" t="s">
        <v>305</v>
      </c>
      <c r="AW47" t="s">
        <v>238</v>
      </c>
      <c r="AX47" t="s">
        <v>308</v>
      </c>
      <c r="AY47">
        <v>3</v>
      </c>
    </row>
    <row r="48" spans="1:51" ht="21" x14ac:dyDescent="0.35">
      <c r="A48" s="2" t="s">
        <v>60</v>
      </c>
      <c r="B48" s="10" t="s">
        <v>239</v>
      </c>
      <c r="C48" s="11">
        <f>AVERAGEIFS(Zabrze_result[SR_Dscore],Zabrze_result[[Category]:[Category]],"senior",Zabrze_result[SR_Dscore],"&lt;&gt;0")</f>
        <v>3.5263157894736836</v>
      </c>
      <c r="D48" s="11" cm="1">
        <f t="array" ref="D48">_xlfn.STDEV.S(_xlfn._xlws.FILTER(Zabrze_result[SR_Dscore],(Zabrze_result[Category]="senior")*(Zabrze_result[SR_Dscore]&gt;0)))</f>
        <v>0.62613639378791497</v>
      </c>
      <c r="E48" s="12">
        <f>AVERAGEIFS(Zabrze_result[SR_Escore],Zabrze_result[[Category]:[Category]],"senior",Zabrze_result[SR_Escore],"&lt;&gt;0")</f>
        <v>7.1684210526315786</v>
      </c>
      <c r="F48" s="12" cm="1">
        <f t="array" ref="F48">_xlfn.STDEV.S(_xlfn._xlws.FILTER(Zabrze_result[SR_Escore],(Zabrze_result[Category]="senior")*(Zabrze_result[SR_Escore]&gt;0)))</f>
        <v>1.7915860854992114</v>
      </c>
      <c r="G48" s="12">
        <f>AVERAGEIFS(Zabrze_result[SR_Total_Score],Zabrze_result[[Category]:[Category]],"senior",Zabrze_result[SR_Total_Score],"&lt;&gt;0")</f>
        <v>10.694736842105263</v>
      </c>
      <c r="H48" s="12" cm="1">
        <f t="array" ref="H48">_xlfn.STDEV.S(_xlfn._xlws.FILTER(Zabrze_result[SR_Total_Score],(Zabrze_result[Category]="senior")*(Zabrze_result[SR_Total_Score]&gt;0)))</f>
        <v>2.2313980879485746</v>
      </c>
      <c r="I48" s="12" cm="1">
        <f t="array" ref="I48">MAX(_xlfn._xlws.FILTER(Zabrze_result[SR_Total_Score],Zabrze_result[Category]="senior"))</f>
        <v>12.7</v>
      </c>
      <c r="J48" s="10" t="str" cm="1">
        <f t="array" ref="J48">IF(COUNTIFS(Zabrze_result[SR_Total_Score],I48,Zabrze_result[Category],"senior")&gt;1,_xlfn.XLOOKUP(I48,_xlfn._xlws.FILTER(Zabrze_result[SR_Total_Score],Zabrze_result[Category]="senior"),_xlfn._xlws.FILTER(Zabrze_result[Name],Zabrze_result[Category]="senior"),0)&amp;" and "&amp;(COUNTIFS(Zabrze_result[SR_Total_Score],I48,Zabrze_result[Category],"senior")-1)&amp;" more",_xlfn.XLOOKUP(I48,_xlfn._xlws.FILTER(Zabrze_result[SR_Total_Score],Zabrze_result[Category]="senior"),_xlfn._xlws.FILTER(Zabrze_result[Name],Zabrze_result[Category]="senior"),0))</f>
        <v>IAREMCHUK Vladyslav</v>
      </c>
      <c r="AQ48" t="s">
        <v>65</v>
      </c>
      <c r="AR48" t="s">
        <v>60</v>
      </c>
      <c r="AS48">
        <v>2001</v>
      </c>
      <c r="AT48" t="s">
        <v>67</v>
      </c>
      <c r="AU48" t="s">
        <v>325</v>
      </c>
      <c r="AV48" t="s">
        <v>305</v>
      </c>
      <c r="AW48" t="s">
        <v>238</v>
      </c>
      <c r="AX48" t="s">
        <v>309</v>
      </c>
      <c r="AY48">
        <v>8.4</v>
      </c>
    </row>
    <row r="49" spans="1:51" ht="21" x14ac:dyDescent="0.35">
      <c r="A49" s="2" t="s">
        <v>60</v>
      </c>
      <c r="B49" s="10" t="s">
        <v>240</v>
      </c>
      <c r="C49" s="11">
        <f>AVERAGEIFS(Zabrze_result[VT_Dscore],Zabrze_result[[Category]:[Category]],"senior",Zabrze_result[VT_Dscore],"&lt;&gt;0")</f>
        <v>3.835294117647059</v>
      </c>
      <c r="D49" s="11" cm="1">
        <f t="array" ref="D49">_xlfn.STDEV.S(_xlfn._xlws.FILTER(Zabrze_result[VT_Dscore],(Zabrze_result[Category]="senior")*(Zabrze_result[VT_Dscore]&gt;0)))</f>
        <v>0.67909975010173473</v>
      </c>
      <c r="E49" s="12">
        <f>AVERAGEIFS(Zabrze_result[VT_Escore],Zabrze_result[[Category]:[Category]],"senior",Zabrze_result[VT_Escore],"&lt;&gt;0")</f>
        <v>9.0264705882352967</v>
      </c>
      <c r="F49" s="12" cm="1">
        <f t="array" ref="F49">_xlfn.STDEV.S(_xlfn._xlws.FILTER(Zabrze_result[VT_Escore],(Zabrze_result[Category]="senior")*(Zabrze_result[VT_Escore]&gt;0)))</f>
        <v>0.43269419305773249</v>
      </c>
      <c r="G49" s="12">
        <f>AVERAGEIFS(Zabrze_result[VT_total_score],Zabrze_result[[Category]:[Category]],"senior",Zabrze_result[VT_total_score],"&lt;&gt;0")</f>
        <v>12.861764705882351</v>
      </c>
      <c r="H49" s="12" cm="1">
        <f t="array" ref="H49">_xlfn.STDEV.S(_xlfn._xlws.FILTER(Zabrze_result[VT_total_score],(Zabrze_result[Category]="senior")*(Zabrze_result[VT_total_score]&gt;0)))</f>
        <v>0.74341471681455884</v>
      </c>
      <c r="I49" s="12" cm="1">
        <f t="array" ref="I49">MAX(_xlfn._xlws.FILTER(Zabrze_result[VT_total_score],Zabrze_result[Category]="senior"))</f>
        <v>14.8</v>
      </c>
      <c r="J49" s="10" t="str" cm="1">
        <f t="array" ref="J49">IF(COUNTIFS(Zabrze_result[VT_total_score],I49,Zabrze_result[Category],"senior")&gt;1,_xlfn.XLOOKUP(I49,_xlfn._xlws.FILTER(Zabrze_result[VT_total_score],Zabrze_result[Category]="senior"),_xlfn._xlws.FILTER(Zabrze_result[Name],Zabrze_result[Category]="senior"),0)&amp;" and "&amp;(COUNTIFS(Zabrze_result[VT_total_score],I49,Zabrze_result[Category],"senior")-1)&amp;" more",_xlfn.XLOOKUP(I49,_xlfn._xlws.FILTER(Zabrze_result[VT_total_score],Zabrze_result[Category]="senior"),_xlfn._xlws.FILTER(Zabrze_result[Name],Zabrze_result[Category]="senior"),0))</f>
        <v>SASNAL Filip</v>
      </c>
      <c r="AQ49" t="s">
        <v>65</v>
      </c>
      <c r="AR49" t="s">
        <v>60</v>
      </c>
      <c r="AS49">
        <v>2001</v>
      </c>
      <c r="AT49" t="s">
        <v>67</v>
      </c>
      <c r="AU49" t="s">
        <v>325</v>
      </c>
      <c r="AV49" t="s">
        <v>305</v>
      </c>
      <c r="AW49" t="s">
        <v>238</v>
      </c>
      <c r="AX49" t="s">
        <v>268</v>
      </c>
      <c r="AY49">
        <v>11.4</v>
      </c>
    </row>
    <row r="50" spans="1:51" ht="21" x14ac:dyDescent="0.35">
      <c r="A50" s="2" t="s">
        <v>26</v>
      </c>
      <c r="B50" s="10" t="s">
        <v>243</v>
      </c>
      <c r="C50" s="11">
        <f>AVERAGEIFS(Zabrze_result[AA_Dscore],Zabrze_result[[Category]:[Category]],"junior",Zabrze_result[AA_Dscore],"&lt;&gt;0",Zabrze_result[All Around],"Yes")</f>
        <v>18.149999999999999</v>
      </c>
      <c r="D50" s="11" cm="1">
        <f t="array" ref="D50">_xlfn.STDEV.S(_xlfn._xlws.FILTER(Zabrze_result[AA_Dscore],(Zabrze_result[Category]="junior")*(Zabrze_result[All Around]="yes")))</f>
        <v>2.9897045561950435</v>
      </c>
      <c r="E50" s="12">
        <f>AVERAGEIFS(Zabrze_result[AA_Escore],Zabrze_result[[Category]:[Category]],"junior",Zabrze_result[AA_Escore],"&lt;&gt;0",Zabrze_result[All Around],"Yes")</f>
        <v>48.3</v>
      </c>
      <c r="F50" s="12" cm="1">
        <f t="array" ref="F50">_xlfn.STDEV.S(_xlfn._xlws.FILTER(Zabrze_result[AA_Escore],(Zabrze_result[Category]="junior")*(Zabrze_result[All Around]="yes"),""))</f>
        <v>2.9515532633965242</v>
      </c>
      <c r="G50" s="12">
        <f>AVERAGEIFS(Zabrze_result[Total_Score],Zabrze_result[[Category]:[Category]],"junior",Zabrze_result[Total_Score],"&lt;&gt;0",Zabrze_result[All Around],"Yes")</f>
        <v>66.45</v>
      </c>
      <c r="H50" s="12" cm="1">
        <f t="array" ref="H50">_xlfn.STDEV.S(_xlfn._xlws.FILTER(Zabrze_result[Total_Score],(Zabrze_result[Category]="junior")*(Zabrze_result[All Around]="yes")))</f>
        <v>4.9840857848868447</v>
      </c>
      <c r="I50" s="12" cm="1">
        <f t="array" ref="I50">MAX(_xlfn._xlws.FILTER(Zabrze_result[Total_Score],Zabrze_result[Category]="junior"))</f>
        <v>72.55</v>
      </c>
      <c r="J50" s="10" t="str" cm="1">
        <f t="array" ref="J50">IF(COUNTIFS(Zabrze_result[Total_Score],I50,Zabrze_result[Category],"junior")&gt;1,_xlfn.XLOOKUP(I50,_xlfn._xlws.FILTER(Zabrze_result[Total_Score],Zabrze_result[Category]="junior"),_xlfn._xlws.FILTER(Zabrze_result[Name],Zabrze_result[Category]="junior"),0)&amp;" and "&amp;(COUNTIFS(Zabrze_result[Total_Score],I50,Zabrze_result[Category],"junior")-1)&amp;" more",_xlfn.XLOOKUP(I50,_xlfn._xlws.FILTER(Zabrze_result[Total_Score],Zabrze_result[Category]="junior"),_xlfn._xlws.FILTER(Zabrze_result[Name],Zabrze_result[Category]="junior"),0))</f>
        <v>LEKHAC Tomasz</v>
      </c>
      <c r="AQ50" t="s">
        <v>65</v>
      </c>
      <c r="AR50" t="s">
        <v>60</v>
      </c>
      <c r="AS50">
        <v>2001</v>
      </c>
      <c r="AT50" t="s">
        <v>67</v>
      </c>
      <c r="AU50" t="s">
        <v>325</v>
      </c>
      <c r="AV50" t="s">
        <v>305</v>
      </c>
      <c r="AW50" t="s">
        <v>239</v>
      </c>
      <c r="AX50" t="s">
        <v>308</v>
      </c>
      <c r="AY50">
        <v>3.9</v>
      </c>
    </row>
    <row r="51" spans="1:51" ht="21" x14ac:dyDescent="0.35">
      <c r="A51" s="2" t="s">
        <v>26</v>
      </c>
      <c r="B51" s="10" t="s">
        <v>218</v>
      </c>
      <c r="C51" s="11">
        <f>AVERAGEIFS(Zabrze_result[FX_Dscore],Zabrze_result[[Category]:[Category]],"junior",Zabrze_result[FX_Dscore],"&lt;&gt;0")</f>
        <v>3.5636363636363639</v>
      </c>
      <c r="D51" s="11" cm="1">
        <f t="array" ref="D51">_xlfn.STDEV.S(_xlfn._xlws.FILTER(Zabrze_result[FX_Dscore],(Zabrze_result[Category]="junior")*(Zabrze_result[FX_Dscore]&gt;0)))</f>
        <v>0.45666777261533625</v>
      </c>
      <c r="E51" s="12">
        <f>AVERAGEIFS(Zabrze_result[FX_Escore],Zabrze_result[[Category]:[Category]],"junior",Zabrze_result[FX_Escore],"&lt;&gt;0")</f>
        <v>8.3090909090909104</v>
      </c>
      <c r="F51" s="12" cm="1">
        <f t="array" ref="F51">_xlfn.STDEV.S(_xlfn._xlws.FILTER(Zabrze_result[FX_Escore],(Zabrze_result[Category]="junior")*(Zabrze_result[FX_Escore]&gt;0)))</f>
        <v>0.18414421226063801</v>
      </c>
      <c r="G51" s="12">
        <f>AVERAGEIFS(Zabrze_result[FX_total_score],Zabrze_result[[Category]:[Category]],"junior",Zabrze_result[FX_total_score],"&lt;&gt;0")</f>
        <v>11.872727272727273</v>
      </c>
      <c r="H51" s="12" cm="1">
        <f t="array" ref="H51">_xlfn.STDEV.S(_xlfn._xlws.FILTER(Zabrze_result[FX_total_score],(Zabrze_result[Category]="junior")*(Zabrze_result[FX_total_score]&gt;0)))</f>
        <v>0.54880034455329763</v>
      </c>
      <c r="I51" s="12" cm="1">
        <f t="array" ref="I51">MAX(_xlfn._xlws.FILTER(Zabrze_result[FX_total_score],Zabrze_result[Category]="junior"))</f>
        <v>12.75</v>
      </c>
      <c r="J51" s="10" t="str" cm="1">
        <f t="array" ref="J51">IF(COUNTIFS(Zabrze_result[FX_total_score],I51,Zabrze_result[Category],"junior")&gt;1,_xlfn.XLOOKUP(I51,_xlfn._xlws.FILTER(Zabrze_result[FX_total_score],Zabrze_result[Category]="junior"),_xlfn._xlws.FILTER(Zabrze_result[Name],Zabrze_result[Category]="junior"),0)&amp;" and "&amp;(COUNTIFS(Zabrze_result[FX_total_score],I51,Zabrze_result[Category],"junior")-1)&amp;" more",_xlfn.XLOOKUP(I51,_xlfn._xlws.FILTER(Zabrze_result[FX_total_score],Zabrze_result[Category]="junior"),_xlfn._xlws.FILTER(Zabrze_result[Name],Zabrze_result[Category]="junior"),0))</f>
        <v>KWIATKOWSKI Michał</v>
      </c>
      <c r="AQ51" t="s">
        <v>65</v>
      </c>
      <c r="AR51" t="s">
        <v>60</v>
      </c>
      <c r="AS51">
        <v>2001</v>
      </c>
      <c r="AT51" t="s">
        <v>67</v>
      </c>
      <c r="AU51" t="s">
        <v>325</v>
      </c>
      <c r="AV51" t="s">
        <v>305</v>
      </c>
      <c r="AW51" t="s">
        <v>239</v>
      </c>
      <c r="AX51" t="s">
        <v>309</v>
      </c>
      <c r="AY51">
        <v>8.4</v>
      </c>
    </row>
    <row r="52" spans="1:51" ht="21" x14ac:dyDescent="0.35">
      <c r="A52" s="2" t="s">
        <v>26</v>
      </c>
      <c r="B52" s="10" t="s">
        <v>242</v>
      </c>
      <c r="C52" s="11">
        <f>AVERAGEIFS(Zabrze_result[HB_Dscore],Zabrze_result[[Category]:[Category]],"junior",Zabrze_result[HB_Dscore],"&lt;&gt;0")</f>
        <v>2.5999999999999996</v>
      </c>
      <c r="D52" s="11" cm="1">
        <f t="array" ref="D52">_xlfn.STDEV.S(_xlfn._xlws.FILTER(Zabrze_result[HB_Dscore],(Zabrze_result[Category]="junior")*(Zabrze_result[HB_Dscore]&gt;0)))</f>
        <v>0.56213877290220882</v>
      </c>
      <c r="E52" s="12">
        <f>AVERAGEIFS(Zabrze_result[HB_Escore],Zabrze_result[[Category]:[Category]],"junior",Zabrze_result[HB_Escore],"&lt;&gt;0")</f>
        <v>7.9727272727272727</v>
      </c>
      <c r="F52" s="12" cm="1">
        <f t="array" ref="F52">_xlfn.STDEV.S(_xlfn._xlws.FILTER(Zabrze_result[HB_Escore],(Zabrze_result[Category]="junior")*(Zabrze_result[HB_Escore]&gt;0)))</f>
        <v>0.49414756721228326</v>
      </c>
      <c r="G52" s="12">
        <f>AVERAGEIFS(Zabrze_result[HB_total_score],Zabrze_result[[Category]:[Category]],"junior",Zabrze_result[HB_total_score],"&lt;&gt;0")</f>
        <v>10.572727272727272</v>
      </c>
      <c r="H52" s="12" cm="1">
        <f t="array" ref="H52">_xlfn.STDEV.S(_xlfn._xlws.FILTER(Zabrze_result[HB_total_score],(Zabrze_result[Category]="junior")*(Zabrze_result[HB_total_score]&gt;0)))</f>
        <v>0.60512958792461846</v>
      </c>
      <c r="I52" s="12" cm="1">
        <f t="array" ref="I52">MAX(_xlfn._xlws.FILTER(Zabrze_result[HB_total_score],Zabrze_result[Category]="junior"))</f>
        <v>11.8</v>
      </c>
      <c r="J52" s="10" t="str" cm="1">
        <f t="array" ref="J52">IF(COUNTIFS(Zabrze_result[HB_total_score],I52,Zabrze_result[Category],"junior")&gt;1,_xlfn.XLOOKUP(I52,_xlfn._xlws.FILTER(Zabrze_result[HB_total_score],Zabrze_result[Category]="junior"),_xlfn._xlws.FILTER(Zabrze_result[Name],Zabrze_result[Category]="junior"),0)&amp;" and "&amp;(COUNTIFS(Zabrze_result[HB_total_score],I52,Zabrze_result[Category],"junior")-1)&amp;" more",_xlfn.XLOOKUP(I52,_xlfn._xlws.FILTER(Zabrze_result[HB_total_score],Zabrze_result[Category]="junior"),_xlfn._xlws.FILTER(Zabrze_result[Name],Zabrze_result[Category]="junior"),0))</f>
        <v>LEKHAC Tomasz</v>
      </c>
      <c r="L52" s="2"/>
      <c r="AQ52" t="s">
        <v>65</v>
      </c>
      <c r="AR52" t="s">
        <v>60</v>
      </c>
      <c r="AS52">
        <v>2001</v>
      </c>
      <c r="AT52" t="s">
        <v>67</v>
      </c>
      <c r="AU52" t="s">
        <v>325</v>
      </c>
      <c r="AV52" t="s">
        <v>305</v>
      </c>
      <c r="AW52" t="s">
        <v>239</v>
      </c>
      <c r="AX52" t="s">
        <v>268</v>
      </c>
      <c r="AY52">
        <v>12.3</v>
      </c>
    </row>
    <row r="53" spans="1:51" ht="21" x14ac:dyDescent="0.35">
      <c r="A53" s="2" t="s">
        <v>26</v>
      </c>
      <c r="B53" s="10" t="s">
        <v>241</v>
      </c>
      <c r="C53" s="11">
        <f>AVERAGEIFS(Zabrze_result[PB_Dscore],Zabrze_result[[Category]:[Category]],"junior",Zabrze_result[PB_Dscore],"&lt;&gt;0")</f>
        <v>3.2272727272727271</v>
      </c>
      <c r="D53" s="11" cm="1">
        <f t="array" ref="D53">_xlfn.STDEV.S(_xlfn._xlws.FILTER(Zabrze_result[PB_Dscore],(Zabrze_result[Category]="junior")*(Zabrze_result[PB_Dscore]&gt;0)))</f>
        <v>0.45626945786653228</v>
      </c>
      <c r="E53" s="12">
        <f>AVERAGEIFS(Zabrze_result[PB_Escore],Zabrze_result[[Category]:[Category]],"junior",Zabrze_result[PB_Escore],"&lt;&gt;0")</f>
        <v>8.2727272727272716</v>
      </c>
      <c r="F53" s="12" cm="1">
        <f t="array" ref="F53">_xlfn.STDEV.S(_xlfn._xlws.FILTER(Zabrze_result[PB_Escore],(Zabrze_result[Category]="junior")*(Zabrze_result[PB_Escore]&gt;0)))</f>
        <v>0.50614406860282191</v>
      </c>
      <c r="G53" s="12">
        <f>AVERAGEIFS(Zabrze_result[PB_total_score],Zabrze_result[[Category]:[Category]],"junior",Zabrze_result[PB_total_score],"&lt;&gt;0")</f>
        <v>11.5</v>
      </c>
      <c r="H53" s="12" cm="1">
        <f t="array" ref="H53">_xlfn.STDEV.S(_xlfn._xlws.FILTER(Zabrze_result[PB_total_score],(Zabrze_result[Category]="junior")*(Zabrze_result[PB_total_score]&gt;0)))</f>
        <v>0.68847657912234039</v>
      </c>
      <c r="I53" s="12" cm="1">
        <f t="array" ref="I53">MAX(_xlfn._xlws.FILTER(Zabrze_result[PB_total_score],Zabrze_result[Category]="junior"))</f>
        <v>13.3</v>
      </c>
      <c r="J53" s="10" t="str" cm="1">
        <f t="array" ref="J53">IF(COUNTIFS(Zabrze_result[PB_total_score],I53,Zabrze_result[Category],"junior")&gt;1,_xlfn.XLOOKUP(I53,_xlfn._xlws.FILTER(Zabrze_result[PB_total_score],Zabrze_result[Category]="junior"),_xlfn._xlws.FILTER(Zabrze_result[Name],Zabrze_result[Category]="junior"),0)&amp;" and "&amp;(COUNTIFS(Zabrze_result[PB_total_score],I53,Zabrze_result[Category],"junior")-1)&amp;" more",_xlfn.XLOOKUP(I53,_xlfn._xlws.FILTER(Zabrze_result[PB_total_score],Zabrze_result[Category]="junior"),_xlfn._xlws.FILTER(Zabrze_result[Name],Zabrze_result[Category]="junior"),0))</f>
        <v>LEKHAC Tomasz</v>
      </c>
      <c r="AQ53" t="s">
        <v>65</v>
      </c>
      <c r="AR53" t="s">
        <v>60</v>
      </c>
      <c r="AS53">
        <v>2001</v>
      </c>
      <c r="AT53" t="s">
        <v>67</v>
      </c>
      <c r="AU53" t="s">
        <v>325</v>
      </c>
      <c r="AV53" t="s">
        <v>305</v>
      </c>
      <c r="AW53" t="s">
        <v>240</v>
      </c>
      <c r="AX53" t="s">
        <v>308</v>
      </c>
      <c r="AY53">
        <v>4</v>
      </c>
    </row>
    <row r="54" spans="1:51" ht="21" x14ac:dyDescent="0.35">
      <c r="A54" s="2" t="s">
        <v>26</v>
      </c>
      <c r="B54" s="10" t="s">
        <v>238</v>
      </c>
      <c r="C54" s="11">
        <f>AVERAGEIFS(Zabrze_result[PH_Dscore],Zabrze_result[[Category]:[Category]],"junior",Zabrze_result[PH_Dscore],"&lt;&gt;0")</f>
        <v>3.163636363636364</v>
      </c>
      <c r="D54" s="11" cm="1">
        <f t="array" ref="D54">_xlfn.STDEV.S(_xlfn._xlws.FILTER(Zabrze_result[PH_Dscore],(Zabrze_result[Category]="junior")*(Zabrze_result[PH_Dscore]&gt;0)))</f>
        <v>0.71452463536637756</v>
      </c>
      <c r="E54" s="12">
        <f>AVERAGEIFS(Zabrze_result[PH_Escore],Zabrze_result[[Category]:[Category]],"junior",Zabrze_result[PH_Escore],"&lt;&gt;0")</f>
        <v>6.8636363636363651</v>
      </c>
      <c r="F54" s="12" cm="1">
        <f t="array" ref="F54">_xlfn.STDEV.S(_xlfn._xlws.FILTER(Zabrze_result[PH_Escore],(Zabrze_result[Category]="junior")*(Zabrze_result[PH_Escore]&gt;0)))</f>
        <v>1.9098548255156582</v>
      </c>
      <c r="G54" s="12">
        <f>AVERAGEIFS(Zabrze_result[PH_Total_Score],Zabrze_result[[Category]:[Category]],"junior",Zabrze_result[PH_Total_Score],"&lt;&gt;0")</f>
        <v>10.027272727272729</v>
      </c>
      <c r="H54" s="12" cm="1">
        <f t="array" ref="H54">_xlfn.STDEV.S(_xlfn._xlws.FILTER(Zabrze_result[PH_Total_Score],(Zabrze_result[Category]="junior")*(Zabrze_result[PH_Total_Score]&gt;0)))</f>
        <v>2.2948162929049034</v>
      </c>
      <c r="I54" s="12" cm="1">
        <f t="array" ref="I54">MAX(_xlfn._xlws.FILTER(Zabrze_result[PH_Total_Score],Zabrze_result[Category]="junior"))</f>
        <v>12.7</v>
      </c>
      <c r="J54" s="10" t="str" cm="1">
        <f t="array" ref="J54">IF(COUNTIFS(Zabrze_result[PH_Total_Score],I54,Zabrze_result[Category],"junior")&gt;1,_xlfn.XLOOKUP(I54,_xlfn._xlws.FILTER(Zabrze_result[PH_Total_Score],Zabrze_result[Category]="junior"),_xlfn._xlws.FILTER(Zabrze_result[Name],Zabrze_result[Category]="junior"),0)&amp;" and "&amp;(COUNTIFS(Zabrze_result[PH_Total_Score],I54,Zabrze_result[Category],"junior")-1)&amp;" more",_xlfn.XLOOKUP(I54,_xlfn._xlws.FILTER(Zabrze_result[PH_Total_Score],Zabrze_result[Category]="junior"),_xlfn._xlws.FILTER(Zabrze_result[Name],Zabrze_result[Category]="junior"),0))</f>
        <v>LEKHAC Tomasz</v>
      </c>
      <c r="AQ54" t="s">
        <v>65</v>
      </c>
      <c r="AR54" t="s">
        <v>60</v>
      </c>
      <c r="AS54">
        <v>2001</v>
      </c>
      <c r="AT54" t="s">
        <v>67</v>
      </c>
      <c r="AU54" t="s">
        <v>325</v>
      </c>
      <c r="AV54" t="s">
        <v>305</v>
      </c>
      <c r="AW54" t="s">
        <v>240</v>
      </c>
      <c r="AX54" t="s">
        <v>309</v>
      </c>
      <c r="AY54">
        <v>9.1</v>
      </c>
    </row>
    <row r="55" spans="1:51" ht="21" x14ac:dyDescent="0.35">
      <c r="A55" s="2" t="s">
        <v>26</v>
      </c>
      <c r="B55" s="10" t="s">
        <v>239</v>
      </c>
      <c r="C55" s="11">
        <f>AVERAGEIFS(Zabrze_result[SR_Dscore],Zabrze_result[[Category]:[Category]],"junior",Zabrze_result[SR_Dscore],"&lt;&gt;0")</f>
        <v>2.8545454545454545</v>
      </c>
      <c r="D55" s="11" cm="1">
        <f t="array" ref="D55">_xlfn.STDEV.S(_xlfn._xlws.FILTER(Zabrze_result[SR_Dscore],(Zabrze_result[Category]="junior")*(Zabrze_result[SR_Dscore]&gt;0)))</f>
        <v>0.6743346889544346</v>
      </c>
      <c r="E55" s="12">
        <f>AVERAGEIFS(Zabrze_result[SR_Escore],Zabrze_result[[Category]:[Category]],"junior",Zabrze_result[SR_Escore],"&lt;&gt;0")</f>
        <v>7.9045454545454534</v>
      </c>
      <c r="F55" s="12" cm="1">
        <f t="array" ref="F55">_xlfn.STDEV.S(_xlfn._xlws.FILTER(Zabrze_result[SR_Escore],(Zabrze_result[Category]="junior")*(Zabrze_result[SR_Escore]&gt;0)))</f>
        <v>0.68645995711860186</v>
      </c>
      <c r="G55" s="12">
        <f>AVERAGEIFS(Zabrze_result[SR_Total_Score],Zabrze_result[[Category]:[Category]],"junior",Zabrze_result[SR_Total_Score],"&lt;&gt;0")</f>
        <v>10.759090909090908</v>
      </c>
      <c r="H55" s="12" cm="1">
        <f t="array" ref="H55">_xlfn.STDEV.S(_xlfn._xlws.FILTER(Zabrze_result[SR_Total_Score],(Zabrze_result[Category]="junior")*(Zabrze_result[SR_Total_Score]&gt;0)))</f>
        <v>1.1959971115805925</v>
      </c>
      <c r="I55" s="12" cm="1">
        <f t="array" ref="I55">MAX(_xlfn._xlws.FILTER(Zabrze_result[SR_Total_Score],Zabrze_result[Category]="junior"))</f>
        <v>12.2</v>
      </c>
      <c r="J55" s="10" t="str" cm="1">
        <f t="array" ref="J55">IF(COUNTIFS(Zabrze_result[SR_Total_Score],I55,Zabrze_result[Category],"junior")&gt;1,_xlfn.XLOOKUP(I55,_xlfn._xlws.FILTER(Zabrze_result[SR_Total_Score],Zabrze_result[Category]="junior"),_xlfn._xlws.FILTER(Zabrze_result[Name],Zabrze_result[Category]="junior"),0)&amp;" and "&amp;(COUNTIFS(Zabrze_result[SR_Total_Score],I55,Zabrze_result[Category],"junior")-1)&amp;" more",_xlfn.XLOOKUP(I55,_xlfn._xlws.FILTER(Zabrze_result[SR_Total_Score],Zabrze_result[Category]="junior"),_xlfn._xlws.FILTER(Zabrze_result[Name],Zabrze_result[Category]="junior"),0))</f>
        <v>KWIATKOWSKI Michał</v>
      </c>
      <c r="AQ55" t="s">
        <v>65</v>
      </c>
      <c r="AR55" t="s">
        <v>60</v>
      </c>
      <c r="AS55">
        <v>2001</v>
      </c>
      <c r="AT55" t="s">
        <v>67</v>
      </c>
      <c r="AU55" t="s">
        <v>325</v>
      </c>
      <c r="AV55" t="s">
        <v>305</v>
      </c>
      <c r="AW55" t="s">
        <v>240</v>
      </c>
      <c r="AX55" t="s">
        <v>268</v>
      </c>
      <c r="AY55">
        <v>13.1</v>
      </c>
    </row>
    <row r="56" spans="1:51" ht="21" x14ac:dyDescent="0.35">
      <c r="A56" s="2" t="s">
        <v>26</v>
      </c>
      <c r="B56" s="10" t="s">
        <v>240</v>
      </c>
      <c r="C56" s="11">
        <f>AVERAGEIFS(Zabrze_result[VT_Dscore],Zabrze_result[[Category]:[Category]],"junior",Zabrze_result[VT_Dscore],"&lt;&gt;0")</f>
        <v>2.6363636363636367</v>
      </c>
      <c r="D56" s="11" cm="1">
        <f t="array" ref="D56">_xlfn.STDEV.S(_xlfn._xlws.FILTER(Zabrze_result[VT_Dscore],(Zabrze_result[Category]="junior")*(Zabrze_result[VT_Dscore]&gt;0)))</f>
        <v>0.88912623093993426</v>
      </c>
      <c r="E56" s="12">
        <f>AVERAGEIFS(Zabrze_result[VT_Escore],Zabrze_result[[Category]:[Category]],"junior",Zabrze_result[VT_Escore],"&lt;&gt;0")</f>
        <v>8.877272727272727</v>
      </c>
      <c r="F56" s="12" cm="1">
        <f t="array" ref="F56">_xlfn.STDEV.S(_xlfn._xlws.FILTER(Zabrze_result[VT_Escore],(Zabrze_result[Category]="junior")*(Zabrze_result[VT_Escore]&gt;0)))</f>
        <v>0.45462272070566168</v>
      </c>
      <c r="G56" s="12">
        <f>AVERAGEIFS(Zabrze_result[VT_total_score],Zabrze_result[[Category]:[Category]],"junior",Zabrze_result[VT_total_score],"&lt;&gt;0")</f>
        <v>11.513636363636364</v>
      </c>
      <c r="H56" s="12" cm="1">
        <f t="array" ref="H56">_xlfn.STDEV.S(_xlfn._xlws.FILTER(Zabrze_result[VT_total_score],(Zabrze_result[Category]="junior")*(Zabrze_result[VT_total_score]&gt;0)))</f>
        <v>0.8666287870509809</v>
      </c>
      <c r="I56" s="12" cm="1">
        <f t="array" ref="I56">MAX(_xlfn._xlws.FILTER(Zabrze_result[VT_total_score],Zabrze_result[Category]="junior"))</f>
        <v>12.95</v>
      </c>
      <c r="J56" s="10" t="str" cm="1">
        <f t="array" ref="J56">IF(COUNTIFS(Zabrze_result[VT_total_score],I56,Zabrze_result[Category],"junior")&gt;1,_xlfn.XLOOKUP(I56,_xlfn._xlws.FILTER(Zabrze_result[VT_total_score],Zabrze_result[Category]="junior"),_xlfn._xlws.FILTER(Zabrze_result[Name],Zabrze_result[Category]="junior"),0)&amp;" and "&amp;(COUNTIFS(Zabrze_result[VT_total_score],I56,Zabrze_result[Category],"junior")-1)&amp;" more",_xlfn.XLOOKUP(I56,_xlfn._xlws.FILTER(Zabrze_result[VT_total_score],Zabrze_result[Category]="junior"),_xlfn._xlws.FILTER(Zabrze_result[Name],Zabrze_result[Category]="junior"),0))</f>
        <v>CZARNECKI Aleksander</v>
      </c>
      <c r="AQ56" t="s">
        <v>65</v>
      </c>
      <c r="AR56" t="s">
        <v>60</v>
      </c>
      <c r="AS56">
        <v>2001</v>
      </c>
      <c r="AT56" t="s">
        <v>67</v>
      </c>
      <c r="AU56" t="s">
        <v>325</v>
      </c>
      <c r="AV56" t="s">
        <v>305</v>
      </c>
      <c r="AW56" t="s">
        <v>314</v>
      </c>
      <c r="AX56" t="s">
        <v>308</v>
      </c>
      <c r="AY56">
        <v>3</v>
      </c>
    </row>
    <row r="57" spans="1:51" ht="21" x14ac:dyDescent="0.35">
      <c r="AQ57" t="s">
        <v>65</v>
      </c>
      <c r="AR57" t="s">
        <v>60</v>
      </c>
      <c r="AS57">
        <v>2001</v>
      </c>
      <c r="AT57" t="s">
        <v>67</v>
      </c>
      <c r="AU57" t="s">
        <v>325</v>
      </c>
      <c r="AV57" t="s">
        <v>305</v>
      </c>
      <c r="AW57" t="s">
        <v>314</v>
      </c>
      <c r="AX57" t="s">
        <v>309</v>
      </c>
      <c r="AY57">
        <v>9.35</v>
      </c>
    </row>
    <row r="58" spans="1:51" ht="21" x14ac:dyDescent="0.35">
      <c r="AQ58" t="s">
        <v>65</v>
      </c>
      <c r="AR58" t="s">
        <v>60</v>
      </c>
      <c r="AS58">
        <v>2001</v>
      </c>
      <c r="AT58" t="s">
        <v>67</v>
      </c>
      <c r="AU58" t="s">
        <v>325</v>
      </c>
      <c r="AV58" t="s">
        <v>305</v>
      </c>
      <c r="AW58" t="s">
        <v>314</v>
      </c>
      <c r="AX58" t="s">
        <v>268</v>
      </c>
      <c r="AY58">
        <v>12.35</v>
      </c>
    </row>
    <row r="59" spans="1:51" ht="21" x14ac:dyDescent="0.35">
      <c r="AQ59" t="s">
        <v>65</v>
      </c>
      <c r="AR59" t="s">
        <v>60</v>
      </c>
      <c r="AS59">
        <v>2001</v>
      </c>
      <c r="AT59" t="s">
        <v>67</v>
      </c>
      <c r="AU59" t="s">
        <v>325</v>
      </c>
      <c r="AV59" t="s">
        <v>305</v>
      </c>
      <c r="AW59" t="s">
        <v>242</v>
      </c>
      <c r="AX59" t="s">
        <v>308</v>
      </c>
      <c r="AY59">
        <v>3.6</v>
      </c>
    </row>
    <row r="60" spans="1:51" ht="21" x14ac:dyDescent="0.35">
      <c r="AQ60" t="s">
        <v>65</v>
      </c>
      <c r="AR60" t="s">
        <v>60</v>
      </c>
      <c r="AS60">
        <v>2001</v>
      </c>
      <c r="AT60" t="s">
        <v>67</v>
      </c>
      <c r="AU60" t="s">
        <v>325</v>
      </c>
      <c r="AV60" t="s">
        <v>305</v>
      </c>
      <c r="AW60" t="s">
        <v>242</v>
      </c>
      <c r="AX60" t="s">
        <v>309</v>
      </c>
      <c r="AY60">
        <v>7.1</v>
      </c>
    </row>
    <row r="61" spans="1:51" ht="21" x14ac:dyDescent="0.35">
      <c r="AQ61" t="s">
        <v>65</v>
      </c>
      <c r="AR61" t="s">
        <v>60</v>
      </c>
      <c r="AS61">
        <v>2001</v>
      </c>
      <c r="AT61" t="s">
        <v>67</v>
      </c>
      <c r="AU61" t="s">
        <v>325</v>
      </c>
      <c r="AV61" t="s">
        <v>305</v>
      </c>
      <c r="AW61" t="s">
        <v>242</v>
      </c>
      <c r="AX61" t="s">
        <v>268</v>
      </c>
      <c r="AY61">
        <v>10.7</v>
      </c>
    </row>
    <row r="62" spans="1:51" ht="21" x14ac:dyDescent="0.35">
      <c r="AQ62" t="s">
        <v>65</v>
      </c>
      <c r="AR62" t="s">
        <v>60</v>
      </c>
      <c r="AS62">
        <v>2001</v>
      </c>
      <c r="AT62" t="s">
        <v>67</v>
      </c>
      <c r="AU62" t="s">
        <v>325</v>
      </c>
      <c r="AV62" t="s">
        <v>305</v>
      </c>
      <c r="AW62" t="s">
        <v>243</v>
      </c>
      <c r="AX62" t="s">
        <v>326</v>
      </c>
      <c r="AY62">
        <v>21.3</v>
      </c>
    </row>
    <row r="63" spans="1:51" ht="21" x14ac:dyDescent="0.35">
      <c r="AQ63" t="s">
        <v>65</v>
      </c>
      <c r="AR63" t="s">
        <v>60</v>
      </c>
      <c r="AS63">
        <v>2001</v>
      </c>
      <c r="AT63" t="s">
        <v>67</v>
      </c>
      <c r="AU63" t="s">
        <v>325</v>
      </c>
      <c r="AV63" t="s">
        <v>305</v>
      </c>
      <c r="AW63" t="s">
        <v>243</v>
      </c>
      <c r="AX63" t="s">
        <v>327</v>
      </c>
      <c r="AY63">
        <v>50.750000000000007</v>
      </c>
    </row>
    <row r="64" spans="1:51" ht="21" x14ac:dyDescent="0.35">
      <c r="AQ64" t="s">
        <v>65</v>
      </c>
      <c r="AR64" t="s">
        <v>60</v>
      </c>
      <c r="AS64">
        <v>2001</v>
      </c>
      <c r="AT64" t="s">
        <v>67</v>
      </c>
      <c r="AU64" t="s">
        <v>325</v>
      </c>
      <c r="AV64" t="s">
        <v>305</v>
      </c>
      <c r="AW64" t="s">
        <v>243</v>
      </c>
      <c r="AX64" t="s">
        <v>328</v>
      </c>
      <c r="AY64">
        <v>72.050000000000011</v>
      </c>
    </row>
    <row r="65" spans="43:51" ht="21" x14ac:dyDescent="0.35">
      <c r="AQ65" t="s">
        <v>68</v>
      </c>
      <c r="AR65" t="s">
        <v>60</v>
      </c>
      <c r="AS65">
        <v>2004</v>
      </c>
      <c r="AT65" t="s">
        <v>31</v>
      </c>
      <c r="AU65" t="s">
        <v>325</v>
      </c>
      <c r="AV65" t="s">
        <v>305</v>
      </c>
      <c r="AW65" t="s">
        <v>218</v>
      </c>
      <c r="AX65" t="s">
        <v>308</v>
      </c>
      <c r="AY65">
        <v>4.2</v>
      </c>
    </row>
    <row r="66" spans="43:51" ht="21" x14ac:dyDescent="0.35">
      <c r="AQ66" t="s">
        <v>68</v>
      </c>
      <c r="AR66" t="s">
        <v>60</v>
      </c>
      <c r="AS66">
        <v>2004</v>
      </c>
      <c r="AT66" t="s">
        <v>31</v>
      </c>
      <c r="AU66" t="s">
        <v>325</v>
      </c>
      <c r="AV66" t="s">
        <v>305</v>
      </c>
      <c r="AW66" t="s">
        <v>218</v>
      </c>
      <c r="AX66" t="s">
        <v>309</v>
      </c>
      <c r="AY66">
        <v>8.35</v>
      </c>
    </row>
    <row r="67" spans="43:51" ht="21" x14ac:dyDescent="0.35">
      <c r="AQ67" t="s">
        <v>68</v>
      </c>
      <c r="AR67" t="s">
        <v>60</v>
      </c>
      <c r="AS67">
        <v>2004</v>
      </c>
      <c r="AT67" t="s">
        <v>31</v>
      </c>
      <c r="AU67" t="s">
        <v>325</v>
      </c>
      <c r="AV67" t="s">
        <v>305</v>
      </c>
      <c r="AW67" t="s">
        <v>218</v>
      </c>
      <c r="AX67" t="s">
        <v>268</v>
      </c>
      <c r="AY67">
        <v>12.55</v>
      </c>
    </row>
    <row r="68" spans="43:51" ht="21" x14ac:dyDescent="0.35">
      <c r="AQ68" t="s">
        <v>68</v>
      </c>
      <c r="AR68" t="s">
        <v>60</v>
      </c>
      <c r="AS68">
        <v>2004</v>
      </c>
      <c r="AT68" t="s">
        <v>31</v>
      </c>
      <c r="AU68" t="s">
        <v>325</v>
      </c>
      <c r="AV68" t="s">
        <v>305</v>
      </c>
      <c r="AW68" t="s">
        <v>238</v>
      </c>
      <c r="AX68" t="s">
        <v>308</v>
      </c>
      <c r="AY68">
        <v>3.8</v>
      </c>
    </row>
    <row r="69" spans="43:51" ht="21" x14ac:dyDescent="0.35">
      <c r="AQ69" t="s">
        <v>68</v>
      </c>
      <c r="AR69" t="s">
        <v>60</v>
      </c>
      <c r="AS69">
        <v>2004</v>
      </c>
      <c r="AT69" t="s">
        <v>31</v>
      </c>
      <c r="AU69" t="s">
        <v>325</v>
      </c>
      <c r="AV69" t="s">
        <v>305</v>
      </c>
      <c r="AW69" t="s">
        <v>238</v>
      </c>
      <c r="AX69" t="s">
        <v>309</v>
      </c>
      <c r="AY69">
        <v>7.75</v>
      </c>
    </row>
    <row r="70" spans="43:51" ht="21" x14ac:dyDescent="0.35">
      <c r="AQ70" t="s">
        <v>68</v>
      </c>
      <c r="AR70" t="s">
        <v>60</v>
      </c>
      <c r="AS70">
        <v>2004</v>
      </c>
      <c r="AT70" t="s">
        <v>31</v>
      </c>
      <c r="AU70" t="s">
        <v>325</v>
      </c>
      <c r="AV70" t="s">
        <v>305</v>
      </c>
      <c r="AW70" t="s">
        <v>238</v>
      </c>
      <c r="AX70" t="s">
        <v>268</v>
      </c>
      <c r="AY70">
        <v>11.55</v>
      </c>
    </row>
    <row r="71" spans="43:51" ht="21" x14ac:dyDescent="0.35">
      <c r="AQ71" t="s">
        <v>68</v>
      </c>
      <c r="AR71" t="s">
        <v>60</v>
      </c>
      <c r="AS71">
        <v>2004</v>
      </c>
      <c r="AT71" t="s">
        <v>31</v>
      </c>
      <c r="AU71" t="s">
        <v>325</v>
      </c>
      <c r="AV71" t="s">
        <v>305</v>
      </c>
      <c r="AW71" t="s">
        <v>239</v>
      </c>
      <c r="AX71" t="s">
        <v>308</v>
      </c>
      <c r="AY71">
        <v>3.8</v>
      </c>
    </row>
    <row r="72" spans="43:51" ht="21" x14ac:dyDescent="0.35">
      <c r="AQ72" t="s">
        <v>68</v>
      </c>
      <c r="AR72" t="s">
        <v>60</v>
      </c>
      <c r="AS72">
        <v>2004</v>
      </c>
      <c r="AT72" t="s">
        <v>31</v>
      </c>
      <c r="AU72" t="s">
        <v>325</v>
      </c>
      <c r="AV72" t="s">
        <v>305</v>
      </c>
      <c r="AW72" t="s">
        <v>239</v>
      </c>
      <c r="AX72" t="s">
        <v>309</v>
      </c>
      <c r="AY72">
        <v>7.7</v>
      </c>
    </row>
    <row r="73" spans="43:51" ht="21" x14ac:dyDescent="0.35">
      <c r="AQ73" t="s">
        <v>68</v>
      </c>
      <c r="AR73" t="s">
        <v>60</v>
      </c>
      <c r="AS73">
        <v>2004</v>
      </c>
      <c r="AT73" t="s">
        <v>31</v>
      </c>
      <c r="AU73" t="s">
        <v>325</v>
      </c>
      <c r="AV73" t="s">
        <v>305</v>
      </c>
      <c r="AW73" t="s">
        <v>239</v>
      </c>
      <c r="AX73" t="s">
        <v>268</v>
      </c>
      <c r="AY73">
        <v>11.5</v>
      </c>
    </row>
    <row r="74" spans="43:51" ht="21" x14ac:dyDescent="0.35">
      <c r="AQ74" t="s">
        <v>68</v>
      </c>
      <c r="AR74" t="s">
        <v>60</v>
      </c>
      <c r="AS74">
        <v>2004</v>
      </c>
      <c r="AT74" t="s">
        <v>31</v>
      </c>
      <c r="AU74" t="s">
        <v>325</v>
      </c>
      <c r="AV74" t="s">
        <v>305</v>
      </c>
      <c r="AW74" t="s">
        <v>240</v>
      </c>
      <c r="AX74" t="s">
        <v>308</v>
      </c>
      <c r="AY74">
        <v>4</v>
      </c>
    </row>
    <row r="75" spans="43:51" ht="21" x14ac:dyDescent="0.35">
      <c r="AQ75" t="s">
        <v>68</v>
      </c>
      <c r="AR75" t="s">
        <v>60</v>
      </c>
      <c r="AS75">
        <v>2004</v>
      </c>
      <c r="AT75" t="s">
        <v>31</v>
      </c>
      <c r="AU75" t="s">
        <v>325</v>
      </c>
      <c r="AV75" t="s">
        <v>305</v>
      </c>
      <c r="AW75" t="s">
        <v>240</v>
      </c>
      <c r="AX75" t="s">
        <v>309</v>
      </c>
      <c r="AY75">
        <v>9.6</v>
      </c>
    </row>
    <row r="76" spans="43:51" ht="21" x14ac:dyDescent="0.35">
      <c r="AQ76" t="s">
        <v>68</v>
      </c>
      <c r="AR76" t="s">
        <v>60</v>
      </c>
      <c r="AS76">
        <v>2004</v>
      </c>
      <c r="AT76" t="s">
        <v>31</v>
      </c>
      <c r="AU76" t="s">
        <v>325</v>
      </c>
      <c r="AV76" t="s">
        <v>305</v>
      </c>
      <c r="AW76" t="s">
        <v>240</v>
      </c>
      <c r="AX76" t="s">
        <v>268</v>
      </c>
      <c r="AY76">
        <v>13.6</v>
      </c>
    </row>
    <row r="77" spans="43:51" ht="21" x14ac:dyDescent="0.35">
      <c r="AQ77" t="s">
        <v>68</v>
      </c>
      <c r="AR77" t="s">
        <v>60</v>
      </c>
      <c r="AS77">
        <v>2004</v>
      </c>
      <c r="AT77" t="s">
        <v>31</v>
      </c>
      <c r="AU77" t="s">
        <v>325</v>
      </c>
      <c r="AV77" t="s">
        <v>305</v>
      </c>
      <c r="AW77" t="s">
        <v>314</v>
      </c>
      <c r="AX77" t="s">
        <v>308</v>
      </c>
      <c r="AY77">
        <v>3.5</v>
      </c>
    </row>
    <row r="78" spans="43:51" ht="21" x14ac:dyDescent="0.35">
      <c r="AQ78" t="s">
        <v>68</v>
      </c>
      <c r="AR78" t="s">
        <v>60</v>
      </c>
      <c r="AS78">
        <v>2004</v>
      </c>
      <c r="AT78" t="s">
        <v>31</v>
      </c>
      <c r="AU78" t="s">
        <v>325</v>
      </c>
      <c r="AV78" t="s">
        <v>305</v>
      </c>
      <c r="AW78" t="s">
        <v>314</v>
      </c>
      <c r="AX78" t="s">
        <v>309</v>
      </c>
      <c r="AY78">
        <v>8.6999999999999993</v>
      </c>
    </row>
    <row r="79" spans="43:51" ht="21" x14ac:dyDescent="0.35">
      <c r="AQ79" t="s">
        <v>68</v>
      </c>
      <c r="AR79" t="s">
        <v>60</v>
      </c>
      <c r="AS79">
        <v>2004</v>
      </c>
      <c r="AT79" t="s">
        <v>31</v>
      </c>
      <c r="AU79" t="s">
        <v>325</v>
      </c>
      <c r="AV79" t="s">
        <v>305</v>
      </c>
      <c r="AW79" t="s">
        <v>314</v>
      </c>
      <c r="AX79" t="s">
        <v>268</v>
      </c>
      <c r="AY79">
        <v>12.2</v>
      </c>
    </row>
    <row r="80" spans="43:51" ht="21" x14ac:dyDescent="0.35">
      <c r="AQ80" t="s">
        <v>68</v>
      </c>
      <c r="AR80" t="s">
        <v>60</v>
      </c>
      <c r="AS80">
        <v>2004</v>
      </c>
      <c r="AT80" t="s">
        <v>31</v>
      </c>
      <c r="AU80" t="s">
        <v>325</v>
      </c>
      <c r="AV80" t="s">
        <v>305</v>
      </c>
      <c r="AW80" t="s">
        <v>242</v>
      </c>
      <c r="AX80" t="s">
        <v>308</v>
      </c>
      <c r="AY80">
        <v>2.2000000000000002</v>
      </c>
    </row>
    <row r="81" spans="43:51" ht="21" x14ac:dyDescent="0.35">
      <c r="AQ81" t="s">
        <v>68</v>
      </c>
      <c r="AR81" t="s">
        <v>60</v>
      </c>
      <c r="AS81">
        <v>2004</v>
      </c>
      <c r="AT81" t="s">
        <v>31</v>
      </c>
      <c r="AU81" t="s">
        <v>325</v>
      </c>
      <c r="AV81" t="s">
        <v>305</v>
      </c>
      <c r="AW81" t="s">
        <v>242</v>
      </c>
      <c r="AX81" t="s">
        <v>309</v>
      </c>
      <c r="AY81">
        <v>7.85</v>
      </c>
    </row>
    <row r="82" spans="43:51" ht="21" x14ac:dyDescent="0.35">
      <c r="AQ82" t="s">
        <v>68</v>
      </c>
      <c r="AR82" t="s">
        <v>60</v>
      </c>
      <c r="AS82">
        <v>2004</v>
      </c>
      <c r="AT82" t="s">
        <v>31</v>
      </c>
      <c r="AU82" t="s">
        <v>325</v>
      </c>
      <c r="AV82" t="s">
        <v>305</v>
      </c>
      <c r="AW82" t="s">
        <v>242</v>
      </c>
      <c r="AX82" t="s">
        <v>268</v>
      </c>
      <c r="AY82">
        <v>10.050000000000001</v>
      </c>
    </row>
    <row r="83" spans="43:51" ht="21" x14ac:dyDescent="0.35">
      <c r="AQ83" t="s">
        <v>68</v>
      </c>
      <c r="AR83" t="s">
        <v>60</v>
      </c>
      <c r="AS83">
        <v>2004</v>
      </c>
      <c r="AT83" t="s">
        <v>31</v>
      </c>
      <c r="AU83" t="s">
        <v>325</v>
      </c>
      <c r="AV83" t="s">
        <v>305</v>
      </c>
      <c r="AW83" t="s">
        <v>243</v>
      </c>
      <c r="AX83" t="s">
        <v>326</v>
      </c>
      <c r="AY83">
        <v>21.5</v>
      </c>
    </row>
    <row r="84" spans="43:51" ht="21" x14ac:dyDescent="0.35">
      <c r="AQ84" t="s">
        <v>68</v>
      </c>
      <c r="AR84" t="s">
        <v>60</v>
      </c>
      <c r="AS84">
        <v>2004</v>
      </c>
      <c r="AT84" t="s">
        <v>31</v>
      </c>
      <c r="AU84" t="s">
        <v>325</v>
      </c>
      <c r="AV84" t="s">
        <v>305</v>
      </c>
      <c r="AW84" t="s">
        <v>243</v>
      </c>
      <c r="AX84" t="s">
        <v>327</v>
      </c>
      <c r="AY84">
        <v>49.949999999999996</v>
      </c>
    </row>
    <row r="85" spans="43:51" ht="21" x14ac:dyDescent="0.35">
      <c r="AQ85" t="s">
        <v>68</v>
      </c>
      <c r="AR85" t="s">
        <v>60</v>
      </c>
      <c r="AS85">
        <v>2004</v>
      </c>
      <c r="AT85" t="s">
        <v>31</v>
      </c>
      <c r="AU85" t="s">
        <v>325</v>
      </c>
      <c r="AV85" t="s">
        <v>305</v>
      </c>
      <c r="AW85" t="s">
        <v>243</v>
      </c>
      <c r="AX85" t="s">
        <v>328</v>
      </c>
      <c r="AY85">
        <v>71.45</v>
      </c>
    </row>
    <row r="86" spans="43:51" ht="21" x14ac:dyDescent="0.35">
      <c r="AQ86" t="s">
        <v>70</v>
      </c>
      <c r="AR86" t="s">
        <v>60</v>
      </c>
      <c r="AS86">
        <v>2001</v>
      </c>
      <c r="AT86" t="s">
        <v>72</v>
      </c>
      <c r="AU86" t="s">
        <v>325</v>
      </c>
      <c r="AV86" t="s">
        <v>305</v>
      </c>
      <c r="AW86" t="s">
        <v>218</v>
      </c>
      <c r="AX86" t="s">
        <v>308</v>
      </c>
      <c r="AY86">
        <v>5</v>
      </c>
    </row>
    <row r="87" spans="43:51" ht="21" x14ac:dyDescent="0.35">
      <c r="AQ87" t="s">
        <v>70</v>
      </c>
      <c r="AR87" t="s">
        <v>60</v>
      </c>
      <c r="AS87">
        <v>2001</v>
      </c>
      <c r="AT87" t="s">
        <v>72</v>
      </c>
      <c r="AU87" t="s">
        <v>325</v>
      </c>
      <c r="AV87" t="s">
        <v>305</v>
      </c>
      <c r="AW87" t="s">
        <v>218</v>
      </c>
      <c r="AX87" t="s">
        <v>309</v>
      </c>
      <c r="AY87">
        <v>6.8</v>
      </c>
    </row>
    <row r="88" spans="43:51" ht="21" x14ac:dyDescent="0.35">
      <c r="AQ88" t="s">
        <v>70</v>
      </c>
      <c r="AR88" t="s">
        <v>60</v>
      </c>
      <c r="AS88">
        <v>2001</v>
      </c>
      <c r="AT88" t="s">
        <v>72</v>
      </c>
      <c r="AU88" t="s">
        <v>325</v>
      </c>
      <c r="AV88" t="s">
        <v>305</v>
      </c>
      <c r="AW88" t="s">
        <v>218</v>
      </c>
      <c r="AX88" t="s">
        <v>268</v>
      </c>
      <c r="AY88">
        <v>11.8</v>
      </c>
    </row>
    <row r="89" spans="43:51" ht="21" x14ac:dyDescent="0.35">
      <c r="AQ89" t="s">
        <v>70</v>
      </c>
      <c r="AR89" t="s">
        <v>60</v>
      </c>
      <c r="AS89">
        <v>2001</v>
      </c>
      <c r="AT89" t="s">
        <v>72</v>
      </c>
      <c r="AU89" t="s">
        <v>325</v>
      </c>
      <c r="AV89" t="s">
        <v>305</v>
      </c>
      <c r="AW89" t="s">
        <v>238</v>
      </c>
      <c r="AX89" t="s">
        <v>308</v>
      </c>
      <c r="AY89">
        <v>3.3</v>
      </c>
    </row>
    <row r="90" spans="43:51" ht="21" x14ac:dyDescent="0.35">
      <c r="AQ90" t="s">
        <v>70</v>
      </c>
      <c r="AR90" t="s">
        <v>60</v>
      </c>
      <c r="AS90">
        <v>2001</v>
      </c>
      <c r="AT90" t="s">
        <v>72</v>
      </c>
      <c r="AU90" t="s">
        <v>325</v>
      </c>
      <c r="AV90" t="s">
        <v>305</v>
      </c>
      <c r="AW90" t="s">
        <v>238</v>
      </c>
      <c r="AX90" t="s">
        <v>309</v>
      </c>
      <c r="AY90">
        <v>6</v>
      </c>
    </row>
    <row r="91" spans="43:51" ht="21" x14ac:dyDescent="0.35">
      <c r="AQ91" t="s">
        <v>70</v>
      </c>
      <c r="AR91" t="s">
        <v>60</v>
      </c>
      <c r="AS91">
        <v>2001</v>
      </c>
      <c r="AT91" t="s">
        <v>72</v>
      </c>
      <c r="AU91" t="s">
        <v>325</v>
      </c>
      <c r="AV91" t="s">
        <v>305</v>
      </c>
      <c r="AW91" t="s">
        <v>238</v>
      </c>
      <c r="AX91" t="s">
        <v>268</v>
      </c>
      <c r="AY91">
        <v>9.3000000000000007</v>
      </c>
    </row>
    <row r="92" spans="43:51" ht="21" x14ac:dyDescent="0.35">
      <c r="AQ92" t="s">
        <v>70</v>
      </c>
      <c r="AR92" t="s">
        <v>60</v>
      </c>
      <c r="AS92">
        <v>2001</v>
      </c>
      <c r="AT92" t="s">
        <v>72</v>
      </c>
      <c r="AU92" t="s">
        <v>325</v>
      </c>
      <c r="AV92" t="s">
        <v>305</v>
      </c>
      <c r="AW92" t="s">
        <v>239</v>
      </c>
      <c r="AX92" t="s">
        <v>308</v>
      </c>
      <c r="AY92">
        <v>4.0999999999999996</v>
      </c>
    </row>
    <row r="93" spans="43:51" ht="21" x14ac:dyDescent="0.35">
      <c r="AQ93" t="s">
        <v>70</v>
      </c>
      <c r="AR93" t="s">
        <v>60</v>
      </c>
      <c r="AS93">
        <v>2001</v>
      </c>
      <c r="AT93" t="s">
        <v>72</v>
      </c>
      <c r="AU93" t="s">
        <v>325</v>
      </c>
      <c r="AV93" t="s">
        <v>305</v>
      </c>
      <c r="AW93" t="s">
        <v>239</v>
      </c>
      <c r="AX93" t="s">
        <v>309</v>
      </c>
      <c r="AY93">
        <v>7.6</v>
      </c>
    </row>
    <row r="94" spans="43:51" ht="21" x14ac:dyDescent="0.35">
      <c r="AQ94" t="s">
        <v>70</v>
      </c>
      <c r="AR94" t="s">
        <v>60</v>
      </c>
      <c r="AS94">
        <v>2001</v>
      </c>
      <c r="AT94" t="s">
        <v>72</v>
      </c>
      <c r="AU94" t="s">
        <v>325</v>
      </c>
      <c r="AV94" t="s">
        <v>305</v>
      </c>
      <c r="AW94" t="s">
        <v>239</v>
      </c>
      <c r="AX94" t="s">
        <v>268</v>
      </c>
      <c r="AY94">
        <v>11.7</v>
      </c>
    </row>
    <row r="95" spans="43:51" ht="21" x14ac:dyDescent="0.35">
      <c r="AQ95" t="s">
        <v>70</v>
      </c>
      <c r="AR95" t="s">
        <v>60</v>
      </c>
      <c r="AS95">
        <v>2001</v>
      </c>
      <c r="AT95" t="s">
        <v>72</v>
      </c>
      <c r="AU95" t="s">
        <v>325</v>
      </c>
      <c r="AV95" t="s">
        <v>305</v>
      </c>
      <c r="AW95" t="s">
        <v>240</v>
      </c>
      <c r="AX95" t="s">
        <v>308</v>
      </c>
      <c r="AY95">
        <v>5.2</v>
      </c>
    </row>
    <row r="96" spans="43:51" ht="21" x14ac:dyDescent="0.35">
      <c r="AQ96" t="s">
        <v>70</v>
      </c>
      <c r="AR96" t="s">
        <v>60</v>
      </c>
      <c r="AS96">
        <v>2001</v>
      </c>
      <c r="AT96" t="s">
        <v>72</v>
      </c>
      <c r="AU96" t="s">
        <v>325</v>
      </c>
      <c r="AV96" t="s">
        <v>305</v>
      </c>
      <c r="AW96" t="s">
        <v>240</v>
      </c>
      <c r="AX96" t="s">
        <v>309</v>
      </c>
      <c r="AY96">
        <v>8.25</v>
      </c>
    </row>
    <row r="97" spans="43:51" ht="21" x14ac:dyDescent="0.35">
      <c r="AQ97" t="s">
        <v>70</v>
      </c>
      <c r="AR97" t="s">
        <v>60</v>
      </c>
      <c r="AS97">
        <v>2001</v>
      </c>
      <c r="AT97" t="s">
        <v>72</v>
      </c>
      <c r="AU97" t="s">
        <v>325</v>
      </c>
      <c r="AV97" t="s">
        <v>305</v>
      </c>
      <c r="AW97" t="s">
        <v>240</v>
      </c>
      <c r="AX97" t="s">
        <v>268</v>
      </c>
      <c r="AY97">
        <v>13.45</v>
      </c>
    </row>
    <row r="98" spans="43:51" ht="21" x14ac:dyDescent="0.35">
      <c r="AQ98" t="s">
        <v>70</v>
      </c>
      <c r="AR98" t="s">
        <v>60</v>
      </c>
      <c r="AS98">
        <v>2001</v>
      </c>
      <c r="AT98" t="s">
        <v>72</v>
      </c>
      <c r="AU98" t="s">
        <v>325</v>
      </c>
      <c r="AV98" t="s">
        <v>305</v>
      </c>
      <c r="AW98" t="s">
        <v>314</v>
      </c>
      <c r="AX98" t="s">
        <v>308</v>
      </c>
      <c r="AY98">
        <v>4.3</v>
      </c>
    </row>
    <row r="99" spans="43:51" ht="21" x14ac:dyDescent="0.35">
      <c r="AQ99" t="s">
        <v>70</v>
      </c>
      <c r="AR99" t="s">
        <v>60</v>
      </c>
      <c r="AS99">
        <v>2001</v>
      </c>
      <c r="AT99" t="s">
        <v>72</v>
      </c>
      <c r="AU99" t="s">
        <v>325</v>
      </c>
      <c r="AV99" t="s">
        <v>305</v>
      </c>
      <c r="AW99" t="s">
        <v>314</v>
      </c>
      <c r="AX99" t="s">
        <v>309</v>
      </c>
      <c r="AY99">
        <v>8.1999999999999993</v>
      </c>
    </row>
    <row r="100" spans="43:51" ht="21" x14ac:dyDescent="0.35">
      <c r="AQ100" t="s">
        <v>70</v>
      </c>
      <c r="AR100" t="s">
        <v>60</v>
      </c>
      <c r="AS100">
        <v>2001</v>
      </c>
      <c r="AT100" t="s">
        <v>72</v>
      </c>
      <c r="AU100" t="s">
        <v>325</v>
      </c>
      <c r="AV100" t="s">
        <v>305</v>
      </c>
      <c r="AW100" t="s">
        <v>314</v>
      </c>
      <c r="AX100" t="s">
        <v>268</v>
      </c>
      <c r="AY100">
        <v>12.5</v>
      </c>
    </row>
    <row r="101" spans="43:51" ht="21" x14ac:dyDescent="0.35">
      <c r="AQ101" t="s">
        <v>70</v>
      </c>
      <c r="AR101" t="s">
        <v>60</v>
      </c>
      <c r="AS101">
        <v>2001</v>
      </c>
      <c r="AT101" t="s">
        <v>72</v>
      </c>
      <c r="AU101" t="s">
        <v>325</v>
      </c>
      <c r="AV101" t="s">
        <v>305</v>
      </c>
      <c r="AW101" t="s">
        <v>242</v>
      </c>
      <c r="AX101" t="s">
        <v>308</v>
      </c>
      <c r="AY101">
        <v>3.7</v>
      </c>
    </row>
    <row r="102" spans="43:51" ht="21" x14ac:dyDescent="0.35">
      <c r="AQ102" t="s">
        <v>70</v>
      </c>
      <c r="AR102" t="s">
        <v>60</v>
      </c>
      <c r="AS102">
        <v>2001</v>
      </c>
      <c r="AT102" t="s">
        <v>72</v>
      </c>
      <c r="AU102" t="s">
        <v>325</v>
      </c>
      <c r="AV102" t="s">
        <v>305</v>
      </c>
      <c r="AW102" t="s">
        <v>242</v>
      </c>
      <c r="AX102" t="s">
        <v>309</v>
      </c>
      <c r="AY102">
        <v>7.95</v>
      </c>
    </row>
    <row r="103" spans="43:51" ht="21" x14ac:dyDescent="0.35">
      <c r="AQ103" t="s">
        <v>70</v>
      </c>
      <c r="AR103" t="s">
        <v>60</v>
      </c>
      <c r="AS103">
        <v>2001</v>
      </c>
      <c r="AT103" t="s">
        <v>72</v>
      </c>
      <c r="AU103" t="s">
        <v>325</v>
      </c>
      <c r="AV103" t="s">
        <v>305</v>
      </c>
      <c r="AW103" t="s">
        <v>242</v>
      </c>
      <c r="AX103" t="s">
        <v>268</v>
      </c>
      <c r="AY103">
        <v>11.65</v>
      </c>
    </row>
    <row r="104" spans="43:51" ht="21" x14ac:dyDescent="0.35">
      <c r="AQ104" t="s">
        <v>70</v>
      </c>
      <c r="AR104" t="s">
        <v>60</v>
      </c>
      <c r="AS104">
        <v>2001</v>
      </c>
      <c r="AT104" t="s">
        <v>72</v>
      </c>
      <c r="AU104" t="s">
        <v>325</v>
      </c>
      <c r="AV104" t="s">
        <v>305</v>
      </c>
      <c r="AW104" t="s">
        <v>243</v>
      </c>
      <c r="AX104" t="s">
        <v>326</v>
      </c>
      <c r="AY104">
        <v>25.6</v>
      </c>
    </row>
    <row r="105" spans="43:51" ht="21" x14ac:dyDescent="0.35">
      <c r="AQ105" t="s">
        <v>70</v>
      </c>
      <c r="AR105" t="s">
        <v>60</v>
      </c>
      <c r="AS105">
        <v>2001</v>
      </c>
      <c r="AT105" t="s">
        <v>72</v>
      </c>
      <c r="AU105" t="s">
        <v>325</v>
      </c>
      <c r="AV105" t="s">
        <v>305</v>
      </c>
      <c r="AW105" t="s">
        <v>243</v>
      </c>
      <c r="AX105" t="s">
        <v>327</v>
      </c>
      <c r="AY105">
        <v>44.8</v>
      </c>
    </row>
    <row r="106" spans="43:51" ht="21" x14ac:dyDescent="0.35">
      <c r="AQ106" t="s">
        <v>70</v>
      </c>
      <c r="AR106" t="s">
        <v>60</v>
      </c>
      <c r="AS106">
        <v>2001</v>
      </c>
      <c r="AT106" t="s">
        <v>72</v>
      </c>
      <c r="AU106" t="s">
        <v>325</v>
      </c>
      <c r="AV106" t="s">
        <v>305</v>
      </c>
      <c r="AW106" t="s">
        <v>243</v>
      </c>
      <c r="AX106" t="s">
        <v>328</v>
      </c>
      <c r="AY106">
        <v>70.400000000000006</v>
      </c>
    </row>
    <row r="107" spans="43:51" ht="21" x14ac:dyDescent="0.35">
      <c r="AQ107" t="s">
        <v>73</v>
      </c>
      <c r="AR107" t="s">
        <v>60</v>
      </c>
      <c r="AS107">
        <v>2001</v>
      </c>
      <c r="AT107" t="s">
        <v>62</v>
      </c>
      <c r="AU107" t="s">
        <v>325</v>
      </c>
      <c r="AV107" t="s">
        <v>305</v>
      </c>
      <c r="AW107" t="s">
        <v>218</v>
      </c>
      <c r="AX107" t="s">
        <v>308</v>
      </c>
      <c r="AY107">
        <v>4.7</v>
      </c>
    </row>
    <row r="108" spans="43:51" ht="21" x14ac:dyDescent="0.35">
      <c r="AQ108" t="s">
        <v>73</v>
      </c>
      <c r="AR108" t="s">
        <v>60</v>
      </c>
      <c r="AS108">
        <v>2001</v>
      </c>
      <c r="AT108" t="s">
        <v>62</v>
      </c>
      <c r="AU108" t="s">
        <v>325</v>
      </c>
      <c r="AV108" t="s">
        <v>305</v>
      </c>
      <c r="AW108" t="s">
        <v>218</v>
      </c>
      <c r="AX108" t="s">
        <v>309</v>
      </c>
      <c r="AY108">
        <v>8.6999999999999993</v>
      </c>
    </row>
    <row r="109" spans="43:51" ht="21" x14ac:dyDescent="0.35">
      <c r="AQ109" t="s">
        <v>73</v>
      </c>
      <c r="AR109" t="s">
        <v>60</v>
      </c>
      <c r="AS109">
        <v>2001</v>
      </c>
      <c r="AT109" t="s">
        <v>62</v>
      </c>
      <c r="AU109" t="s">
        <v>325</v>
      </c>
      <c r="AV109" t="s">
        <v>305</v>
      </c>
      <c r="AW109" t="s">
        <v>218</v>
      </c>
      <c r="AX109" t="s">
        <v>268</v>
      </c>
      <c r="AY109">
        <v>13.4</v>
      </c>
    </row>
    <row r="110" spans="43:51" ht="21" x14ac:dyDescent="0.35">
      <c r="AQ110" t="s">
        <v>73</v>
      </c>
      <c r="AR110" t="s">
        <v>60</v>
      </c>
      <c r="AS110">
        <v>2001</v>
      </c>
      <c r="AT110" t="s">
        <v>62</v>
      </c>
      <c r="AU110" t="s">
        <v>325</v>
      </c>
      <c r="AV110" t="s">
        <v>305</v>
      </c>
      <c r="AW110" t="s">
        <v>238</v>
      </c>
      <c r="AX110" t="s">
        <v>308</v>
      </c>
      <c r="AY110">
        <v>3</v>
      </c>
    </row>
    <row r="111" spans="43:51" ht="21" x14ac:dyDescent="0.35">
      <c r="AQ111" t="s">
        <v>73</v>
      </c>
      <c r="AR111" t="s">
        <v>60</v>
      </c>
      <c r="AS111">
        <v>2001</v>
      </c>
      <c r="AT111" t="s">
        <v>62</v>
      </c>
      <c r="AU111" t="s">
        <v>325</v>
      </c>
      <c r="AV111" t="s">
        <v>305</v>
      </c>
      <c r="AW111" t="s">
        <v>238</v>
      </c>
      <c r="AX111" t="s">
        <v>309</v>
      </c>
      <c r="AY111">
        <v>7.5</v>
      </c>
    </row>
    <row r="112" spans="43:51" ht="21" x14ac:dyDescent="0.35">
      <c r="AQ112" t="s">
        <v>73</v>
      </c>
      <c r="AR112" t="s">
        <v>60</v>
      </c>
      <c r="AS112">
        <v>2001</v>
      </c>
      <c r="AT112" t="s">
        <v>62</v>
      </c>
      <c r="AU112" t="s">
        <v>325</v>
      </c>
      <c r="AV112" t="s">
        <v>305</v>
      </c>
      <c r="AW112" t="s">
        <v>238</v>
      </c>
      <c r="AX112" t="s">
        <v>268</v>
      </c>
      <c r="AY112">
        <v>10.5</v>
      </c>
    </row>
    <row r="113" spans="43:51" ht="21" x14ac:dyDescent="0.35">
      <c r="AQ113" t="s">
        <v>73</v>
      </c>
      <c r="AR113" t="s">
        <v>60</v>
      </c>
      <c r="AS113">
        <v>2001</v>
      </c>
      <c r="AT113" t="s">
        <v>62</v>
      </c>
      <c r="AU113" t="s">
        <v>325</v>
      </c>
      <c r="AV113" t="s">
        <v>305</v>
      </c>
      <c r="AW113" t="s">
        <v>239</v>
      </c>
      <c r="AX113" t="s">
        <v>308</v>
      </c>
      <c r="AY113">
        <v>2.5</v>
      </c>
    </row>
    <row r="114" spans="43:51" ht="21" x14ac:dyDescent="0.35">
      <c r="AQ114" t="s">
        <v>73</v>
      </c>
      <c r="AR114" t="s">
        <v>60</v>
      </c>
      <c r="AS114">
        <v>2001</v>
      </c>
      <c r="AT114" t="s">
        <v>62</v>
      </c>
      <c r="AU114" t="s">
        <v>325</v>
      </c>
      <c r="AV114" t="s">
        <v>305</v>
      </c>
      <c r="AW114" t="s">
        <v>239</v>
      </c>
      <c r="AX114" t="s">
        <v>309</v>
      </c>
      <c r="AY114">
        <v>8.15</v>
      </c>
    </row>
    <row r="115" spans="43:51" ht="21" x14ac:dyDescent="0.35">
      <c r="AQ115" t="s">
        <v>73</v>
      </c>
      <c r="AR115" t="s">
        <v>60</v>
      </c>
      <c r="AS115">
        <v>2001</v>
      </c>
      <c r="AT115" t="s">
        <v>62</v>
      </c>
      <c r="AU115" t="s">
        <v>325</v>
      </c>
      <c r="AV115" t="s">
        <v>305</v>
      </c>
      <c r="AW115" t="s">
        <v>239</v>
      </c>
      <c r="AX115" t="s">
        <v>268</v>
      </c>
      <c r="AY115">
        <v>10.65</v>
      </c>
    </row>
    <row r="116" spans="43:51" ht="21" x14ac:dyDescent="0.35">
      <c r="AQ116" t="s">
        <v>73</v>
      </c>
      <c r="AR116" t="s">
        <v>60</v>
      </c>
      <c r="AS116">
        <v>2001</v>
      </c>
      <c r="AT116" t="s">
        <v>62</v>
      </c>
      <c r="AU116" t="s">
        <v>325</v>
      </c>
      <c r="AV116" t="s">
        <v>305</v>
      </c>
      <c r="AW116" t="s">
        <v>240</v>
      </c>
      <c r="AX116" t="s">
        <v>308</v>
      </c>
      <c r="AY116">
        <v>4</v>
      </c>
    </row>
    <row r="117" spans="43:51" ht="21" x14ac:dyDescent="0.35">
      <c r="AQ117" t="s">
        <v>73</v>
      </c>
      <c r="AR117" t="s">
        <v>60</v>
      </c>
      <c r="AS117">
        <v>2001</v>
      </c>
      <c r="AT117" t="s">
        <v>62</v>
      </c>
      <c r="AU117" t="s">
        <v>325</v>
      </c>
      <c r="AV117" t="s">
        <v>305</v>
      </c>
      <c r="AW117" t="s">
        <v>240</v>
      </c>
      <c r="AX117" t="s">
        <v>309</v>
      </c>
      <c r="AY117">
        <v>9.1</v>
      </c>
    </row>
    <row r="118" spans="43:51" ht="21" x14ac:dyDescent="0.35">
      <c r="AQ118" t="s">
        <v>73</v>
      </c>
      <c r="AR118" t="s">
        <v>60</v>
      </c>
      <c r="AS118">
        <v>2001</v>
      </c>
      <c r="AT118" t="s">
        <v>62</v>
      </c>
      <c r="AU118" t="s">
        <v>325</v>
      </c>
      <c r="AV118" t="s">
        <v>305</v>
      </c>
      <c r="AW118" t="s">
        <v>240</v>
      </c>
      <c r="AX118" t="s">
        <v>268</v>
      </c>
      <c r="AY118">
        <v>13.1</v>
      </c>
    </row>
    <row r="119" spans="43:51" ht="21" x14ac:dyDescent="0.35">
      <c r="AQ119" t="s">
        <v>73</v>
      </c>
      <c r="AR119" t="s">
        <v>60</v>
      </c>
      <c r="AS119">
        <v>2001</v>
      </c>
      <c r="AT119" t="s">
        <v>62</v>
      </c>
      <c r="AU119" t="s">
        <v>325</v>
      </c>
      <c r="AV119" t="s">
        <v>305</v>
      </c>
      <c r="AW119" t="s">
        <v>314</v>
      </c>
      <c r="AX119" t="s">
        <v>308</v>
      </c>
      <c r="AY119">
        <v>4.0999999999999996</v>
      </c>
    </row>
    <row r="120" spans="43:51" ht="21" x14ac:dyDescent="0.35">
      <c r="AQ120" t="s">
        <v>73</v>
      </c>
      <c r="AR120" t="s">
        <v>60</v>
      </c>
      <c r="AS120">
        <v>2001</v>
      </c>
      <c r="AT120" t="s">
        <v>62</v>
      </c>
      <c r="AU120" t="s">
        <v>325</v>
      </c>
      <c r="AV120" t="s">
        <v>305</v>
      </c>
      <c r="AW120" t="s">
        <v>314</v>
      </c>
      <c r="AX120" t="s">
        <v>309</v>
      </c>
      <c r="AY120">
        <v>7.9</v>
      </c>
    </row>
    <row r="121" spans="43:51" ht="21" x14ac:dyDescent="0.35">
      <c r="AQ121" t="s">
        <v>73</v>
      </c>
      <c r="AR121" t="s">
        <v>60</v>
      </c>
      <c r="AS121">
        <v>2001</v>
      </c>
      <c r="AT121" t="s">
        <v>62</v>
      </c>
      <c r="AU121" t="s">
        <v>325</v>
      </c>
      <c r="AV121" t="s">
        <v>305</v>
      </c>
      <c r="AW121" t="s">
        <v>314</v>
      </c>
      <c r="AX121" t="s">
        <v>268</v>
      </c>
      <c r="AY121">
        <v>12</v>
      </c>
    </row>
    <row r="122" spans="43:51" ht="21" x14ac:dyDescent="0.35">
      <c r="AQ122" t="s">
        <v>73</v>
      </c>
      <c r="AR122" t="s">
        <v>60</v>
      </c>
      <c r="AS122">
        <v>2001</v>
      </c>
      <c r="AT122" t="s">
        <v>62</v>
      </c>
      <c r="AU122" t="s">
        <v>325</v>
      </c>
      <c r="AV122" t="s">
        <v>305</v>
      </c>
      <c r="AW122" t="s">
        <v>242</v>
      </c>
      <c r="AX122" t="s">
        <v>308</v>
      </c>
      <c r="AY122">
        <v>2.7</v>
      </c>
    </row>
    <row r="123" spans="43:51" ht="21" x14ac:dyDescent="0.35">
      <c r="AQ123" t="s">
        <v>73</v>
      </c>
      <c r="AR123" t="s">
        <v>60</v>
      </c>
      <c r="AS123">
        <v>2001</v>
      </c>
      <c r="AT123" t="s">
        <v>62</v>
      </c>
      <c r="AU123" t="s">
        <v>325</v>
      </c>
      <c r="AV123" t="s">
        <v>305</v>
      </c>
      <c r="AW123" t="s">
        <v>242</v>
      </c>
      <c r="AX123" t="s">
        <v>309</v>
      </c>
      <c r="AY123">
        <v>7.55</v>
      </c>
    </row>
    <row r="124" spans="43:51" ht="21" x14ac:dyDescent="0.35">
      <c r="AQ124" t="s">
        <v>73</v>
      </c>
      <c r="AR124" t="s">
        <v>60</v>
      </c>
      <c r="AS124">
        <v>2001</v>
      </c>
      <c r="AT124" t="s">
        <v>62</v>
      </c>
      <c r="AU124" t="s">
        <v>325</v>
      </c>
      <c r="AV124" t="s">
        <v>305</v>
      </c>
      <c r="AW124" t="s">
        <v>242</v>
      </c>
      <c r="AX124" t="s">
        <v>268</v>
      </c>
      <c r="AY124">
        <v>10.25</v>
      </c>
    </row>
    <row r="125" spans="43:51" ht="21" x14ac:dyDescent="0.35">
      <c r="AQ125" t="s">
        <v>73</v>
      </c>
      <c r="AR125" t="s">
        <v>60</v>
      </c>
      <c r="AS125">
        <v>2001</v>
      </c>
      <c r="AT125" t="s">
        <v>62</v>
      </c>
      <c r="AU125" t="s">
        <v>325</v>
      </c>
      <c r="AV125" t="s">
        <v>305</v>
      </c>
      <c r="AW125" t="s">
        <v>243</v>
      </c>
      <c r="AX125" t="s">
        <v>326</v>
      </c>
      <c r="AY125">
        <v>20.999999999999996</v>
      </c>
    </row>
    <row r="126" spans="43:51" ht="21" x14ac:dyDescent="0.35">
      <c r="AQ126" t="s">
        <v>73</v>
      </c>
      <c r="AR126" t="s">
        <v>60</v>
      </c>
      <c r="AS126">
        <v>2001</v>
      </c>
      <c r="AT126" t="s">
        <v>62</v>
      </c>
      <c r="AU126" t="s">
        <v>325</v>
      </c>
      <c r="AV126" t="s">
        <v>305</v>
      </c>
      <c r="AW126" t="s">
        <v>243</v>
      </c>
      <c r="AX126" t="s">
        <v>327</v>
      </c>
      <c r="AY126">
        <v>48.9</v>
      </c>
    </row>
    <row r="127" spans="43:51" ht="21" x14ac:dyDescent="0.35">
      <c r="AQ127" t="s">
        <v>73</v>
      </c>
      <c r="AR127" t="s">
        <v>60</v>
      </c>
      <c r="AS127">
        <v>2001</v>
      </c>
      <c r="AT127" t="s">
        <v>62</v>
      </c>
      <c r="AU127" t="s">
        <v>325</v>
      </c>
      <c r="AV127" t="s">
        <v>305</v>
      </c>
      <c r="AW127" t="s">
        <v>243</v>
      </c>
      <c r="AX127" t="s">
        <v>328</v>
      </c>
      <c r="AY127">
        <v>69.900000000000006</v>
      </c>
    </row>
    <row r="128" spans="43:51" ht="21" x14ac:dyDescent="0.35">
      <c r="AQ128" t="s">
        <v>75</v>
      </c>
      <c r="AR128" t="s">
        <v>60</v>
      </c>
      <c r="AS128">
        <v>2003</v>
      </c>
      <c r="AT128" t="s">
        <v>28</v>
      </c>
      <c r="AU128" t="s">
        <v>325</v>
      </c>
      <c r="AV128" t="s">
        <v>305</v>
      </c>
      <c r="AW128" t="s">
        <v>218</v>
      </c>
      <c r="AX128" t="s">
        <v>308</v>
      </c>
      <c r="AY128">
        <v>3.8</v>
      </c>
    </row>
    <row r="129" spans="43:51" ht="21" x14ac:dyDescent="0.35">
      <c r="AQ129" t="s">
        <v>75</v>
      </c>
      <c r="AR129" t="s">
        <v>60</v>
      </c>
      <c r="AS129">
        <v>2003</v>
      </c>
      <c r="AT129" t="s">
        <v>28</v>
      </c>
      <c r="AU129" t="s">
        <v>325</v>
      </c>
      <c r="AV129" t="s">
        <v>305</v>
      </c>
      <c r="AW129" t="s">
        <v>218</v>
      </c>
      <c r="AX129" t="s">
        <v>309</v>
      </c>
      <c r="AY129">
        <v>7.3</v>
      </c>
    </row>
    <row r="130" spans="43:51" ht="21" x14ac:dyDescent="0.35">
      <c r="AQ130" t="s">
        <v>75</v>
      </c>
      <c r="AR130" t="s">
        <v>60</v>
      </c>
      <c r="AS130">
        <v>2003</v>
      </c>
      <c r="AT130" t="s">
        <v>28</v>
      </c>
      <c r="AU130" t="s">
        <v>325</v>
      </c>
      <c r="AV130" t="s">
        <v>305</v>
      </c>
      <c r="AW130" t="s">
        <v>218</v>
      </c>
      <c r="AX130" t="s">
        <v>268</v>
      </c>
      <c r="AY130">
        <v>11.1</v>
      </c>
    </row>
    <row r="131" spans="43:51" ht="21" x14ac:dyDescent="0.35">
      <c r="AQ131" t="s">
        <v>75</v>
      </c>
      <c r="AR131" t="s">
        <v>60</v>
      </c>
      <c r="AS131">
        <v>2003</v>
      </c>
      <c r="AT131" t="s">
        <v>28</v>
      </c>
      <c r="AU131" t="s">
        <v>325</v>
      </c>
      <c r="AV131" t="s">
        <v>305</v>
      </c>
      <c r="AW131" t="s">
        <v>238</v>
      </c>
      <c r="AX131" t="s">
        <v>308</v>
      </c>
      <c r="AY131">
        <v>4.2</v>
      </c>
    </row>
    <row r="132" spans="43:51" ht="21" x14ac:dyDescent="0.35">
      <c r="AQ132" t="s">
        <v>75</v>
      </c>
      <c r="AR132" t="s">
        <v>60</v>
      </c>
      <c r="AS132">
        <v>2003</v>
      </c>
      <c r="AT132" t="s">
        <v>28</v>
      </c>
      <c r="AU132" t="s">
        <v>325</v>
      </c>
      <c r="AV132" t="s">
        <v>305</v>
      </c>
      <c r="AW132" t="s">
        <v>238</v>
      </c>
      <c r="AX132" t="s">
        <v>309</v>
      </c>
      <c r="AY132">
        <v>8.25</v>
      </c>
    </row>
    <row r="133" spans="43:51" ht="21" x14ac:dyDescent="0.35">
      <c r="AQ133" t="s">
        <v>75</v>
      </c>
      <c r="AR133" t="s">
        <v>60</v>
      </c>
      <c r="AS133">
        <v>2003</v>
      </c>
      <c r="AT133" t="s">
        <v>28</v>
      </c>
      <c r="AU133" t="s">
        <v>325</v>
      </c>
      <c r="AV133" t="s">
        <v>305</v>
      </c>
      <c r="AW133" t="s">
        <v>238</v>
      </c>
      <c r="AX133" t="s">
        <v>268</v>
      </c>
      <c r="AY133">
        <v>12.45</v>
      </c>
    </row>
    <row r="134" spans="43:51" ht="21" x14ac:dyDescent="0.35">
      <c r="AQ134" t="s">
        <v>75</v>
      </c>
      <c r="AR134" t="s">
        <v>60</v>
      </c>
      <c r="AS134">
        <v>2003</v>
      </c>
      <c r="AT134" t="s">
        <v>28</v>
      </c>
      <c r="AU134" t="s">
        <v>325</v>
      </c>
      <c r="AV134" t="s">
        <v>305</v>
      </c>
      <c r="AW134" t="s">
        <v>239</v>
      </c>
      <c r="AX134" t="s">
        <v>308</v>
      </c>
      <c r="AY134">
        <v>3.8</v>
      </c>
    </row>
    <row r="135" spans="43:51" ht="21" x14ac:dyDescent="0.35">
      <c r="AQ135" t="s">
        <v>75</v>
      </c>
      <c r="AR135" t="s">
        <v>60</v>
      </c>
      <c r="AS135">
        <v>2003</v>
      </c>
      <c r="AT135" t="s">
        <v>28</v>
      </c>
      <c r="AU135" t="s">
        <v>325</v>
      </c>
      <c r="AV135" t="s">
        <v>305</v>
      </c>
      <c r="AW135" t="s">
        <v>239</v>
      </c>
      <c r="AX135" t="s">
        <v>309</v>
      </c>
      <c r="AY135">
        <v>7.8</v>
      </c>
    </row>
    <row r="136" spans="43:51" ht="21" x14ac:dyDescent="0.35">
      <c r="AQ136" t="s">
        <v>75</v>
      </c>
      <c r="AR136" t="s">
        <v>60</v>
      </c>
      <c r="AS136">
        <v>2003</v>
      </c>
      <c r="AT136" t="s">
        <v>28</v>
      </c>
      <c r="AU136" t="s">
        <v>325</v>
      </c>
      <c r="AV136" t="s">
        <v>305</v>
      </c>
      <c r="AW136" t="s">
        <v>239</v>
      </c>
      <c r="AX136" t="s">
        <v>268</v>
      </c>
      <c r="AY136">
        <v>11.6</v>
      </c>
    </row>
    <row r="137" spans="43:51" ht="21" x14ac:dyDescent="0.35">
      <c r="AQ137" t="s">
        <v>75</v>
      </c>
      <c r="AR137" t="s">
        <v>60</v>
      </c>
      <c r="AS137">
        <v>2003</v>
      </c>
      <c r="AT137" t="s">
        <v>28</v>
      </c>
      <c r="AU137" t="s">
        <v>325</v>
      </c>
      <c r="AV137" t="s">
        <v>305</v>
      </c>
      <c r="AW137" t="s">
        <v>240</v>
      </c>
      <c r="AX137" t="s">
        <v>308</v>
      </c>
      <c r="AY137">
        <v>3.2</v>
      </c>
    </row>
    <row r="138" spans="43:51" ht="21" x14ac:dyDescent="0.35">
      <c r="AQ138" t="s">
        <v>75</v>
      </c>
      <c r="AR138" t="s">
        <v>60</v>
      </c>
      <c r="AS138">
        <v>2003</v>
      </c>
      <c r="AT138" t="s">
        <v>28</v>
      </c>
      <c r="AU138" t="s">
        <v>325</v>
      </c>
      <c r="AV138" t="s">
        <v>305</v>
      </c>
      <c r="AW138" t="s">
        <v>240</v>
      </c>
      <c r="AX138" t="s">
        <v>309</v>
      </c>
      <c r="AY138">
        <v>9.4499999999999993</v>
      </c>
    </row>
    <row r="139" spans="43:51" ht="21" x14ac:dyDescent="0.35">
      <c r="AQ139" t="s">
        <v>75</v>
      </c>
      <c r="AR139" t="s">
        <v>60</v>
      </c>
      <c r="AS139">
        <v>2003</v>
      </c>
      <c r="AT139" t="s">
        <v>28</v>
      </c>
      <c r="AU139" t="s">
        <v>325</v>
      </c>
      <c r="AV139" t="s">
        <v>305</v>
      </c>
      <c r="AW139" t="s">
        <v>240</v>
      </c>
      <c r="AX139" t="s">
        <v>268</v>
      </c>
      <c r="AY139">
        <v>12.65</v>
      </c>
    </row>
    <row r="140" spans="43:51" ht="21" x14ac:dyDescent="0.35">
      <c r="AQ140" t="s">
        <v>75</v>
      </c>
      <c r="AR140" t="s">
        <v>60</v>
      </c>
      <c r="AS140">
        <v>2003</v>
      </c>
      <c r="AT140" t="s">
        <v>28</v>
      </c>
      <c r="AU140" t="s">
        <v>325</v>
      </c>
      <c r="AV140" t="s">
        <v>305</v>
      </c>
      <c r="AW140" t="s">
        <v>314</v>
      </c>
      <c r="AX140" t="s">
        <v>308</v>
      </c>
      <c r="AY140">
        <v>3.5</v>
      </c>
    </row>
    <row r="141" spans="43:51" ht="21" x14ac:dyDescent="0.35">
      <c r="AQ141" t="s">
        <v>75</v>
      </c>
      <c r="AR141" t="s">
        <v>60</v>
      </c>
      <c r="AS141">
        <v>2003</v>
      </c>
      <c r="AT141" t="s">
        <v>28</v>
      </c>
      <c r="AU141" t="s">
        <v>325</v>
      </c>
      <c r="AV141" t="s">
        <v>305</v>
      </c>
      <c r="AW141" t="s">
        <v>314</v>
      </c>
      <c r="AX141" t="s">
        <v>309</v>
      </c>
      <c r="AY141">
        <v>8.0500000000000007</v>
      </c>
    </row>
    <row r="142" spans="43:51" ht="21" x14ac:dyDescent="0.35">
      <c r="AQ142" t="s">
        <v>75</v>
      </c>
      <c r="AR142" t="s">
        <v>60</v>
      </c>
      <c r="AS142">
        <v>2003</v>
      </c>
      <c r="AT142" t="s">
        <v>28</v>
      </c>
      <c r="AU142" t="s">
        <v>325</v>
      </c>
      <c r="AV142" t="s">
        <v>305</v>
      </c>
      <c r="AW142" t="s">
        <v>314</v>
      </c>
      <c r="AX142" t="s">
        <v>268</v>
      </c>
      <c r="AY142">
        <v>11.55</v>
      </c>
    </row>
    <row r="143" spans="43:51" ht="21" x14ac:dyDescent="0.35">
      <c r="AQ143" t="s">
        <v>75</v>
      </c>
      <c r="AR143" t="s">
        <v>60</v>
      </c>
      <c r="AS143">
        <v>2003</v>
      </c>
      <c r="AT143" t="s">
        <v>28</v>
      </c>
      <c r="AU143" t="s">
        <v>325</v>
      </c>
      <c r="AV143" t="s">
        <v>305</v>
      </c>
      <c r="AW143" t="s">
        <v>242</v>
      </c>
      <c r="AX143" t="s">
        <v>308</v>
      </c>
      <c r="AY143">
        <v>2.2000000000000002</v>
      </c>
    </row>
    <row r="144" spans="43:51" ht="21" x14ac:dyDescent="0.35">
      <c r="AQ144" t="s">
        <v>75</v>
      </c>
      <c r="AR144" t="s">
        <v>60</v>
      </c>
      <c r="AS144">
        <v>2003</v>
      </c>
      <c r="AT144" t="s">
        <v>28</v>
      </c>
      <c r="AU144" t="s">
        <v>325</v>
      </c>
      <c r="AV144" t="s">
        <v>305</v>
      </c>
      <c r="AW144" t="s">
        <v>242</v>
      </c>
      <c r="AX144" t="s">
        <v>309</v>
      </c>
      <c r="AY144">
        <v>8.1</v>
      </c>
    </row>
    <row r="145" spans="43:51" ht="21" x14ac:dyDescent="0.35">
      <c r="AQ145" t="s">
        <v>75</v>
      </c>
      <c r="AR145" t="s">
        <v>60</v>
      </c>
      <c r="AS145">
        <v>2003</v>
      </c>
      <c r="AT145" t="s">
        <v>28</v>
      </c>
      <c r="AU145" t="s">
        <v>325</v>
      </c>
      <c r="AV145" t="s">
        <v>305</v>
      </c>
      <c r="AW145" t="s">
        <v>242</v>
      </c>
      <c r="AX145" t="s">
        <v>268</v>
      </c>
      <c r="AY145">
        <v>10.3</v>
      </c>
    </row>
    <row r="146" spans="43:51" ht="21" x14ac:dyDescent="0.35">
      <c r="AQ146" t="s">
        <v>75</v>
      </c>
      <c r="AR146" t="s">
        <v>60</v>
      </c>
      <c r="AS146">
        <v>2003</v>
      </c>
      <c r="AT146" t="s">
        <v>28</v>
      </c>
      <c r="AU146" t="s">
        <v>325</v>
      </c>
      <c r="AV146" t="s">
        <v>305</v>
      </c>
      <c r="AW146" t="s">
        <v>243</v>
      </c>
      <c r="AX146" t="s">
        <v>326</v>
      </c>
      <c r="AY146">
        <v>20.7</v>
      </c>
    </row>
    <row r="147" spans="43:51" ht="21" x14ac:dyDescent="0.35">
      <c r="AQ147" t="s">
        <v>75</v>
      </c>
      <c r="AR147" t="s">
        <v>60</v>
      </c>
      <c r="AS147">
        <v>2003</v>
      </c>
      <c r="AT147" t="s">
        <v>28</v>
      </c>
      <c r="AU147" t="s">
        <v>325</v>
      </c>
      <c r="AV147" t="s">
        <v>305</v>
      </c>
      <c r="AW147" t="s">
        <v>243</v>
      </c>
      <c r="AX147" t="s">
        <v>327</v>
      </c>
      <c r="AY147">
        <v>48.949999999999996</v>
      </c>
    </row>
    <row r="148" spans="43:51" ht="21" x14ac:dyDescent="0.35">
      <c r="AQ148" t="s">
        <v>75</v>
      </c>
      <c r="AR148" t="s">
        <v>60</v>
      </c>
      <c r="AS148">
        <v>2003</v>
      </c>
      <c r="AT148" t="s">
        <v>28</v>
      </c>
      <c r="AU148" t="s">
        <v>325</v>
      </c>
      <c r="AV148" t="s">
        <v>305</v>
      </c>
      <c r="AW148" t="s">
        <v>243</v>
      </c>
      <c r="AX148" t="s">
        <v>328</v>
      </c>
      <c r="AY148">
        <v>69.649999999999991</v>
      </c>
    </row>
    <row r="149" spans="43:51" ht="21" x14ac:dyDescent="0.35">
      <c r="AQ149" t="s">
        <v>77</v>
      </c>
      <c r="AR149" t="s">
        <v>60</v>
      </c>
      <c r="AS149">
        <v>2002</v>
      </c>
      <c r="AT149" t="s">
        <v>79</v>
      </c>
      <c r="AU149" t="s">
        <v>325</v>
      </c>
      <c r="AV149" t="s">
        <v>305</v>
      </c>
      <c r="AW149" t="s">
        <v>218</v>
      </c>
      <c r="AX149" t="s">
        <v>308</v>
      </c>
      <c r="AY149">
        <v>3.9</v>
      </c>
    </row>
    <row r="150" spans="43:51" ht="21" x14ac:dyDescent="0.35">
      <c r="AQ150" t="s">
        <v>77</v>
      </c>
      <c r="AR150" t="s">
        <v>60</v>
      </c>
      <c r="AS150">
        <v>2002</v>
      </c>
      <c r="AT150" t="s">
        <v>79</v>
      </c>
      <c r="AU150" t="s">
        <v>325</v>
      </c>
      <c r="AV150" t="s">
        <v>305</v>
      </c>
      <c r="AW150" t="s">
        <v>218</v>
      </c>
      <c r="AX150" t="s">
        <v>309</v>
      </c>
      <c r="AY150">
        <v>7.85</v>
      </c>
    </row>
    <row r="151" spans="43:51" ht="21" x14ac:dyDescent="0.35">
      <c r="AQ151" t="s">
        <v>77</v>
      </c>
      <c r="AR151" t="s">
        <v>60</v>
      </c>
      <c r="AS151">
        <v>2002</v>
      </c>
      <c r="AT151" t="s">
        <v>79</v>
      </c>
      <c r="AU151" t="s">
        <v>325</v>
      </c>
      <c r="AV151" t="s">
        <v>305</v>
      </c>
      <c r="AW151" t="s">
        <v>218</v>
      </c>
      <c r="AX151" t="s">
        <v>268</v>
      </c>
      <c r="AY151">
        <v>11.75</v>
      </c>
    </row>
    <row r="152" spans="43:51" ht="21" x14ac:dyDescent="0.35">
      <c r="AQ152" t="s">
        <v>77</v>
      </c>
      <c r="AR152" t="s">
        <v>60</v>
      </c>
      <c r="AS152">
        <v>2002</v>
      </c>
      <c r="AT152" t="s">
        <v>79</v>
      </c>
      <c r="AU152" t="s">
        <v>325</v>
      </c>
      <c r="AV152" t="s">
        <v>305</v>
      </c>
      <c r="AW152" t="s">
        <v>238</v>
      </c>
      <c r="AX152" t="s">
        <v>308</v>
      </c>
      <c r="AY152">
        <v>3.8</v>
      </c>
    </row>
    <row r="153" spans="43:51" ht="21" x14ac:dyDescent="0.35">
      <c r="AQ153" t="s">
        <v>77</v>
      </c>
      <c r="AR153" t="s">
        <v>60</v>
      </c>
      <c r="AS153">
        <v>2002</v>
      </c>
      <c r="AT153" t="s">
        <v>79</v>
      </c>
      <c r="AU153" t="s">
        <v>325</v>
      </c>
      <c r="AV153" t="s">
        <v>305</v>
      </c>
      <c r="AW153" t="s">
        <v>238</v>
      </c>
      <c r="AX153" t="s">
        <v>309</v>
      </c>
      <c r="AY153">
        <v>6.2</v>
      </c>
    </row>
    <row r="154" spans="43:51" ht="21" x14ac:dyDescent="0.35">
      <c r="AQ154" t="s">
        <v>77</v>
      </c>
      <c r="AR154" t="s">
        <v>60</v>
      </c>
      <c r="AS154">
        <v>2002</v>
      </c>
      <c r="AT154" t="s">
        <v>79</v>
      </c>
      <c r="AU154" t="s">
        <v>325</v>
      </c>
      <c r="AV154" t="s">
        <v>305</v>
      </c>
      <c r="AW154" t="s">
        <v>238</v>
      </c>
      <c r="AX154" t="s">
        <v>268</v>
      </c>
      <c r="AY154">
        <v>10</v>
      </c>
    </row>
    <row r="155" spans="43:51" ht="21" x14ac:dyDescent="0.35">
      <c r="AQ155" t="s">
        <v>77</v>
      </c>
      <c r="AR155" t="s">
        <v>60</v>
      </c>
      <c r="AS155">
        <v>2002</v>
      </c>
      <c r="AT155" t="s">
        <v>79</v>
      </c>
      <c r="AU155" t="s">
        <v>325</v>
      </c>
      <c r="AV155" t="s">
        <v>305</v>
      </c>
      <c r="AW155" t="s">
        <v>239</v>
      </c>
      <c r="AX155" t="s">
        <v>308</v>
      </c>
      <c r="AY155">
        <v>3.8</v>
      </c>
    </row>
    <row r="156" spans="43:51" ht="21" x14ac:dyDescent="0.35">
      <c r="AQ156" t="s">
        <v>77</v>
      </c>
      <c r="AR156" t="s">
        <v>60</v>
      </c>
      <c r="AS156">
        <v>2002</v>
      </c>
      <c r="AT156" t="s">
        <v>79</v>
      </c>
      <c r="AU156" t="s">
        <v>325</v>
      </c>
      <c r="AV156" t="s">
        <v>305</v>
      </c>
      <c r="AW156" t="s">
        <v>239</v>
      </c>
      <c r="AX156" t="s">
        <v>309</v>
      </c>
      <c r="AY156">
        <v>8.4</v>
      </c>
    </row>
    <row r="157" spans="43:51" ht="21" x14ac:dyDescent="0.35">
      <c r="AQ157" t="s">
        <v>77</v>
      </c>
      <c r="AR157" t="s">
        <v>60</v>
      </c>
      <c r="AS157">
        <v>2002</v>
      </c>
      <c r="AT157" t="s">
        <v>79</v>
      </c>
      <c r="AU157" t="s">
        <v>325</v>
      </c>
      <c r="AV157" t="s">
        <v>305</v>
      </c>
      <c r="AW157" t="s">
        <v>239</v>
      </c>
      <c r="AX157" t="s">
        <v>268</v>
      </c>
      <c r="AY157">
        <v>12.2</v>
      </c>
    </row>
    <row r="158" spans="43:51" ht="21" x14ac:dyDescent="0.35">
      <c r="AQ158" t="s">
        <v>77</v>
      </c>
      <c r="AR158" t="s">
        <v>60</v>
      </c>
      <c r="AS158">
        <v>2002</v>
      </c>
      <c r="AT158" t="s">
        <v>79</v>
      </c>
      <c r="AU158" t="s">
        <v>325</v>
      </c>
      <c r="AV158" t="s">
        <v>305</v>
      </c>
      <c r="AW158" t="s">
        <v>240</v>
      </c>
      <c r="AX158" t="s">
        <v>308</v>
      </c>
      <c r="AY158">
        <v>3.2</v>
      </c>
    </row>
    <row r="159" spans="43:51" ht="21" x14ac:dyDescent="0.35">
      <c r="AQ159" t="s">
        <v>77</v>
      </c>
      <c r="AR159" t="s">
        <v>60</v>
      </c>
      <c r="AS159">
        <v>2002</v>
      </c>
      <c r="AT159" t="s">
        <v>79</v>
      </c>
      <c r="AU159" t="s">
        <v>325</v>
      </c>
      <c r="AV159" t="s">
        <v>305</v>
      </c>
      <c r="AW159" t="s">
        <v>240</v>
      </c>
      <c r="AX159" t="s">
        <v>309</v>
      </c>
      <c r="AY159">
        <v>9.15</v>
      </c>
    </row>
    <row r="160" spans="43:51" ht="21" x14ac:dyDescent="0.35">
      <c r="AQ160" t="s">
        <v>77</v>
      </c>
      <c r="AR160" t="s">
        <v>60</v>
      </c>
      <c r="AS160">
        <v>2002</v>
      </c>
      <c r="AT160" t="s">
        <v>79</v>
      </c>
      <c r="AU160" t="s">
        <v>325</v>
      </c>
      <c r="AV160" t="s">
        <v>305</v>
      </c>
      <c r="AW160" t="s">
        <v>240</v>
      </c>
      <c r="AX160" t="s">
        <v>268</v>
      </c>
      <c r="AY160">
        <v>12.35</v>
      </c>
    </row>
    <row r="161" spans="43:51" ht="21" x14ac:dyDescent="0.35">
      <c r="AQ161" t="s">
        <v>77</v>
      </c>
      <c r="AR161" t="s">
        <v>60</v>
      </c>
      <c r="AS161">
        <v>2002</v>
      </c>
      <c r="AT161" t="s">
        <v>79</v>
      </c>
      <c r="AU161" t="s">
        <v>325</v>
      </c>
      <c r="AV161" t="s">
        <v>305</v>
      </c>
      <c r="AW161" t="s">
        <v>314</v>
      </c>
      <c r="AX161" t="s">
        <v>308</v>
      </c>
      <c r="AY161">
        <v>3.8</v>
      </c>
    </row>
    <row r="162" spans="43:51" ht="21" x14ac:dyDescent="0.35">
      <c r="AQ162" t="s">
        <v>77</v>
      </c>
      <c r="AR162" t="s">
        <v>60</v>
      </c>
      <c r="AS162">
        <v>2002</v>
      </c>
      <c r="AT162" t="s">
        <v>79</v>
      </c>
      <c r="AU162" t="s">
        <v>325</v>
      </c>
      <c r="AV162" t="s">
        <v>305</v>
      </c>
      <c r="AW162" t="s">
        <v>314</v>
      </c>
      <c r="AX162" t="s">
        <v>309</v>
      </c>
      <c r="AY162">
        <v>8.75</v>
      </c>
    </row>
    <row r="163" spans="43:51" ht="21" x14ac:dyDescent="0.35">
      <c r="AQ163" t="s">
        <v>77</v>
      </c>
      <c r="AR163" t="s">
        <v>60</v>
      </c>
      <c r="AS163">
        <v>2002</v>
      </c>
      <c r="AT163" t="s">
        <v>79</v>
      </c>
      <c r="AU163" t="s">
        <v>325</v>
      </c>
      <c r="AV163" t="s">
        <v>305</v>
      </c>
      <c r="AW163" t="s">
        <v>314</v>
      </c>
      <c r="AX163" t="s">
        <v>268</v>
      </c>
      <c r="AY163">
        <v>12.55</v>
      </c>
    </row>
    <row r="164" spans="43:51" ht="21" x14ac:dyDescent="0.35">
      <c r="AQ164" t="s">
        <v>77</v>
      </c>
      <c r="AR164" t="s">
        <v>60</v>
      </c>
      <c r="AS164">
        <v>2002</v>
      </c>
      <c r="AT164" t="s">
        <v>79</v>
      </c>
      <c r="AU164" t="s">
        <v>325</v>
      </c>
      <c r="AV164" t="s">
        <v>305</v>
      </c>
      <c r="AW164" t="s">
        <v>242</v>
      </c>
      <c r="AX164" t="s">
        <v>308</v>
      </c>
      <c r="AY164">
        <v>2.6</v>
      </c>
    </row>
    <row r="165" spans="43:51" ht="21" x14ac:dyDescent="0.35">
      <c r="AQ165" t="s">
        <v>77</v>
      </c>
      <c r="AR165" t="s">
        <v>60</v>
      </c>
      <c r="AS165">
        <v>2002</v>
      </c>
      <c r="AT165" t="s">
        <v>79</v>
      </c>
      <c r="AU165" t="s">
        <v>325</v>
      </c>
      <c r="AV165" t="s">
        <v>305</v>
      </c>
      <c r="AW165" t="s">
        <v>242</v>
      </c>
      <c r="AX165" t="s">
        <v>309</v>
      </c>
      <c r="AY165">
        <v>7.5</v>
      </c>
    </row>
    <row r="166" spans="43:51" ht="21" x14ac:dyDescent="0.35">
      <c r="AQ166" t="s">
        <v>77</v>
      </c>
      <c r="AR166" t="s">
        <v>60</v>
      </c>
      <c r="AS166">
        <v>2002</v>
      </c>
      <c r="AT166" t="s">
        <v>79</v>
      </c>
      <c r="AU166" t="s">
        <v>325</v>
      </c>
      <c r="AV166" t="s">
        <v>305</v>
      </c>
      <c r="AW166" t="s">
        <v>242</v>
      </c>
      <c r="AX166" t="s">
        <v>268</v>
      </c>
      <c r="AY166">
        <v>10.1</v>
      </c>
    </row>
    <row r="167" spans="43:51" ht="21" x14ac:dyDescent="0.35">
      <c r="AQ167" t="s">
        <v>77</v>
      </c>
      <c r="AR167" t="s">
        <v>60</v>
      </c>
      <c r="AS167">
        <v>2002</v>
      </c>
      <c r="AT167" t="s">
        <v>79</v>
      </c>
      <c r="AU167" t="s">
        <v>325</v>
      </c>
      <c r="AV167" t="s">
        <v>305</v>
      </c>
      <c r="AW167" t="s">
        <v>243</v>
      </c>
      <c r="AX167" t="s">
        <v>326</v>
      </c>
      <c r="AY167">
        <v>21.1</v>
      </c>
    </row>
    <row r="168" spans="43:51" ht="21" x14ac:dyDescent="0.35">
      <c r="AQ168" t="s">
        <v>77</v>
      </c>
      <c r="AR168" t="s">
        <v>60</v>
      </c>
      <c r="AS168">
        <v>2002</v>
      </c>
      <c r="AT168" t="s">
        <v>79</v>
      </c>
      <c r="AU168" t="s">
        <v>325</v>
      </c>
      <c r="AV168" t="s">
        <v>305</v>
      </c>
      <c r="AW168" t="s">
        <v>243</v>
      </c>
      <c r="AX168" t="s">
        <v>327</v>
      </c>
      <c r="AY168">
        <v>47.85</v>
      </c>
    </row>
    <row r="169" spans="43:51" ht="21" x14ac:dyDescent="0.35">
      <c r="AQ169" t="s">
        <v>77</v>
      </c>
      <c r="AR169" t="s">
        <v>60</v>
      </c>
      <c r="AS169">
        <v>2002</v>
      </c>
      <c r="AT169" t="s">
        <v>79</v>
      </c>
      <c r="AU169" t="s">
        <v>325</v>
      </c>
      <c r="AV169" t="s">
        <v>305</v>
      </c>
      <c r="AW169" t="s">
        <v>243</v>
      </c>
      <c r="AX169" t="s">
        <v>328</v>
      </c>
      <c r="AY169">
        <v>68.95</v>
      </c>
    </row>
    <row r="170" spans="43:51" ht="21" x14ac:dyDescent="0.35">
      <c r="AQ170" t="s">
        <v>80</v>
      </c>
      <c r="AR170" t="s">
        <v>60</v>
      </c>
      <c r="AS170">
        <v>2004</v>
      </c>
      <c r="AT170" t="s">
        <v>62</v>
      </c>
      <c r="AU170" t="s">
        <v>325</v>
      </c>
      <c r="AV170" t="s">
        <v>305</v>
      </c>
      <c r="AW170" t="s">
        <v>218</v>
      </c>
      <c r="AX170" t="s">
        <v>308</v>
      </c>
      <c r="AY170">
        <v>3.4</v>
      </c>
    </row>
    <row r="171" spans="43:51" ht="21" x14ac:dyDescent="0.35">
      <c r="AQ171" t="s">
        <v>80</v>
      </c>
      <c r="AR171" t="s">
        <v>60</v>
      </c>
      <c r="AS171">
        <v>2004</v>
      </c>
      <c r="AT171" t="s">
        <v>62</v>
      </c>
      <c r="AU171" t="s">
        <v>325</v>
      </c>
      <c r="AV171" t="s">
        <v>305</v>
      </c>
      <c r="AW171" t="s">
        <v>218</v>
      </c>
      <c r="AX171" t="s">
        <v>309</v>
      </c>
      <c r="AY171">
        <v>8.6999999999999993</v>
      </c>
    </row>
    <row r="172" spans="43:51" ht="21" x14ac:dyDescent="0.35">
      <c r="AQ172" t="s">
        <v>80</v>
      </c>
      <c r="AR172" t="s">
        <v>60</v>
      </c>
      <c r="AS172">
        <v>2004</v>
      </c>
      <c r="AT172" t="s">
        <v>62</v>
      </c>
      <c r="AU172" t="s">
        <v>325</v>
      </c>
      <c r="AV172" t="s">
        <v>305</v>
      </c>
      <c r="AW172" t="s">
        <v>218</v>
      </c>
      <c r="AX172" t="s">
        <v>268</v>
      </c>
      <c r="AY172">
        <v>12.1</v>
      </c>
    </row>
    <row r="173" spans="43:51" ht="21" x14ac:dyDescent="0.35">
      <c r="AQ173" t="s">
        <v>80</v>
      </c>
      <c r="AR173" t="s">
        <v>60</v>
      </c>
      <c r="AS173">
        <v>2004</v>
      </c>
      <c r="AT173" t="s">
        <v>62</v>
      </c>
      <c r="AU173" t="s">
        <v>325</v>
      </c>
      <c r="AV173" t="s">
        <v>305</v>
      </c>
      <c r="AW173" t="s">
        <v>238</v>
      </c>
      <c r="AX173" t="s">
        <v>308</v>
      </c>
      <c r="AY173">
        <v>4.0999999999999996</v>
      </c>
    </row>
    <row r="174" spans="43:51" ht="21" x14ac:dyDescent="0.35">
      <c r="AQ174" t="s">
        <v>80</v>
      </c>
      <c r="AR174" t="s">
        <v>60</v>
      </c>
      <c r="AS174">
        <v>2004</v>
      </c>
      <c r="AT174" t="s">
        <v>62</v>
      </c>
      <c r="AU174" t="s">
        <v>325</v>
      </c>
      <c r="AV174" t="s">
        <v>305</v>
      </c>
      <c r="AW174" t="s">
        <v>238</v>
      </c>
      <c r="AX174" t="s">
        <v>309</v>
      </c>
      <c r="AY174">
        <v>6.7</v>
      </c>
    </row>
    <row r="175" spans="43:51" ht="21" x14ac:dyDescent="0.35">
      <c r="AQ175" t="s">
        <v>80</v>
      </c>
      <c r="AR175" t="s">
        <v>60</v>
      </c>
      <c r="AS175">
        <v>2004</v>
      </c>
      <c r="AT175" t="s">
        <v>62</v>
      </c>
      <c r="AU175" t="s">
        <v>325</v>
      </c>
      <c r="AV175" t="s">
        <v>305</v>
      </c>
      <c r="AW175" t="s">
        <v>238</v>
      </c>
      <c r="AX175" t="s">
        <v>268</v>
      </c>
      <c r="AY175">
        <v>10.8</v>
      </c>
    </row>
    <row r="176" spans="43:51" ht="21" x14ac:dyDescent="0.35">
      <c r="AQ176" t="s">
        <v>80</v>
      </c>
      <c r="AR176" t="s">
        <v>60</v>
      </c>
      <c r="AS176">
        <v>2004</v>
      </c>
      <c r="AT176" t="s">
        <v>62</v>
      </c>
      <c r="AU176" t="s">
        <v>325</v>
      </c>
      <c r="AV176" t="s">
        <v>305</v>
      </c>
      <c r="AW176" t="s">
        <v>239</v>
      </c>
      <c r="AX176" t="s">
        <v>308</v>
      </c>
      <c r="AY176">
        <v>3.7</v>
      </c>
    </row>
    <row r="177" spans="43:51" ht="21" x14ac:dyDescent="0.35">
      <c r="AQ177" t="s">
        <v>80</v>
      </c>
      <c r="AR177" t="s">
        <v>60</v>
      </c>
      <c r="AS177">
        <v>2004</v>
      </c>
      <c r="AT177" t="s">
        <v>62</v>
      </c>
      <c r="AU177" t="s">
        <v>325</v>
      </c>
      <c r="AV177" t="s">
        <v>305</v>
      </c>
      <c r="AW177" t="s">
        <v>239</v>
      </c>
      <c r="AX177" t="s">
        <v>309</v>
      </c>
      <c r="AY177">
        <v>7.9</v>
      </c>
    </row>
    <row r="178" spans="43:51" ht="21" x14ac:dyDescent="0.35">
      <c r="AQ178" t="s">
        <v>80</v>
      </c>
      <c r="AR178" t="s">
        <v>60</v>
      </c>
      <c r="AS178">
        <v>2004</v>
      </c>
      <c r="AT178" t="s">
        <v>62</v>
      </c>
      <c r="AU178" t="s">
        <v>325</v>
      </c>
      <c r="AV178" t="s">
        <v>305</v>
      </c>
      <c r="AW178" t="s">
        <v>239</v>
      </c>
      <c r="AX178" t="s">
        <v>268</v>
      </c>
      <c r="AY178">
        <v>11.6</v>
      </c>
    </row>
    <row r="179" spans="43:51" ht="21" x14ac:dyDescent="0.35">
      <c r="AQ179" t="s">
        <v>80</v>
      </c>
      <c r="AR179" t="s">
        <v>60</v>
      </c>
      <c r="AS179">
        <v>2004</v>
      </c>
      <c r="AT179" t="s">
        <v>62</v>
      </c>
      <c r="AU179" t="s">
        <v>325</v>
      </c>
      <c r="AV179" t="s">
        <v>305</v>
      </c>
      <c r="AW179" t="s">
        <v>240</v>
      </c>
      <c r="AX179" t="s">
        <v>308</v>
      </c>
      <c r="AY179">
        <v>3.6</v>
      </c>
    </row>
    <row r="180" spans="43:51" ht="21" x14ac:dyDescent="0.35">
      <c r="AQ180" t="s">
        <v>80</v>
      </c>
      <c r="AR180" t="s">
        <v>60</v>
      </c>
      <c r="AS180">
        <v>2004</v>
      </c>
      <c r="AT180" t="s">
        <v>62</v>
      </c>
      <c r="AU180" t="s">
        <v>325</v>
      </c>
      <c r="AV180" t="s">
        <v>305</v>
      </c>
      <c r="AW180" t="s">
        <v>240</v>
      </c>
      <c r="AX180" t="s">
        <v>309</v>
      </c>
      <c r="AY180">
        <v>8.15</v>
      </c>
    </row>
    <row r="181" spans="43:51" ht="21" x14ac:dyDescent="0.35">
      <c r="AQ181" t="s">
        <v>80</v>
      </c>
      <c r="AR181" t="s">
        <v>60</v>
      </c>
      <c r="AS181">
        <v>2004</v>
      </c>
      <c r="AT181" t="s">
        <v>62</v>
      </c>
      <c r="AU181" t="s">
        <v>325</v>
      </c>
      <c r="AV181" t="s">
        <v>305</v>
      </c>
      <c r="AW181" t="s">
        <v>240</v>
      </c>
      <c r="AX181" t="s">
        <v>268</v>
      </c>
      <c r="AY181">
        <v>11.75</v>
      </c>
    </row>
    <row r="182" spans="43:51" ht="21" x14ac:dyDescent="0.35">
      <c r="AQ182" t="s">
        <v>80</v>
      </c>
      <c r="AR182" t="s">
        <v>60</v>
      </c>
      <c r="AS182">
        <v>2004</v>
      </c>
      <c r="AT182" t="s">
        <v>62</v>
      </c>
      <c r="AU182" t="s">
        <v>325</v>
      </c>
      <c r="AV182" t="s">
        <v>305</v>
      </c>
      <c r="AW182" t="s">
        <v>314</v>
      </c>
      <c r="AX182" t="s">
        <v>308</v>
      </c>
      <c r="AY182">
        <v>3.6</v>
      </c>
    </row>
    <row r="183" spans="43:51" ht="21" x14ac:dyDescent="0.35">
      <c r="AQ183" t="s">
        <v>80</v>
      </c>
      <c r="AR183" t="s">
        <v>60</v>
      </c>
      <c r="AS183">
        <v>2004</v>
      </c>
      <c r="AT183" t="s">
        <v>62</v>
      </c>
      <c r="AU183" t="s">
        <v>325</v>
      </c>
      <c r="AV183" t="s">
        <v>305</v>
      </c>
      <c r="AW183" t="s">
        <v>314</v>
      </c>
      <c r="AX183" t="s">
        <v>309</v>
      </c>
      <c r="AY183">
        <v>8.65</v>
      </c>
    </row>
    <row r="184" spans="43:51" ht="21" x14ac:dyDescent="0.35">
      <c r="AQ184" t="s">
        <v>80</v>
      </c>
      <c r="AR184" t="s">
        <v>60</v>
      </c>
      <c r="AS184">
        <v>2004</v>
      </c>
      <c r="AT184" t="s">
        <v>62</v>
      </c>
      <c r="AU184" t="s">
        <v>325</v>
      </c>
      <c r="AV184" t="s">
        <v>305</v>
      </c>
      <c r="AW184" t="s">
        <v>314</v>
      </c>
      <c r="AX184" t="s">
        <v>268</v>
      </c>
      <c r="AY184">
        <v>12.25</v>
      </c>
    </row>
    <row r="185" spans="43:51" ht="21" x14ac:dyDescent="0.35">
      <c r="AQ185" t="s">
        <v>80</v>
      </c>
      <c r="AR185" t="s">
        <v>60</v>
      </c>
      <c r="AS185">
        <v>2004</v>
      </c>
      <c r="AT185" t="s">
        <v>62</v>
      </c>
      <c r="AU185" t="s">
        <v>325</v>
      </c>
      <c r="AV185" t="s">
        <v>305</v>
      </c>
      <c r="AW185" t="s">
        <v>242</v>
      </c>
      <c r="AX185" t="s">
        <v>308</v>
      </c>
      <c r="AY185">
        <v>2.5</v>
      </c>
    </row>
    <row r="186" spans="43:51" ht="21" x14ac:dyDescent="0.35">
      <c r="AQ186" t="s">
        <v>80</v>
      </c>
      <c r="AR186" t="s">
        <v>60</v>
      </c>
      <c r="AS186">
        <v>2004</v>
      </c>
      <c r="AT186" t="s">
        <v>62</v>
      </c>
      <c r="AU186" t="s">
        <v>325</v>
      </c>
      <c r="AV186" t="s">
        <v>305</v>
      </c>
      <c r="AW186" t="s">
        <v>242</v>
      </c>
      <c r="AX186" t="s">
        <v>309</v>
      </c>
      <c r="AY186">
        <v>7.9</v>
      </c>
    </row>
    <row r="187" spans="43:51" ht="21" x14ac:dyDescent="0.35">
      <c r="AQ187" t="s">
        <v>80</v>
      </c>
      <c r="AR187" t="s">
        <v>60</v>
      </c>
      <c r="AS187">
        <v>2004</v>
      </c>
      <c r="AT187" t="s">
        <v>62</v>
      </c>
      <c r="AU187" t="s">
        <v>325</v>
      </c>
      <c r="AV187" t="s">
        <v>305</v>
      </c>
      <c r="AW187" t="s">
        <v>242</v>
      </c>
      <c r="AX187" t="s">
        <v>268</v>
      </c>
      <c r="AY187">
        <v>10.4</v>
      </c>
    </row>
    <row r="188" spans="43:51" ht="21" x14ac:dyDescent="0.35">
      <c r="AQ188" t="s">
        <v>80</v>
      </c>
      <c r="AR188" t="s">
        <v>60</v>
      </c>
      <c r="AS188">
        <v>2004</v>
      </c>
      <c r="AT188" t="s">
        <v>62</v>
      </c>
      <c r="AU188" t="s">
        <v>325</v>
      </c>
      <c r="AV188" t="s">
        <v>305</v>
      </c>
      <c r="AW188" t="s">
        <v>243</v>
      </c>
      <c r="AX188" t="s">
        <v>326</v>
      </c>
      <c r="AY188">
        <v>20.9</v>
      </c>
    </row>
    <row r="189" spans="43:51" ht="21" x14ac:dyDescent="0.35">
      <c r="AQ189" t="s">
        <v>80</v>
      </c>
      <c r="AR189" t="s">
        <v>60</v>
      </c>
      <c r="AS189">
        <v>2004</v>
      </c>
      <c r="AT189" t="s">
        <v>62</v>
      </c>
      <c r="AU189" t="s">
        <v>325</v>
      </c>
      <c r="AV189" t="s">
        <v>305</v>
      </c>
      <c r="AW189" t="s">
        <v>243</v>
      </c>
      <c r="AX189" t="s">
        <v>327</v>
      </c>
      <c r="AY189">
        <v>47.999999999999993</v>
      </c>
    </row>
    <row r="190" spans="43:51" ht="21" x14ac:dyDescent="0.35">
      <c r="AQ190" t="s">
        <v>80</v>
      </c>
      <c r="AR190" t="s">
        <v>60</v>
      </c>
      <c r="AS190">
        <v>2004</v>
      </c>
      <c r="AT190" t="s">
        <v>62</v>
      </c>
      <c r="AU190" t="s">
        <v>325</v>
      </c>
      <c r="AV190" t="s">
        <v>305</v>
      </c>
      <c r="AW190" t="s">
        <v>243</v>
      </c>
      <c r="AX190" t="s">
        <v>328</v>
      </c>
      <c r="AY190">
        <v>68.900000000000006</v>
      </c>
    </row>
    <row r="191" spans="43:51" ht="21" x14ac:dyDescent="0.35">
      <c r="AQ191" t="s">
        <v>82</v>
      </c>
      <c r="AR191" t="s">
        <v>60</v>
      </c>
      <c r="AS191">
        <v>2003</v>
      </c>
      <c r="AT191" t="s">
        <v>36</v>
      </c>
      <c r="AU191" t="s">
        <v>325</v>
      </c>
      <c r="AV191" t="s">
        <v>305</v>
      </c>
      <c r="AW191" t="s">
        <v>218</v>
      </c>
      <c r="AX191" t="s">
        <v>308</v>
      </c>
      <c r="AY191">
        <v>4.4000000000000004</v>
      </c>
    </row>
    <row r="192" spans="43:51" ht="21" x14ac:dyDescent="0.35">
      <c r="AQ192" t="s">
        <v>82</v>
      </c>
      <c r="AR192" t="s">
        <v>60</v>
      </c>
      <c r="AS192">
        <v>2003</v>
      </c>
      <c r="AT192" t="s">
        <v>36</v>
      </c>
      <c r="AU192" t="s">
        <v>325</v>
      </c>
      <c r="AV192" t="s">
        <v>305</v>
      </c>
      <c r="AW192" t="s">
        <v>218</v>
      </c>
      <c r="AX192" t="s">
        <v>309</v>
      </c>
      <c r="AY192">
        <v>8.1</v>
      </c>
    </row>
    <row r="193" spans="43:51" ht="21" x14ac:dyDescent="0.35">
      <c r="AQ193" t="s">
        <v>82</v>
      </c>
      <c r="AR193" t="s">
        <v>60</v>
      </c>
      <c r="AS193">
        <v>2003</v>
      </c>
      <c r="AT193" t="s">
        <v>36</v>
      </c>
      <c r="AU193" t="s">
        <v>325</v>
      </c>
      <c r="AV193" t="s">
        <v>305</v>
      </c>
      <c r="AW193" t="s">
        <v>218</v>
      </c>
      <c r="AX193" t="s">
        <v>268</v>
      </c>
      <c r="AY193">
        <v>12.5</v>
      </c>
    </row>
    <row r="194" spans="43:51" ht="21" x14ac:dyDescent="0.35">
      <c r="AQ194" t="s">
        <v>82</v>
      </c>
      <c r="AR194" t="s">
        <v>60</v>
      </c>
      <c r="AS194">
        <v>2003</v>
      </c>
      <c r="AT194" t="s">
        <v>36</v>
      </c>
      <c r="AU194" t="s">
        <v>325</v>
      </c>
      <c r="AV194" t="s">
        <v>305</v>
      </c>
      <c r="AW194" t="s">
        <v>238</v>
      </c>
      <c r="AX194" t="s">
        <v>308</v>
      </c>
      <c r="AY194">
        <v>3.4</v>
      </c>
    </row>
    <row r="195" spans="43:51" ht="21" x14ac:dyDescent="0.35">
      <c r="AQ195" t="s">
        <v>82</v>
      </c>
      <c r="AR195" t="s">
        <v>60</v>
      </c>
      <c r="AS195">
        <v>2003</v>
      </c>
      <c r="AT195" t="s">
        <v>36</v>
      </c>
      <c r="AU195" t="s">
        <v>325</v>
      </c>
      <c r="AV195" t="s">
        <v>305</v>
      </c>
      <c r="AW195" t="s">
        <v>238</v>
      </c>
      <c r="AX195" t="s">
        <v>309</v>
      </c>
      <c r="AY195">
        <v>5.5</v>
      </c>
    </row>
    <row r="196" spans="43:51" ht="21" x14ac:dyDescent="0.35">
      <c r="AQ196" t="s">
        <v>82</v>
      </c>
      <c r="AR196" t="s">
        <v>60</v>
      </c>
      <c r="AS196">
        <v>2003</v>
      </c>
      <c r="AT196" t="s">
        <v>36</v>
      </c>
      <c r="AU196" t="s">
        <v>325</v>
      </c>
      <c r="AV196" t="s">
        <v>305</v>
      </c>
      <c r="AW196" t="s">
        <v>238</v>
      </c>
      <c r="AX196" t="s">
        <v>268</v>
      </c>
      <c r="AY196">
        <v>8.9</v>
      </c>
    </row>
    <row r="197" spans="43:51" ht="21" x14ac:dyDescent="0.35">
      <c r="AQ197" t="s">
        <v>82</v>
      </c>
      <c r="AR197" t="s">
        <v>60</v>
      </c>
      <c r="AS197">
        <v>2003</v>
      </c>
      <c r="AT197" t="s">
        <v>36</v>
      </c>
      <c r="AU197" t="s">
        <v>325</v>
      </c>
      <c r="AV197" t="s">
        <v>305</v>
      </c>
      <c r="AW197" t="s">
        <v>239</v>
      </c>
      <c r="AX197" t="s">
        <v>308</v>
      </c>
      <c r="AY197">
        <v>3.8</v>
      </c>
    </row>
    <row r="198" spans="43:51" ht="21" x14ac:dyDescent="0.35">
      <c r="AQ198" t="s">
        <v>82</v>
      </c>
      <c r="AR198" t="s">
        <v>60</v>
      </c>
      <c r="AS198">
        <v>2003</v>
      </c>
      <c r="AT198" t="s">
        <v>36</v>
      </c>
      <c r="AU198" t="s">
        <v>325</v>
      </c>
      <c r="AV198" t="s">
        <v>305</v>
      </c>
      <c r="AW198" t="s">
        <v>239</v>
      </c>
      <c r="AX198" t="s">
        <v>309</v>
      </c>
      <c r="AY198">
        <v>7.5</v>
      </c>
    </row>
    <row r="199" spans="43:51" ht="21" x14ac:dyDescent="0.35">
      <c r="AQ199" t="s">
        <v>82</v>
      </c>
      <c r="AR199" t="s">
        <v>60</v>
      </c>
      <c r="AS199">
        <v>2003</v>
      </c>
      <c r="AT199" t="s">
        <v>36</v>
      </c>
      <c r="AU199" t="s">
        <v>325</v>
      </c>
      <c r="AV199" t="s">
        <v>305</v>
      </c>
      <c r="AW199" t="s">
        <v>239</v>
      </c>
      <c r="AX199" t="s">
        <v>268</v>
      </c>
      <c r="AY199">
        <v>11.3</v>
      </c>
    </row>
    <row r="200" spans="43:51" ht="21" x14ac:dyDescent="0.35">
      <c r="AQ200" t="s">
        <v>82</v>
      </c>
      <c r="AR200" t="s">
        <v>60</v>
      </c>
      <c r="AS200">
        <v>2003</v>
      </c>
      <c r="AT200" t="s">
        <v>36</v>
      </c>
      <c r="AU200" t="s">
        <v>325</v>
      </c>
      <c r="AV200" t="s">
        <v>305</v>
      </c>
      <c r="AW200" t="s">
        <v>240</v>
      </c>
      <c r="AX200" t="s">
        <v>308</v>
      </c>
      <c r="AY200">
        <v>4</v>
      </c>
    </row>
    <row r="201" spans="43:51" ht="21" x14ac:dyDescent="0.35">
      <c r="AQ201" t="s">
        <v>82</v>
      </c>
      <c r="AR201" t="s">
        <v>60</v>
      </c>
      <c r="AS201">
        <v>2003</v>
      </c>
      <c r="AT201" t="s">
        <v>36</v>
      </c>
      <c r="AU201" t="s">
        <v>325</v>
      </c>
      <c r="AV201" t="s">
        <v>305</v>
      </c>
      <c r="AW201" t="s">
        <v>240</v>
      </c>
      <c r="AX201" t="s">
        <v>309</v>
      </c>
      <c r="AY201">
        <v>9.3000000000000007</v>
      </c>
    </row>
    <row r="202" spans="43:51" ht="21" x14ac:dyDescent="0.35">
      <c r="AQ202" t="s">
        <v>82</v>
      </c>
      <c r="AR202" t="s">
        <v>60</v>
      </c>
      <c r="AS202">
        <v>2003</v>
      </c>
      <c r="AT202" t="s">
        <v>36</v>
      </c>
      <c r="AU202" t="s">
        <v>325</v>
      </c>
      <c r="AV202" t="s">
        <v>305</v>
      </c>
      <c r="AW202" t="s">
        <v>240</v>
      </c>
      <c r="AX202" t="s">
        <v>268</v>
      </c>
      <c r="AY202">
        <v>13.3</v>
      </c>
    </row>
    <row r="203" spans="43:51" ht="21" x14ac:dyDescent="0.35">
      <c r="AQ203" t="s">
        <v>82</v>
      </c>
      <c r="AR203" t="s">
        <v>60</v>
      </c>
      <c r="AS203">
        <v>2003</v>
      </c>
      <c r="AT203" t="s">
        <v>36</v>
      </c>
      <c r="AU203" t="s">
        <v>325</v>
      </c>
      <c r="AV203" t="s">
        <v>305</v>
      </c>
      <c r="AW203" t="s">
        <v>314</v>
      </c>
      <c r="AX203" t="s">
        <v>308</v>
      </c>
      <c r="AY203">
        <v>3</v>
      </c>
    </row>
    <row r="204" spans="43:51" ht="21" x14ac:dyDescent="0.35">
      <c r="AQ204" t="s">
        <v>82</v>
      </c>
      <c r="AR204" t="s">
        <v>60</v>
      </c>
      <c r="AS204">
        <v>2003</v>
      </c>
      <c r="AT204" t="s">
        <v>36</v>
      </c>
      <c r="AU204" t="s">
        <v>325</v>
      </c>
      <c r="AV204" t="s">
        <v>305</v>
      </c>
      <c r="AW204" t="s">
        <v>314</v>
      </c>
      <c r="AX204" t="s">
        <v>309</v>
      </c>
      <c r="AY204">
        <v>8.75</v>
      </c>
    </row>
    <row r="205" spans="43:51" ht="21" x14ac:dyDescent="0.35">
      <c r="AQ205" t="s">
        <v>82</v>
      </c>
      <c r="AR205" t="s">
        <v>60</v>
      </c>
      <c r="AS205">
        <v>2003</v>
      </c>
      <c r="AT205" t="s">
        <v>36</v>
      </c>
      <c r="AU205" t="s">
        <v>325</v>
      </c>
      <c r="AV205" t="s">
        <v>305</v>
      </c>
      <c r="AW205" t="s">
        <v>314</v>
      </c>
      <c r="AX205" t="s">
        <v>268</v>
      </c>
      <c r="AY205">
        <v>11.75</v>
      </c>
    </row>
    <row r="206" spans="43:51" ht="21" x14ac:dyDescent="0.35">
      <c r="AQ206" t="s">
        <v>82</v>
      </c>
      <c r="AR206" t="s">
        <v>60</v>
      </c>
      <c r="AS206">
        <v>2003</v>
      </c>
      <c r="AT206" t="s">
        <v>36</v>
      </c>
      <c r="AU206" t="s">
        <v>325</v>
      </c>
      <c r="AV206" t="s">
        <v>305</v>
      </c>
      <c r="AW206" t="s">
        <v>242</v>
      </c>
      <c r="AX206" t="s">
        <v>308</v>
      </c>
      <c r="AY206">
        <v>3.3</v>
      </c>
    </row>
    <row r="207" spans="43:51" ht="21" x14ac:dyDescent="0.35">
      <c r="AQ207" t="s">
        <v>82</v>
      </c>
      <c r="AR207" t="s">
        <v>60</v>
      </c>
      <c r="AS207">
        <v>2003</v>
      </c>
      <c r="AT207" t="s">
        <v>36</v>
      </c>
      <c r="AU207" t="s">
        <v>325</v>
      </c>
      <c r="AV207" t="s">
        <v>305</v>
      </c>
      <c r="AW207" t="s">
        <v>242</v>
      </c>
      <c r="AX207" t="s">
        <v>309</v>
      </c>
      <c r="AY207">
        <v>7.8</v>
      </c>
    </row>
    <row r="208" spans="43:51" ht="21" x14ac:dyDescent="0.35">
      <c r="AQ208" t="s">
        <v>82</v>
      </c>
      <c r="AR208" t="s">
        <v>60</v>
      </c>
      <c r="AS208">
        <v>2003</v>
      </c>
      <c r="AT208" t="s">
        <v>36</v>
      </c>
      <c r="AU208" t="s">
        <v>325</v>
      </c>
      <c r="AV208" t="s">
        <v>305</v>
      </c>
      <c r="AW208" t="s">
        <v>242</v>
      </c>
      <c r="AX208" t="s">
        <v>268</v>
      </c>
      <c r="AY208">
        <v>11.1</v>
      </c>
    </row>
    <row r="209" spans="43:51" ht="21" x14ac:dyDescent="0.35">
      <c r="AQ209" t="s">
        <v>82</v>
      </c>
      <c r="AR209" t="s">
        <v>60</v>
      </c>
      <c r="AS209">
        <v>2003</v>
      </c>
      <c r="AT209" t="s">
        <v>36</v>
      </c>
      <c r="AU209" t="s">
        <v>325</v>
      </c>
      <c r="AV209" t="s">
        <v>305</v>
      </c>
      <c r="AW209" t="s">
        <v>243</v>
      </c>
      <c r="AX209" t="s">
        <v>326</v>
      </c>
      <c r="AY209">
        <v>21.900000000000002</v>
      </c>
    </row>
    <row r="210" spans="43:51" ht="21" x14ac:dyDescent="0.35">
      <c r="AQ210" t="s">
        <v>82</v>
      </c>
      <c r="AR210" t="s">
        <v>60</v>
      </c>
      <c r="AS210">
        <v>2003</v>
      </c>
      <c r="AT210" t="s">
        <v>36</v>
      </c>
      <c r="AU210" t="s">
        <v>325</v>
      </c>
      <c r="AV210" t="s">
        <v>305</v>
      </c>
      <c r="AW210" t="s">
        <v>243</v>
      </c>
      <c r="AX210" t="s">
        <v>327</v>
      </c>
      <c r="AY210">
        <v>46.95</v>
      </c>
    </row>
    <row r="211" spans="43:51" ht="21" x14ac:dyDescent="0.35">
      <c r="AQ211" t="s">
        <v>82</v>
      </c>
      <c r="AR211" t="s">
        <v>60</v>
      </c>
      <c r="AS211">
        <v>2003</v>
      </c>
      <c r="AT211" t="s">
        <v>36</v>
      </c>
      <c r="AU211" t="s">
        <v>325</v>
      </c>
      <c r="AV211" t="s">
        <v>305</v>
      </c>
      <c r="AW211" t="s">
        <v>243</v>
      </c>
      <c r="AX211" t="s">
        <v>328</v>
      </c>
      <c r="AY211">
        <v>68.849999999999994</v>
      </c>
    </row>
    <row r="212" spans="43:51" ht="21" x14ac:dyDescent="0.35">
      <c r="AQ212" t="s">
        <v>84</v>
      </c>
      <c r="AR212" t="s">
        <v>60</v>
      </c>
      <c r="AS212">
        <v>2004</v>
      </c>
      <c r="AT212" t="s">
        <v>39</v>
      </c>
      <c r="AU212" t="s">
        <v>325</v>
      </c>
      <c r="AV212" t="s">
        <v>305</v>
      </c>
      <c r="AW212" t="s">
        <v>218</v>
      </c>
      <c r="AX212" t="s">
        <v>308</v>
      </c>
      <c r="AY212">
        <v>4.0999999999999996</v>
      </c>
    </row>
    <row r="213" spans="43:51" ht="21" x14ac:dyDescent="0.35">
      <c r="AQ213" t="s">
        <v>84</v>
      </c>
      <c r="AR213" t="s">
        <v>60</v>
      </c>
      <c r="AS213">
        <v>2004</v>
      </c>
      <c r="AT213" t="s">
        <v>39</v>
      </c>
      <c r="AU213" t="s">
        <v>325</v>
      </c>
      <c r="AV213" t="s">
        <v>305</v>
      </c>
      <c r="AW213" t="s">
        <v>218</v>
      </c>
      <c r="AX213" t="s">
        <v>309</v>
      </c>
      <c r="AY213">
        <v>6.25</v>
      </c>
    </row>
    <row r="214" spans="43:51" ht="21" x14ac:dyDescent="0.35">
      <c r="AQ214" t="s">
        <v>84</v>
      </c>
      <c r="AR214" t="s">
        <v>60</v>
      </c>
      <c r="AS214">
        <v>2004</v>
      </c>
      <c r="AT214" t="s">
        <v>39</v>
      </c>
      <c r="AU214" t="s">
        <v>325</v>
      </c>
      <c r="AV214" t="s">
        <v>305</v>
      </c>
      <c r="AW214" t="s">
        <v>218</v>
      </c>
      <c r="AX214" t="s">
        <v>268</v>
      </c>
      <c r="AY214">
        <v>10.35</v>
      </c>
    </row>
    <row r="215" spans="43:51" ht="21" x14ac:dyDescent="0.35">
      <c r="AQ215" t="s">
        <v>84</v>
      </c>
      <c r="AR215" t="s">
        <v>60</v>
      </c>
      <c r="AS215">
        <v>2004</v>
      </c>
      <c r="AT215" t="s">
        <v>39</v>
      </c>
      <c r="AU215" t="s">
        <v>325</v>
      </c>
      <c r="AV215" t="s">
        <v>305</v>
      </c>
      <c r="AW215" t="s">
        <v>238</v>
      </c>
      <c r="AX215" t="s">
        <v>308</v>
      </c>
      <c r="AY215">
        <v>3.2</v>
      </c>
    </row>
    <row r="216" spans="43:51" ht="21" x14ac:dyDescent="0.35">
      <c r="AQ216" t="s">
        <v>84</v>
      </c>
      <c r="AR216" t="s">
        <v>60</v>
      </c>
      <c r="AS216">
        <v>2004</v>
      </c>
      <c r="AT216" t="s">
        <v>39</v>
      </c>
      <c r="AU216" t="s">
        <v>325</v>
      </c>
      <c r="AV216" t="s">
        <v>305</v>
      </c>
      <c r="AW216" t="s">
        <v>238</v>
      </c>
      <c r="AX216" t="s">
        <v>309</v>
      </c>
      <c r="AY216">
        <v>4.75</v>
      </c>
    </row>
    <row r="217" spans="43:51" ht="21" x14ac:dyDescent="0.35">
      <c r="AQ217" t="s">
        <v>84</v>
      </c>
      <c r="AR217" t="s">
        <v>60</v>
      </c>
      <c r="AS217">
        <v>2004</v>
      </c>
      <c r="AT217" t="s">
        <v>39</v>
      </c>
      <c r="AU217" t="s">
        <v>325</v>
      </c>
      <c r="AV217" t="s">
        <v>305</v>
      </c>
      <c r="AW217" t="s">
        <v>238</v>
      </c>
      <c r="AX217" t="s">
        <v>268</v>
      </c>
      <c r="AY217">
        <v>7.95</v>
      </c>
    </row>
    <row r="218" spans="43:51" ht="21" x14ac:dyDescent="0.35">
      <c r="AQ218" t="s">
        <v>84</v>
      </c>
      <c r="AR218" t="s">
        <v>60</v>
      </c>
      <c r="AS218">
        <v>2004</v>
      </c>
      <c r="AT218" t="s">
        <v>39</v>
      </c>
      <c r="AU218" t="s">
        <v>325</v>
      </c>
      <c r="AV218" t="s">
        <v>305</v>
      </c>
      <c r="AW218" t="s">
        <v>239</v>
      </c>
      <c r="AX218" t="s">
        <v>308</v>
      </c>
      <c r="AY218">
        <v>3.4</v>
      </c>
    </row>
    <row r="219" spans="43:51" ht="21" x14ac:dyDescent="0.35">
      <c r="AQ219" t="s">
        <v>84</v>
      </c>
      <c r="AR219" t="s">
        <v>60</v>
      </c>
      <c r="AS219">
        <v>2004</v>
      </c>
      <c r="AT219" t="s">
        <v>39</v>
      </c>
      <c r="AU219" t="s">
        <v>325</v>
      </c>
      <c r="AV219" t="s">
        <v>305</v>
      </c>
      <c r="AW219" t="s">
        <v>239</v>
      </c>
      <c r="AX219" t="s">
        <v>309</v>
      </c>
      <c r="AY219">
        <v>7.3</v>
      </c>
    </row>
    <row r="220" spans="43:51" ht="21" x14ac:dyDescent="0.35">
      <c r="AQ220" t="s">
        <v>84</v>
      </c>
      <c r="AR220" t="s">
        <v>60</v>
      </c>
      <c r="AS220">
        <v>2004</v>
      </c>
      <c r="AT220" t="s">
        <v>39</v>
      </c>
      <c r="AU220" t="s">
        <v>325</v>
      </c>
      <c r="AV220" t="s">
        <v>305</v>
      </c>
      <c r="AW220" t="s">
        <v>239</v>
      </c>
      <c r="AX220" t="s">
        <v>268</v>
      </c>
      <c r="AY220">
        <v>10.7</v>
      </c>
    </row>
    <row r="221" spans="43:51" ht="21" x14ac:dyDescent="0.35">
      <c r="AQ221" t="s">
        <v>84</v>
      </c>
      <c r="AR221" t="s">
        <v>60</v>
      </c>
      <c r="AS221">
        <v>2004</v>
      </c>
      <c r="AT221" t="s">
        <v>39</v>
      </c>
      <c r="AU221" t="s">
        <v>325</v>
      </c>
      <c r="AV221" t="s">
        <v>305</v>
      </c>
      <c r="AW221" t="s">
        <v>240</v>
      </c>
      <c r="AX221" t="s">
        <v>308</v>
      </c>
      <c r="AY221">
        <v>3.2</v>
      </c>
    </row>
    <row r="222" spans="43:51" ht="21" x14ac:dyDescent="0.35">
      <c r="AQ222" t="s">
        <v>84</v>
      </c>
      <c r="AR222" t="s">
        <v>60</v>
      </c>
      <c r="AS222">
        <v>2004</v>
      </c>
      <c r="AT222" t="s">
        <v>39</v>
      </c>
      <c r="AU222" t="s">
        <v>325</v>
      </c>
      <c r="AV222" t="s">
        <v>305</v>
      </c>
      <c r="AW222" t="s">
        <v>240</v>
      </c>
      <c r="AX222" t="s">
        <v>309</v>
      </c>
      <c r="AY222">
        <v>9.25</v>
      </c>
    </row>
    <row r="223" spans="43:51" ht="21" x14ac:dyDescent="0.35">
      <c r="AQ223" t="s">
        <v>84</v>
      </c>
      <c r="AR223" t="s">
        <v>60</v>
      </c>
      <c r="AS223">
        <v>2004</v>
      </c>
      <c r="AT223" t="s">
        <v>39</v>
      </c>
      <c r="AU223" t="s">
        <v>325</v>
      </c>
      <c r="AV223" t="s">
        <v>305</v>
      </c>
      <c r="AW223" t="s">
        <v>240</v>
      </c>
      <c r="AX223" t="s">
        <v>268</v>
      </c>
      <c r="AY223">
        <v>12.45</v>
      </c>
    </row>
    <row r="224" spans="43:51" ht="21" x14ac:dyDescent="0.35">
      <c r="AQ224" t="s">
        <v>84</v>
      </c>
      <c r="AR224" t="s">
        <v>60</v>
      </c>
      <c r="AS224">
        <v>2004</v>
      </c>
      <c r="AT224" t="s">
        <v>39</v>
      </c>
      <c r="AU224" t="s">
        <v>325</v>
      </c>
      <c r="AV224" t="s">
        <v>305</v>
      </c>
      <c r="AW224" t="s">
        <v>314</v>
      </c>
      <c r="AX224" t="s">
        <v>308</v>
      </c>
      <c r="AY224">
        <v>4.2</v>
      </c>
    </row>
    <row r="225" spans="43:51" ht="21" x14ac:dyDescent="0.35">
      <c r="AQ225" t="s">
        <v>84</v>
      </c>
      <c r="AR225" t="s">
        <v>60</v>
      </c>
      <c r="AS225">
        <v>2004</v>
      </c>
      <c r="AT225" t="s">
        <v>39</v>
      </c>
      <c r="AU225" t="s">
        <v>325</v>
      </c>
      <c r="AV225" t="s">
        <v>305</v>
      </c>
      <c r="AW225" t="s">
        <v>314</v>
      </c>
      <c r="AX225" t="s">
        <v>309</v>
      </c>
      <c r="AY225">
        <v>7.5</v>
      </c>
    </row>
    <row r="226" spans="43:51" ht="21" x14ac:dyDescent="0.35">
      <c r="AQ226" t="s">
        <v>84</v>
      </c>
      <c r="AR226" t="s">
        <v>60</v>
      </c>
      <c r="AS226">
        <v>2004</v>
      </c>
      <c r="AT226" t="s">
        <v>39</v>
      </c>
      <c r="AU226" t="s">
        <v>325</v>
      </c>
      <c r="AV226" t="s">
        <v>305</v>
      </c>
      <c r="AW226" t="s">
        <v>314</v>
      </c>
      <c r="AX226" t="s">
        <v>268</v>
      </c>
      <c r="AY226">
        <v>11.7</v>
      </c>
    </row>
    <row r="227" spans="43:51" ht="21" x14ac:dyDescent="0.35">
      <c r="AQ227" t="s">
        <v>84</v>
      </c>
      <c r="AR227" t="s">
        <v>60</v>
      </c>
      <c r="AS227">
        <v>2004</v>
      </c>
      <c r="AT227" t="s">
        <v>39</v>
      </c>
      <c r="AU227" t="s">
        <v>325</v>
      </c>
      <c r="AV227" t="s">
        <v>305</v>
      </c>
      <c r="AW227" t="s">
        <v>242</v>
      </c>
      <c r="AX227" t="s">
        <v>308</v>
      </c>
      <c r="AY227">
        <v>2.8</v>
      </c>
    </row>
    <row r="228" spans="43:51" ht="21" x14ac:dyDescent="0.35">
      <c r="AQ228" t="s">
        <v>84</v>
      </c>
      <c r="AR228" t="s">
        <v>60</v>
      </c>
      <c r="AS228">
        <v>2004</v>
      </c>
      <c r="AT228" t="s">
        <v>39</v>
      </c>
      <c r="AU228" t="s">
        <v>325</v>
      </c>
      <c r="AV228" t="s">
        <v>305</v>
      </c>
      <c r="AW228" t="s">
        <v>242</v>
      </c>
      <c r="AX228" t="s">
        <v>309</v>
      </c>
      <c r="AY228">
        <v>8</v>
      </c>
    </row>
    <row r="229" spans="43:51" ht="21" x14ac:dyDescent="0.35">
      <c r="AQ229" t="s">
        <v>84</v>
      </c>
      <c r="AR229" t="s">
        <v>60</v>
      </c>
      <c r="AS229">
        <v>2004</v>
      </c>
      <c r="AT229" t="s">
        <v>39</v>
      </c>
      <c r="AU229" t="s">
        <v>325</v>
      </c>
      <c r="AV229" t="s">
        <v>305</v>
      </c>
      <c r="AW229" t="s">
        <v>242</v>
      </c>
      <c r="AX229" t="s">
        <v>268</v>
      </c>
      <c r="AY229">
        <v>10.8</v>
      </c>
    </row>
    <row r="230" spans="43:51" ht="21" x14ac:dyDescent="0.35">
      <c r="AQ230" t="s">
        <v>84</v>
      </c>
      <c r="AR230" t="s">
        <v>60</v>
      </c>
      <c r="AS230">
        <v>2004</v>
      </c>
      <c r="AT230" t="s">
        <v>39</v>
      </c>
      <c r="AU230" t="s">
        <v>325</v>
      </c>
      <c r="AV230" t="s">
        <v>305</v>
      </c>
      <c r="AW230" t="s">
        <v>243</v>
      </c>
      <c r="AX230" t="s">
        <v>326</v>
      </c>
      <c r="AY230">
        <v>20.9</v>
      </c>
    </row>
    <row r="231" spans="43:51" ht="21" x14ac:dyDescent="0.35">
      <c r="AQ231" t="s">
        <v>84</v>
      </c>
      <c r="AR231" t="s">
        <v>60</v>
      </c>
      <c r="AS231">
        <v>2004</v>
      </c>
      <c r="AT231" t="s">
        <v>39</v>
      </c>
      <c r="AU231" t="s">
        <v>325</v>
      </c>
      <c r="AV231" t="s">
        <v>305</v>
      </c>
      <c r="AW231" t="s">
        <v>243</v>
      </c>
      <c r="AX231" t="s">
        <v>327</v>
      </c>
      <c r="AY231">
        <v>43.05</v>
      </c>
    </row>
    <row r="232" spans="43:51" ht="21" x14ac:dyDescent="0.35">
      <c r="AQ232" t="s">
        <v>84</v>
      </c>
      <c r="AR232" t="s">
        <v>60</v>
      </c>
      <c r="AS232">
        <v>2004</v>
      </c>
      <c r="AT232" t="s">
        <v>39</v>
      </c>
      <c r="AU232" t="s">
        <v>325</v>
      </c>
      <c r="AV232" t="s">
        <v>305</v>
      </c>
      <c r="AW232" t="s">
        <v>243</v>
      </c>
      <c r="AX232" t="s">
        <v>328</v>
      </c>
      <c r="AY232">
        <v>63.95</v>
      </c>
    </row>
    <row r="233" spans="43:51" ht="21" x14ac:dyDescent="0.35">
      <c r="AQ233" t="s">
        <v>86</v>
      </c>
      <c r="AR233" t="s">
        <v>60</v>
      </c>
      <c r="AS233">
        <v>2003</v>
      </c>
      <c r="AT233" t="s">
        <v>72</v>
      </c>
      <c r="AU233" t="s">
        <v>325</v>
      </c>
      <c r="AV233" t="s">
        <v>306</v>
      </c>
      <c r="AW233" t="s">
        <v>218</v>
      </c>
      <c r="AX233" t="s">
        <v>308</v>
      </c>
      <c r="AY233">
        <v>3.9</v>
      </c>
    </row>
    <row r="234" spans="43:51" ht="21" x14ac:dyDescent="0.35">
      <c r="AQ234" t="s">
        <v>86</v>
      </c>
      <c r="AR234" t="s">
        <v>60</v>
      </c>
      <c r="AS234">
        <v>2003</v>
      </c>
      <c r="AT234" t="s">
        <v>72</v>
      </c>
      <c r="AU234" t="s">
        <v>325</v>
      </c>
      <c r="AV234" t="s">
        <v>306</v>
      </c>
      <c r="AW234" t="s">
        <v>218</v>
      </c>
      <c r="AX234" t="s">
        <v>309</v>
      </c>
      <c r="AY234">
        <v>8</v>
      </c>
    </row>
    <row r="235" spans="43:51" ht="21" x14ac:dyDescent="0.35">
      <c r="AQ235" t="s">
        <v>86</v>
      </c>
      <c r="AR235" t="s">
        <v>60</v>
      </c>
      <c r="AS235">
        <v>2003</v>
      </c>
      <c r="AT235" t="s">
        <v>72</v>
      </c>
      <c r="AU235" t="s">
        <v>325</v>
      </c>
      <c r="AV235" t="s">
        <v>306</v>
      </c>
      <c r="AW235" t="s">
        <v>218</v>
      </c>
      <c r="AX235" t="s">
        <v>268</v>
      </c>
      <c r="AY235">
        <v>11.9</v>
      </c>
    </row>
    <row r="236" spans="43:51" ht="21" x14ac:dyDescent="0.35">
      <c r="AQ236" t="s">
        <v>86</v>
      </c>
      <c r="AR236" t="s">
        <v>60</v>
      </c>
      <c r="AS236">
        <v>2003</v>
      </c>
      <c r="AT236" t="s">
        <v>72</v>
      </c>
      <c r="AU236" t="s">
        <v>325</v>
      </c>
      <c r="AV236" t="s">
        <v>306</v>
      </c>
      <c r="AW236" t="s">
        <v>238</v>
      </c>
      <c r="AX236" t="s">
        <v>308</v>
      </c>
      <c r="AY236">
        <v>4</v>
      </c>
    </row>
    <row r="237" spans="43:51" ht="21" x14ac:dyDescent="0.35">
      <c r="AQ237" t="s">
        <v>86</v>
      </c>
      <c r="AR237" t="s">
        <v>60</v>
      </c>
      <c r="AS237">
        <v>2003</v>
      </c>
      <c r="AT237" t="s">
        <v>72</v>
      </c>
      <c r="AU237" t="s">
        <v>325</v>
      </c>
      <c r="AV237" t="s">
        <v>306</v>
      </c>
      <c r="AW237" t="s">
        <v>238</v>
      </c>
      <c r="AX237" t="s">
        <v>309</v>
      </c>
      <c r="AY237">
        <v>7.8</v>
      </c>
    </row>
    <row r="238" spans="43:51" ht="21" x14ac:dyDescent="0.35">
      <c r="AQ238" t="s">
        <v>86</v>
      </c>
      <c r="AR238" t="s">
        <v>60</v>
      </c>
      <c r="AS238">
        <v>2003</v>
      </c>
      <c r="AT238" t="s">
        <v>72</v>
      </c>
      <c r="AU238" t="s">
        <v>325</v>
      </c>
      <c r="AV238" t="s">
        <v>306</v>
      </c>
      <c r="AW238" t="s">
        <v>238</v>
      </c>
      <c r="AX238" t="s">
        <v>268</v>
      </c>
      <c r="AY238">
        <v>11.8</v>
      </c>
    </row>
    <row r="239" spans="43:51" ht="21" x14ac:dyDescent="0.35">
      <c r="AQ239" t="s">
        <v>86</v>
      </c>
      <c r="AR239" t="s">
        <v>60</v>
      </c>
      <c r="AS239">
        <v>2003</v>
      </c>
      <c r="AT239" t="s">
        <v>72</v>
      </c>
      <c r="AU239" t="s">
        <v>325</v>
      </c>
      <c r="AV239" t="s">
        <v>306</v>
      </c>
      <c r="AW239" t="s">
        <v>239</v>
      </c>
      <c r="AX239" t="s">
        <v>308</v>
      </c>
      <c r="AY239">
        <v>2.6</v>
      </c>
    </row>
    <row r="240" spans="43:51" ht="21" x14ac:dyDescent="0.35">
      <c r="AQ240" t="s">
        <v>86</v>
      </c>
      <c r="AR240" t="s">
        <v>60</v>
      </c>
      <c r="AS240">
        <v>2003</v>
      </c>
      <c r="AT240" t="s">
        <v>72</v>
      </c>
      <c r="AU240" t="s">
        <v>325</v>
      </c>
      <c r="AV240" t="s">
        <v>306</v>
      </c>
      <c r="AW240" t="s">
        <v>239</v>
      </c>
      <c r="AX240" t="s">
        <v>309</v>
      </c>
      <c r="AY240">
        <v>3</v>
      </c>
    </row>
    <row r="241" spans="43:51" ht="21" x14ac:dyDescent="0.35">
      <c r="AQ241" t="s">
        <v>86</v>
      </c>
      <c r="AR241" t="s">
        <v>60</v>
      </c>
      <c r="AS241">
        <v>2003</v>
      </c>
      <c r="AT241" t="s">
        <v>72</v>
      </c>
      <c r="AU241" t="s">
        <v>325</v>
      </c>
      <c r="AV241" t="s">
        <v>306</v>
      </c>
      <c r="AW241" t="s">
        <v>239</v>
      </c>
      <c r="AX241" t="s">
        <v>268</v>
      </c>
      <c r="AY241">
        <v>5.6</v>
      </c>
    </row>
    <row r="242" spans="43:51" ht="21" x14ac:dyDescent="0.35">
      <c r="AQ242" t="s">
        <v>86</v>
      </c>
      <c r="AR242" t="s">
        <v>60</v>
      </c>
      <c r="AS242">
        <v>2003</v>
      </c>
      <c r="AT242" t="s">
        <v>72</v>
      </c>
      <c r="AU242" t="s">
        <v>325</v>
      </c>
      <c r="AV242" t="s">
        <v>306</v>
      </c>
      <c r="AW242" t="s">
        <v>240</v>
      </c>
      <c r="AX242" t="s">
        <v>308</v>
      </c>
      <c r="AY242">
        <v>0</v>
      </c>
    </row>
    <row r="243" spans="43:51" ht="21" x14ac:dyDescent="0.35">
      <c r="AQ243" t="s">
        <v>86</v>
      </c>
      <c r="AR243" t="s">
        <v>60</v>
      </c>
      <c r="AS243">
        <v>2003</v>
      </c>
      <c r="AT243" t="s">
        <v>72</v>
      </c>
      <c r="AU243" t="s">
        <v>325</v>
      </c>
      <c r="AV243" t="s">
        <v>306</v>
      </c>
      <c r="AW243" t="s">
        <v>240</v>
      </c>
      <c r="AX243" t="s">
        <v>309</v>
      </c>
      <c r="AY243">
        <v>0</v>
      </c>
    </row>
    <row r="244" spans="43:51" ht="21" x14ac:dyDescent="0.35">
      <c r="AQ244" t="s">
        <v>86</v>
      </c>
      <c r="AR244" t="s">
        <v>60</v>
      </c>
      <c r="AS244">
        <v>2003</v>
      </c>
      <c r="AT244" t="s">
        <v>72</v>
      </c>
      <c r="AU244" t="s">
        <v>325</v>
      </c>
      <c r="AV244" t="s">
        <v>306</v>
      </c>
      <c r="AW244" t="s">
        <v>240</v>
      </c>
      <c r="AX244" t="s">
        <v>268</v>
      </c>
      <c r="AY244">
        <v>0</v>
      </c>
    </row>
    <row r="245" spans="43:51" ht="21" x14ac:dyDescent="0.35">
      <c r="AQ245" t="s">
        <v>86</v>
      </c>
      <c r="AR245" t="s">
        <v>60</v>
      </c>
      <c r="AS245">
        <v>2003</v>
      </c>
      <c r="AT245" t="s">
        <v>72</v>
      </c>
      <c r="AU245" t="s">
        <v>325</v>
      </c>
      <c r="AV245" t="s">
        <v>306</v>
      </c>
      <c r="AW245" t="s">
        <v>314</v>
      </c>
      <c r="AX245" t="s">
        <v>308</v>
      </c>
      <c r="AY245">
        <v>2.8</v>
      </c>
    </row>
    <row r="246" spans="43:51" ht="21" x14ac:dyDescent="0.35">
      <c r="AQ246" t="s">
        <v>86</v>
      </c>
      <c r="AR246" t="s">
        <v>60</v>
      </c>
      <c r="AS246">
        <v>2003</v>
      </c>
      <c r="AT246" t="s">
        <v>72</v>
      </c>
      <c r="AU246" t="s">
        <v>325</v>
      </c>
      <c r="AV246" t="s">
        <v>306</v>
      </c>
      <c r="AW246" t="s">
        <v>314</v>
      </c>
      <c r="AX246" t="s">
        <v>309</v>
      </c>
      <c r="AY246">
        <v>7.5</v>
      </c>
    </row>
    <row r="247" spans="43:51" ht="21" x14ac:dyDescent="0.35">
      <c r="AQ247" t="s">
        <v>86</v>
      </c>
      <c r="AR247" t="s">
        <v>60</v>
      </c>
      <c r="AS247">
        <v>2003</v>
      </c>
      <c r="AT247" t="s">
        <v>72</v>
      </c>
      <c r="AU247" t="s">
        <v>325</v>
      </c>
      <c r="AV247" t="s">
        <v>306</v>
      </c>
      <c r="AW247" t="s">
        <v>314</v>
      </c>
      <c r="AX247" t="s">
        <v>268</v>
      </c>
      <c r="AY247">
        <v>10.3</v>
      </c>
    </row>
    <row r="248" spans="43:51" ht="21" x14ac:dyDescent="0.35">
      <c r="AQ248" t="s">
        <v>86</v>
      </c>
      <c r="AR248" t="s">
        <v>60</v>
      </c>
      <c r="AS248">
        <v>2003</v>
      </c>
      <c r="AT248" t="s">
        <v>72</v>
      </c>
      <c r="AU248" t="s">
        <v>325</v>
      </c>
      <c r="AV248" t="s">
        <v>306</v>
      </c>
      <c r="AW248" t="s">
        <v>242</v>
      </c>
      <c r="AX248" t="s">
        <v>308</v>
      </c>
      <c r="AY248">
        <v>0</v>
      </c>
    </row>
    <row r="249" spans="43:51" ht="21" x14ac:dyDescent="0.35">
      <c r="AQ249" t="s">
        <v>86</v>
      </c>
      <c r="AR249" t="s">
        <v>60</v>
      </c>
      <c r="AS249">
        <v>2003</v>
      </c>
      <c r="AT249" t="s">
        <v>72</v>
      </c>
      <c r="AU249" t="s">
        <v>325</v>
      </c>
      <c r="AV249" t="s">
        <v>306</v>
      </c>
      <c r="AW249" t="s">
        <v>242</v>
      </c>
      <c r="AX249" t="s">
        <v>309</v>
      </c>
      <c r="AY249">
        <v>0</v>
      </c>
    </row>
    <row r="250" spans="43:51" x14ac:dyDescent="0.25">
      <c r="AQ250" t="s">
        <v>86</v>
      </c>
      <c r="AR250" t="s">
        <v>60</v>
      </c>
      <c r="AS250">
        <v>2003</v>
      </c>
      <c r="AT250" t="s">
        <v>72</v>
      </c>
      <c r="AU250" t="s">
        <v>325</v>
      </c>
      <c r="AV250" t="s">
        <v>306</v>
      </c>
      <c r="AW250" t="s">
        <v>242</v>
      </c>
      <c r="AX250" t="s">
        <v>268</v>
      </c>
      <c r="AY250">
        <v>0</v>
      </c>
    </row>
    <row r="251" spans="43:51" x14ac:dyDescent="0.25">
      <c r="AQ251" t="s">
        <v>86</v>
      </c>
      <c r="AR251" t="s">
        <v>60</v>
      </c>
      <c r="AS251">
        <v>2003</v>
      </c>
      <c r="AT251" t="s">
        <v>72</v>
      </c>
      <c r="AU251" t="s">
        <v>325</v>
      </c>
      <c r="AV251" t="s">
        <v>306</v>
      </c>
      <c r="AW251" t="s">
        <v>243</v>
      </c>
      <c r="AX251" t="s">
        <v>326</v>
      </c>
      <c r="AY251">
        <v>0</v>
      </c>
    </row>
    <row r="252" spans="43:51" x14ac:dyDescent="0.25">
      <c r="AQ252" t="s">
        <v>86</v>
      </c>
      <c r="AR252" t="s">
        <v>60</v>
      </c>
      <c r="AS252">
        <v>2003</v>
      </c>
      <c r="AT252" t="s">
        <v>72</v>
      </c>
      <c r="AU252" t="s">
        <v>325</v>
      </c>
      <c r="AV252" t="s">
        <v>306</v>
      </c>
      <c r="AW252" t="s">
        <v>243</v>
      </c>
      <c r="AX252" t="s">
        <v>327</v>
      </c>
      <c r="AY252">
        <v>0</v>
      </c>
    </row>
    <row r="253" spans="43:51" x14ac:dyDescent="0.25">
      <c r="AQ253" t="s">
        <v>86</v>
      </c>
      <c r="AR253" t="s">
        <v>60</v>
      </c>
      <c r="AS253">
        <v>2003</v>
      </c>
      <c r="AT253" t="s">
        <v>72</v>
      </c>
      <c r="AU253" t="s">
        <v>325</v>
      </c>
      <c r="AV253" t="s">
        <v>306</v>
      </c>
      <c r="AW253" t="s">
        <v>243</v>
      </c>
      <c r="AX253" t="s">
        <v>328</v>
      </c>
      <c r="AY253">
        <v>39.600000000000009</v>
      </c>
    </row>
    <row r="254" spans="43:51" x14ac:dyDescent="0.25">
      <c r="AQ254" t="s">
        <v>88</v>
      </c>
      <c r="AR254" t="s">
        <v>60</v>
      </c>
      <c r="AS254">
        <v>2003</v>
      </c>
      <c r="AT254" t="s">
        <v>36</v>
      </c>
      <c r="AU254" t="s">
        <v>325</v>
      </c>
      <c r="AV254" t="s">
        <v>306</v>
      </c>
      <c r="AW254" t="s">
        <v>218</v>
      </c>
      <c r="AX254" t="s">
        <v>308</v>
      </c>
      <c r="AY254">
        <v>0</v>
      </c>
    </row>
    <row r="255" spans="43:51" x14ac:dyDescent="0.25">
      <c r="AQ255" t="s">
        <v>88</v>
      </c>
      <c r="AR255" t="s">
        <v>60</v>
      </c>
      <c r="AS255">
        <v>2003</v>
      </c>
      <c r="AT255" t="s">
        <v>36</v>
      </c>
      <c r="AU255" t="s">
        <v>325</v>
      </c>
      <c r="AV255" t="s">
        <v>306</v>
      </c>
      <c r="AW255" t="s">
        <v>218</v>
      </c>
      <c r="AX255" t="s">
        <v>309</v>
      </c>
      <c r="AY255">
        <v>0</v>
      </c>
    </row>
    <row r="256" spans="43:51" x14ac:dyDescent="0.25">
      <c r="AQ256" t="s">
        <v>88</v>
      </c>
      <c r="AR256" t="s">
        <v>60</v>
      </c>
      <c r="AS256">
        <v>2003</v>
      </c>
      <c r="AT256" t="s">
        <v>36</v>
      </c>
      <c r="AU256" t="s">
        <v>325</v>
      </c>
      <c r="AV256" t="s">
        <v>306</v>
      </c>
      <c r="AW256" t="s">
        <v>218</v>
      </c>
      <c r="AX256" t="s">
        <v>268</v>
      </c>
      <c r="AY256">
        <v>0</v>
      </c>
    </row>
    <row r="257" spans="43:51" x14ac:dyDescent="0.25">
      <c r="AQ257" t="s">
        <v>88</v>
      </c>
      <c r="AR257" t="s">
        <v>60</v>
      </c>
      <c r="AS257">
        <v>2003</v>
      </c>
      <c r="AT257" t="s">
        <v>36</v>
      </c>
      <c r="AU257" t="s">
        <v>325</v>
      </c>
      <c r="AV257" t="s">
        <v>306</v>
      </c>
      <c r="AW257" t="s">
        <v>238</v>
      </c>
      <c r="AX257" t="s">
        <v>308</v>
      </c>
      <c r="AY257">
        <v>2.7</v>
      </c>
    </row>
    <row r="258" spans="43:51" x14ac:dyDescent="0.25">
      <c r="AQ258" t="s">
        <v>88</v>
      </c>
      <c r="AR258" t="s">
        <v>60</v>
      </c>
      <c r="AS258">
        <v>2003</v>
      </c>
      <c r="AT258" t="s">
        <v>36</v>
      </c>
      <c r="AU258" t="s">
        <v>325</v>
      </c>
      <c r="AV258" t="s">
        <v>306</v>
      </c>
      <c r="AW258" t="s">
        <v>238</v>
      </c>
      <c r="AX258" t="s">
        <v>309</v>
      </c>
      <c r="AY258">
        <v>7</v>
      </c>
    </row>
    <row r="259" spans="43:51" x14ac:dyDescent="0.25">
      <c r="AQ259" t="s">
        <v>88</v>
      </c>
      <c r="AR259" t="s">
        <v>60</v>
      </c>
      <c r="AS259">
        <v>2003</v>
      </c>
      <c r="AT259" t="s">
        <v>36</v>
      </c>
      <c r="AU259" t="s">
        <v>325</v>
      </c>
      <c r="AV259" t="s">
        <v>306</v>
      </c>
      <c r="AW259" t="s">
        <v>238</v>
      </c>
      <c r="AX259" t="s">
        <v>268</v>
      </c>
      <c r="AY259">
        <v>9.6999999999999993</v>
      </c>
    </row>
    <row r="260" spans="43:51" x14ac:dyDescent="0.25">
      <c r="AQ260" t="s">
        <v>88</v>
      </c>
      <c r="AR260" t="s">
        <v>60</v>
      </c>
      <c r="AS260">
        <v>2003</v>
      </c>
      <c r="AT260" t="s">
        <v>36</v>
      </c>
      <c r="AU260" t="s">
        <v>325</v>
      </c>
      <c r="AV260" t="s">
        <v>306</v>
      </c>
      <c r="AW260" t="s">
        <v>239</v>
      </c>
      <c r="AX260" t="s">
        <v>308</v>
      </c>
      <c r="AY260">
        <v>2.5</v>
      </c>
    </row>
    <row r="261" spans="43:51" x14ac:dyDescent="0.25">
      <c r="AQ261" t="s">
        <v>88</v>
      </c>
      <c r="AR261" t="s">
        <v>60</v>
      </c>
      <c r="AS261">
        <v>2003</v>
      </c>
      <c r="AT261" t="s">
        <v>36</v>
      </c>
      <c r="AU261" t="s">
        <v>325</v>
      </c>
      <c r="AV261" t="s">
        <v>306</v>
      </c>
      <c r="AW261" t="s">
        <v>239</v>
      </c>
      <c r="AX261" t="s">
        <v>309</v>
      </c>
      <c r="AY261">
        <v>7.2</v>
      </c>
    </row>
    <row r="262" spans="43:51" x14ac:dyDescent="0.25">
      <c r="AQ262" t="s">
        <v>88</v>
      </c>
      <c r="AR262" t="s">
        <v>60</v>
      </c>
      <c r="AS262">
        <v>2003</v>
      </c>
      <c r="AT262" t="s">
        <v>36</v>
      </c>
      <c r="AU262" t="s">
        <v>325</v>
      </c>
      <c r="AV262" t="s">
        <v>306</v>
      </c>
      <c r="AW262" t="s">
        <v>239</v>
      </c>
      <c r="AX262" t="s">
        <v>268</v>
      </c>
      <c r="AY262">
        <v>9.6999999999999993</v>
      </c>
    </row>
    <row r="263" spans="43:51" x14ac:dyDescent="0.25">
      <c r="AQ263" t="s">
        <v>88</v>
      </c>
      <c r="AR263" t="s">
        <v>60</v>
      </c>
      <c r="AS263">
        <v>2003</v>
      </c>
      <c r="AT263" t="s">
        <v>36</v>
      </c>
      <c r="AU263" t="s">
        <v>325</v>
      </c>
      <c r="AV263" t="s">
        <v>306</v>
      </c>
      <c r="AW263" t="s">
        <v>240</v>
      </c>
      <c r="AX263" t="s">
        <v>308</v>
      </c>
      <c r="AY263">
        <v>0</v>
      </c>
    </row>
    <row r="264" spans="43:51" x14ac:dyDescent="0.25">
      <c r="AQ264" t="s">
        <v>88</v>
      </c>
      <c r="AR264" t="s">
        <v>60</v>
      </c>
      <c r="AS264">
        <v>2003</v>
      </c>
      <c r="AT264" t="s">
        <v>36</v>
      </c>
      <c r="AU264" t="s">
        <v>325</v>
      </c>
      <c r="AV264" t="s">
        <v>306</v>
      </c>
      <c r="AW264" t="s">
        <v>240</v>
      </c>
      <c r="AX264" t="s">
        <v>309</v>
      </c>
      <c r="AY264">
        <v>0</v>
      </c>
    </row>
    <row r="265" spans="43:51" x14ac:dyDescent="0.25">
      <c r="AQ265" t="s">
        <v>88</v>
      </c>
      <c r="AR265" t="s">
        <v>60</v>
      </c>
      <c r="AS265">
        <v>2003</v>
      </c>
      <c r="AT265" t="s">
        <v>36</v>
      </c>
      <c r="AU265" t="s">
        <v>325</v>
      </c>
      <c r="AV265" t="s">
        <v>306</v>
      </c>
      <c r="AW265" t="s">
        <v>240</v>
      </c>
      <c r="AX265" t="s">
        <v>268</v>
      </c>
      <c r="AY265">
        <v>0</v>
      </c>
    </row>
    <row r="266" spans="43:51" x14ac:dyDescent="0.25">
      <c r="AQ266" t="s">
        <v>88</v>
      </c>
      <c r="AR266" t="s">
        <v>60</v>
      </c>
      <c r="AS266">
        <v>2003</v>
      </c>
      <c r="AT266" t="s">
        <v>36</v>
      </c>
      <c r="AU266" t="s">
        <v>325</v>
      </c>
      <c r="AV266" t="s">
        <v>306</v>
      </c>
      <c r="AW266" t="s">
        <v>314</v>
      </c>
      <c r="AX266" t="s">
        <v>308</v>
      </c>
      <c r="AY266">
        <v>2.8</v>
      </c>
    </row>
    <row r="267" spans="43:51" x14ac:dyDescent="0.25">
      <c r="AQ267" t="s">
        <v>88</v>
      </c>
      <c r="AR267" t="s">
        <v>60</v>
      </c>
      <c r="AS267">
        <v>2003</v>
      </c>
      <c r="AT267" t="s">
        <v>36</v>
      </c>
      <c r="AU267" t="s">
        <v>325</v>
      </c>
      <c r="AV267" t="s">
        <v>306</v>
      </c>
      <c r="AW267" t="s">
        <v>314</v>
      </c>
      <c r="AX267" t="s">
        <v>309</v>
      </c>
      <c r="AY267">
        <v>7.4</v>
      </c>
    </row>
    <row r="268" spans="43:51" x14ac:dyDescent="0.25">
      <c r="AQ268" t="s">
        <v>88</v>
      </c>
      <c r="AR268" t="s">
        <v>60</v>
      </c>
      <c r="AS268">
        <v>2003</v>
      </c>
      <c r="AT268" t="s">
        <v>36</v>
      </c>
      <c r="AU268" t="s">
        <v>325</v>
      </c>
      <c r="AV268" t="s">
        <v>306</v>
      </c>
      <c r="AW268" t="s">
        <v>314</v>
      </c>
      <c r="AX268" t="s">
        <v>268</v>
      </c>
      <c r="AY268">
        <v>10.199999999999999</v>
      </c>
    </row>
    <row r="269" spans="43:51" x14ac:dyDescent="0.25">
      <c r="AQ269" t="s">
        <v>88</v>
      </c>
      <c r="AR269" t="s">
        <v>60</v>
      </c>
      <c r="AS269">
        <v>2003</v>
      </c>
      <c r="AT269" t="s">
        <v>36</v>
      </c>
      <c r="AU269" t="s">
        <v>325</v>
      </c>
      <c r="AV269" t="s">
        <v>306</v>
      </c>
      <c r="AW269" t="s">
        <v>242</v>
      </c>
      <c r="AX269" t="s">
        <v>308</v>
      </c>
      <c r="AY269">
        <v>2.1</v>
      </c>
    </row>
    <row r="270" spans="43:51" x14ac:dyDescent="0.25">
      <c r="AQ270" t="s">
        <v>88</v>
      </c>
      <c r="AR270" t="s">
        <v>60</v>
      </c>
      <c r="AS270">
        <v>2003</v>
      </c>
      <c r="AT270" t="s">
        <v>36</v>
      </c>
      <c r="AU270" t="s">
        <v>325</v>
      </c>
      <c r="AV270" t="s">
        <v>306</v>
      </c>
      <c r="AW270" t="s">
        <v>242</v>
      </c>
      <c r="AX270" t="s">
        <v>309</v>
      </c>
      <c r="AY270">
        <v>6.9</v>
      </c>
    </row>
    <row r="271" spans="43:51" x14ac:dyDescent="0.25">
      <c r="AQ271" t="s">
        <v>88</v>
      </c>
      <c r="AR271" t="s">
        <v>60</v>
      </c>
      <c r="AS271">
        <v>2003</v>
      </c>
      <c r="AT271" t="s">
        <v>36</v>
      </c>
      <c r="AU271" t="s">
        <v>325</v>
      </c>
      <c r="AV271" t="s">
        <v>306</v>
      </c>
      <c r="AW271" t="s">
        <v>242</v>
      </c>
      <c r="AX271" t="s">
        <v>268</v>
      </c>
      <c r="AY271">
        <v>9</v>
      </c>
    </row>
    <row r="272" spans="43:51" x14ac:dyDescent="0.25">
      <c r="AQ272" t="s">
        <v>88</v>
      </c>
      <c r="AR272" t="s">
        <v>60</v>
      </c>
      <c r="AS272">
        <v>2003</v>
      </c>
      <c r="AT272" t="s">
        <v>36</v>
      </c>
      <c r="AU272" t="s">
        <v>325</v>
      </c>
      <c r="AV272" t="s">
        <v>306</v>
      </c>
      <c r="AW272" t="s">
        <v>243</v>
      </c>
      <c r="AX272" t="s">
        <v>326</v>
      </c>
      <c r="AY272">
        <v>0</v>
      </c>
    </row>
    <row r="273" spans="43:51" x14ac:dyDescent="0.25">
      <c r="AQ273" t="s">
        <v>88</v>
      </c>
      <c r="AR273" t="s">
        <v>60</v>
      </c>
      <c r="AS273">
        <v>2003</v>
      </c>
      <c r="AT273" t="s">
        <v>36</v>
      </c>
      <c r="AU273" t="s">
        <v>325</v>
      </c>
      <c r="AV273" t="s">
        <v>306</v>
      </c>
      <c r="AW273" t="s">
        <v>243</v>
      </c>
      <c r="AX273" t="s">
        <v>327</v>
      </c>
      <c r="AY273">
        <v>0</v>
      </c>
    </row>
    <row r="274" spans="43:51" x14ac:dyDescent="0.25">
      <c r="AQ274" t="s">
        <v>88</v>
      </c>
      <c r="AR274" t="s">
        <v>60</v>
      </c>
      <c r="AS274">
        <v>2003</v>
      </c>
      <c r="AT274" t="s">
        <v>36</v>
      </c>
      <c r="AU274" t="s">
        <v>325</v>
      </c>
      <c r="AV274" t="s">
        <v>306</v>
      </c>
      <c r="AW274" t="s">
        <v>243</v>
      </c>
      <c r="AX274" t="s">
        <v>328</v>
      </c>
      <c r="AY274">
        <v>38.599999999999994</v>
      </c>
    </row>
    <row r="275" spans="43:51" x14ac:dyDescent="0.25">
      <c r="AQ275" t="s">
        <v>90</v>
      </c>
      <c r="AR275" t="s">
        <v>60</v>
      </c>
      <c r="AS275">
        <v>2004</v>
      </c>
      <c r="AT275" t="s">
        <v>36</v>
      </c>
      <c r="AU275" t="s">
        <v>325</v>
      </c>
      <c r="AV275" t="s">
        <v>306</v>
      </c>
      <c r="AW275" t="s">
        <v>218</v>
      </c>
      <c r="AX275" t="s">
        <v>308</v>
      </c>
      <c r="AY275">
        <v>4</v>
      </c>
    </row>
    <row r="276" spans="43:51" x14ac:dyDescent="0.25">
      <c r="AQ276" t="s">
        <v>90</v>
      </c>
      <c r="AR276" t="s">
        <v>60</v>
      </c>
      <c r="AS276">
        <v>2004</v>
      </c>
      <c r="AT276" t="s">
        <v>36</v>
      </c>
      <c r="AU276" t="s">
        <v>325</v>
      </c>
      <c r="AV276" t="s">
        <v>306</v>
      </c>
      <c r="AW276" t="s">
        <v>218</v>
      </c>
      <c r="AX276" t="s">
        <v>309</v>
      </c>
      <c r="AY276">
        <v>7.85</v>
      </c>
    </row>
    <row r="277" spans="43:51" x14ac:dyDescent="0.25">
      <c r="AQ277" t="s">
        <v>90</v>
      </c>
      <c r="AR277" t="s">
        <v>60</v>
      </c>
      <c r="AS277">
        <v>2004</v>
      </c>
      <c r="AT277" t="s">
        <v>36</v>
      </c>
      <c r="AU277" t="s">
        <v>325</v>
      </c>
      <c r="AV277" t="s">
        <v>306</v>
      </c>
      <c r="AW277" t="s">
        <v>218</v>
      </c>
      <c r="AX277" t="s">
        <v>268</v>
      </c>
      <c r="AY277">
        <v>11.85</v>
      </c>
    </row>
    <row r="278" spans="43:51" x14ac:dyDescent="0.25">
      <c r="AQ278" t="s">
        <v>90</v>
      </c>
      <c r="AR278" t="s">
        <v>60</v>
      </c>
      <c r="AS278">
        <v>2004</v>
      </c>
      <c r="AT278" t="s">
        <v>36</v>
      </c>
      <c r="AU278" t="s">
        <v>325</v>
      </c>
      <c r="AV278" t="s">
        <v>306</v>
      </c>
      <c r="AW278" t="s">
        <v>238</v>
      </c>
      <c r="AX278" t="s">
        <v>308</v>
      </c>
      <c r="AY278">
        <v>2.6</v>
      </c>
    </row>
    <row r="279" spans="43:51" x14ac:dyDescent="0.25">
      <c r="AQ279" t="s">
        <v>90</v>
      </c>
      <c r="AR279" t="s">
        <v>60</v>
      </c>
      <c r="AS279">
        <v>2004</v>
      </c>
      <c r="AT279" t="s">
        <v>36</v>
      </c>
      <c r="AU279" t="s">
        <v>325</v>
      </c>
      <c r="AV279" t="s">
        <v>306</v>
      </c>
      <c r="AW279" t="s">
        <v>238</v>
      </c>
      <c r="AX279" t="s">
        <v>309</v>
      </c>
      <c r="AY279">
        <v>0</v>
      </c>
    </row>
    <row r="280" spans="43:51" x14ac:dyDescent="0.25">
      <c r="AQ280" t="s">
        <v>90</v>
      </c>
      <c r="AR280" t="s">
        <v>60</v>
      </c>
      <c r="AS280">
        <v>2004</v>
      </c>
      <c r="AT280" t="s">
        <v>36</v>
      </c>
      <c r="AU280" t="s">
        <v>325</v>
      </c>
      <c r="AV280" t="s">
        <v>306</v>
      </c>
      <c r="AW280" t="s">
        <v>238</v>
      </c>
      <c r="AX280" t="s">
        <v>268</v>
      </c>
      <c r="AY280">
        <v>2.6</v>
      </c>
    </row>
    <row r="281" spans="43:51" x14ac:dyDescent="0.25">
      <c r="AQ281" t="s">
        <v>90</v>
      </c>
      <c r="AR281" t="s">
        <v>60</v>
      </c>
      <c r="AS281">
        <v>2004</v>
      </c>
      <c r="AT281" t="s">
        <v>36</v>
      </c>
      <c r="AU281" t="s">
        <v>325</v>
      </c>
      <c r="AV281" t="s">
        <v>306</v>
      </c>
      <c r="AW281" t="s">
        <v>239</v>
      </c>
      <c r="AX281" t="s">
        <v>308</v>
      </c>
      <c r="AY281">
        <v>3.8</v>
      </c>
    </row>
    <row r="282" spans="43:51" x14ac:dyDescent="0.25">
      <c r="AQ282" t="s">
        <v>90</v>
      </c>
      <c r="AR282" t="s">
        <v>60</v>
      </c>
      <c r="AS282">
        <v>2004</v>
      </c>
      <c r="AT282" t="s">
        <v>36</v>
      </c>
      <c r="AU282" t="s">
        <v>325</v>
      </c>
      <c r="AV282" t="s">
        <v>306</v>
      </c>
      <c r="AW282" t="s">
        <v>239</v>
      </c>
      <c r="AX282" t="s">
        <v>309</v>
      </c>
      <c r="AY282">
        <v>7</v>
      </c>
    </row>
    <row r="283" spans="43:51" x14ac:dyDescent="0.25">
      <c r="AQ283" t="s">
        <v>90</v>
      </c>
      <c r="AR283" t="s">
        <v>60</v>
      </c>
      <c r="AS283">
        <v>2004</v>
      </c>
      <c r="AT283" t="s">
        <v>36</v>
      </c>
      <c r="AU283" t="s">
        <v>325</v>
      </c>
      <c r="AV283" t="s">
        <v>306</v>
      </c>
      <c r="AW283" t="s">
        <v>239</v>
      </c>
      <c r="AX283" t="s">
        <v>268</v>
      </c>
      <c r="AY283">
        <v>10.8</v>
      </c>
    </row>
    <row r="284" spans="43:51" x14ac:dyDescent="0.25">
      <c r="AQ284" t="s">
        <v>90</v>
      </c>
      <c r="AR284" t="s">
        <v>60</v>
      </c>
      <c r="AS284">
        <v>2004</v>
      </c>
      <c r="AT284" t="s">
        <v>36</v>
      </c>
      <c r="AU284" t="s">
        <v>325</v>
      </c>
      <c r="AV284" t="s">
        <v>306</v>
      </c>
      <c r="AW284" t="s">
        <v>240</v>
      </c>
      <c r="AX284" t="s">
        <v>308</v>
      </c>
      <c r="AY284">
        <v>4</v>
      </c>
    </row>
    <row r="285" spans="43:51" x14ac:dyDescent="0.25">
      <c r="AQ285" t="s">
        <v>90</v>
      </c>
      <c r="AR285" t="s">
        <v>60</v>
      </c>
      <c r="AS285">
        <v>2004</v>
      </c>
      <c r="AT285" t="s">
        <v>36</v>
      </c>
      <c r="AU285" t="s">
        <v>325</v>
      </c>
      <c r="AV285" t="s">
        <v>306</v>
      </c>
      <c r="AW285" t="s">
        <v>240</v>
      </c>
      <c r="AX285" t="s">
        <v>309</v>
      </c>
      <c r="AY285">
        <v>8.4</v>
      </c>
    </row>
    <row r="286" spans="43:51" x14ac:dyDescent="0.25">
      <c r="AQ286" t="s">
        <v>90</v>
      </c>
      <c r="AR286" t="s">
        <v>60</v>
      </c>
      <c r="AS286">
        <v>2004</v>
      </c>
      <c r="AT286" t="s">
        <v>36</v>
      </c>
      <c r="AU286" t="s">
        <v>325</v>
      </c>
      <c r="AV286" t="s">
        <v>306</v>
      </c>
      <c r="AW286" t="s">
        <v>240</v>
      </c>
      <c r="AX286" t="s">
        <v>268</v>
      </c>
      <c r="AY286">
        <v>12.4</v>
      </c>
    </row>
    <row r="287" spans="43:51" x14ac:dyDescent="0.25">
      <c r="AQ287" t="s">
        <v>90</v>
      </c>
      <c r="AR287" t="s">
        <v>60</v>
      </c>
      <c r="AS287">
        <v>2004</v>
      </c>
      <c r="AT287" t="s">
        <v>36</v>
      </c>
      <c r="AU287" t="s">
        <v>325</v>
      </c>
      <c r="AV287" t="s">
        <v>306</v>
      </c>
      <c r="AW287" t="s">
        <v>314</v>
      </c>
      <c r="AX287" t="s">
        <v>308</v>
      </c>
      <c r="AY287">
        <v>0</v>
      </c>
    </row>
    <row r="288" spans="43:51" x14ac:dyDescent="0.25">
      <c r="AQ288" t="s">
        <v>90</v>
      </c>
      <c r="AR288" t="s">
        <v>60</v>
      </c>
      <c r="AS288">
        <v>2004</v>
      </c>
      <c r="AT288" t="s">
        <v>36</v>
      </c>
      <c r="AU288" t="s">
        <v>325</v>
      </c>
      <c r="AV288" t="s">
        <v>306</v>
      </c>
      <c r="AW288" t="s">
        <v>314</v>
      </c>
      <c r="AX288" t="s">
        <v>309</v>
      </c>
      <c r="AY288">
        <v>0</v>
      </c>
    </row>
    <row r="289" spans="43:51" x14ac:dyDescent="0.25">
      <c r="AQ289" t="s">
        <v>90</v>
      </c>
      <c r="AR289" t="s">
        <v>60</v>
      </c>
      <c r="AS289">
        <v>2004</v>
      </c>
      <c r="AT289" t="s">
        <v>36</v>
      </c>
      <c r="AU289" t="s">
        <v>325</v>
      </c>
      <c r="AV289" t="s">
        <v>306</v>
      </c>
      <c r="AW289" t="s">
        <v>314</v>
      </c>
      <c r="AX289" t="s">
        <v>268</v>
      </c>
      <c r="AY289">
        <v>0</v>
      </c>
    </row>
    <row r="290" spans="43:51" x14ac:dyDescent="0.25">
      <c r="AQ290" t="s">
        <v>90</v>
      </c>
      <c r="AR290" t="s">
        <v>60</v>
      </c>
      <c r="AS290">
        <v>2004</v>
      </c>
      <c r="AT290" t="s">
        <v>36</v>
      </c>
      <c r="AU290" t="s">
        <v>325</v>
      </c>
      <c r="AV290" t="s">
        <v>306</v>
      </c>
      <c r="AW290" t="s">
        <v>242</v>
      </c>
      <c r="AX290" t="s">
        <v>308</v>
      </c>
      <c r="AY290">
        <v>0</v>
      </c>
    </row>
    <row r="291" spans="43:51" x14ac:dyDescent="0.25">
      <c r="AQ291" t="s">
        <v>90</v>
      </c>
      <c r="AR291" t="s">
        <v>60</v>
      </c>
      <c r="AS291">
        <v>2004</v>
      </c>
      <c r="AT291" t="s">
        <v>36</v>
      </c>
      <c r="AU291" t="s">
        <v>325</v>
      </c>
      <c r="AV291" t="s">
        <v>306</v>
      </c>
      <c r="AW291" t="s">
        <v>242</v>
      </c>
      <c r="AX291" t="s">
        <v>309</v>
      </c>
      <c r="AY291">
        <v>0</v>
      </c>
    </row>
    <row r="292" spans="43:51" x14ac:dyDescent="0.25">
      <c r="AQ292" t="s">
        <v>90</v>
      </c>
      <c r="AR292" t="s">
        <v>60</v>
      </c>
      <c r="AS292">
        <v>2004</v>
      </c>
      <c r="AT292" t="s">
        <v>36</v>
      </c>
      <c r="AU292" t="s">
        <v>325</v>
      </c>
      <c r="AV292" t="s">
        <v>306</v>
      </c>
      <c r="AW292" t="s">
        <v>242</v>
      </c>
      <c r="AX292" t="s">
        <v>268</v>
      </c>
      <c r="AY292">
        <v>0</v>
      </c>
    </row>
    <row r="293" spans="43:51" x14ac:dyDescent="0.25">
      <c r="AQ293" t="s">
        <v>90</v>
      </c>
      <c r="AR293" t="s">
        <v>60</v>
      </c>
      <c r="AS293">
        <v>2004</v>
      </c>
      <c r="AT293" t="s">
        <v>36</v>
      </c>
      <c r="AU293" t="s">
        <v>325</v>
      </c>
      <c r="AV293" t="s">
        <v>306</v>
      </c>
      <c r="AW293" t="s">
        <v>243</v>
      </c>
      <c r="AX293" t="s">
        <v>326</v>
      </c>
      <c r="AY293">
        <v>0</v>
      </c>
    </row>
    <row r="294" spans="43:51" x14ac:dyDescent="0.25">
      <c r="AQ294" t="s">
        <v>90</v>
      </c>
      <c r="AR294" t="s">
        <v>60</v>
      </c>
      <c r="AS294">
        <v>2004</v>
      </c>
      <c r="AT294" t="s">
        <v>36</v>
      </c>
      <c r="AU294" t="s">
        <v>325</v>
      </c>
      <c r="AV294" t="s">
        <v>306</v>
      </c>
      <c r="AW294" t="s">
        <v>243</v>
      </c>
      <c r="AX294" t="s">
        <v>327</v>
      </c>
      <c r="AY294">
        <v>0</v>
      </c>
    </row>
    <row r="295" spans="43:51" x14ac:dyDescent="0.25">
      <c r="AQ295" t="s">
        <v>90</v>
      </c>
      <c r="AR295" t="s">
        <v>60</v>
      </c>
      <c r="AS295">
        <v>2004</v>
      </c>
      <c r="AT295" t="s">
        <v>36</v>
      </c>
      <c r="AU295" t="s">
        <v>325</v>
      </c>
      <c r="AV295" t="s">
        <v>306</v>
      </c>
      <c r="AW295" t="s">
        <v>243</v>
      </c>
      <c r="AX295" t="s">
        <v>328</v>
      </c>
      <c r="AY295">
        <v>37.65</v>
      </c>
    </row>
    <row r="296" spans="43:51" x14ac:dyDescent="0.25">
      <c r="AQ296" t="s">
        <v>92</v>
      </c>
      <c r="AR296" t="s">
        <v>60</v>
      </c>
      <c r="AS296">
        <v>2004</v>
      </c>
      <c r="AT296" t="s">
        <v>39</v>
      </c>
      <c r="AU296" t="s">
        <v>325</v>
      </c>
      <c r="AV296" t="s">
        <v>306</v>
      </c>
      <c r="AW296" t="s">
        <v>218</v>
      </c>
      <c r="AX296" t="s">
        <v>308</v>
      </c>
      <c r="AY296">
        <v>3.7</v>
      </c>
    </row>
    <row r="297" spans="43:51" x14ac:dyDescent="0.25">
      <c r="AQ297" t="s">
        <v>92</v>
      </c>
      <c r="AR297" t="s">
        <v>60</v>
      </c>
      <c r="AS297">
        <v>2004</v>
      </c>
      <c r="AT297" t="s">
        <v>39</v>
      </c>
      <c r="AU297" t="s">
        <v>325</v>
      </c>
      <c r="AV297" t="s">
        <v>306</v>
      </c>
      <c r="AW297" t="s">
        <v>218</v>
      </c>
      <c r="AX297" t="s">
        <v>309</v>
      </c>
      <c r="AY297">
        <v>7.95</v>
      </c>
    </row>
    <row r="298" spans="43:51" x14ac:dyDescent="0.25">
      <c r="AQ298" t="s">
        <v>92</v>
      </c>
      <c r="AR298" t="s">
        <v>60</v>
      </c>
      <c r="AS298">
        <v>2004</v>
      </c>
      <c r="AT298" t="s">
        <v>39</v>
      </c>
      <c r="AU298" t="s">
        <v>325</v>
      </c>
      <c r="AV298" t="s">
        <v>306</v>
      </c>
      <c r="AW298" t="s">
        <v>218</v>
      </c>
      <c r="AX298" t="s">
        <v>268</v>
      </c>
      <c r="AY298">
        <v>11.65</v>
      </c>
    </row>
    <row r="299" spans="43:51" x14ac:dyDescent="0.25">
      <c r="AQ299" t="s">
        <v>92</v>
      </c>
      <c r="AR299" t="s">
        <v>60</v>
      </c>
      <c r="AS299">
        <v>2004</v>
      </c>
      <c r="AT299" t="s">
        <v>39</v>
      </c>
      <c r="AU299" t="s">
        <v>325</v>
      </c>
      <c r="AV299" t="s">
        <v>306</v>
      </c>
      <c r="AW299" t="s">
        <v>238</v>
      </c>
      <c r="AX299" t="s">
        <v>308</v>
      </c>
      <c r="AY299">
        <v>3.7</v>
      </c>
    </row>
    <row r="300" spans="43:51" x14ac:dyDescent="0.25">
      <c r="AQ300" t="s">
        <v>92</v>
      </c>
      <c r="AR300" t="s">
        <v>60</v>
      </c>
      <c r="AS300">
        <v>2004</v>
      </c>
      <c r="AT300" t="s">
        <v>39</v>
      </c>
      <c r="AU300" t="s">
        <v>325</v>
      </c>
      <c r="AV300" t="s">
        <v>306</v>
      </c>
      <c r="AW300" t="s">
        <v>238</v>
      </c>
      <c r="AX300" t="s">
        <v>309</v>
      </c>
      <c r="AY300">
        <v>8.6</v>
      </c>
    </row>
    <row r="301" spans="43:51" x14ac:dyDescent="0.25">
      <c r="AQ301" t="s">
        <v>92</v>
      </c>
      <c r="AR301" t="s">
        <v>60</v>
      </c>
      <c r="AS301">
        <v>2004</v>
      </c>
      <c r="AT301" t="s">
        <v>39</v>
      </c>
      <c r="AU301" t="s">
        <v>325</v>
      </c>
      <c r="AV301" t="s">
        <v>306</v>
      </c>
      <c r="AW301" t="s">
        <v>238</v>
      </c>
      <c r="AX301" t="s">
        <v>268</v>
      </c>
      <c r="AY301">
        <v>12.3</v>
      </c>
    </row>
    <row r="302" spans="43:51" x14ac:dyDescent="0.25">
      <c r="AQ302" t="s">
        <v>92</v>
      </c>
      <c r="AR302" t="s">
        <v>60</v>
      </c>
      <c r="AS302">
        <v>2004</v>
      </c>
      <c r="AT302" t="s">
        <v>39</v>
      </c>
      <c r="AU302" t="s">
        <v>325</v>
      </c>
      <c r="AV302" t="s">
        <v>306</v>
      </c>
      <c r="AW302" t="s">
        <v>239</v>
      </c>
      <c r="AX302" t="s">
        <v>308</v>
      </c>
      <c r="AY302">
        <v>0</v>
      </c>
    </row>
    <row r="303" spans="43:51" x14ac:dyDescent="0.25">
      <c r="AQ303" t="s">
        <v>92</v>
      </c>
      <c r="AR303" t="s">
        <v>60</v>
      </c>
      <c r="AS303">
        <v>2004</v>
      </c>
      <c r="AT303" t="s">
        <v>39</v>
      </c>
      <c r="AU303" t="s">
        <v>325</v>
      </c>
      <c r="AV303" t="s">
        <v>306</v>
      </c>
      <c r="AW303" t="s">
        <v>239</v>
      </c>
      <c r="AX303" t="s">
        <v>309</v>
      </c>
      <c r="AY303">
        <v>0</v>
      </c>
    </row>
    <row r="304" spans="43:51" x14ac:dyDescent="0.25">
      <c r="AQ304" t="s">
        <v>92</v>
      </c>
      <c r="AR304" t="s">
        <v>60</v>
      </c>
      <c r="AS304">
        <v>2004</v>
      </c>
      <c r="AT304" t="s">
        <v>39</v>
      </c>
      <c r="AU304" t="s">
        <v>325</v>
      </c>
      <c r="AV304" t="s">
        <v>306</v>
      </c>
      <c r="AW304" t="s">
        <v>239</v>
      </c>
      <c r="AX304" t="s">
        <v>268</v>
      </c>
      <c r="AY304">
        <v>0</v>
      </c>
    </row>
    <row r="305" spans="43:51" x14ac:dyDescent="0.25">
      <c r="AQ305" t="s">
        <v>92</v>
      </c>
      <c r="AR305" t="s">
        <v>60</v>
      </c>
      <c r="AS305">
        <v>2004</v>
      </c>
      <c r="AT305" t="s">
        <v>39</v>
      </c>
      <c r="AU305" t="s">
        <v>325</v>
      </c>
      <c r="AV305" t="s">
        <v>306</v>
      </c>
      <c r="AW305" t="s">
        <v>240</v>
      </c>
      <c r="AX305" t="s">
        <v>308</v>
      </c>
      <c r="AY305">
        <v>4</v>
      </c>
    </row>
    <row r="306" spans="43:51" x14ac:dyDescent="0.25">
      <c r="AQ306" t="s">
        <v>92</v>
      </c>
      <c r="AR306" t="s">
        <v>60</v>
      </c>
      <c r="AS306">
        <v>2004</v>
      </c>
      <c r="AT306" t="s">
        <v>39</v>
      </c>
      <c r="AU306" t="s">
        <v>325</v>
      </c>
      <c r="AV306" t="s">
        <v>306</v>
      </c>
      <c r="AW306" t="s">
        <v>240</v>
      </c>
      <c r="AX306" t="s">
        <v>309</v>
      </c>
      <c r="AY306">
        <v>8.9</v>
      </c>
    </row>
    <row r="307" spans="43:51" x14ac:dyDescent="0.25">
      <c r="AQ307" t="s">
        <v>92</v>
      </c>
      <c r="AR307" t="s">
        <v>60</v>
      </c>
      <c r="AS307">
        <v>2004</v>
      </c>
      <c r="AT307" t="s">
        <v>39</v>
      </c>
      <c r="AU307" t="s">
        <v>325</v>
      </c>
      <c r="AV307" t="s">
        <v>306</v>
      </c>
      <c r="AW307" t="s">
        <v>240</v>
      </c>
      <c r="AX307" t="s">
        <v>268</v>
      </c>
      <c r="AY307">
        <v>12.9</v>
      </c>
    </row>
    <row r="308" spans="43:51" x14ac:dyDescent="0.25">
      <c r="AQ308" t="s">
        <v>92</v>
      </c>
      <c r="AR308" t="s">
        <v>60</v>
      </c>
      <c r="AS308">
        <v>2004</v>
      </c>
      <c r="AT308" t="s">
        <v>39</v>
      </c>
      <c r="AU308" t="s">
        <v>325</v>
      </c>
      <c r="AV308" t="s">
        <v>306</v>
      </c>
      <c r="AW308" t="s">
        <v>314</v>
      </c>
      <c r="AX308" t="s">
        <v>308</v>
      </c>
      <c r="AY308">
        <v>0</v>
      </c>
    </row>
    <row r="309" spans="43:51" x14ac:dyDescent="0.25">
      <c r="AQ309" t="s">
        <v>92</v>
      </c>
      <c r="AR309" t="s">
        <v>60</v>
      </c>
      <c r="AS309">
        <v>2004</v>
      </c>
      <c r="AT309" t="s">
        <v>39</v>
      </c>
      <c r="AU309" t="s">
        <v>325</v>
      </c>
      <c r="AV309" t="s">
        <v>306</v>
      </c>
      <c r="AW309" t="s">
        <v>314</v>
      </c>
      <c r="AX309" t="s">
        <v>309</v>
      </c>
      <c r="AY309">
        <v>0</v>
      </c>
    </row>
    <row r="310" spans="43:51" x14ac:dyDescent="0.25">
      <c r="AQ310" t="s">
        <v>92</v>
      </c>
      <c r="AR310" t="s">
        <v>60</v>
      </c>
      <c r="AS310">
        <v>2004</v>
      </c>
      <c r="AT310" t="s">
        <v>39</v>
      </c>
      <c r="AU310" t="s">
        <v>325</v>
      </c>
      <c r="AV310" t="s">
        <v>306</v>
      </c>
      <c r="AW310" t="s">
        <v>314</v>
      </c>
      <c r="AX310" t="s">
        <v>268</v>
      </c>
      <c r="AY310">
        <v>0</v>
      </c>
    </row>
    <row r="311" spans="43:51" x14ac:dyDescent="0.25">
      <c r="AQ311" t="s">
        <v>92</v>
      </c>
      <c r="AR311" t="s">
        <v>60</v>
      </c>
      <c r="AS311">
        <v>2004</v>
      </c>
      <c r="AT311" t="s">
        <v>39</v>
      </c>
      <c r="AU311" t="s">
        <v>325</v>
      </c>
      <c r="AV311" t="s">
        <v>306</v>
      </c>
      <c r="AW311" t="s">
        <v>242</v>
      </c>
      <c r="AX311" t="s">
        <v>308</v>
      </c>
      <c r="AY311">
        <v>0</v>
      </c>
    </row>
    <row r="312" spans="43:51" x14ac:dyDescent="0.25">
      <c r="AQ312" t="s">
        <v>92</v>
      </c>
      <c r="AR312" t="s">
        <v>60</v>
      </c>
      <c r="AS312">
        <v>2004</v>
      </c>
      <c r="AT312" t="s">
        <v>39</v>
      </c>
      <c r="AU312" t="s">
        <v>325</v>
      </c>
      <c r="AV312" t="s">
        <v>306</v>
      </c>
      <c r="AW312" t="s">
        <v>242</v>
      </c>
      <c r="AX312" t="s">
        <v>309</v>
      </c>
      <c r="AY312">
        <v>0</v>
      </c>
    </row>
    <row r="313" spans="43:51" x14ac:dyDescent="0.25">
      <c r="AQ313" t="s">
        <v>92</v>
      </c>
      <c r="AR313" t="s">
        <v>60</v>
      </c>
      <c r="AS313">
        <v>2004</v>
      </c>
      <c r="AT313" t="s">
        <v>39</v>
      </c>
      <c r="AU313" t="s">
        <v>325</v>
      </c>
      <c r="AV313" t="s">
        <v>306</v>
      </c>
      <c r="AW313" t="s">
        <v>242</v>
      </c>
      <c r="AX313" t="s">
        <v>268</v>
      </c>
      <c r="AY313">
        <v>0</v>
      </c>
    </row>
    <row r="314" spans="43:51" x14ac:dyDescent="0.25">
      <c r="AQ314" t="s">
        <v>92</v>
      </c>
      <c r="AR314" t="s">
        <v>60</v>
      </c>
      <c r="AS314">
        <v>2004</v>
      </c>
      <c r="AT314" t="s">
        <v>39</v>
      </c>
      <c r="AU314" t="s">
        <v>325</v>
      </c>
      <c r="AV314" t="s">
        <v>306</v>
      </c>
      <c r="AW314" t="s">
        <v>243</v>
      </c>
      <c r="AX314" t="s">
        <v>326</v>
      </c>
      <c r="AY314">
        <v>0</v>
      </c>
    </row>
    <row r="315" spans="43:51" x14ac:dyDescent="0.25">
      <c r="AQ315" t="s">
        <v>92</v>
      </c>
      <c r="AR315" t="s">
        <v>60</v>
      </c>
      <c r="AS315">
        <v>2004</v>
      </c>
      <c r="AT315" t="s">
        <v>39</v>
      </c>
      <c r="AU315" t="s">
        <v>325</v>
      </c>
      <c r="AV315" t="s">
        <v>306</v>
      </c>
      <c r="AW315" t="s">
        <v>243</v>
      </c>
      <c r="AX315" t="s">
        <v>327</v>
      </c>
      <c r="AY315">
        <v>0</v>
      </c>
    </row>
    <row r="316" spans="43:51" x14ac:dyDescent="0.25">
      <c r="AQ316" t="s">
        <v>92</v>
      </c>
      <c r="AR316" t="s">
        <v>60</v>
      </c>
      <c r="AS316">
        <v>2004</v>
      </c>
      <c r="AT316" t="s">
        <v>39</v>
      </c>
      <c r="AU316" t="s">
        <v>325</v>
      </c>
      <c r="AV316" t="s">
        <v>306</v>
      </c>
      <c r="AW316" t="s">
        <v>243</v>
      </c>
      <c r="AX316" t="s">
        <v>328</v>
      </c>
      <c r="AY316">
        <v>36.85</v>
      </c>
    </row>
    <row r="317" spans="43:51" x14ac:dyDescent="0.25">
      <c r="AQ317" t="s">
        <v>94</v>
      </c>
      <c r="AR317" t="s">
        <v>60</v>
      </c>
      <c r="AS317">
        <v>2002</v>
      </c>
      <c r="AT317" t="s">
        <v>72</v>
      </c>
      <c r="AU317" t="s">
        <v>325</v>
      </c>
      <c r="AV317" t="s">
        <v>306</v>
      </c>
      <c r="AW317" t="s">
        <v>218</v>
      </c>
      <c r="AX317" t="s">
        <v>308</v>
      </c>
      <c r="AY317">
        <v>0</v>
      </c>
    </row>
    <row r="318" spans="43:51" x14ac:dyDescent="0.25">
      <c r="AQ318" t="s">
        <v>94</v>
      </c>
      <c r="AR318" t="s">
        <v>60</v>
      </c>
      <c r="AS318">
        <v>2002</v>
      </c>
      <c r="AT318" t="s">
        <v>72</v>
      </c>
      <c r="AU318" t="s">
        <v>325</v>
      </c>
      <c r="AV318" t="s">
        <v>306</v>
      </c>
      <c r="AW318" t="s">
        <v>218</v>
      </c>
      <c r="AX318" t="s">
        <v>309</v>
      </c>
      <c r="AY318">
        <v>0</v>
      </c>
    </row>
    <row r="319" spans="43:51" x14ac:dyDescent="0.25">
      <c r="AQ319" t="s">
        <v>94</v>
      </c>
      <c r="AR319" t="s">
        <v>60</v>
      </c>
      <c r="AS319">
        <v>2002</v>
      </c>
      <c r="AT319" t="s">
        <v>72</v>
      </c>
      <c r="AU319" t="s">
        <v>325</v>
      </c>
      <c r="AV319" t="s">
        <v>306</v>
      </c>
      <c r="AW319" t="s">
        <v>218</v>
      </c>
      <c r="AX319" t="s">
        <v>268</v>
      </c>
      <c r="AY319">
        <v>0</v>
      </c>
    </row>
    <row r="320" spans="43:51" x14ac:dyDescent="0.25">
      <c r="AQ320" t="s">
        <v>94</v>
      </c>
      <c r="AR320" t="s">
        <v>60</v>
      </c>
      <c r="AS320">
        <v>2002</v>
      </c>
      <c r="AT320" t="s">
        <v>72</v>
      </c>
      <c r="AU320" t="s">
        <v>325</v>
      </c>
      <c r="AV320" t="s">
        <v>306</v>
      </c>
      <c r="AW320" t="s">
        <v>238</v>
      </c>
      <c r="AX320" t="s">
        <v>308</v>
      </c>
      <c r="AY320">
        <v>0</v>
      </c>
    </row>
    <row r="321" spans="43:51" x14ac:dyDescent="0.25">
      <c r="AQ321" t="s">
        <v>94</v>
      </c>
      <c r="AR321" t="s">
        <v>60</v>
      </c>
      <c r="AS321">
        <v>2002</v>
      </c>
      <c r="AT321" t="s">
        <v>72</v>
      </c>
      <c r="AU321" t="s">
        <v>325</v>
      </c>
      <c r="AV321" t="s">
        <v>306</v>
      </c>
      <c r="AW321" t="s">
        <v>238</v>
      </c>
      <c r="AX321" t="s">
        <v>309</v>
      </c>
      <c r="AY321">
        <v>0</v>
      </c>
    </row>
    <row r="322" spans="43:51" x14ac:dyDescent="0.25">
      <c r="AQ322" t="s">
        <v>94</v>
      </c>
      <c r="AR322" t="s">
        <v>60</v>
      </c>
      <c r="AS322">
        <v>2002</v>
      </c>
      <c r="AT322" t="s">
        <v>72</v>
      </c>
      <c r="AU322" t="s">
        <v>325</v>
      </c>
      <c r="AV322" t="s">
        <v>306</v>
      </c>
      <c r="AW322" t="s">
        <v>238</v>
      </c>
      <c r="AX322" t="s">
        <v>268</v>
      </c>
      <c r="AY322">
        <v>0</v>
      </c>
    </row>
    <row r="323" spans="43:51" x14ac:dyDescent="0.25">
      <c r="AQ323" t="s">
        <v>94</v>
      </c>
      <c r="AR323" t="s">
        <v>60</v>
      </c>
      <c r="AS323">
        <v>2002</v>
      </c>
      <c r="AT323" t="s">
        <v>72</v>
      </c>
      <c r="AU323" t="s">
        <v>325</v>
      </c>
      <c r="AV323" t="s">
        <v>306</v>
      </c>
      <c r="AW323" t="s">
        <v>239</v>
      </c>
      <c r="AX323" t="s">
        <v>308</v>
      </c>
      <c r="AY323">
        <v>4</v>
      </c>
    </row>
    <row r="324" spans="43:51" x14ac:dyDescent="0.25">
      <c r="AQ324" t="s">
        <v>94</v>
      </c>
      <c r="AR324" t="s">
        <v>60</v>
      </c>
      <c r="AS324">
        <v>2002</v>
      </c>
      <c r="AT324" t="s">
        <v>72</v>
      </c>
      <c r="AU324" t="s">
        <v>325</v>
      </c>
      <c r="AV324" t="s">
        <v>306</v>
      </c>
      <c r="AW324" t="s">
        <v>239</v>
      </c>
      <c r="AX324" t="s">
        <v>309</v>
      </c>
      <c r="AY324">
        <v>8.4</v>
      </c>
    </row>
    <row r="325" spans="43:51" x14ac:dyDescent="0.25">
      <c r="AQ325" t="s">
        <v>94</v>
      </c>
      <c r="AR325" t="s">
        <v>60</v>
      </c>
      <c r="AS325">
        <v>2002</v>
      </c>
      <c r="AT325" t="s">
        <v>72</v>
      </c>
      <c r="AU325" t="s">
        <v>325</v>
      </c>
      <c r="AV325" t="s">
        <v>306</v>
      </c>
      <c r="AW325" t="s">
        <v>239</v>
      </c>
      <c r="AX325" t="s">
        <v>268</v>
      </c>
      <c r="AY325">
        <v>12.4</v>
      </c>
    </row>
    <row r="326" spans="43:51" x14ac:dyDescent="0.25">
      <c r="AQ326" t="s">
        <v>94</v>
      </c>
      <c r="AR326" t="s">
        <v>60</v>
      </c>
      <c r="AS326">
        <v>2002</v>
      </c>
      <c r="AT326" t="s">
        <v>72</v>
      </c>
      <c r="AU326" t="s">
        <v>325</v>
      </c>
      <c r="AV326" t="s">
        <v>306</v>
      </c>
      <c r="AW326" t="s">
        <v>240</v>
      </c>
      <c r="AX326" t="s">
        <v>308</v>
      </c>
      <c r="AY326">
        <v>2.8</v>
      </c>
    </row>
    <row r="327" spans="43:51" x14ac:dyDescent="0.25">
      <c r="AQ327" t="s">
        <v>94</v>
      </c>
      <c r="AR327" t="s">
        <v>60</v>
      </c>
      <c r="AS327">
        <v>2002</v>
      </c>
      <c r="AT327" t="s">
        <v>72</v>
      </c>
      <c r="AU327" t="s">
        <v>325</v>
      </c>
      <c r="AV327" t="s">
        <v>306</v>
      </c>
      <c r="AW327" t="s">
        <v>240</v>
      </c>
      <c r="AX327" t="s">
        <v>309</v>
      </c>
      <c r="AY327">
        <v>9.4</v>
      </c>
    </row>
    <row r="328" spans="43:51" x14ac:dyDescent="0.25">
      <c r="AQ328" t="s">
        <v>94</v>
      </c>
      <c r="AR328" t="s">
        <v>60</v>
      </c>
      <c r="AS328">
        <v>2002</v>
      </c>
      <c r="AT328" t="s">
        <v>72</v>
      </c>
      <c r="AU328" t="s">
        <v>325</v>
      </c>
      <c r="AV328" t="s">
        <v>306</v>
      </c>
      <c r="AW328" t="s">
        <v>240</v>
      </c>
      <c r="AX328" t="s">
        <v>268</v>
      </c>
      <c r="AY328">
        <v>12.2</v>
      </c>
    </row>
    <row r="329" spans="43:51" x14ac:dyDescent="0.25">
      <c r="AQ329" t="s">
        <v>94</v>
      </c>
      <c r="AR329" t="s">
        <v>60</v>
      </c>
      <c r="AS329">
        <v>2002</v>
      </c>
      <c r="AT329" t="s">
        <v>72</v>
      </c>
      <c r="AU329" t="s">
        <v>325</v>
      </c>
      <c r="AV329" t="s">
        <v>306</v>
      </c>
      <c r="AW329" t="s">
        <v>314</v>
      </c>
      <c r="AX329" t="s">
        <v>308</v>
      </c>
      <c r="AY329">
        <v>3.1</v>
      </c>
    </row>
    <row r="330" spans="43:51" x14ac:dyDescent="0.25">
      <c r="AQ330" t="s">
        <v>94</v>
      </c>
      <c r="AR330" t="s">
        <v>60</v>
      </c>
      <c r="AS330">
        <v>2002</v>
      </c>
      <c r="AT330" t="s">
        <v>72</v>
      </c>
      <c r="AU330" t="s">
        <v>325</v>
      </c>
      <c r="AV330" t="s">
        <v>306</v>
      </c>
      <c r="AW330" t="s">
        <v>314</v>
      </c>
      <c r="AX330" t="s">
        <v>309</v>
      </c>
      <c r="AY330">
        <v>8.85</v>
      </c>
    </row>
    <row r="331" spans="43:51" x14ac:dyDescent="0.25">
      <c r="AQ331" t="s">
        <v>94</v>
      </c>
      <c r="AR331" t="s">
        <v>60</v>
      </c>
      <c r="AS331">
        <v>2002</v>
      </c>
      <c r="AT331" t="s">
        <v>72</v>
      </c>
      <c r="AU331" t="s">
        <v>325</v>
      </c>
      <c r="AV331" t="s">
        <v>306</v>
      </c>
      <c r="AW331" t="s">
        <v>314</v>
      </c>
      <c r="AX331" t="s">
        <v>268</v>
      </c>
      <c r="AY331">
        <v>11.95</v>
      </c>
    </row>
    <row r="332" spans="43:51" x14ac:dyDescent="0.25">
      <c r="AQ332" t="s">
        <v>94</v>
      </c>
      <c r="AR332" t="s">
        <v>60</v>
      </c>
      <c r="AS332">
        <v>2002</v>
      </c>
      <c r="AT332" t="s">
        <v>72</v>
      </c>
      <c r="AU332" t="s">
        <v>325</v>
      </c>
      <c r="AV332" t="s">
        <v>306</v>
      </c>
      <c r="AW332" t="s">
        <v>242</v>
      </c>
      <c r="AX332" t="s">
        <v>308</v>
      </c>
      <c r="AY332">
        <v>0</v>
      </c>
    </row>
    <row r="333" spans="43:51" x14ac:dyDescent="0.25">
      <c r="AQ333" t="s">
        <v>94</v>
      </c>
      <c r="AR333" t="s">
        <v>60</v>
      </c>
      <c r="AS333">
        <v>2002</v>
      </c>
      <c r="AT333" t="s">
        <v>72</v>
      </c>
      <c r="AU333" t="s">
        <v>325</v>
      </c>
      <c r="AV333" t="s">
        <v>306</v>
      </c>
      <c r="AW333" t="s">
        <v>242</v>
      </c>
      <c r="AX333" t="s">
        <v>309</v>
      </c>
      <c r="AY333">
        <v>0</v>
      </c>
    </row>
    <row r="334" spans="43:51" x14ac:dyDescent="0.25">
      <c r="AQ334" t="s">
        <v>94</v>
      </c>
      <c r="AR334" t="s">
        <v>60</v>
      </c>
      <c r="AS334">
        <v>2002</v>
      </c>
      <c r="AT334" t="s">
        <v>72</v>
      </c>
      <c r="AU334" t="s">
        <v>325</v>
      </c>
      <c r="AV334" t="s">
        <v>306</v>
      </c>
      <c r="AW334" t="s">
        <v>242</v>
      </c>
      <c r="AX334" t="s">
        <v>268</v>
      </c>
      <c r="AY334">
        <v>0</v>
      </c>
    </row>
    <row r="335" spans="43:51" x14ac:dyDescent="0.25">
      <c r="AQ335" t="s">
        <v>94</v>
      </c>
      <c r="AR335" t="s">
        <v>60</v>
      </c>
      <c r="AS335">
        <v>2002</v>
      </c>
      <c r="AT335" t="s">
        <v>72</v>
      </c>
      <c r="AU335" t="s">
        <v>325</v>
      </c>
      <c r="AV335" t="s">
        <v>306</v>
      </c>
      <c r="AW335" t="s">
        <v>243</v>
      </c>
      <c r="AX335" t="s">
        <v>326</v>
      </c>
      <c r="AY335">
        <v>0</v>
      </c>
    </row>
    <row r="336" spans="43:51" x14ac:dyDescent="0.25">
      <c r="AQ336" t="s">
        <v>94</v>
      </c>
      <c r="AR336" t="s">
        <v>60</v>
      </c>
      <c r="AS336">
        <v>2002</v>
      </c>
      <c r="AT336" t="s">
        <v>72</v>
      </c>
      <c r="AU336" t="s">
        <v>325</v>
      </c>
      <c r="AV336" t="s">
        <v>306</v>
      </c>
      <c r="AW336" t="s">
        <v>243</v>
      </c>
      <c r="AX336" t="s">
        <v>327</v>
      </c>
      <c r="AY336">
        <v>0</v>
      </c>
    </row>
    <row r="337" spans="43:51" x14ac:dyDescent="0.25">
      <c r="AQ337" t="s">
        <v>94</v>
      </c>
      <c r="AR337" t="s">
        <v>60</v>
      </c>
      <c r="AS337">
        <v>2002</v>
      </c>
      <c r="AT337" t="s">
        <v>72</v>
      </c>
      <c r="AU337" t="s">
        <v>325</v>
      </c>
      <c r="AV337" t="s">
        <v>306</v>
      </c>
      <c r="AW337" t="s">
        <v>243</v>
      </c>
      <c r="AX337" t="s">
        <v>328</v>
      </c>
      <c r="AY337">
        <v>36.549999999999997</v>
      </c>
    </row>
    <row r="338" spans="43:51" x14ac:dyDescent="0.25">
      <c r="AQ338" t="s">
        <v>96</v>
      </c>
      <c r="AR338" t="s">
        <v>60</v>
      </c>
      <c r="AS338">
        <v>2002</v>
      </c>
      <c r="AT338" t="s">
        <v>62</v>
      </c>
      <c r="AU338" t="s">
        <v>325</v>
      </c>
      <c r="AV338" t="s">
        <v>306</v>
      </c>
      <c r="AW338" t="s">
        <v>218</v>
      </c>
      <c r="AX338" t="s">
        <v>308</v>
      </c>
      <c r="AY338">
        <v>0</v>
      </c>
    </row>
    <row r="339" spans="43:51" x14ac:dyDescent="0.25">
      <c r="AQ339" t="s">
        <v>96</v>
      </c>
      <c r="AR339" t="s">
        <v>60</v>
      </c>
      <c r="AS339">
        <v>2002</v>
      </c>
      <c r="AT339" t="s">
        <v>62</v>
      </c>
      <c r="AU339" t="s">
        <v>325</v>
      </c>
      <c r="AV339" t="s">
        <v>306</v>
      </c>
      <c r="AW339" t="s">
        <v>218</v>
      </c>
      <c r="AX339" t="s">
        <v>309</v>
      </c>
      <c r="AY339">
        <v>0</v>
      </c>
    </row>
    <row r="340" spans="43:51" x14ac:dyDescent="0.25">
      <c r="AQ340" t="s">
        <v>96</v>
      </c>
      <c r="AR340" t="s">
        <v>60</v>
      </c>
      <c r="AS340">
        <v>2002</v>
      </c>
      <c r="AT340" t="s">
        <v>62</v>
      </c>
      <c r="AU340" t="s">
        <v>325</v>
      </c>
      <c r="AV340" t="s">
        <v>306</v>
      </c>
      <c r="AW340" t="s">
        <v>218</v>
      </c>
      <c r="AX340" t="s">
        <v>268</v>
      </c>
      <c r="AY340">
        <v>0</v>
      </c>
    </row>
    <row r="341" spans="43:51" x14ac:dyDescent="0.25">
      <c r="AQ341" t="s">
        <v>96</v>
      </c>
      <c r="AR341" t="s">
        <v>60</v>
      </c>
      <c r="AS341">
        <v>2002</v>
      </c>
      <c r="AT341" t="s">
        <v>62</v>
      </c>
      <c r="AU341" t="s">
        <v>325</v>
      </c>
      <c r="AV341" t="s">
        <v>306</v>
      </c>
      <c r="AW341" t="s">
        <v>238</v>
      </c>
      <c r="AX341" t="s">
        <v>308</v>
      </c>
      <c r="AY341">
        <v>4.5</v>
      </c>
    </row>
    <row r="342" spans="43:51" x14ac:dyDescent="0.25">
      <c r="AQ342" t="s">
        <v>96</v>
      </c>
      <c r="AR342" t="s">
        <v>60</v>
      </c>
      <c r="AS342">
        <v>2002</v>
      </c>
      <c r="AT342" t="s">
        <v>62</v>
      </c>
      <c r="AU342" t="s">
        <v>325</v>
      </c>
      <c r="AV342" t="s">
        <v>306</v>
      </c>
      <c r="AW342" t="s">
        <v>238</v>
      </c>
      <c r="AX342" t="s">
        <v>309</v>
      </c>
      <c r="AY342">
        <v>7.3</v>
      </c>
    </row>
    <row r="343" spans="43:51" x14ac:dyDescent="0.25">
      <c r="AQ343" t="s">
        <v>96</v>
      </c>
      <c r="AR343" t="s">
        <v>60</v>
      </c>
      <c r="AS343">
        <v>2002</v>
      </c>
      <c r="AT343" t="s">
        <v>62</v>
      </c>
      <c r="AU343" t="s">
        <v>325</v>
      </c>
      <c r="AV343" t="s">
        <v>306</v>
      </c>
      <c r="AW343" t="s">
        <v>238</v>
      </c>
      <c r="AX343" t="s">
        <v>268</v>
      </c>
      <c r="AY343">
        <v>11.8</v>
      </c>
    </row>
    <row r="344" spans="43:51" x14ac:dyDescent="0.25">
      <c r="AQ344" t="s">
        <v>96</v>
      </c>
      <c r="AR344" t="s">
        <v>60</v>
      </c>
      <c r="AS344">
        <v>2002</v>
      </c>
      <c r="AT344" t="s">
        <v>62</v>
      </c>
      <c r="AU344" t="s">
        <v>325</v>
      </c>
      <c r="AV344" t="s">
        <v>306</v>
      </c>
      <c r="AW344" t="s">
        <v>239</v>
      </c>
      <c r="AX344" t="s">
        <v>308</v>
      </c>
      <c r="AY344">
        <v>4.5999999999999996</v>
      </c>
    </row>
    <row r="345" spans="43:51" x14ac:dyDescent="0.25">
      <c r="AQ345" t="s">
        <v>96</v>
      </c>
      <c r="AR345" t="s">
        <v>60</v>
      </c>
      <c r="AS345">
        <v>2002</v>
      </c>
      <c r="AT345" t="s">
        <v>62</v>
      </c>
      <c r="AU345" t="s">
        <v>325</v>
      </c>
      <c r="AV345" t="s">
        <v>306</v>
      </c>
      <c r="AW345" t="s">
        <v>239</v>
      </c>
      <c r="AX345" t="s">
        <v>309</v>
      </c>
      <c r="AY345">
        <v>8.1</v>
      </c>
    </row>
    <row r="346" spans="43:51" x14ac:dyDescent="0.25">
      <c r="AQ346" t="s">
        <v>96</v>
      </c>
      <c r="AR346" t="s">
        <v>60</v>
      </c>
      <c r="AS346">
        <v>2002</v>
      </c>
      <c r="AT346" t="s">
        <v>62</v>
      </c>
      <c r="AU346" t="s">
        <v>325</v>
      </c>
      <c r="AV346" t="s">
        <v>306</v>
      </c>
      <c r="AW346" t="s">
        <v>239</v>
      </c>
      <c r="AX346" t="s">
        <v>268</v>
      </c>
      <c r="AY346">
        <v>12.7</v>
      </c>
    </row>
    <row r="347" spans="43:51" x14ac:dyDescent="0.25">
      <c r="AQ347" t="s">
        <v>96</v>
      </c>
      <c r="AR347" t="s">
        <v>60</v>
      </c>
      <c r="AS347">
        <v>2002</v>
      </c>
      <c r="AT347" t="s">
        <v>62</v>
      </c>
      <c r="AU347" t="s">
        <v>325</v>
      </c>
      <c r="AV347" t="s">
        <v>306</v>
      </c>
      <c r="AW347" t="s">
        <v>240</v>
      </c>
      <c r="AX347" t="s">
        <v>308</v>
      </c>
      <c r="AY347">
        <v>0</v>
      </c>
    </row>
    <row r="348" spans="43:51" x14ac:dyDescent="0.25">
      <c r="AQ348" t="s">
        <v>96</v>
      </c>
      <c r="AR348" t="s">
        <v>60</v>
      </c>
      <c r="AS348">
        <v>2002</v>
      </c>
      <c r="AT348" t="s">
        <v>62</v>
      </c>
      <c r="AU348" t="s">
        <v>325</v>
      </c>
      <c r="AV348" t="s">
        <v>306</v>
      </c>
      <c r="AW348" t="s">
        <v>240</v>
      </c>
      <c r="AX348" t="s">
        <v>309</v>
      </c>
      <c r="AY348">
        <v>0</v>
      </c>
    </row>
    <row r="349" spans="43:51" x14ac:dyDescent="0.25">
      <c r="AQ349" t="s">
        <v>96</v>
      </c>
      <c r="AR349" t="s">
        <v>60</v>
      </c>
      <c r="AS349">
        <v>2002</v>
      </c>
      <c r="AT349" t="s">
        <v>62</v>
      </c>
      <c r="AU349" t="s">
        <v>325</v>
      </c>
      <c r="AV349" t="s">
        <v>306</v>
      </c>
      <c r="AW349" t="s">
        <v>240</v>
      </c>
      <c r="AX349" t="s">
        <v>268</v>
      </c>
      <c r="AY349">
        <v>0</v>
      </c>
    </row>
    <row r="350" spans="43:51" x14ac:dyDescent="0.25">
      <c r="AQ350" t="s">
        <v>96</v>
      </c>
      <c r="AR350" t="s">
        <v>60</v>
      </c>
      <c r="AS350">
        <v>2002</v>
      </c>
      <c r="AT350" t="s">
        <v>62</v>
      </c>
      <c r="AU350" t="s">
        <v>325</v>
      </c>
      <c r="AV350" t="s">
        <v>306</v>
      </c>
      <c r="AW350" t="s">
        <v>314</v>
      </c>
      <c r="AX350" t="s">
        <v>308</v>
      </c>
      <c r="AY350">
        <v>4</v>
      </c>
    </row>
    <row r="351" spans="43:51" x14ac:dyDescent="0.25">
      <c r="AQ351" t="s">
        <v>96</v>
      </c>
      <c r="AR351" t="s">
        <v>60</v>
      </c>
      <c r="AS351">
        <v>2002</v>
      </c>
      <c r="AT351" t="s">
        <v>62</v>
      </c>
      <c r="AU351" t="s">
        <v>325</v>
      </c>
      <c r="AV351" t="s">
        <v>306</v>
      </c>
      <c r="AW351" t="s">
        <v>314</v>
      </c>
      <c r="AX351" t="s">
        <v>309</v>
      </c>
      <c r="AY351">
        <v>6.6</v>
      </c>
    </row>
    <row r="352" spans="43:51" x14ac:dyDescent="0.25">
      <c r="AQ352" t="s">
        <v>96</v>
      </c>
      <c r="AR352" t="s">
        <v>60</v>
      </c>
      <c r="AS352">
        <v>2002</v>
      </c>
      <c r="AT352" t="s">
        <v>62</v>
      </c>
      <c r="AU352" t="s">
        <v>325</v>
      </c>
      <c r="AV352" t="s">
        <v>306</v>
      </c>
      <c r="AW352" t="s">
        <v>314</v>
      </c>
      <c r="AX352" t="s">
        <v>268</v>
      </c>
      <c r="AY352">
        <v>10.6</v>
      </c>
    </row>
    <row r="353" spans="43:51" x14ac:dyDescent="0.25">
      <c r="AQ353" t="s">
        <v>96</v>
      </c>
      <c r="AR353" t="s">
        <v>60</v>
      </c>
      <c r="AS353">
        <v>2002</v>
      </c>
      <c r="AT353" t="s">
        <v>62</v>
      </c>
      <c r="AU353" t="s">
        <v>325</v>
      </c>
      <c r="AV353" t="s">
        <v>306</v>
      </c>
      <c r="AW353" t="s">
        <v>242</v>
      </c>
      <c r="AX353" t="s">
        <v>308</v>
      </c>
      <c r="AY353">
        <v>0</v>
      </c>
    </row>
    <row r="354" spans="43:51" x14ac:dyDescent="0.25">
      <c r="AQ354" t="s">
        <v>96</v>
      </c>
      <c r="AR354" t="s">
        <v>60</v>
      </c>
      <c r="AS354">
        <v>2002</v>
      </c>
      <c r="AT354" t="s">
        <v>62</v>
      </c>
      <c r="AU354" t="s">
        <v>325</v>
      </c>
      <c r="AV354" t="s">
        <v>306</v>
      </c>
      <c r="AW354" t="s">
        <v>242</v>
      </c>
      <c r="AX354" t="s">
        <v>309</v>
      </c>
      <c r="AY354">
        <v>0</v>
      </c>
    </row>
    <row r="355" spans="43:51" x14ac:dyDescent="0.25">
      <c r="AQ355" t="s">
        <v>96</v>
      </c>
      <c r="AR355" t="s">
        <v>60</v>
      </c>
      <c r="AS355">
        <v>2002</v>
      </c>
      <c r="AT355" t="s">
        <v>62</v>
      </c>
      <c r="AU355" t="s">
        <v>325</v>
      </c>
      <c r="AV355" t="s">
        <v>306</v>
      </c>
      <c r="AW355" t="s">
        <v>242</v>
      </c>
      <c r="AX355" t="s">
        <v>268</v>
      </c>
      <c r="AY355">
        <v>0</v>
      </c>
    </row>
    <row r="356" spans="43:51" x14ac:dyDescent="0.25">
      <c r="AQ356" t="s">
        <v>96</v>
      </c>
      <c r="AR356" t="s">
        <v>60</v>
      </c>
      <c r="AS356">
        <v>2002</v>
      </c>
      <c r="AT356" t="s">
        <v>62</v>
      </c>
      <c r="AU356" t="s">
        <v>325</v>
      </c>
      <c r="AV356" t="s">
        <v>306</v>
      </c>
      <c r="AW356" t="s">
        <v>243</v>
      </c>
      <c r="AX356" t="s">
        <v>326</v>
      </c>
      <c r="AY356">
        <v>0</v>
      </c>
    </row>
    <row r="357" spans="43:51" x14ac:dyDescent="0.25">
      <c r="AQ357" t="s">
        <v>96</v>
      </c>
      <c r="AR357" t="s">
        <v>60</v>
      </c>
      <c r="AS357">
        <v>2002</v>
      </c>
      <c r="AT357" t="s">
        <v>62</v>
      </c>
      <c r="AU357" t="s">
        <v>325</v>
      </c>
      <c r="AV357" t="s">
        <v>306</v>
      </c>
      <c r="AW357" t="s">
        <v>243</v>
      </c>
      <c r="AX357" t="s">
        <v>327</v>
      </c>
      <c r="AY357">
        <v>0</v>
      </c>
    </row>
    <row r="358" spans="43:51" x14ac:dyDescent="0.25">
      <c r="AQ358" t="s">
        <v>96</v>
      </c>
      <c r="AR358" t="s">
        <v>60</v>
      </c>
      <c r="AS358">
        <v>2002</v>
      </c>
      <c r="AT358" t="s">
        <v>62</v>
      </c>
      <c r="AU358" t="s">
        <v>325</v>
      </c>
      <c r="AV358" t="s">
        <v>306</v>
      </c>
      <c r="AW358" t="s">
        <v>243</v>
      </c>
      <c r="AX358" t="s">
        <v>328</v>
      </c>
      <c r="AY358">
        <v>35.1</v>
      </c>
    </row>
    <row r="359" spans="43:51" x14ac:dyDescent="0.25">
      <c r="AQ359" t="s">
        <v>98</v>
      </c>
      <c r="AR359" t="s">
        <v>60</v>
      </c>
      <c r="AS359">
        <v>2003</v>
      </c>
      <c r="AT359" t="s">
        <v>72</v>
      </c>
      <c r="AU359" t="s">
        <v>325</v>
      </c>
      <c r="AV359" t="s">
        <v>306</v>
      </c>
      <c r="AW359" t="s">
        <v>218</v>
      </c>
      <c r="AX359" t="s">
        <v>308</v>
      </c>
      <c r="AY359">
        <v>0</v>
      </c>
    </row>
    <row r="360" spans="43:51" x14ac:dyDescent="0.25">
      <c r="AQ360" t="s">
        <v>98</v>
      </c>
      <c r="AR360" t="s">
        <v>60</v>
      </c>
      <c r="AS360">
        <v>2003</v>
      </c>
      <c r="AT360" t="s">
        <v>72</v>
      </c>
      <c r="AU360" t="s">
        <v>325</v>
      </c>
      <c r="AV360" t="s">
        <v>306</v>
      </c>
      <c r="AW360" t="s">
        <v>218</v>
      </c>
      <c r="AX360" t="s">
        <v>309</v>
      </c>
      <c r="AY360">
        <v>0</v>
      </c>
    </row>
    <row r="361" spans="43:51" x14ac:dyDescent="0.25">
      <c r="AQ361" t="s">
        <v>98</v>
      </c>
      <c r="AR361" t="s">
        <v>60</v>
      </c>
      <c r="AS361">
        <v>2003</v>
      </c>
      <c r="AT361" t="s">
        <v>72</v>
      </c>
      <c r="AU361" t="s">
        <v>325</v>
      </c>
      <c r="AV361" t="s">
        <v>306</v>
      </c>
      <c r="AW361" t="s">
        <v>218</v>
      </c>
      <c r="AX361" t="s">
        <v>268</v>
      </c>
      <c r="AY361">
        <v>0</v>
      </c>
    </row>
    <row r="362" spans="43:51" x14ac:dyDescent="0.25">
      <c r="AQ362" t="s">
        <v>98</v>
      </c>
      <c r="AR362" t="s">
        <v>60</v>
      </c>
      <c r="AS362">
        <v>2003</v>
      </c>
      <c r="AT362" t="s">
        <v>72</v>
      </c>
      <c r="AU362" t="s">
        <v>325</v>
      </c>
      <c r="AV362" t="s">
        <v>306</v>
      </c>
      <c r="AW362" t="s">
        <v>238</v>
      </c>
      <c r="AX362" t="s">
        <v>308</v>
      </c>
      <c r="AY362">
        <v>3.4</v>
      </c>
    </row>
    <row r="363" spans="43:51" x14ac:dyDescent="0.25">
      <c r="AQ363" t="s">
        <v>98</v>
      </c>
      <c r="AR363" t="s">
        <v>60</v>
      </c>
      <c r="AS363">
        <v>2003</v>
      </c>
      <c r="AT363" t="s">
        <v>72</v>
      </c>
      <c r="AU363" t="s">
        <v>325</v>
      </c>
      <c r="AV363" t="s">
        <v>306</v>
      </c>
      <c r="AW363" t="s">
        <v>238</v>
      </c>
      <c r="AX363" t="s">
        <v>309</v>
      </c>
      <c r="AY363">
        <v>7</v>
      </c>
    </row>
    <row r="364" spans="43:51" x14ac:dyDescent="0.25">
      <c r="AQ364" t="s">
        <v>98</v>
      </c>
      <c r="AR364" t="s">
        <v>60</v>
      </c>
      <c r="AS364">
        <v>2003</v>
      </c>
      <c r="AT364" t="s">
        <v>72</v>
      </c>
      <c r="AU364" t="s">
        <v>325</v>
      </c>
      <c r="AV364" t="s">
        <v>306</v>
      </c>
      <c r="AW364" t="s">
        <v>238</v>
      </c>
      <c r="AX364" t="s">
        <v>268</v>
      </c>
      <c r="AY364">
        <v>10.4</v>
      </c>
    </row>
    <row r="365" spans="43:51" x14ac:dyDescent="0.25">
      <c r="AQ365" t="s">
        <v>98</v>
      </c>
      <c r="AR365" t="s">
        <v>60</v>
      </c>
      <c r="AS365">
        <v>2003</v>
      </c>
      <c r="AT365" t="s">
        <v>72</v>
      </c>
      <c r="AU365" t="s">
        <v>325</v>
      </c>
      <c r="AV365" t="s">
        <v>306</v>
      </c>
      <c r="AW365" t="s">
        <v>239</v>
      </c>
      <c r="AX365" t="s">
        <v>308</v>
      </c>
      <c r="AY365">
        <v>2.9</v>
      </c>
    </row>
    <row r="366" spans="43:51" x14ac:dyDescent="0.25">
      <c r="AQ366" t="s">
        <v>98</v>
      </c>
      <c r="AR366" t="s">
        <v>60</v>
      </c>
      <c r="AS366">
        <v>2003</v>
      </c>
      <c r="AT366" t="s">
        <v>72</v>
      </c>
      <c r="AU366" t="s">
        <v>325</v>
      </c>
      <c r="AV366" t="s">
        <v>306</v>
      </c>
      <c r="AW366" t="s">
        <v>239</v>
      </c>
      <c r="AX366" t="s">
        <v>309</v>
      </c>
      <c r="AY366">
        <v>6.7</v>
      </c>
    </row>
    <row r="367" spans="43:51" x14ac:dyDescent="0.25">
      <c r="AQ367" t="s">
        <v>98</v>
      </c>
      <c r="AR367" t="s">
        <v>60</v>
      </c>
      <c r="AS367">
        <v>2003</v>
      </c>
      <c r="AT367" t="s">
        <v>72</v>
      </c>
      <c r="AU367" t="s">
        <v>325</v>
      </c>
      <c r="AV367" t="s">
        <v>306</v>
      </c>
      <c r="AW367" t="s">
        <v>239</v>
      </c>
      <c r="AX367" t="s">
        <v>268</v>
      </c>
      <c r="AY367">
        <v>9.6</v>
      </c>
    </row>
    <row r="368" spans="43:51" x14ac:dyDescent="0.25">
      <c r="AQ368" t="s">
        <v>98</v>
      </c>
      <c r="AR368" t="s">
        <v>60</v>
      </c>
      <c r="AS368">
        <v>2003</v>
      </c>
      <c r="AT368" t="s">
        <v>72</v>
      </c>
      <c r="AU368" t="s">
        <v>325</v>
      </c>
      <c r="AV368" t="s">
        <v>306</v>
      </c>
      <c r="AW368" t="s">
        <v>240</v>
      </c>
      <c r="AX368" t="s">
        <v>308</v>
      </c>
      <c r="AY368">
        <v>0</v>
      </c>
    </row>
    <row r="369" spans="43:51" x14ac:dyDescent="0.25">
      <c r="AQ369" t="s">
        <v>98</v>
      </c>
      <c r="AR369" t="s">
        <v>60</v>
      </c>
      <c r="AS369">
        <v>2003</v>
      </c>
      <c r="AT369" t="s">
        <v>72</v>
      </c>
      <c r="AU369" t="s">
        <v>325</v>
      </c>
      <c r="AV369" t="s">
        <v>306</v>
      </c>
      <c r="AW369" t="s">
        <v>240</v>
      </c>
      <c r="AX369" t="s">
        <v>309</v>
      </c>
      <c r="AY369">
        <v>0</v>
      </c>
    </row>
    <row r="370" spans="43:51" x14ac:dyDescent="0.25">
      <c r="AQ370" t="s">
        <v>98</v>
      </c>
      <c r="AR370" t="s">
        <v>60</v>
      </c>
      <c r="AS370">
        <v>2003</v>
      </c>
      <c r="AT370" t="s">
        <v>72</v>
      </c>
      <c r="AU370" t="s">
        <v>325</v>
      </c>
      <c r="AV370" t="s">
        <v>306</v>
      </c>
      <c r="AW370" t="s">
        <v>240</v>
      </c>
      <c r="AX370" t="s">
        <v>268</v>
      </c>
      <c r="AY370">
        <v>0</v>
      </c>
    </row>
    <row r="371" spans="43:51" x14ac:dyDescent="0.25">
      <c r="AQ371" t="s">
        <v>98</v>
      </c>
      <c r="AR371" t="s">
        <v>60</v>
      </c>
      <c r="AS371">
        <v>2003</v>
      </c>
      <c r="AT371" t="s">
        <v>72</v>
      </c>
      <c r="AU371" t="s">
        <v>325</v>
      </c>
      <c r="AV371" t="s">
        <v>306</v>
      </c>
      <c r="AW371" t="s">
        <v>314</v>
      </c>
      <c r="AX371" t="s">
        <v>308</v>
      </c>
      <c r="AY371">
        <v>2.4</v>
      </c>
    </row>
    <row r="372" spans="43:51" x14ac:dyDescent="0.25">
      <c r="AQ372" t="s">
        <v>98</v>
      </c>
      <c r="AR372" t="s">
        <v>60</v>
      </c>
      <c r="AS372">
        <v>2003</v>
      </c>
      <c r="AT372" t="s">
        <v>72</v>
      </c>
      <c r="AU372" t="s">
        <v>325</v>
      </c>
      <c r="AV372" t="s">
        <v>306</v>
      </c>
      <c r="AW372" t="s">
        <v>314</v>
      </c>
      <c r="AX372" t="s">
        <v>309</v>
      </c>
      <c r="AY372">
        <v>8.6</v>
      </c>
    </row>
    <row r="373" spans="43:51" x14ac:dyDescent="0.25">
      <c r="AQ373" t="s">
        <v>98</v>
      </c>
      <c r="AR373" t="s">
        <v>60</v>
      </c>
      <c r="AS373">
        <v>2003</v>
      </c>
      <c r="AT373" t="s">
        <v>72</v>
      </c>
      <c r="AU373" t="s">
        <v>325</v>
      </c>
      <c r="AV373" t="s">
        <v>306</v>
      </c>
      <c r="AW373" t="s">
        <v>314</v>
      </c>
      <c r="AX373" t="s">
        <v>268</v>
      </c>
      <c r="AY373">
        <v>11</v>
      </c>
    </row>
    <row r="374" spans="43:51" x14ac:dyDescent="0.25">
      <c r="AQ374" t="s">
        <v>98</v>
      </c>
      <c r="AR374" t="s">
        <v>60</v>
      </c>
      <c r="AS374">
        <v>2003</v>
      </c>
      <c r="AT374" t="s">
        <v>72</v>
      </c>
      <c r="AU374" t="s">
        <v>325</v>
      </c>
      <c r="AV374" t="s">
        <v>306</v>
      </c>
      <c r="AW374" t="s">
        <v>242</v>
      </c>
      <c r="AX374" t="s">
        <v>308</v>
      </c>
      <c r="AY374">
        <v>0</v>
      </c>
    </row>
    <row r="375" spans="43:51" x14ac:dyDescent="0.25">
      <c r="AQ375" t="s">
        <v>98</v>
      </c>
      <c r="AR375" t="s">
        <v>60</v>
      </c>
      <c r="AS375">
        <v>2003</v>
      </c>
      <c r="AT375" t="s">
        <v>72</v>
      </c>
      <c r="AU375" t="s">
        <v>325</v>
      </c>
      <c r="AV375" t="s">
        <v>306</v>
      </c>
      <c r="AW375" t="s">
        <v>242</v>
      </c>
      <c r="AX375" t="s">
        <v>309</v>
      </c>
      <c r="AY375">
        <v>0</v>
      </c>
    </row>
    <row r="376" spans="43:51" x14ac:dyDescent="0.25">
      <c r="AQ376" t="s">
        <v>98</v>
      </c>
      <c r="AR376" t="s">
        <v>60</v>
      </c>
      <c r="AS376">
        <v>2003</v>
      </c>
      <c r="AT376" t="s">
        <v>72</v>
      </c>
      <c r="AU376" t="s">
        <v>325</v>
      </c>
      <c r="AV376" t="s">
        <v>306</v>
      </c>
      <c r="AW376" t="s">
        <v>242</v>
      </c>
      <c r="AX376" t="s">
        <v>268</v>
      </c>
      <c r="AY376">
        <v>0</v>
      </c>
    </row>
    <row r="377" spans="43:51" x14ac:dyDescent="0.25">
      <c r="AQ377" t="s">
        <v>98</v>
      </c>
      <c r="AR377" t="s">
        <v>60</v>
      </c>
      <c r="AS377">
        <v>2003</v>
      </c>
      <c r="AT377" t="s">
        <v>72</v>
      </c>
      <c r="AU377" t="s">
        <v>325</v>
      </c>
      <c r="AV377" t="s">
        <v>306</v>
      </c>
      <c r="AW377" t="s">
        <v>243</v>
      </c>
      <c r="AX377" t="s">
        <v>326</v>
      </c>
      <c r="AY377">
        <v>0</v>
      </c>
    </row>
    <row r="378" spans="43:51" x14ac:dyDescent="0.25">
      <c r="AQ378" t="s">
        <v>98</v>
      </c>
      <c r="AR378" t="s">
        <v>60</v>
      </c>
      <c r="AS378">
        <v>2003</v>
      </c>
      <c r="AT378" t="s">
        <v>72</v>
      </c>
      <c r="AU378" t="s">
        <v>325</v>
      </c>
      <c r="AV378" t="s">
        <v>306</v>
      </c>
      <c r="AW378" t="s">
        <v>243</v>
      </c>
      <c r="AX378" t="s">
        <v>327</v>
      </c>
      <c r="AY378">
        <v>0</v>
      </c>
    </row>
    <row r="379" spans="43:51" x14ac:dyDescent="0.25">
      <c r="AQ379" t="s">
        <v>98</v>
      </c>
      <c r="AR379" t="s">
        <v>60</v>
      </c>
      <c r="AS379">
        <v>2003</v>
      </c>
      <c r="AT379" t="s">
        <v>72</v>
      </c>
      <c r="AU379" t="s">
        <v>325</v>
      </c>
      <c r="AV379" t="s">
        <v>306</v>
      </c>
      <c r="AW379" t="s">
        <v>243</v>
      </c>
      <c r="AX379" t="s">
        <v>328</v>
      </c>
      <c r="AY379">
        <v>31</v>
      </c>
    </row>
    <row r="380" spans="43:51" x14ac:dyDescent="0.25">
      <c r="AQ380" t="s">
        <v>100</v>
      </c>
      <c r="AR380" t="s">
        <v>60</v>
      </c>
      <c r="AS380">
        <v>2004</v>
      </c>
      <c r="AT380" t="s">
        <v>31</v>
      </c>
      <c r="AU380" t="s">
        <v>325</v>
      </c>
      <c r="AV380" t="s">
        <v>306</v>
      </c>
      <c r="AW380" t="s">
        <v>218</v>
      </c>
      <c r="AX380" t="s">
        <v>308</v>
      </c>
      <c r="AY380">
        <v>4.2</v>
      </c>
    </row>
    <row r="381" spans="43:51" x14ac:dyDescent="0.25">
      <c r="AQ381" t="s">
        <v>100</v>
      </c>
      <c r="AR381" t="s">
        <v>60</v>
      </c>
      <c r="AS381">
        <v>2004</v>
      </c>
      <c r="AT381" t="s">
        <v>31</v>
      </c>
      <c r="AU381" t="s">
        <v>325</v>
      </c>
      <c r="AV381" t="s">
        <v>306</v>
      </c>
      <c r="AW381" t="s">
        <v>218</v>
      </c>
      <c r="AX381" t="s">
        <v>309</v>
      </c>
      <c r="AY381">
        <v>7.3</v>
      </c>
    </row>
    <row r="382" spans="43:51" x14ac:dyDescent="0.25">
      <c r="AQ382" t="s">
        <v>100</v>
      </c>
      <c r="AR382" t="s">
        <v>60</v>
      </c>
      <c r="AS382">
        <v>2004</v>
      </c>
      <c r="AT382" t="s">
        <v>31</v>
      </c>
      <c r="AU382" t="s">
        <v>325</v>
      </c>
      <c r="AV382" t="s">
        <v>306</v>
      </c>
      <c r="AW382" t="s">
        <v>218</v>
      </c>
      <c r="AX382" t="s">
        <v>268</v>
      </c>
      <c r="AY382">
        <v>11.5</v>
      </c>
    </row>
    <row r="383" spans="43:51" x14ac:dyDescent="0.25">
      <c r="AQ383" t="s">
        <v>100</v>
      </c>
      <c r="AR383" t="s">
        <v>60</v>
      </c>
      <c r="AS383">
        <v>2004</v>
      </c>
      <c r="AT383" t="s">
        <v>31</v>
      </c>
      <c r="AU383" t="s">
        <v>325</v>
      </c>
      <c r="AV383" t="s">
        <v>306</v>
      </c>
      <c r="AW383" t="s">
        <v>238</v>
      </c>
      <c r="AX383" t="s">
        <v>308</v>
      </c>
      <c r="AY383">
        <v>0</v>
      </c>
    </row>
    <row r="384" spans="43:51" x14ac:dyDescent="0.25">
      <c r="AQ384" t="s">
        <v>100</v>
      </c>
      <c r="AR384" t="s">
        <v>60</v>
      </c>
      <c r="AS384">
        <v>2004</v>
      </c>
      <c r="AT384" t="s">
        <v>31</v>
      </c>
      <c r="AU384" t="s">
        <v>325</v>
      </c>
      <c r="AV384" t="s">
        <v>306</v>
      </c>
      <c r="AW384" t="s">
        <v>238</v>
      </c>
      <c r="AX384" t="s">
        <v>309</v>
      </c>
      <c r="AY384">
        <v>0</v>
      </c>
    </row>
    <row r="385" spans="43:51" x14ac:dyDescent="0.25">
      <c r="AQ385" t="s">
        <v>100</v>
      </c>
      <c r="AR385" t="s">
        <v>60</v>
      </c>
      <c r="AS385">
        <v>2004</v>
      </c>
      <c r="AT385" t="s">
        <v>31</v>
      </c>
      <c r="AU385" t="s">
        <v>325</v>
      </c>
      <c r="AV385" t="s">
        <v>306</v>
      </c>
      <c r="AW385" t="s">
        <v>238</v>
      </c>
      <c r="AX385" t="s">
        <v>268</v>
      </c>
      <c r="AY385">
        <v>0</v>
      </c>
    </row>
    <row r="386" spans="43:51" x14ac:dyDescent="0.25">
      <c r="AQ386" t="s">
        <v>100</v>
      </c>
      <c r="AR386" t="s">
        <v>60</v>
      </c>
      <c r="AS386">
        <v>2004</v>
      </c>
      <c r="AT386" t="s">
        <v>31</v>
      </c>
      <c r="AU386" t="s">
        <v>325</v>
      </c>
      <c r="AV386" t="s">
        <v>306</v>
      </c>
      <c r="AW386" t="s">
        <v>239</v>
      </c>
      <c r="AX386" t="s">
        <v>308</v>
      </c>
      <c r="AY386">
        <v>0</v>
      </c>
    </row>
    <row r="387" spans="43:51" x14ac:dyDescent="0.25">
      <c r="AQ387" t="s">
        <v>100</v>
      </c>
      <c r="AR387" t="s">
        <v>60</v>
      </c>
      <c r="AS387">
        <v>2004</v>
      </c>
      <c r="AT387" t="s">
        <v>31</v>
      </c>
      <c r="AU387" t="s">
        <v>325</v>
      </c>
      <c r="AV387" t="s">
        <v>306</v>
      </c>
      <c r="AW387" t="s">
        <v>239</v>
      </c>
      <c r="AX387" t="s">
        <v>309</v>
      </c>
      <c r="AY387">
        <v>0</v>
      </c>
    </row>
    <row r="388" spans="43:51" x14ac:dyDescent="0.25">
      <c r="AQ388" t="s">
        <v>100</v>
      </c>
      <c r="AR388" t="s">
        <v>60</v>
      </c>
      <c r="AS388">
        <v>2004</v>
      </c>
      <c r="AT388" t="s">
        <v>31</v>
      </c>
      <c r="AU388" t="s">
        <v>325</v>
      </c>
      <c r="AV388" t="s">
        <v>306</v>
      </c>
      <c r="AW388" t="s">
        <v>239</v>
      </c>
      <c r="AX388" t="s">
        <v>268</v>
      </c>
      <c r="AY388">
        <v>0</v>
      </c>
    </row>
    <row r="389" spans="43:51" x14ac:dyDescent="0.25">
      <c r="AQ389" t="s">
        <v>100</v>
      </c>
      <c r="AR389" t="s">
        <v>60</v>
      </c>
      <c r="AS389">
        <v>2004</v>
      </c>
      <c r="AT389" t="s">
        <v>31</v>
      </c>
      <c r="AU389" t="s">
        <v>325</v>
      </c>
      <c r="AV389" t="s">
        <v>306</v>
      </c>
      <c r="AW389" t="s">
        <v>240</v>
      </c>
      <c r="AX389" t="s">
        <v>308</v>
      </c>
      <c r="AY389">
        <v>0</v>
      </c>
    </row>
    <row r="390" spans="43:51" x14ac:dyDescent="0.25">
      <c r="AQ390" t="s">
        <v>100</v>
      </c>
      <c r="AR390" t="s">
        <v>60</v>
      </c>
      <c r="AS390">
        <v>2004</v>
      </c>
      <c r="AT390" t="s">
        <v>31</v>
      </c>
      <c r="AU390" t="s">
        <v>325</v>
      </c>
      <c r="AV390" t="s">
        <v>306</v>
      </c>
      <c r="AW390" t="s">
        <v>240</v>
      </c>
      <c r="AX390" t="s">
        <v>309</v>
      </c>
      <c r="AY390">
        <v>0</v>
      </c>
    </row>
    <row r="391" spans="43:51" x14ac:dyDescent="0.25">
      <c r="AQ391" t="s">
        <v>100</v>
      </c>
      <c r="AR391" t="s">
        <v>60</v>
      </c>
      <c r="AS391">
        <v>2004</v>
      </c>
      <c r="AT391" t="s">
        <v>31</v>
      </c>
      <c r="AU391" t="s">
        <v>325</v>
      </c>
      <c r="AV391" t="s">
        <v>306</v>
      </c>
      <c r="AW391" t="s">
        <v>240</v>
      </c>
      <c r="AX391" t="s">
        <v>268</v>
      </c>
      <c r="AY391">
        <v>0</v>
      </c>
    </row>
    <row r="392" spans="43:51" x14ac:dyDescent="0.25">
      <c r="AQ392" t="s">
        <v>100</v>
      </c>
      <c r="AR392" t="s">
        <v>60</v>
      </c>
      <c r="AS392">
        <v>2004</v>
      </c>
      <c r="AT392" t="s">
        <v>31</v>
      </c>
      <c r="AU392" t="s">
        <v>325</v>
      </c>
      <c r="AV392" t="s">
        <v>306</v>
      </c>
      <c r="AW392" t="s">
        <v>314</v>
      </c>
      <c r="AX392" t="s">
        <v>308</v>
      </c>
      <c r="AY392">
        <v>2.4</v>
      </c>
    </row>
    <row r="393" spans="43:51" x14ac:dyDescent="0.25">
      <c r="AQ393" t="s">
        <v>100</v>
      </c>
      <c r="AR393" t="s">
        <v>60</v>
      </c>
      <c r="AS393">
        <v>2004</v>
      </c>
      <c r="AT393" t="s">
        <v>31</v>
      </c>
      <c r="AU393" t="s">
        <v>325</v>
      </c>
      <c r="AV393" t="s">
        <v>306</v>
      </c>
      <c r="AW393" t="s">
        <v>314</v>
      </c>
      <c r="AX393" t="s">
        <v>309</v>
      </c>
      <c r="AY393">
        <v>8.0500000000000007</v>
      </c>
    </row>
    <row r="394" spans="43:51" x14ac:dyDescent="0.25">
      <c r="AQ394" t="s">
        <v>100</v>
      </c>
      <c r="AR394" t="s">
        <v>60</v>
      </c>
      <c r="AS394">
        <v>2004</v>
      </c>
      <c r="AT394" t="s">
        <v>31</v>
      </c>
      <c r="AU394" t="s">
        <v>325</v>
      </c>
      <c r="AV394" t="s">
        <v>306</v>
      </c>
      <c r="AW394" t="s">
        <v>314</v>
      </c>
      <c r="AX394" t="s">
        <v>268</v>
      </c>
      <c r="AY394">
        <v>10.45</v>
      </c>
    </row>
    <row r="395" spans="43:51" x14ac:dyDescent="0.25">
      <c r="AQ395" t="s">
        <v>100</v>
      </c>
      <c r="AR395" t="s">
        <v>60</v>
      </c>
      <c r="AS395">
        <v>2004</v>
      </c>
      <c r="AT395" t="s">
        <v>31</v>
      </c>
      <c r="AU395" t="s">
        <v>325</v>
      </c>
      <c r="AV395" t="s">
        <v>306</v>
      </c>
      <c r="AW395" t="s">
        <v>242</v>
      </c>
      <c r="AX395" t="s">
        <v>308</v>
      </c>
      <c r="AY395">
        <v>2</v>
      </c>
    </row>
    <row r="396" spans="43:51" x14ac:dyDescent="0.25">
      <c r="AQ396" t="s">
        <v>100</v>
      </c>
      <c r="AR396" t="s">
        <v>60</v>
      </c>
      <c r="AS396">
        <v>2004</v>
      </c>
      <c r="AT396" t="s">
        <v>31</v>
      </c>
      <c r="AU396" t="s">
        <v>325</v>
      </c>
      <c r="AV396" t="s">
        <v>306</v>
      </c>
      <c r="AW396" t="s">
        <v>242</v>
      </c>
      <c r="AX396" t="s">
        <v>309</v>
      </c>
      <c r="AY396">
        <v>5.2</v>
      </c>
    </row>
    <row r="397" spans="43:51" x14ac:dyDescent="0.25">
      <c r="AQ397" t="s">
        <v>100</v>
      </c>
      <c r="AR397" t="s">
        <v>60</v>
      </c>
      <c r="AS397">
        <v>2004</v>
      </c>
      <c r="AT397" t="s">
        <v>31</v>
      </c>
      <c r="AU397" t="s">
        <v>325</v>
      </c>
      <c r="AV397" t="s">
        <v>306</v>
      </c>
      <c r="AW397" t="s">
        <v>242</v>
      </c>
      <c r="AX397" t="s">
        <v>268</v>
      </c>
      <c r="AY397">
        <v>7.2</v>
      </c>
    </row>
    <row r="398" spans="43:51" x14ac:dyDescent="0.25">
      <c r="AQ398" t="s">
        <v>100</v>
      </c>
      <c r="AR398" t="s">
        <v>60</v>
      </c>
      <c r="AS398">
        <v>2004</v>
      </c>
      <c r="AT398" t="s">
        <v>31</v>
      </c>
      <c r="AU398" t="s">
        <v>325</v>
      </c>
      <c r="AV398" t="s">
        <v>306</v>
      </c>
      <c r="AW398" t="s">
        <v>243</v>
      </c>
      <c r="AX398" t="s">
        <v>326</v>
      </c>
      <c r="AY398">
        <v>0</v>
      </c>
    </row>
    <row r="399" spans="43:51" x14ac:dyDescent="0.25">
      <c r="AQ399" t="s">
        <v>100</v>
      </c>
      <c r="AR399" t="s">
        <v>60</v>
      </c>
      <c r="AS399">
        <v>2004</v>
      </c>
      <c r="AT399" t="s">
        <v>31</v>
      </c>
      <c r="AU399" t="s">
        <v>325</v>
      </c>
      <c r="AV399" t="s">
        <v>306</v>
      </c>
      <c r="AW399" t="s">
        <v>243</v>
      </c>
      <c r="AX399" t="s">
        <v>327</v>
      </c>
      <c r="AY399">
        <v>0</v>
      </c>
    </row>
    <row r="400" spans="43:51" x14ac:dyDescent="0.25">
      <c r="AQ400" t="s">
        <v>100</v>
      </c>
      <c r="AR400" t="s">
        <v>60</v>
      </c>
      <c r="AS400">
        <v>2004</v>
      </c>
      <c r="AT400" t="s">
        <v>31</v>
      </c>
      <c r="AU400" t="s">
        <v>325</v>
      </c>
      <c r="AV400" t="s">
        <v>306</v>
      </c>
      <c r="AW400" t="s">
        <v>243</v>
      </c>
      <c r="AX400" t="s">
        <v>328</v>
      </c>
      <c r="AY400">
        <v>29.15</v>
      </c>
    </row>
    <row r="401" spans="43:51" x14ac:dyDescent="0.25">
      <c r="AQ401" t="s">
        <v>102</v>
      </c>
      <c r="AR401" t="s">
        <v>60</v>
      </c>
      <c r="AS401">
        <v>2003</v>
      </c>
      <c r="AT401" t="s">
        <v>31</v>
      </c>
      <c r="AU401" t="s">
        <v>325</v>
      </c>
      <c r="AV401" t="s">
        <v>306</v>
      </c>
      <c r="AW401" t="s">
        <v>218</v>
      </c>
      <c r="AX401" t="s">
        <v>308</v>
      </c>
      <c r="AY401">
        <v>0</v>
      </c>
    </row>
    <row r="402" spans="43:51" x14ac:dyDescent="0.25">
      <c r="AQ402" t="s">
        <v>102</v>
      </c>
      <c r="AR402" t="s">
        <v>60</v>
      </c>
      <c r="AS402">
        <v>2003</v>
      </c>
      <c r="AT402" t="s">
        <v>31</v>
      </c>
      <c r="AU402" t="s">
        <v>325</v>
      </c>
      <c r="AV402" t="s">
        <v>306</v>
      </c>
      <c r="AW402" t="s">
        <v>218</v>
      </c>
      <c r="AX402" t="s">
        <v>309</v>
      </c>
      <c r="AY402">
        <v>0</v>
      </c>
    </row>
    <row r="403" spans="43:51" x14ac:dyDescent="0.25">
      <c r="AQ403" t="s">
        <v>102</v>
      </c>
      <c r="AR403" t="s">
        <v>60</v>
      </c>
      <c r="AS403">
        <v>2003</v>
      </c>
      <c r="AT403" t="s">
        <v>31</v>
      </c>
      <c r="AU403" t="s">
        <v>325</v>
      </c>
      <c r="AV403" t="s">
        <v>306</v>
      </c>
      <c r="AW403" t="s">
        <v>218</v>
      </c>
      <c r="AX403" t="s">
        <v>268</v>
      </c>
      <c r="AY403">
        <v>0</v>
      </c>
    </row>
    <row r="404" spans="43:51" x14ac:dyDescent="0.25">
      <c r="AQ404" t="s">
        <v>102</v>
      </c>
      <c r="AR404" t="s">
        <v>60</v>
      </c>
      <c r="AS404">
        <v>2003</v>
      </c>
      <c r="AT404" t="s">
        <v>31</v>
      </c>
      <c r="AU404" t="s">
        <v>325</v>
      </c>
      <c r="AV404" t="s">
        <v>306</v>
      </c>
      <c r="AW404" t="s">
        <v>238</v>
      </c>
      <c r="AX404" t="s">
        <v>308</v>
      </c>
      <c r="AY404">
        <v>0</v>
      </c>
    </row>
    <row r="405" spans="43:51" x14ac:dyDescent="0.25">
      <c r="AQ405" t="s">
        <v>102</v>
      </c>
      <c r="AR405" t="s">
        <v>60</v>
      </c>
      <c r="AS405">
        <v>2003</v>
      </c>
      <c r="AT405" t="s">
        <v>31</v>
      </c>
      <c r="AU405" t="s">
        <v>325</v>
      </c>
      <c r="AV405" t="s">
        <v>306</v>
      </c>
      <c r="AW405" t="s">
        <v>238</v>
      </c>
      <c r="AX405" t="s">
        <v>309</v>
      </c>
      <c r="AY405">
        <v>0</v>
      </c>
    </row>
    <row r="406" spans="43:51" x14ac:dyDescent="0.25">
      <c r="AQ406" t="s">
        <v>102</v>
      </c>
      <c r="AR406" t="s">
        <v>60</v>
      </c>
      <c r="AS406">
        <v>2003</v>
      </c>
      <c r="AT406" t="s">
        <v>31</v>
      </c>
      <c r="AU406" t="s">
        <v>325</v>
      </c>
      <c r="AV406" t="s">
        <v>306</v>
      </c>
      <c r="AW406" t="s">
        <v>238</v>
      </c>
      <c r="AX406" t="s">
        <v>268</v>
      </c>
      <c r="AY406">
        <v>0</v>
      </c>
    </row>
    <row r="407" spans="43:51" x14ac:dyDescent="0.25">
      <c r="AQ407" t="s">
        <v>102</v>
      </c>
      <c r="AR407" t="s">
        <v>60</v>
      </c>
      <c r="AS407">
        <v>2003</v>
      </c>
      <c r="AT407" t="s">
        <v>31</v>
      </c>
      <c r="AU407" t="s">
        <v>325</v>
      </c>
      <c r="AV407" t="s">
        <v>306</v>
      </c>
      <c r="AW407" t="s">
        <v>239</v>
      </c>
      <c r="AX407" t="s">
        <v>308</v>
      </c>
      <c r="AY407">
        <v>3.2</v>
      </c>
    </row>
    <row r="408" spans="43:51" x14ac:dyDescent="0.25">
      <c r="AQ408" t="s">
        <v>102</v>
      </c>
      <c r="AR408" t="s">
        <v>60</v>
      </c>
      <c r="AS408">
        <v>2003</v>
      </c>
      <c r="AT408" t="s">
        <v>31</v>
      </c>
      <c r="AU408" t="s">
        <v>325</v>
      </c>
      <c r="AV408" t="s">
        <v>306</v>
      </c>
      <c r="AW408" t="s">
        <v>239</v>
      </c>
      <c r="AX408" t="s">
        <v>309</v>
      </c>
      <c r="AY408">
        <v>6.9</v>
      </c>
    </row>
    <row r="409" spans="43:51" x14ac:dyDescent="0.25">
      <c r="AQ409" t="s">
        <v>102</v>
      </c>
      <c r="AR409" t="s">
        <v>60</v>
      </c>
      <c r="AS409">
        <v>2003</v>
      </c>
      <c r="AT409" t="s">
        <v>31</v>
      </c>
      <c r="AU409" t="s">
        <v>325</v>
      </c>
      <c r="AV409" t="s">
        <v>306</v>
      </c>
      <c r="AW409" t="s">
        <v>239</v>
      </c>
      <c r="AX409" t="s">
        <v>268</v>
      </c>
      <c r="AY409">
        <v>10.1</v>
      </c>
    </row>
    <row r="410" spans="43:51" x14ac:dyDescent="0.25">
      <c r="AQ410" t="s">
        <v>102</v>
      </c>
      <c r="AR410" t="s">
        <v>60</v>
      </c>
      <c r="AS410">
        <v>2003</v>
      </c>
      <c r="AT410" t="s">
        <v>31</v>
      </c>
      <c r="AU410" t="s">
        <v>325</v>
      </c>
      <c r="AV410" t="s">
        <v>306</v>
      </c>
      <c r="AW410" t="s">
        <v>240</v>
      </c>
      <c r="AX410" t="s">
        <v>308</v>
      </c>
      <c r="AY410">
        <v>4</v>
      </c>
    </row>
    <row r="411" spans="43:51" x14ac:dyDescent="0.25">
      <c r="AQ411" t="s">
        <v>102</v>
      </c>
      <c r="AR411" t="s">
        <v>60</v>
      </c>
      <c r="AS411">
        <v>2003</v>
      </c>
      <c r="AT411" t="s">
        <v>31</v>
      </c>
      <c r="AU411" t="s">
        <v>325</v>
      </c>
      <c r="AV411" t="s">
        <v>306</v>
      </c>
      <c r="AW411" t="s">
        <v>240</v>
      </c>
      <c r="AX411" t="s">
        <v>309</v>
      </c>
      <c r="AY411">
        <v>8.85</v>
      </c>
    </row>
    <row r="412" spans="43:51" x14ac:dyDescent="0.25">
      <c r="AQ412" t="s">
        <v>102</v>
      </c>
      <c r="AR412" t="s">
        <v>60</v>
      </c>
      <c r="AS412">
        <v>2003</v>
      </c>
      <c r="AT412" t="s">
        <v>31</v>
      </c>
      <c r="AU412" t="s">
        <v>325</v>
      </c>
      <c r="AV412" t="s">
        <v>306</v>
      </c>
      <c r="AW412" t="s">
        <v>240</v>
      </c>
      <c r="AX412" t="s">
        <v>268</v>
      </c>
      <c r="AY412">
        <v>12.85</v>
      </c>
    </row>
    <row r="413" spans="43:51" x14ac:dyDescent="0.25">
      <c r="AQ413" t="s">
        <v>102</v>
      </c>
      <c r="AR413" t="s">
        <v>60</v>
      </c>
      <c r="AS413">
        <v>2003</v>
      </c>
      <c r="AT413" t="s">
        <v>31</v>
      </c>
      <c r="AU413" t="s">
        <v>325</v>
      </c>
      <c r="AV413" t="s">
        <v>306</v>
      </c>
      <c r="AW413" t="s">
        <v>314</v>
      </c>
      <c r="AX413" t="s">
        <v>308</v>
      </c>
      <c r="AY413">
        <v>0</v>
      </c>
    </row>
    <row r="414" spans="43:51" x14ac:dyDescent="0.25">
      <c r="AQ414" t="s">
        <v>102</v>
      </c>
      <c r="AR414" t="s">
        <v>60</v>
      </c>
      <c r="AS414">
        <v>2003</v>
      </c>
      <c r="AT414" t="s">
        <v>31</v>
      </c>
      <c r="AU414" t="s">
        <v>325</v>
      </c>
      <c r="AV414" t="s">
        <v>306</v>
      </c>
      <c r="AW414" t="s">
        <v>314</v>
      </c>
      <c r="AX414" t="s">
        <v>309</v>
      </c>
      <c r="AY414">
        <v>0</v>
      </c>
    </row>
    <row r="415" spans="43:51" x14ac:dyDescent="0.25">
      <c r="AQ415" t="s">
        <v>102</v>
      </c>
      <c r="AR415" t="s">
        <v>60</v>
      </c>
      <c r="AS415">
        <v>2003</v>
      </c>
      <c r="AT415" t="s">
        <v>31</v>
      </c>
      <c r="AU415" t="s">
        <v>325</v>
      </c>
      <c r="AV415" t="s">
        <v>306</v>
      </c>
      <c r="AW415" t="s">
        <v>314</v>
      </c>
      <c r="AX415" t="s">
        <v>268</v>
      </c>
      <c r="AY415">
        <v>0</v>
      </c>
    </row>
    <row r="416" spans="43:51" x14ac:dyDescent="0.25">
      <c r="AQ416" t="s">
        <v>102</v>
      </c>
      <c r="AR416" t="s">
        <v>60</v>
      </c>
      <c r="AS416">
        <v>2003</v>
      </c>
      <c r="AT416" t="s">
        <v>31</v>
      </c>
      <c r="AU416" t="s">
        <v>325</v>
      </c>
      <c r="AV416" t="s">
        <v>306</v>
      </c>
      <c r="AW416" t="s">
        <v>242</v>
      </c>
      <c r="AX416" t="s">
        <v>308</v>
      </c>
      <c r="AY416">
        <v>0</v>
      </c>
    </row>
    <row r="417" spans="43:51" x14ac:dyDescent="0.25">
      <c r="AQ417" t="s">
        <v>102</v>
      </c>
      <c r="AR417" t="s">
        <v>60</v>
      </c>
      <c r="AS417">
        <v>2003</v>
      </c>
      <c r="AT417" t="s">
        <v>31</v>
      </c>
      <c r="AU417" t="s">
        <v>325</v>
      </c>
      <c r="AV417" t="s">
        <v>306</v>
      </c>
      <c r="AW417" t="s">
        <v>242</v>
      </c>
      <c r="AX417" t="s">
        <v>309</v>
      </c>
      <c r="AY417">
        <v>0</v>
      </c>
    </row>
    <row r="418" spans="43:51" x14ac:dyDescent="0.25">
      <c r="AQ418" t="s">
        <v>102</v>
      </c>
      <c r="AR418" t="s">
        <v>60</v>
      </c>
      <c r="AS418">
        <v>2003</v>
      </c>
      <c r="AT418" t="s">
        <v>31</v>
      </c>
      <c r="AU418" t="s">
        <v>325</v>
      </c>
      <c r="AV418" t="s">
        <v>306</v>
      </c>
      <c r="AW418" t="s">
        <v>242</v>
      </c>
      <c r="AX418" t="s">
        <v>268</v>
      </c>
      <c r="AY418">
        <v>0</v>
      </c>
    </row>
    <row r="419" spans="43:51" x14ac:dyDescent="0.25">
      <c r="AQ419" t="s">
        <v>102</v>
      </c>
      <c r="AR419" t="s">
        <v>60</v>
      </c>
      <c r="AS419">
        <v>2003</v>
      </c>
      <c r="AT419" t="s">
        <v>31</v>
      </c>
      <c r="AU419" t="s">
        <v>325</v>
      </c>
      <c r="AV419" t="s">
        <v>306</v>
      </c>
      <c r="AW419" t="s">
        <v>243</v>
      </c>
      <c r="AX419" t="s">
        <v>326</v>
      </c>
      <c r="AY419">
        <v>0</v>
      </c>
    </row>
    <row r="420" spans="43:51" x14ac:dyDescent="0.25">
      <c r="AQ420" t="s">
        <v>102</v>
      </c>
      <c r="AR420" t="s">
        <v>60</v>
      </c>
      <c r="AS420">
        <v>2003</v>
      </c>
      <c r="AT420" t="s">
        <v>31</v>
      </c>
      <c r="AU420" t="s">
        <v>325</v>
      </c>
      <c r="AV420" t="s">
        <v>306</v>
      </c>
      <c r="AW420" t="s">
        <v>243</v>
      </c>
      <c r="AX420" t="s">
        <v>327</v>
      </c>
      <c r="AY420">
        <v>0</v>
      </c>
    </row>
    <row r="421" spans="43:51" x14ac:dyDescent="0.25">
      <c r="AQ421" t="s">
        <v>102</v>
      </c>
      <c r="AR421" t="s">
        <v>60</v>
      </c>
      <c r="AS421">
        <v>2003</v>
      </c>
      <c r="AT421" t="s">
        <v>31</v>
      </c>
      <c r="AU421" t="s">
        <v>325</v>
      </c>
      <c r="AV421" t="s">
        <v>306</v>
      </c>
      <c r="AW421" t="s">
        <v>243</v>
      </c>
      <c r="AX421" t="s">
        <v>328</v>
      </c>
      <c r="AY421">
        <v>22.95</v>
      </c>
    </row>
    <row r="422" spans="43:51" x14ac:dyDescent="0.25">
      <c r="AQ422" t="s">
        <v>104</v>
      </c>
      <c r="AR422" t="s">
        <v>60</v>
      </c>
      <c r="AS422">
        <v>2004</v>
      </c>
      <c r="AT422" t="s">
        <v>28</v>
      </c>
      <c r="AU422" t="s">
        <v>325</v>
      </c>
      <c r="AV422" t="s">
        <v>306</v>
      </c>
      <c r="AW422" t="s">
        <v>218</v>
      </c>
      <c r="AX422" t="s">
        <v>308</v>
      </c>
      <c r="AY422">
        <v>4.5</v>
      </c>
    </row>
    <row r="423" spans="43:51" x14ac:dyDescent="0.25">
      <c r="AQ423" t="s">
        <v>104</v>
      </c>
      <c r="AR423" t="s">
        <v>60</v>
      </c>
      <c r="AS423">
        <v>2004</v>
      </c>
      <c r="AT423" t="s">
        <v>28</v>
      </c>
      <c r="AU423" t="s">
        <v>325</v>
      </c>
      <c r="AV423" t="s">
        <v>306</v>
      </c>
      <c r="AW423" t="s">
        <v>218</v>
      </c>
      <c r="AX423" t="s">
        <v>309</v>
      </c>
      <c r="AY423">
        <v>6.2</v>
      </c>
    </row>
    <row r="424" spans="43:51" x14ac:dyDescent="0.25">
      <c r="AQ424" t="s">
        <v>104</v>
      </c>
      <c r="AR424" t="s">
        <v>60</v>
      </c>
      <c r="AS424">
        <v>2004</v>
      </c>
      <c r="AT424" t="s">
        <v>28</v>
      </c>
      <c r="AU424" t="s">
        <v>325</v>
      </c>
      <c r="AV424" t="s">
        <v>306</v>
      </c>
      <c r="AW424" t="s">
        <v>218</v>
      </c>
      <c r="AX424" t="s">
        <v>268</v>
      </c>
      <c r="AY424">
        <v>10.7</v>
      </c>
    </row>
    <row r="425" spans="43:51" x14ac:dyDescent="0.25">
      <c r="AQ425" t="s">
        <v>104</v>
      </c>
      <c r="AR425" t="s">
        <v>60</v>
      </c>
      <c r="AS425">
        <v>2004</v>
      </c>
      <c r="AT425" t="s">
        <v>28</v>
      </c>
      <c r="AU425" t="s">
        <v>325</v>
      </c>
      <c r="AV425" t="s">
        <v>306</v>
      </c>
      <c r="AW425" t="s">
        <v>238</v>
      </c>
      <c r="AX425" t="s">
        <v>308</v>
      </c>
      <c r="AY425">
        <v>0</v>
      </c>
    </row>
    <row r="426" spans="43:51" x14ac:dyDescent="0.25">
      <c r="AQ426" t="s">
        <v>104</v>
      </c>
      <c r="AR426" t="s">
        <v>60</v>
      </c>
      <c r="AS426">
        <v>2004</v>
      </c>
      <c r="AT426" t="s">
        <v>28</v>
      </c>
      <c r="AU426" t="s">
        <v>325</v>
      </c>
      <c r="AV426" t="s">
        <v>306</v>
      </c>
      <c r="AW426" t="s">
        <v>238</v>
      </c>
      <c r="AX426" t="s">
        <v>309</v>
      </c>
      <c r="AY426">
        <v>0</v>
      </c>
    </row>
    <row r="427" spans="43:51" x14ac:dyDescent="0.25">
      <c r="AQ427" t="s">
        <v>104</v>
      </c>
      <c r="AR427" t="s">
        <v>60</v>
      </c>
      <c r="AS427">
        <v>2004</v>
      </c>
      <c r="AT427" t="s">
        <v>28</v>
      </c>
      <c r="AU427" t="s">
        <v>325</v>
      </c>
      <c r="AV427" t="s">
        <v>306</v>
      </c>
      <c r="AW427" t="s">
        <v>238</v>
      </c>
      <c r="AX427" t="s">
        <v>268</v>
      </c>
      <c r="AY427">
        <v>0</v>
      </c>
    </row>
    <row r="428" spans="43:51" x14ac:dyDescent="0.25">
      <c r="AQ428" t="s">
        <v>104</v>
      </c>
      <c r="AR428" t="s">
        <v>60</v>
      </c>
      <c r="AS428">
        <v>2004</v>
      </c>
      <c r="AT428" t="s">
        <v>28</v>
      </c>
      <c r="AU428" t="s">
        <v>325</v>
      </c>
      <c r="AV428" t="s">
        <v>306</v>
      </c>
      <c r="AW428" t="s">
        <v>239</v>
      </c>
      <c r="AX428" t="s">
        <v>308</v>
      </c>
      <c r="AY428">
        <v>0</v>
      </c>
    </row>
    <row r="429" spans="43:51" x14ac:dyDescent="0.25">
      <c r="AQ429" t="s">
        <v>104</v>
      </c>
      <c r="AR429" t="s">
        <v>60</v>
      </c>
      <c r="AS429">
        <v>2004</v>
      </c>
      <c r="AT429" t="s">
        <v>28</v>
      </c>
      <c r="AU429" t="s">
        <v>325</v>
      </c>
      <c r="AV429" t="s">
        <v>306</v>
      </c>
      <c r="AW429" t="s">
        <v>239</v>
      </c>
      <c r="AX429" t="s">
        <v>309</v>
      </c>
      <c r="AY429">
        <v>0</v>
      </c>
    </row>
    <row r="430" spans="43:51" x14ac:dyDescent="0.25">
      <c r="AQ430" t="s">
        <v>104</v>
      </c>
      <c r="AR430" t="s">
        <v>60</v>
      </c>
      <c r="AS430">
        <v>2004</v>
      </c>
      <c r="AT430" t="s">
        <v>28</v>
      </c>
      <c r="AU430" t="s">
        <v>325</v>
      </c>
      <c r="AV430" t="s">
        <v>306</v>
      </c>
      <c r="AW430" t="s">
        <v>239</v>
      </c>
      <c r="AX430" t="s">
        <v>268</v>
      </c>
      <c r="AY430">
        <v>0</v>
      </c>
    </row>
    <row r="431" spans="43:51" x14ac:dyDescent="0.25">
      <c r="AQ431" t="s">
        <v>104</v>
      </c>
      <c r="AR431" t="s">
        <v>60</v>
      </c>
      <c r="AS431">
        <v>2004</v>
      </c>
      <c r="AT431" t="s">
        <v>28</v>
      </c>
      <c r="AU431" t="s">
        <v>325</v>
      </c>
      <c r="AV431" t="s">
        <v>306</v>
      </c>
      <c r="AW431" t="s">
        <v>240</v>
      </c>
      <c r="AX431" t="s">
        <v>308</v>
      </c>
      <c r="AY431">
        <v>3.2</v>
      </c>
    </row>
    <row r="432" spans="43:51" x14ac:dyDescent="0.25">
      <c r="AQ432" t="s">
        <v>104</v>
      </c>
      <c r="AR432" t="s">
        <v>60</v>
      </c>
      <c r="AS432">
        <v>2004</v>
      </c>
      <c r="AT432" t="s">
        <v>28</v>
      </c>
      <c r="AU432" t="s">
        <v>325</v>
      </c>
      <c r="AV432" t="s">
        <v>306</v>
      </c>
      <c r="AW432" t="s">
        <v>240</v>
      </c>
      <c r="AX432" t="s">
        <v>309</v>
      </c>
      <c r="AY432">
        <v>8.8000000000000007</v>
      </c>
    </row>
    <row r="433" spans="43:51" x14ac:dyDescent="0.25">
      <c r="AQ433" t="s">
        <v>104</v>
      </c>
      <c r="AR433" t="s">
        <v>60</v>
      </c>
      <c r="AS433">
        <v>2004</v>
      </c>
      <c r="AT433" t="s">
        <v>28</v>
      </c>
      <c r="AU433" t="s">
        <v>325</v>
      </c>
      <c r="AV433" t="s">
        <v>306</v>
      </c>
      <c r="AW433" t="s">
        <v>240</v>
      </c>
      <c r="AX433" t="s">
        <v>268</v>
      </c>
      <c r="AY433">
        <v>12</v>
      </c>
    </row>
    <row r="434" spans="43:51" x14ac:dyDescent="0.25">
      <c r="AQ434" t="s">
        <v>104</v>
      </c>
      <c r="AR434" t="s">
        <v>60</v>
      </c>
      <c r="AS434">
        <v>2004</v>
      </c>
      <c r="AT434" t="s">
        <v>28</v>
      </c>
      <c r="AU434" t="s">
        <v>325</v>
      </c>
      <c r="AV434" t="s">
        <v>306</v>
      </c>
      <c r="AW434" t="s">
        <v>314</v>
      </c>
      <c r="AX434" t="s">
        <v>308</v>
      </c>
      <c r="AY434">
        <v>0</v>
      </c>
    </row>
    <row r="435" spans="43:51" x14ac:dyDescent="0.25">
      <c r="AQ435" t="s">
        <v>104</v>
      </c>
      <c r="AR435" t="s">
        <v>60</v>
      </c>
      <c r="AS435">
        <v>2004</v>
      </c>
      <c r="AT435" t="s">
        <v>28</v>
      </c>
      <c r="AU435" t="s">
        <v>325</v>
      </c>
      <c r="AV435" t="s">
        <v>306</v>
      </c>
      <c r="AW435" t="s">
        <v>314</v>
      </c>
      <c r="AX435" t="s">
        <v>309</v>
      </c>
      <c r="AY435">
        <v>0</v>
      </c>
    </row>
    <row r="436" spans="43:51" x14ac:dyDescent="0.25">
      <c r="AQ436" t="s">
        <v>104</v>
      </c>
      <c r="AR436" t="s">
        <v>60</v>
      </c>
      <c r="AS436">
        <v>2004</v>
      </c>
      <c r="AT436" t="s">
        <v>28</v>
      </c>
      <c r="AU436" t="s">
        <v>325</v>
      </c>
      <c r="AV436" t="s">
        <v>306</v>
      </c>
      <c r="AW436" t="s">
        <v>314</v>
      </c>
      <c r="AX436" t="s">
        <v>268</v>
      </c>
      <c r="AY436">
        <v>0</v>
      </c>
    </row>
    <row r="437" spans="43:51" x14ac:dyDescent="0.25">
      <c r="AQ437" t="s">
        <v>104</v>
      </c>
      <c r="AR437" t="s">
        <v>60</v>
      </c>
      <c r="AS437">
        <v>2004</v>
      </c>
      <c r="AT437" t="s">
        <v>28</v>
      </c>
      <c r="AU437" t="s">
        <v>325</v>
      </c>
      <c r="AV437" t="s">
        <v>306</v>
      </c>
      <c r="AW437" t="s">
        <v>242</v>
      </c>
      <c r="AX437" t="s">
        <v>308</v>
      </c>
      <c r="AY437">
        <v>0</v>
      </c>
    </row>
    <row r="438" spans="43:51" x14ac:dyDescent="0.25">
      <c r="AQ438" t="s">
        <v>104</v>
      </c>
      <c r="AR438" t="s">
        <v>60</v>
      </c>
      <c r="AS438">
        <v>2004</v>
      </c>
      <c r="AT438" t="s">
        <v>28</v>
      </c>
      <c r="AU438" t="s">
        <v>325</v>
      </c>
      <c r="AV438" t="s">
        <v>306</v>
      </c>
      <c r="AW438" t="s">
        <v>242</v>
      </c>
      <c r="AX438" t="s">
        <v>309</v>
      </c>
      <c r="AY438">
        <v>0</v>
      </c>
    </row>
    <row r="439" spans="43:51" x14ac:dyDescent="0.25">
      <c r="AQ439" t="s">
        <v>104</v>
      </c>
      <c r="AR439" t="s">
        <v>60</v>
      </c>
      <c r="AS439">
        <v>2004</v>
      </c>
      <c r="AT439" t="s">
        <v>28</v>
      </c>
      <c r="AU439" t="s">
        <v>325</v>
      </c>
      <c r="AV439" t="s">
        <v>306</v>
      </c>
      <c r="AW439" t="s">
        <v>242</v>
      </c>
      <c r="AX439" t="s">
        <v>268</v>
      </c>
      <c r="AY439">
        <v>0</v>
      </c>
    </row>
    <row r="440" spans="43:51" x14ac:dyDescent="0.25">
      <c r="AQ440" t="s">
        <v>104</v>
      </c>
      <c r="AR440" t="s">
        <v>60</v>
      </c>
      <c r="AS440">
        <v>2004</v>
      </c>
      <c r="AT440" t="s">
        <v>28</v>
      </c>
      <c r="AU440" t="s">
        <v>325</v>
      </c>
      <c r="AV440" t="s">
        <v>306</v>
      </c>
      <c r="AW440" t="s">
        <v>243</v>
      </c>
      <c r="AX440" t="s">
        <v>326</v>
      </c>
      <c r="AY440">
        <v>0</v>
      </c>
    </row>
    <row r="441" spans="43:51" x14ac:dyDescent="0.25">
      <c r="AQ441" t="s">
        <v>104</v>
      </c>
      <c r="AR441" t="s">
        <v>60</v>
      </c>
      <c r="AS441">
        <v>2004</v>
      </c>
      <c r="AT441" t="s">
        <v>28</v>
      </c>
      <c r="AU441" t="s">
        <v>325</v>
      </c>
      <c r="AV441" t="s">
        <v>306</v>
      </c>
      <c r="AW441" t="s">
        <v>243</v>
      </c>
      <c r="AX441" t="s">
        <v>327</v>
      </c>
      <c r="AY441">
        <v>0</v>
      </c>
    </row>
    <row r="442" spans="43:51" x14ac:dyDescent="0.25">
      <c r="AQ442" t="s">
        <v>104</v>
      </c>
      <c r="AR442" t="s">
        <v>60</v>
      </c>
      <c r="AS442">
        <v>2004</v>
      </c>
      <c r="AT442" t="s">
        <v>28</v>
      </c>
      <c r="AU442" t="s">
        <v>325</v>
      </c>
      <c r="AV442" t="s">
        <v>306</v>
      </c>
      <c r="AW442" t="s">
        <v>243</v>
      </c>
      <c r="AX442" t="s">
        <v>328</v>
      </c>
      <c r="AY442">
        <v>22.7</v>
      </c>
    </row>
    <row r="443" spans="43:51" x14ac:dyDescent="0.25">
      <c r="AQ443" t="s">
        <v>106</v>
      </c>
      <c r="AR443" t="s">
        <v>60</v>
      </c>
      <c r="AS443">
        <v>2004</v>
      </c>
      <c r="AT443" t="s">
        <v>31</v>
      </c>
      <c r="AU443" t="s">
        <v>325</v>
      </c>
      <c r="AV443" t="s">
        <v>306</v>
      </c>
      <c r="AW443" t="s">
        <v>218</v>
      </c>
      <c r="AX443" t="s">
        <v>308</v>
      </c>
      <c r="AY443">
        <v>4</v>
      </c>
    </row>
    <row r="444" spans="43:51" x14ac:dyDescent="0.25">
      <c r="AQ444" t="s">
        <v>106</v>
      </c>
      <c r="AR444" t="s">
        <v>60</v>
      </c>
      <c r="AS444">
        <v>2004</v>
      </c>
      <c r="AT444" t="s">
        <v>31</v>
      </c>
      <c r="AU444" t="s">
        <v>325</v>
      </c>
      <c r="AV444" t="s">
        <v>306</v>
      </c>
      <c r="AW444" t="s">
        <v>218</v>
      </c>
      <c r="AX444" t="s">
        <v>309</v>
      </c>
      <c r="AY444">
        <v>6</v>
      </c>
    </row>
    <row r="445" spans="43:51" x14ac:dyDescent="0.25">
      <c r="AQ445" t="s">
        <v>106</v>
      </c>
      <c r="AR445" t="s">
        <v>60</v>
      </c>
      <c r="AS445">
        <v>2004</v>
      </c>
      <c r="AT445" t="s">
        <v>31</v>
      </c>
      <c r="AU445" t="s">
        <v>325</v>
      </c>
      <c r="AV445" t="s">
        <v>306</v>
      </c>
      <c r="AW445" t="s">
        <v>218</v>
      </c>
      <c r="AX445" t="s">
        <v>268</v>
      </c>
      <c r="AY445">
        <v>10</v>
      </c>
    </row>
    <row r="446" spans="43:51" x14ac:dyDescent="0.25">
      <c r="AQ446" t="s">
        <v>106</v>
      </c>
      <c r="AR446" t="s">
        <v>60</v>
      </c>
      <c r="AS446">
        <v>2004</v>
      </c>
      <c r="AT446" t="s">
        <v>31</v>
      </c>
      <c r="AU446" t="s">
        <v>325</v>
      </c>
      <c r="AV446" t="s">
        <v>306</v>
      </c>
      <c r="AW446" t="s">
        <v>238</v>
      </c>
      <c r="AX446" t="s">
        <v>308</v>
      </c>
      <c r="AY446">
        <v>0</v>
      </c>
    </row>
    <row r="447" spans="43:51" x14ac:dyDescent="0.25">
      <c r="AQ447" t="s">
        <v>106</v>
      </c>
      <c r="AR447" t="s">
        <v>60</v>
      </c>
      <c r="AS447">
        <v>2004</v>
      </c>
      <c r="AT447" t="s">
        <v>31</v>
      </c>
      <c r="AU447" t="s">
        <v>325</v>
      </c>
      <c r="AV447" t="s">
        <v>306</v>
      </c>
      <c r="AW447" t="s">
        <v>238</v>
      </c>
      <c r="AX447" t="s">
        <v>309</v>
      </c>
      <c r="AY447">
        <v>0</v>
      </c>
    </row>
    <row r="448" spans="43:51" x14ac:dyDescent="0.25">
      <c r="AQ448" t="s">
        <v>106</v>
      </c>
      <c r="AR448" t="s">
        <v>60</v>
      </c>
      <c r="AS448">
        <v>2004</v>
      </c>
      <c r="AT448" t="s">
        <v>31</v>
      </c>
      <c r="AU448" t="s">
        <v>325</v>
      </c>
      <c r="AV448" t="s">
        <v>306</v>
      </c>
      <c r="AW448" t="s">
        <v>238</v>
      </c>
      <c r="AX448" t="s">
        <v>268</v>
      </c>
      <c r="AY448">
        <v>0</v>
      </c>
    </row>
    <row r="449" spans="43:51" x14ac:dyDescent="0.25">
      <c r="AQ449" t="s">
        <v>106</v>
      </c>
      <c r="AR449" t="s">
        <v>60</v>
      </c>
      <c r="AS449">
        <v>2004</v>
      </c>
      <c r="AT449" t="s">
        <v>31</v>
      </c>
      <c r="AU449" t="s">
        <v>325</v>
      </c>
      <c r="AV449" t="s">
        <v>306</v>
      </c>
      <c r="AW449" t="s">
        <v>239</v>
      </c>
      <c r="AX449" t="s">
        <v>308</v>
      </c>
      <c r="AY449">
        <v>0</v>
      </c>
    </row>
    <row r="450" spans="43:51" x14ac:dyDescent="0.25">
      <c r="AQ450" t="s">
        <v>106</v>
      </c>
      <c r="AR450" t="s">
        <v>60</v>
      </c>
      <c r="AS450">
        <v>2004</v>
      </c>
      <c r="AT450" t="s">
        <v>31</v>
      </c>
      <c r="AU450" t="s">
        <v>325</v>
      </c>
      <c r="AV450" t="s">
        <v>306</v>
      </c>
      <c r="AW450" t="s">
        <v>239</v>
      </c>
      <c r="AX450" t="s">
        <v>309</v>
      </c>
      <c r="AY450">
        <v>0</v>
      </c>
    </row>
    <row r="451" spans="43:51" x14ac:dyDescent="0.25">
      <c r="AQ451" t="s">
        <v>106</v>
      </c>
      <c r="AR451" t="s">
        <v>60</v>
      </c>
      <c r="AS451">
        <v>2004</v>
      </c>
      <c r="AT451" t="s">
        <v>31</v>
      </c>
      <c r="AU451" t="s">
        <v>325</v>
      </c>
      <c r="AV451" t="s">
        <v>306</v>
      </c>
      <c r="AW451" t="s">
        <v>239</v>
      </c>
      <c r="AX451" t="s">
        <v>268</v>
      </c>
      <c r="AY451">
        <v>0</v>
      </c>
    </row>
    <row r="452" spans="43:51" x14ac:dyDescent="0.25">
      <c r="AQ452" t="s">
        <v>106</v>
      </c>
      <c r="AR452" t="s">
        <v>60</v>
      </c>
      <c r="AS452">
        <v>2004</v>
      </c>
      <c r="AT452" t="s">
        <v>31</v>
      </c>
      <c r="AU452" t="s">
        <v>325</v>
      </c>
      <c r="AV452" t="s">
        <v>306</v>
      </c>
      <c r="AW452" t="s">
        <v>240</v>
      </c>
      <c r="AX452" t="s">
        <v>308</v>
      </c>
      <c r="AY452">
        <v>3.2</v>
      </c>
    </row>
    <row r="453" spans="43:51" x14ac:dyDescent="0.25">
      <c r="AQ453" t="s">
        <v>106</v>
      </c>
      <c r="AR453" t="s">
        <v>60</v>
      </c>
      <c r="AS453">
        <v>2004</v>
      </c>
      <c r="AT453" t="s">
        <v>31</v>
      </c>
      <c r="AU453" t="s">
        <v>325</v>
      </c>
      <c r="AV453" t="s">
        <v>306</v>
      </c>
      <c r="AW453" t="s">
        <v>240</v>
      </c>
      <c r="AX453" t="s">
        <v>309</v>
      </c>
      <c r="AY453">
        <v>9.0500000000000007</v>
      </c>
    </row>
    <row r="454" spans="43:51" x14ac:dyDescent="0.25">
      <c r="AQ454" t="s">
        <v>106</v>
      </c>
      <c r="AR454" t="s">
        <v>60</v>
      </c>
      <c r="AS454">
        <v>2004</v>
      </c>
      <c r="AT454" t="s">
        <v>31</v>
      </c>
      <c r="AU454" t="s">
        <v>325</v>
      </c>
      <c r="AV454" t="s">
        <v>306</v>
      </c>
      <c r="AW454" t="s">
        <v>240</v>
      </c>
      <c r="AX454" t="s">
        <v>268</v>
      </c>
      <c r="AY454">
        <v>12.25</v>
      </c>
    </row>
    <row r="455" spans="43:51" x14ac:dyDescent="0.25">
      <c r="AQ455" t="s">
        <v>106</v>
      </c>
      <c r="AR455" t="s">
        <v>60</v>
      </c>
      <c r="AS455">
        <v>2004</v>
      </c>
      <c r="AT455" t="s">
        <v>31</v>
      </c>
      <c r="AU455" t="s">
        <v>325</v>
      </c>
      <c r="AV455" t="s">
        <v>306</v>
      </c>
      <c r="AW455" t="s">
        <v>314</v>
      </c>
      <c r="AX455" t="s">
        <v>308</v>
      </c>
      <c r="AY455">
        <v>0</v>
      </c>
    </row>
    <row r="456" spans="43:51" x14ac:dyDescent="0.25">
      <c r="AQ456" t="s">
        <v>106</v>
      </c>
      <c r="AR456" t="s">
        <v>60</v>
      </c>
      <c r="AS456">
        <v>2004</v>
      </c>
      <c r="AT456" t="s">
        <v>31</v>
      </c>
      <c r="AU456" t="s">
        <v>325</v>
      </c>
      <c r="AV456" t="s">
        <v>306</v>
      </c>
      <c r="AW456" t="s">
        <v>314</v>
      </c>
      <c r="AX456" t="s">
        <v>309</v>
      </c>
      <c r="AY456">
        <v>0</v>
      </c>
    </row>
    <row r="457" spans="43:51" x14ac:dyDescent="0.25">
      <c r="AQ457" t="s">
        <v>106</v>
      </c>
      <c r="AR457" t="s">
        <v>60</v>
      </c>
      <c r="AS457">
        <v>2004</v>
      </c>
      <c r="AT457" t="s">
        <v>31</v>
      </c>
      <c r="AU457" t="s">
        <v>325</v>
      </c>
      <c r="AV457" t="s">
        <v>306</v>
      </c>
      <c r="AW457" t="s">
        <v>314</v>
      </c>
      <c r="AX457" t="s">
        <v>268</v>
      </c>
      <c r="AY457">
        <v>0</v>
      </c>
    </row>
    <row r="458" spans="43:51" x14ac:dyDescent="0.25">
      <c r="AQ458" t="s">
        <v>106</v>
      </c>
      <c r="AR458" t="s">
        <v>60</v>
      </c>
      <c r="AS458">
        <v>2004</v>
      </c>
      <c r="AT458" t="s">
        <v>31</v>
      </c>
      <c r="AU458" t="s">
        <v>325</v>
      </c>
      <c r="AV458" t="s">
        <v>306</v>
      </c>
      <c r="AW458" t="s">
        <v>242</v>
      </c>
      <c r="AX458" t="s">
        <v>308</v>
      </c>
      <c r="AY458">
        <v>0</v>
      </c>
    </row>
    <row r="459" spans="43:51" x14ac:dyDescent="0.25">
      <c r="AQ459" t="s">
        <v>106</v>
      </c>
      <c r="AR459" t="s">
        <v>60</v>
      </c>
      <c r="AS459">
        <v>2004</v>
      </c>
      <c r="AT459" t="s">
        <v>31</v>
      </c>
      <c r="AU459" t="s">
        <v>325</v>
      </c>
      <c r="AV459" t="s">
        <v>306</v>
      </c>
      <c r="AW459" t="s">
        <v>242</v>
      </c>
      <c r="AX459" t="s">
        <v>309</v>
      </c>
      <c r="AY459">
        <v>0</v>
      </c>
    </row>
    <row r="460" spans="43:51" x14ac:dyDescent="0.25">
      <c r="AQ460" t="s">
        <v>106</v>
      </c>
      <c r="AR460" t="s">
        <v>60</v>
      </c>
      <c r="AS460">
        <v>2004</v>
      </c>
      <c r="AT460" t="s">
        <v>31</v>
      </c>
      <c r="AU460" t="s">
        <v>325</v>
      </c>
      <c r="AV460" t="s">
        <v>306</v>
      </c>
      <c r="AW460" t="s">
        <v>242</v>
      </c>
      <c r="AX460" t="s">
        <v>268</v>
      </c>
      <c r="AY460">
        <v>0</v>
      </c>
    </row>
    <row r="461" spans="43:51" x14ac:dyDescent="0.25">
      <c r="AQ461" t="s">
        <v>106</v>
      </c>
      <c r="AR461" t="s">
        <v>60</v>
      </c>
      <c r="AS461">
        <v>2004</v>
      </c>
      <c r="AT461" t="s">
        <v>31</v>
      </c>
      <c r="AU461" t="s">
        <v>325</v>
      </c>
      <c r="AV461" t="s">
        <v>306</v>
      </c>
      <c r="AW461" t="s">
        <v>243</v>
      </c>
      <c r="AX461" t="s">
        <v>326</v>
      </c>
      <c r="AY461">
        <v>0</v>
      </c>
    </row>
    <row r="462" spans="43:51" x14ac:dyDescent="0.25">
      <c r="AQ462" t="s">
        <v>106</v>
      </c>
      <c r="AR462" t="s">
        <v>60</v>
      </c>
      <c r="AS462">
        <v>2004</v>
      </c>
      <c r="AT462" t="s">
        <v>31</v>
      </c>
      <c r="AU462" t="s">
        <v>325</v>
      </c>
      <c r="AV462" t="s">
        <v>306</v>
      </c>
      <c r="AW462" t="s">
        <v>243</v>
      </c>
      <c r="AX462" t="s">
        <v>327</v>
      </c>
      <c r="AY462">
        <v>0</v>
      </c>
    </row>
    <row r="463" spans="43:51" x14ac:dyDescent="0.25">
      <c r="AQ463" t="s">
        <v>106</v>
      </c>
      <c r="AR463" t="s">
        <v>60</v>
      </c>
      <c r="AS463">
        <v>2004</v>
      </c>
      <c r="AT463" t="s">
        <v>31</v>
      </c>
      <c r="AU463" t="s">
        <v>325</v>
      </c>
      <c r="AV463" t="s">
        <v>306</v>
      </c>
      <c r="AW463" t="s">
        <v>243</v>
      </c>
      <c r="AX463" t="s">
        <v>328</v>
      </c>
      <c r="AY463">
        <v>22.25</v>
      </c>
    </row>
    <row r="464" spans="43:51" x14ac:dyDescent="0.25">
      <c r="AQ464" t="s">
        <v>108</v>
      </c>
      <c r="AR464" t="s">
        <v>60</v>
      </c>
      <c r="AS464">
        <v>2000</v>
      </c>
      <c r="AT464" t="s">
        <v>62</v>
      </c>
      <c r="AU464" t="s">
        <v>325</v>
      </c>
      <c r="AV464" t="s">
        <v>306</v>
      </c>
      <c r="AW464" t="s">
        <v>218</v>
      </c>
      <c r="AX464" t="s">
        <v>308</v>
      </c>
      <c r="AY464">
        <v>3.3</v>
      </c>
    </row>
    <row r="465" spans="43:51" x14ac:dyDescent="0.25">
      <c r="AQ465" t="s">
        <v>108</v>
      </c>
      <c r="AR465" t="s">
        <v>60</v>
      </c>
      <c r="AS465">
        <v>2000</v>
      </c>
      <c r="AT465" t="s">
        <v>62</v>
      </c>
      <c r="AU465" t="s">
        <v>325</v>
      </c>
      <c r="AV465" t="s">
        <v>306</v>
      </c>
      <c r="AW465" t="s">
        <v>218</v>
      </c>
      <c r="AX465" t="s">
        <v>309</v>
      </c>
      <c r="AY465">
        <v>8.4</v>
      </c>
    </row>
    <row r="466" spans="43:51" x14ac:dyDescent="0.25">
      <c r="AQ466" t="s">
        <v>108</v>
      </c>
      <c r="AR466" t="s">
        <v>60</v>
      </c>
      <c r="AS466">
        <v>2000</v>
      </c>
      <c r="AT466" t="s">
        <v>62</v>
      </c>
      <c r="AU466" t="s">
        <v>325</v>
      </c>
      <c r="AV466" t="s">
        <v>306</v>
      </c>
      <c r="AW466" t="s">
        <v>218</v>
      </c>
      <c r="AX466" t="s">
        <v>268</v>
      </c>
      <c r="AY466">
        <v>11.7</v>
      </c>
    </row>
    <row r="467" spans="43:51" x14ac:dyDescent="0.25">
      <c r="AQ467" t="s">
        <v>108</v>
      </c>
      <c r="AR467" t="s">
        <v>60</v>
      </c>
      <c r="AS467">
        <v>2000</v>
      </c>
      <c r="AT467" t="s">
        <v>62</v>
      </c>
      <c r="AU467" t="s">
        <v>325</v>
      </c>
      <c r="AV467" t="s">
        <v>306</v>
      </c>
      <c r="AW467" t="s">
        <v>238</v>
      </c>
      <c r="AX467" t="s">
        <v>308</v>
      </c>
      <c r="AY467">
        <v>0</v>
      </c>
    </row>
    <row r="468" spans="43:51" x14ac:dyDescent="0.25">
      <c r="AQ468" t="s">
        <v>108</v>
      </c>
      <c r="AR468" t="s">
        <v>60</v>
      </c>
      <c r="AS468">
        <v>2000</v>
      </c>
      <c r="AT468" t="s">
        <v>62</v>
      </c>
      <c r="AU468" t="s">
        <v>325</v>
      </c>
      <c r="AV468" t="s">
        <v>306</v>
      </c>
      <c r="AW468" t="s">
        <v>238</v>
      </c>
      <c r="AX468" t="s">
        <v>309</v>
      </c>
      <c r="AY468">
        <v>0</v>
      </c>
    </row>
    <row r="469" spans="43:51" x14ac:dyDescent="0.25">
      <c r="AQ469" t="s">
        <v>108</v>
      </c>
      <c r="AR469" t="s">
        <v>60</v>
      </c>
      <c r="AS469">
        <v>2000</v>
      </c>
      <c r="AT469" t="s">
        <v>62</v>
      </c>
      <c r="AU469" t="s">
        <v>325</v>
      </c>
      <c r="AV469" t="s">
        <v>306</v>
      </c>
      <c r="AW469" t="s">
        <v>238</v>
      </c>
      <c r="AX469" t="s">
        <v>268</v>
      </c>
      <c r="AY469">
        <v>0</v>
      </c>
    </row>
    <row r="470" spans="43:51" x14ac:dyDescent="0.25">
      <c r="AQ470" t="s">
        <v>108</v>
      </c>
      <c r="AR470" t="s">
        <v>60</v>
      </c>
      <c r="AS470">
        <v>2000</v>
      </c>
      <c r="AT470" t="s">
        <v>62</v>
      </c>
      <c r="AU470" t="s">
        <v>325</v>
      </c>
      <c r="AV470" t="s">
        <v>306</v>
      </c>
      <c r="AW470" t="s">
        <v>239</v>
      </c>
      <c r="AX470" t="s">
        <v>308</v>
      </c>
      <c r="AY470">
        <v>2.6</v>
      </c>
    </row>
    <row r="471" spans="43:51" x14ac:dyDescent="0.25">
      <c r="AQ471" t="s">
        <v>108</v>
      </c>
      <c r="AR471" t="s">
        <v>60</v>
      </c>
      <c r="AS471">
        <v>2000</v>
      </c>
      <c r="AT471" t="s">
        <v>62</v>
      </c>
      <c r="AU471" t="s">
        <v>325</v>
      </c>
      <c r="AV471" t="s">
        <v>306</v>
      </c>
      <c r="AW471" t="s">
        <v>239</v>
      </c>
      <c r="AX471" t="s">
        <v>309</v>
      </c>
      <c r="AY471">
        <v>1.7</v>
      </c>
    </row>
    <row r="472" spans="43:51" x14ac:dyDescent="0.25">
      <c r="AQ472" t="s">
        <v>108</v>
      </c>
      <c r="AR472" t="s">
        <v>60</v>
      </c>
      <c r="AS472">
        <v>2000</v>
      </c>
      <c r="AT472" t="s">
        <v>62</v>
      </c>
      <c r="AU472" t="s">
        <v>325</v>
      </c>
      <c r="AV472" t="s">
        <v>306</v>
      </c>
      <c r="AW472" t="s">
        <v>239</v>
      </c>
      <c r="AX472" t="s">
        <v>268</v>
      </c>
      <c r="AY472">
        <v>4.3</v>
      </c>
    </row>
    <row r="473" spans="43:51" x14ac:dyDescent="0.25">
      <c r="AQ473" t="s">
        <v>108</v>
      </c>
      <c r="AR473" t="s">
        <v>60</v>
      </c>
      <c r="AS473">
        <v>2000</v>
      </c>
      <c r="AT473" t="s">
        <v>62</v>
      </c>
      <c r="AU473" t="s">
        <v>325</v>
      </c>
      <c r="AV473" t="s">
        <v>306</v>
      </c>
      <c r="AW473" t="s">
        <v>240</v>
      </c>
      <c r="AX473" t="s">
        <v>308</v>
      </c>
      <c r="AY473">
        <v>0</v>
      </c>
    </row>
    <row r="474" spans="43:51" x14ac:dyDescent="0.25">
      <c r="AQ474" t="s">
        <v>108</v>
      </c>
      <c r="AR474" t="s">
        <v>60</v>
      </c>
      <c r="AS474">
        <v>2000</v>
      </c>
      <c r="AT474" t="s">
        <v>62</v>
      </c>
      <c r="AU474" t="s">
        <v>325</v>
      </c>
      <c r="AV474" t="s">
        <v>306</v>
      </c>
      <c r="AW474" t="s">
        <v>240</v>
      </c>
      <c r="AX474" t="s">
        <v>309</v>
      </c>
      <c r="AY474">
        <v>0</v>
      </c>
    </row>
    <row r="475" spans="43:51" x14ac:dyDescent="0.25">
      <c r="AQ475" t="s">
        <v>108</v>
      </c>
      <c r="AR475" t="s">
        <v>60</v>
      </c>
      <c r="AS475">
        <v>2000</v>
      </c>
      <c r="AT475" t="s">
        <v>62</v>
      </c>
      <c r="AU475" t="s">
        <v>325</v>
      </c>
      <c r="AV475" t="s">
        <v>306</v>
      </c>
      <c r="AW475" t="s">
        <v>240</v>
      </c>
      <c r="AX475" t="s">
        <v>268</v>
      </c>
      <c r="AY475">
        <v>0</v>
      </c>
    </row>
    <row r="476" spans="43:51" x14ac:dyDescent="0.25">
      <c r="AQ476" t="s">
        <v>108</v>
      </c>
      <c r="AR476" t="s">
        <v>60</v>
      </c>
      <c r="AS476">
        <v>2000</v>
      </c>
      <c r="AT476" t="s">
        <v>62</v>
      </c>
      <c r="AU476" t="s">
        <v>325</v>
      </c>
      <c r="AV476" t="s">
        <v>306</v>
      </c>
      <c r="AW476" t="s">
        <v>314</v>
      </c>
      <c r="AX476" t="s">
        <v>308</v>
      </c>
      <c r="AY476">
        <v>0</v>
      </c>
    </row>
    <row r="477" spans="43:51" x14ac:dyDescent="0.25">
      <c r="AQ477" t="s">
        <v>108</v>
      </c>
      <c r="AR477" t="s">
        <v>60</v>
      </c>
      <c r="AS477">
        <v>2000</v>
      </c>
      <c r="AT477" t="s">
        <v>62</v>
      </c>
      <c r="AU477" t="s">
        <v>325</v>
      </c>
      <c r="AV477" t="s">
        <v>306</v>
      </c>
      <c r="AW477" t="s">
        <v>314</v>
      </c>
      <c r="AX477" t="s">
        <v>309</v>
      </c>
      <c r="AY477">
        <v>0</v>
      </c>
    </row>
    <row r="478" spans="43:51" x14ac:dyDescent="0.25">
      <c r="AQ478" t="s">
        <v>108</v>
      </c>
      <c r="AR478" t="s">
        <v>60</v>
      </c>
      <c r="AS478">
        <v>2000</v>
      </c>
      <c r="AT478" t="s">
        <v>62</v>
      </c>
      <c r="AU478" t="s">
        <v>325</v>
      </c>
      <c r="AV478" t="s">
        <v>306</v>
      </c>
      <c r="AW478" t="s">
        <v>314</v>
      </c>
      <c r="AX478" t="s">
        <v>268</v>
      </c>
      <c r="AY478">
        <v>0</v>
      </c>
    </row>
    <row r="479" spans="43:51" x14ac:dyDescent="0.25">
      <c r="AQ479" t="s">
        <v>108</v>
      </c>
      <c r="AR479" t="s">
        <v>60</v>
      </c>
      <c r="AS479">
        <v>2000</v>
      </c>
      <c r="AT479" t="s">
        <v>62</v>
      </c>
      <c r="AU479" t="s">
        <v>325</v>
      </c>
      <c r="AV479" t="s">
        <v>306</v>
      </c>
      <c r="AW479" t="s">
        <v>242</v>
      </c>
      <c r="AX479" t="s">
        <v>308</v>
      </c>
      <c r="AY479">
        <v>0</v>
      </c>
    </row>
    <row r="480" spans="43:51" x14ac:dyDescent="0.25">
      <c r="AQ480" t="s">
        <v>108</v>
      </c>
      <c r="AR480" t="s">
        <v>60</v>
      </c>
      <c r="AS480">
        <v>2000</v>
      </c>
      <c r="AT480" t="s">
        <v>62</v>
      </c>
      <c r="AU480" t="s">
        <v>325</v>
      </c>
      <c r="AV480" t="s">
        <v>306</v>
      </c>
      <c r="AW480" t="s">
        <v>242</v>
      </c>
      <c r="AX480" t="s">
        <v>309</v>
      </c>
      <c r="AY480">
        <v>0</v>
      </c>
    </row>
    <row r="481" spans="43:51" x14ac:dyDescent="0.25">
      <c r="AQ481" t="s">
        <v>108</v>
      </c>
      <c r="AR481" t="s">
        <v>60</v>
      </c>
      <c r="AS481">
        <v>2000</v>
      </c>
      <c r="AT481" t="s">
        <v>62</v>
      </c>
      <c r="AU481" t="s">
        <v>325</v>
      </c>
      <c r="AV481" t="s">
        <v>306</v>
      </c>
      <c r="AW481" t="s">
        <v>242</v>
      </c>
      <c r="AX481" t="s">
        <v>268</v>
      </c>
      <c r="AY481">
        <v>0</v>
      </c>
    </row>
    <row r="482" spans="43:51" x14ac:dyDescent="0.25">
      <c r="AQ482" t="s">
        <v>108</v>
      </c>
      <c r="AR482" t="s">
        <v>60</v>
      </c>
      <c r="AS482">
        <v>2000</v>
      </c>
      <c r="AT482" t="s">
        <v>62</v>
      </c>
      <c r="AU482" t="s">
        <v>325</v>
      </c>
      <c r="AV482" t="s">
        <v>306</v>
      </c>
      <c r="AW482" t="s">
        <v>243</v>
      </c>
      <c r="AX482" t="s">
        <v>326</v>
      </c>
      <c r="AY482">
        <v>0</v>
      </c>
    </row>
    <row r="483" spans="43:51" x14ac:dyDescent="0.25">
      <c r="AQ483" t="s">
        <v>108</v>
      </c>
      <c r="AR483" t="s">
        <v>60</v>
      </c>
      <c r="AS483">
        <v>2000</v>
      </c>
      <c r="AT483" t="s">
        <v>62</v>
      </c>
      <c r="AU483" t="s">
        <v>325</v>
      </c>
      <c r="AV483" t="s">
        <v>306</v>
      </c>
      <c r="AW483" t="s">
        <v>243</v>
      </c>
      <c r="AX483" t="s">
        <v>327</v>
      </c>
      <c r="AY483">
        <v>0</v>
      </c>
    </row>
    <row r="484" spans="43:51" x14ac:dyDescent="0.25">
      <c r="AQ484" t="s">
        <v>108</v>
      </c>
      <c r="AR484" t="s">
        <v>60</v>
      </c>
      <c r="AS484">
        <v>2000</v>
      </c>
      <c r="AT484" t="s">
        <v>62</v>
      </c>
      <c r="AU484" t="s">
        <v>325</v>
      </c>
      <c r="AV484" t="s">
        <v>306</v>
      </c>
      <c r="AW484" t="s">
        <v>243</v>
      </c>
      <c r="AX484" t="s">
        <v>328</v>
      </c>
      <c r="AY484">
        <v>16</v>
      </c>
    </row>
    <row r="485" spans="43:51" x14ac:dyDescent="0.25">
      <c r="AQ485" t="s">
        <v>110</v>
      </c>
      <c r="AR485" t="s">
        <v>60</v>
      </c>
      <c r="AS485">
        <v>2004</v>
      </c>
      <c r="AT485" t="s">
        <v>36</v>
      </c>
      <c r="AU485" t="s">
        <v>325</v>
      </c>
      <c r="AV485" t="s">
        <v>306</v>
      </c>
      <c r="AW485" t="s">
        <v>218</v>
      </c>
      <c r="AX485" t="s">
        <v>308</v>
      </c>
      <c r="AY485">
        <v>0</v>
      </c>
    </row>
    <row r="486" spans="43:51" x14ac:dyDescent="0.25">
      <c r="AQ486" t="s">
        <v>110</v>
      </c>
      <c r="AR486" t="s">
        <v>60</v>
      </c>
      <c r="AS486">
        <v>2004</v>
      </c>
      <c r="AT486" t="s">
        <v>36</v>
      </c>
      <c r="AU486" t="s">
        <v>325</v>
      </c>
      <c r="AV486" t="s">
        <v>306</v>
      </c>
      <c r="AW486" t="s">
        <v>218</v>
      </c>
      <c r="AX486" t="s">
        <v>309</v>
      </c>
      <c r="AY486">
        <v>0</v>
      </c>
    </row>
    <row r="487" spans="43:51" x14ac:dyDescent="0.25">
      <c r="AQ487" t="s">
        <v>110</v>
      </c>
      <c r="AR487" t="s">
        <v>60</v>
      </c>
      <c r="AS487">
        <v>2004</v>
      </c>
      <c r="AT487" t="s">
        <v>36</v>
      </c>
      <c r="AU487" t="s">
        <v>325</v>
      </c>
      <c r="AV487" t="s">
        <v>306</v>
      </c>
      <c r="AW487" t="s">
        <v>218</v>
      </c>
      <c r="AX487" t="s">
        <v>268</v>
      </c>
      <c r="AY487">
        <v>0</v>
      </c>
    </row>
    <row r="488" spans="43:51" x14ac:dyDescent="0.25">
      <c r="AQ488" t="s">
        <v>110</v>
      </c>
      <c r="AR488" t="s">
        <v>60</v>
      </c>
      <c r="AS488">
        <v>2004</v>
      </c>
      <c r="AT488" t="s">
        <v>36</v>
      </c>
      <c r="AU488" t="s">
        <v>325</v>
      </c>
      <c r="AV488" t="s">
        <v>306</v>
      </c>
      <c r="AW488" t="s">
        <v>238</v>
      </c>
      <c r="AX488" t="s">
        <v>308</v>
      </c>
      <c r="AY488">
        <v>3.1</v>
      </c>
    </row>
    <row r="489" spans="43:51" x14ac:dyDescent="0.25">
      <c r="AQ489" t="s">
        <v>110</v>
      </c>
      <c r="AR489" t="s">
        <v>60</v>
      </c>
      <c r="AS489">
        <v>2004</v>
      </c>
      <c r="AT489" t="s">
        <v>36</v>
      </c>
      <c r="AU489" t="s">
        <v>325</v>
      </c>
      <c r="AV489" t="s">
        <v>306</v>
      </c>
      <c r="AW489" t="s">
        <v>238</v>
      </c>
      <c r="AX489" t="s">
        <v>309</v>
      </c>
      <c r="AY489">
        <v>6</v>
      </c>
    </row>
    <row r="490" spans="43:51" x14ac:dyDescent="0.25">
      <c r="AQ490" t="s">
        <v>110</v>
      </c>
      <c r="AR490" t="s">
        <v>60</v>
      </c>
      <c r="AS490">
        <v>2004</v>
      </c>
      <c r="AT490" t="s">
        <v>36</v>
      </c>
      <c r="AU490" t="s">
        <v>325</v>
      </c>
      <c r="AV490" t="s">
        <v>306</v>
      </c>
      <c r="AW490" t="s">
        <v>238</v>
      </c>
      <c r="AX490" t="s">
        <v>268</v>
      </c>
      <c r="AY490">
        <v>9.1</v>
      </c>
    </row>
    <row r="491" spans="43:51" x14ac:dyDescent="0.25">
      <c r="AQ491" t="s">
        <v>110</v>
      </c>
      <c r="AR491" t="s">
        <v>60</v>
      </c>
      <c r="AS491">
        <v>2004</v>
      </c>
      <c r="AT491" t="s">
        <v>36</v>
      </c>
      <c r="AU491" t="s">
        <v>325</v>
      </c>
      <c r="AV491" t="s">
        <v>306</v>
      </c>
      <c r="AW491" t="s">
        <v>239</v>
      </c>
      <c r="AX491" t="s">
        <v>308</v>
      </c>
      <c r="AY491">
        <v>0</v>
      </c>
    </row>
    <row r="492" spans="43:51" x14ac:dyDescent="0.25">
      <c r="AQ492" t="s">
        <v>110</v>
      </c>
      <c r="AR492" t="s">
        <v>60</v>
      </c>
      <c r="AS492">
        <v>2004</v>
      </c>
      <c r="AT492" t="s">
        <v>36</v>
      </c>
      <c r="AU492" t="s">
        <v>325</v>
      </c>
      <c r="AV492" t="s">
        <v>306</v>
      </c>
      <c r="AW492" t="s">
        <v>239</v>
      </c>
      <c r="AX492" t="s">
        <v>309</v>
      </c>
      <c r="AY492">
        <v>0</v>
      </c>
    </row>
    <row r="493" spans="43:51" x14ac:dyDescent="0.25">
      <c r="AQ493" t="s">
        <v>110</v>
      </c>
      <c r="AR493" t="s">
        <v>60</v>
      </c>
      <c r="AS493">
        <v>2004</v>
      </c>
      <c r="AT493" t="s">
        <v>36</v>
      </c>
      <c r="AU493" t="s">
        <v>325</v>
      </c>
      <c r="AV493" t="s">
        <v>306</v>
      </c>
      <c r="AW493" t="s">
        <v>239</v>
      </c>
      <c r="AX493" t="s">
        <v>268</v>
      </c>
      <c r="AY493">
        <v>0</v>
      </c>
    </row>
    <row r="494" spans="43:51" x14ac:dyDescent="0.25">
      <c r="AQ494" t="s">
        <v>110</v>
      </c>
      <c r="AR494" t="s">
        <v>60</v>
      </c>
      <c r="AS494">
        <v>2004</v>
      </c>
      <c r="AT494" t="s">
        <v>36</v>
      </c>
      <c r="AU494" t="s">
        <v>325</v>
      </c>
      <c r="AV494" t="s">
        <v>306</v>
      </c>
      <c r="AW494" t="s">
        <v>240</v>
      </c>
      <c r="AX494" t="s">
        <v>308</v>
      </c>
      <c r="AY494">
        <v>0</v>
      </c>
    </row>
    <row r="495" spans="43:51" x14ac:dyDescent="0.25">
      <c r="AQ495" t="s">
        <v>110</v>
      </c>
      <c r="AR495" t="s">
        <v>60</v>
      </c>
      <c r="AS495">
        <v>2004</v>
      </c>
      <c r="AT495" t="s">
        <v>36</v>
      </c>
      <c r="AU495" t="s">
        <v>325</v>
      </c>
      <c r="AV495" t="s">
        <v>306</v>
      </c>
      <c r="AW495" t="s">
        <v>240</v>
      </c>
      <c r="AX495" t="s">
        <v>309</v>
      </c>
      <c r="AY495">
        <v>0</v>
      </c>
    </row>
    <row r="496" spans="43:51" x14ac:dyDescent="0.25">
      <c r="AQ496" t="s">
        <v>110</v>
      </c>
      <c r="AR496" t="s">
        <v>60</v>
      </c>
      <c r="AS496">
        <v>2004</v>
      </c>
      <c r="AT496" t="s">
        <v>36</v>
      </c>
      <c r="AU496" t="s">
        <v>325</v>
      </c>
      <c r="AV496" t="s">
        <v>306</v>
      </c>
      <c r="AW496" t="s">
        <v>240</v>
      </c>
      <c r="AX496" t="s">
        <v>268</v>
      </c>
      <c r="AY496">
        <v>0</v>
      </c>
    </row>
    <row r="497" spans="43:51" x14ac:dyDescent="0.25">
      <c r="AQ497" t="s">
        <v>110</v>
      </c>
      <c r="AR497" t="s">
        <v>60</v>
      </c>
      <c r="AS497">
        <v>2004</v>
      </c>
      <c r="AT497" t="s">
        <v>36</v>
      </c>
      <c r="AU497" t="s">
        <v>325</v>
      </c>
      <c r="AV497" t="s">
        <v>306</v>
      </c>
      <c r="AW497" t="s">
        <v>314</v>
      </c>
      <c r="AX497" t="s">
        <v>308</v>
      </c>
      <c r="AY497">
        <v>0</v>
      </c>
    </row>
    <row r="498" spans="43:51" x14ac:dyDescent="0.25">
      <c r="AQ498" t="s">
        <v>110</v>
      </c>
      <c r="AR498" t="s">
        <v>60</v>
      </c>
      <c r="AS498">
        <v>2004</v>
      </c>
      <c r="AT498" t="s">
        <v>36</v>
      </c>
      <c r="AU498" t="s">
        <v>325</v>
      </c>
      <c r="AV498" t="s">
        <v>306</v>
      </c>
      <c r="AW498" t="s">
        <v>314</v>
      </c>
      <c r="AX498" t="s">
        <v>309</v>
      </c>
      <c r="AY498">
        <v>0</v>
      </c>
    </row>
    <row r="499" spans="43:51" x14ac:dyDescent="0.25">
      <c r="AQ499" t="s">
        <v>110</v>
      </c>
      <c r="AR499" t="s">
        <v>60</v>
      </c>
      <c r="AS499">
        <v>2004</v>
      </c>
      <c r="AT499" t="s">
        <v>36</v>
      </c>
      <c r="AU499" t="s">
        <v>325</v>
      </c>
      <c r="AV499" t="s">
        <v>306</v>
      </c>
      <c r="AW499" t="s">
        <v>314</v>
      </c>
      <c r="AX499" t="s">
        <v>268</v>
      </c>
      <c r="AY499">
        <v>0</v>
      </c>
    </row>
    <row r="500" spans="43:51" x14ac:dyDescent="0.25">
      <c r="AQ500" t="s">
        <v>110</v>
      </c>
      <c r="AR500" t="s">
        <v>60</v>
      </c>
      <c r="AS500">
        <v>2004</v>
      </c>
      <c r="AT500" t="s">
        <v>36</v>
      </c>
      <c r="AU500" t="s">
        <v>325</v>
      </c>
      <c r="AV500" t="s">
        <v>306</v>
      </c>
      <c r="AW500" t="s">
        <v>242</v>
      </c>
      <c r="AX500" t="s">
        <v>308</v>
      </c>
      <c r="AY500">
        <v>0</v>
      </c>
    </row>
    <row r="501" spans="43:51" x14ac:dyDescent="0.25">
      <c r="AQ501" t="s">
        <v>110</v>
      </c>
      <c r="AR501" t="s">
        <v>60</v>
      </c>
      <c r="AS501">
        <v>2004</v>
      </c>
      <c r="AT501" t="s">
        <v>36</v>
      </c>
      <c r="AU501" t="s">
        <v>325</v>
      </c>
      <c r="AV501" t="s">
        <v>306</v>
      </c>
      <c r="AW501" t="s">
        <v>242</v>
      </c>
      <c r="AX501" t="s">
        <v>309</v>
      </c>
      <c r="AY501">
        <v>0</v>
      </c>
    </row>
    <row r="502" spans="43:51" x14ac:dyDescent="0.25">
      <c r="AQ502" t="s">
        <v>110</v>
      </c>
      <c r="AR502" t="s">
        <v>60</v>
      </c>
      <c r="AS502">
        <v>2004</v>
      </c>
      <c r="AT502" t="s">
        <v>36</v>
      </c>
      <c r="AU502" t="s">
        <v>325</v>
      </c>
      <c r="AV502" t="s">
        <v>306</v>
      </c>
      <c r="AW502" t="s">
        <v>242</v>
      </c>
      <c r="AX502" t="s">
        <v>268</v>
      </c>
      <c r="AY502">
        <v>0</v>
      </c>
    </row>
    <row r="503" spans="43:51" x14ac:dyDescent="0.25">
      <c r="AQ503" t="s">
        <v>110</v>
      </c>
      <c r="AR503" t="s">
        <v>60</v>
      </c>
      <c r="AS503">
        <v>2004</v>
      </c>
      <c r="AT503" t="s">
        <v>36</v>
      </c>
      <c r="AU503" t="s">
        <v>325</v>
      </c>
      <c r="AV503" t="s">
        <v>306</v>
      </c>
      <c r="AW503" t="s">
        <v>243</v>
      </c>
      <c r="AX503" t="s">
        <v>326</v>
      </c>
      <c r="AY503">
        <v>0</v>
      </c>
    </row>
    <row r="504" spans="43:51" x14ac:dyDescent="0.25">
      <c r="AQ504" t="s">
        <v>110</v>
      </c>
      <c r="AR504" t="s">
        <v>60</v>
      </c>
      <c r="AS504">
        <v>2004</v>
      </c>
      <c r="AT504" t="s">
        <v>36</v>
      </c>
      <c r="AU504" t="s">
        <v>325</v>
      </c>
      <c r="AV504" t="s">
        <v>306</v>
      </c>
      <c r="AW504" t="s">
        <v>243</v>
      </c>
      <c r="AX504" t="s">
        <v>327</v>
      </c>
      <c r="AY504">
        <v>0</v>
      </c>
    </row>
    <row r="505" spans="43:51" x14ac:dyDescent="0.25">
      <c r="AQ505" t="s">
        <v>110</v>
      </c>
      <c r="AR505" t="s">
        <v>60</v>
      </c>
      <c r="AS505">
        <v>2004</v>
      </c>
      <c r="AT505" t="s">
        <v>36</v>
      </c>
      <c r="AU505" t="s">
        <v>325</v>
      </c>
      <c r="AV505" t="s">
        <v>306</v>
      </c>
      <c r="AW505" t="s">
        <v>243</v>
      </c>
      <c r="AX505" t="s">
        <v>328</v>
      </c>
      <c r="AY505">
        <v>9.1</v>
      </c>
    </row>
    <row r="506" spans="43:51" x14ac:dyDescent="0.25">
      <c r="AQ506" t="s">
        <v>25</v>
      </c>
      <c r="AR506" t="s">
        <v>26</v>
      </c>
      <c r="AS506">
        <v>2008</v>
      </c>
      <c r="AT506" t="s">
        <v>28</v>
      </c>
      <c r="AU506" t="s">
        <v>325</v>
      </c>
      <c r="AV506" t="s">
        <v>305</v>
      </c>
      <c r="AW506" t="s">
        <v>218</v>
      </c>
      <c r="AX506" t="s">
        <v>308</v>
      </c>
      <c r="AY506">
        <v>4</v>
      </c>
    </row>
    <row r="507" spans="43:51" x14ac:dyDescent="0.25">
      <c r="AQ507" t="s">
        <v>25</v>
      </c>
      <c r="AR507" t="s">
        <v>26</v>
      </c>
      <c r="AS507">
        <v>2008</v>
      </c>
      <c r="AT507" t="s">
        <v>28</v>
      </c>
      <c r="AU507" t="s">
        <v>325</v>
      </c>
      <c r="AV507" t="s">
        <v>305</v>
      </c>
      <c r="AW507" t="s">
        <v>218</v>
      </c>
      <c r="AX507" t="s">
        <v>309</v>
      </c>
      <c r="AY507">
        <v>8.6999999999999993</v>
      </c>
    </row>
    <row r="508" spans="43:51" x14ac:dyDescent="0.25">
      <c r="AQ508" t="s">
        <v>25</v>
      </c>
      <c r="AR508" t="s">
        <v>26</v>
      </c>
      <c r="AS508">
        <v>2008</v>
      </c>
      <c r="AT508" t="s">
        <v>28</v>
      </c>
      <c r="AU508" t="s">
        <v>325</v>
      </c>
      <c r="AV508" t="s">
        <v>305</v>
      </c>
      <c r="AW508" t="s">
        <v>218</v>
      </c>
      <c r="AX508" t="s">
        <v>268</v>
      </c>
      <c r="AY508">
        <v>12.7</v>
      </c>
    </row>
    <row r="509" spans="43:51" x14ac:dyDescent="0.25">
      <c r="AQ509" t="s">
        <v>25</v>
      </c>
      <c r="AR509" t="s">
        <v>26</v>
      </c>
      <c r="AS509">
        <v>2008</v>
      </c>
      <c r="AT509" t="s">
        <v>28</v>
      </c>
      <c r="AU509" t="s">
        <v>325</v>
      </c>
      <c r="AV509" t="s">
        <v>305</v>
      </c>
      <c r="AW509" t="s">
        <v>238</v>
      </c>
      <c r="AX509" t="s">
        <v>308</v>
      </c>
      <c r="AY509">
        <v>3.8</v>
      </c>
    </row>
    <row r="510" spans="43:51" x14ac:dyDescent="0.25">
      <c r="AQ510" t="s">
        <v>25</v>
      </c>
      <c r="AR510" t="s">
        <v>26</v>
      </c>
      <c r="AS510">
        <v>2008</v>
      </c>
      <c r="AT510" t="s">
        <v>28</v>
      </c>
      <c r="AU510" t="s">
        <v>325</v>
      </c>
      <c r="AV510" t="s">
        <v>305</v>
      </c>
      <c r="AW510" t="s">
        <v>238</v>
      </c>
      <c r="AX510" t="s">
        <v>309</v>
      </c>
      <c r="AY510">
        <v>8.9</v>
      </c>
    </row>
    <row r="511" spans="43:51" x14ac:dyDescent="0.25">
      <c r="AQ511" t="s">
        <v>25</v>
      </c>
      <c r="AR511" t="s">
        <v>26</v>
      </c>
      <c r="AS511">
        <v>2008</v>
      </c>
      <c r="AT511" t="s">
        <v>28</v>
      </c>
      <c r="AU511" t="s">
        <v>325</v>
      </c>
      <c r="AV511" t="s">
        <v>305</v>
      </c>
      <c r="AW511" t="s">
        <v>238</v>
      </c>
      <c r="AX511" t="s">
        <v>268</v>
      </c>
      <c r="AY511">
        <v>12.7</v>
      </c>
    </row>
    <row r="512" spans="43:51" x14ac:dyDescent="0.25">
      <c r="AQ512" t="s">
        <v>25</v>
      </c>
      <c r="AR512" t="s">
        <v>26</v>
      </c>
      <c r="AS512">
        <v>2008</v>
      </c>
      <c r="AT512" t="s">
        <v>28</v>
      </c>
      <c r="AU512" t="s">
        <v>325</v>
      </c>
      <c r="AV512" t="s">
        <v>305</v>
      </c>
      <c r="AW512" t="s">
        <v>239</v>
      </c>
      <c r="AX512" t="s">
        <v>308</v>
      </c>
      <c r="AY512">
        <v>2.6</v>
      </c>
    </row>
    <row r="513" spans="43:51" x14ac:dyDescent="0.25">
      <c r="AQ513" t="s">
        <v>25</v>
      </c>
      <c r="AR513" t="s">
        <v>26</v>
      </c>
      <c r="AS513">
        <v>2008</v>
      </c>
      <c r="AT513" t="s">
        <v>28</v>
      </c>
      <c r="AU513" t="s">
        <v>325</v>
      </c>
      <c r="AV513" t="s">
        <v>305</v>
      </c>
      <c r="AW513" t="s">
        <v>239</v>
      </c>
      <c r="AX513" t="s">
        <v>309</v>
      </c>
      <c r="AY513">
        <v>8.1999999999999993</v>
      </c>
    </row>
    <row r="514" spans="43:51" x14ac:dyDescent="0.25">
      <c r="AQ514" t="s">
        <v>25</v>
      </c>
      <c r="AR514" t="s">
        <v>26</v>
      </c>
      <c r="AS514">
        <v>2008</v>
      </c>
      <c r="AT514" t="s">
        <v>28</v>
      </c>
      <c r="AU514" t="s">
        <v>325</v>
      </c>
      <c r="AV514" t="s">
        <v>305</v>
      </c>
      <c r="AW514" t="s">
        <v>239</v>
      </c>
      <c r="AX514" t="s">
        <v>268</v>
      </c>
      <c r="AY514">
        <v>10.8</v>
      </c>
    </row>
    <row r="515" spans="43:51" x14ac:dyDescent="0.25">
      <c r="AQ515" t="s">
        <v>25</v>
      </c>
      <c r="AR515" t="s">
        <v>26</v>
      </c>
      <c r="AS515">
        <v>2008</v>
      </c>
      <c r="AT515" t="s">
        <v>28</v>
      </c>
      <c r="AU515" t="s">
        <v>325</v>
      </c>
      <c r="AV515" t="s">
        <v>305</v>
      </c>
      <c r="AW515" t="s">
        <v>240</v>
      </c>
      <c r="AX515" t="s">
        <v>308</v>
      </c>
      <c r="AY515">
        <v>2.2000000000000002</v>
      </c>
    </row>
    <row r="516" spans="43:51" x14ac:dyDescent="0.25">
      <c r="AQ516" t="s">
        <v>25</v>
      </c>
      <c r="AR516" t="s">
        <v>26</v>
      </c>
      <c r="AS516">
        <v>2008</v>
      </c>
      <c r="AT516" t="s">
        <v>28</v>
      </c>
      <c r="AU516" t="s">
        <v>325</v>
      </c>
      <c r="AV516" t="s">
        <v>305</v>
      </c>
      <c r="AW516" t="s">
        <v>240</v>
      </c>
      <c r="AX516" t="s">
        <v>309</v>
      </c>
      <c r="AY516">
        <v>9.0500000000000007</v>
      </c>
    </row>
    <row r="517" spans="43:51" x14ac:dyDescent="0.25">
      <c r="AQ517" t="s">
        <v>25</v>
      </c>
      <c r="AR517" t="s">
        <v>26</v>
      </c>
      <c r="AS517">
        <v>2008</v>
      </c>
      <c r="AT517" t="s">
        <v>28</v>
      </c>
      <c r="AU517" t="s">
        <v>325</v>
      </c>
      <c r="AV517" t="s">
        <v>305</v>
      </c>
      <c r="AW517" t="s">
        <v>240</v>
      </c>
      <c r="AX517" t="s">
        <v>268</v>
      </c>
      <c r="AY517">
        <v>11.25</v>
      </c>
    </row>
    <row r="518" spans="43:51" x14ac:dyDescent="0.25">
      <c r="AQ518" t="s">
        <v>25</v>
      </c>
      <c r="AR518" t="s">
        <v>26</v>
      </c>
      <c r="AS518">
        <v>2008</v>
      </c>
      <c r="AT518" t="s">
        <v>28</v>
      </c>
      <c r="AU518" t="s">
        <v>325</v>
      </c>
      <c r="AV518" t="s">
        <v>305</v>
      </c>
      <c r="AW518" t="s">
        <v>314</v>
      </c>
      <c r="AX518" t="s">
        <v>308</v>
      </c>
      <c r="AY518">
        <v>4.2</v>
      </c>
    </row>
    <row r="519" spans="43:51" x14ac:dyDescent="0.25">
      <c r="AQ519" t="s">
        <v>25</v>
      </c>
      <c r="AR519" t="s">
        <v>26</v>
      </c>
      <c r="AS519">
        <v>2008</v>
      </c>
      <c r="AT519" t="s">
        <v>28</v>
      </c>
      <c r="AU519" t="s">
        <v>325</v>
      </c>
      <c r="AV519" t="s">
        <v>305</v>
      </c>
      <c r="AW519" t="s">
        <v>314</v>
      </c>
      <c r="AX519" t="s">
        <v>309</v>
      </c>
      <c r="AY519">
        <v>9.1</v>
      </c>
    </row>
    <row r="520" spans="43:51" x14ac:dyDescent="0.25">
      <c r="AQ520" t="s">
        <v>25</v>
      </c>
      <c r="AR520" t="s">
        <v>26</v>
      </c>
      <c r="AS520">
        <v>2008</v>
      </c>
      <c r="AT520" t="s">
        <v>28</v>
      </c>
      <c r="AU520" t="s">
        <v>325</v>
      </c>
      <c r="AV520" t="s">
        <v>305</v>
      </c>
      <c r="AW520" t="s">
        <v>314</v>
      </c>
      <c r="AX520" t="s">
        <v>268</v>
      </c>
      <c r="AY520">
        <v>13.3</v>
      </c>
    </row>
    <row r="521" spans="43:51" x14ac:dyDescent="0.25">
      <c r="AQ521" t="s">
        <v>25</v>
      </c>
      <c r="AR521" t="s">
        <v>26</v>
      </c>
      <c r="AS521">
        <v>2008</v>
      </c>
      <c r="AT521" t="s">
        <v>28</v>
      </c>
      <c r="AU521" t="s">
        <v>325</v>
      </c>
      <c r="AV521" t="s">
        <v>305</v>
      </c>
      <c r="AW521" t="s">
        <v>242</v>
      </c>
      <c r="AX521" t="s">
        <v>308</v>
      </c>
      <c r="AY521">
        <v>2.7</v>
      </c>
    </row>
    <row r="522" spans="43:51" x14ac:dyDescent="0.25">
      <c r="AQ522" t="s">
        <v>25</v>
      </c>
      <c r="AR522" t="s">
        <v>26</v>
      </c>
      <c r="AS522">
        <v>2008</v>
      </c>
      <c r="AT522" t="s">
        <v>28</v>
      </c>
      <c r="AU522" t="s">
        <v>325</v>
      </c>
      <c r="AV522" t="s">
        <v>305</v>
      </c>
      <c r="AW522" t="s">
        <v>242</v>
      </c>
      <c r="AX522" t="s">
        <v>309</v>
      </c>
      <c r="AY522">
        <v>9.1</v>
      </c>
    </row>
    <row r="523" spans="43:51" x14ac:dyDescent="0.25">
      <c r="AQ523" t="s">
        <v>25</v>
      </c>
      <c r="AR523" t="s">
        <v>26</v>
      </c>
      <c r="AS523">
        <v>2008</v>
      </c>
      <c r="AT523" t="s">
        <v>28</v>
      </c>
      <c r="AU523" t="s">
        <v>325</v>
      </c>
      <c r="AV523" t="s">
        <v>305</v>
      </c>
      <c r="AW523" t="s">
        <v>242</v>
      </c>
      <c r="AX523" t="s">
        <v>268</v>
      </c>
      <c r="AY523">
        <v>11.8</v>
      </c>
    </row>
    <row r="524" spans="43:51" x14ac:dyDescent="0.25">
      <c r="AQ524" t="s">
        <v>25</v>
      </c>
      <c r="AR524" t="s">
        <v>26</v>
      </c>
      <c r="AS524">
        <v>2008</v>
      </c>
      <c r="AT524" t="s">
        <v>28</v>
      </c>
      <c r="AU524" t="s">
        <v>325</v>
      </c>
      <c r="AV524" t="s">
        <v>305</v>
      </c>
      <c r="AW524" t="s">
        <v>243</v>
      </c>
      <c r="AX524" t="s">
        <v>326</v>
      </c>
      <c r="AY524">
        <v>19.5</v>
      </c>
    </row>
    <row r="525" spans="43:51" x14ac:dyDescent="0.25">
      <c r="AQ525" t="s">
        <v>25</v>
      </c>
      <c r="AR525" t="s">
        <v>26</v>
      </c>
      <c r="AS525">
        <v>2008</v>
      </c>
      <c r="AT525" t="s">
        <v>28</v>
      </c>
      <c r="AU525" t="s">
        <v>325</v>
      </c>
      <c r="AV525" t="s">
        <v>305</v>
      </c>
      <c r="AW525" t="s">
        <v>243</v>
      </c>
      <c r="AX525" t="s">
        <v>327</v>
      </c>
      <c r="AY525">
        <v>53.050000000000004</v>
      </c>
    </row>
    <row r="526" spans="43:51" x14ac:dyDescent="0.25">
      <c r="AQ526" t="s">
        <v>25</v>
      </c>
      <c r="AR526" t="s">
        <v>26</v>
      </c>
      <c r="AS526">
        <v>2008</v>
      </c>
      <c r="AT526" t="s">
        <v>28</v>
      </c>
      <c r="AU526" t="s">
        <v>325</v>
      </c>
      <c r="AV526" t="s">
        <v>305</v>
      </c>
      <c r="AW526" t="s">
        <v>243</v>
      </c>
      <c r="AX526" t="s">
        <v>328</v>
      </c>
      <c r="AY526">
        <v>72.55</v>
      </c>
    </row>
    <row r="527" spans="43:51" x14ac:dyDescent="0.25">
      <c r="AQ527" t="s">
        <v>29</v>
      </c>
      <c r="AR527" t="s">
        <v>26</v>
      </c>
      <c r="AS527">
        <v>2005</v>
      </c>
      <c r="AT527" t="s">
        <v>31</v>
      </c>
      <c r="AU527" t="s">
        <v>325</v>
      </c>
      <c r="AV527" t="s">
        <v>305</v>
      </c>
      <c r="AW527" t="s">
        <v>218</v>
      </c>
      <c r="AX527" t="s">
        <v>308</v>
      </c>
      <c r="AY527">
        <v>4.3</v>
      </c>
    </row>
    <row r="528" spans="43:51" x14ac:dyDescent="0.25">
      <c r="AQ528" t="s">
        <v>29</v>
      </c>
      <c r="AR528" t="s">
        <v>26</v>
      </c>
      <c r="AS528">
        <v>2005</v>
      </c>
      <c r="AT528" t="s">
        <v>31</v>
      </c>
      <c r="AU528" t="s">
        <v>325</v>
      </c>
      <c r="AV528" t="s">
        <v>305</v>
      </c>
      <c r="AW528" t="s">
        <v>218</v>
      </c>
      <c r="AX528" t="s">
        <v>309</v>
      </c>
      <c r="AY528">
        <v>8.15</v>
      </c>
    </row>
    <row r="529" spans="43:51" x14ac:dyDescent="0.25">
      <c r="AQ529" t="s">
        <v>29</v>
      </c>
      <c r="AR529" t="s">
        <v>26</v>
      </c>
      <c r="AS529">
        <v>2005</v>
      </c>
      <c r="AT529" t="s">
        <v>31</v>
      </c>
      <c r="AU529" t="s">
        <v>325</v>
      </c>
      <c r="AV529" t="s">
        <v>305</v>
      </c>
      <c r="AW529" t="s">
        <v>218</v>
      </c>
      <c r="AX529" t="s">
        <v>268</v>
      </c>
      <c r="AY529">
        <v>12.45</v>
      </c>
    </row>
    <row r="530" spans="43:51" x14ac:dyDescent="0.25">
      <c r="AQ530" t="s">
        <v>29</v>
      </c>
      <c r="AR530" t="s">
        <v>26</v>
      </c>
      <c r="AS530">
        <v>2005</v>
      </c>
      <c r="AT530" t="s">
        <v>31</v>
      </c>
      <c r="AU530" t="s">
        <v>325</v>
      </c>
      <c r="AV530" t="s">
        <v>305</v>
      </c>
      <c r="AW530" t="s">
        <v>238</v>
      </c>
      <c r="AX530" t="s">
        <v>308</v>
      </c>
      <c r="AY530">
        <v>3.6</v>
      </c>
    </row>
    <row r="531" spans="43:51" x14ac:dyDescent="0.25">
      <c r="AQ531" t="s">
        <v>29</v>
      </c>
      <c r="AR531" t="s">
        <v>26</v>
      </c>
      <c r="AS531">
        <v>2005</v>
      </c>
      <c r="AT531" t="s">
        <v>31</v>
      </c>
      <c r="AU531" t="s">
        <v>325</v>
      </c>
      <c r="AV531" t="s">
        <v>305</v>
      </c>
      <c r="AW531" t="s">
        <v>238</v>
      </c>
      <c r="AX531" t="s">
        <v>309</v>
      </c>
      <c r="AY531">
        <v>8.35</v>
      </c>
    </row>
    <row r="532" spans="43:51" x14ac:dyDescent="0.25">
      <c r="AQ532" t="s">
        <v>29</v>
      </c>
      <c r="AR532" t="s">
        <v>26</v>
      </c>
      <c r="AS532">
        <v>2005</v>
      </c>
      <c r="AT532" t="s">
        <v>31</v>
      </c>
      <c r="AU532" t="s">
        <v>325</v>
      </c>
      <c r="AV532" t="s">
        <v>305</v>
      </c>
      <c r="AW532" t="s">
        <v>238</v>
      </c>
      <c r="AX532" t="s">
        <v>268</v>
      </c>
      <c r="AY532">
        <v>11.95</v>
      </c>
    </row>
    <row r="533" spans="43:51" x14ac:dyDescent="0.25">
      <c r="AQ533" t="s">
        <v>29</v>
      </c>
      <c r="AR533" t="s">
        <v>26</v>
      </c>
      <c r="AS533">
        <v>2005</v>
      </c>
      <c r="AT533" t="s">
        <v>31</v>
      </c>
      <c r="AU533" t="s">
        <v>325</v>
      </c>
      <c r="AV533" t="s">
        <v>305</v>
      </c>
      <c r="AW533" t="s">
        <v>239</v>
      </c>
      <c r="AX533" t="s">
        <v>308</v>
      </c>
      <c r="AY533">
        <v>2.9</v>
      </c>
    </row>
    <row r="534" spans="43:51" x14ac:dyDescent="0.25">
      <c r="AQ534" t="s">
        <v>29</v>
      </c>
      <c r="AR534" t="s">
        <v>26</v>
      </c>
      <c r="AS534">
        <v>2005</v>
      </c>
      <c r="AT534" t="s">
        <v>31</v>
      </c>
      <c r="AU534" t="s">
        <v>325</v>
      </c>
      <c r="AV534" t="s">
        <v>305</v>
      </c>
      <c r="AW534" t="s">
        <v>239</v>
      </c>
      <c r="AX534" t="s">
        <v>309</v>
      </c>
      <c r="AY534">
        <v>8.1</v>
      </c>
    </row>
    <row r="535" spans="43:51" x14ac:dyDescent="0.25">
      <c r="AQ535" t="s">
        <v>29</v>
      </c>
      <c r="AR535" t="s">
        <v>26</v>
      </c>
      <c r="AS535">
        <v>2005</v>
      </c>
      <c r="AT535" t="s">
        <v>31</v>
      </c>
      <c r="AU535" t="s">
        <v>325</v>
      </c>
      <c r="AV535" t="s">
        <v>305</v>
      </c>
      <c r="AW535" t="s">
        <v>239</v>
      </c>
      <c r="AX535" t="s">
        <v>268</v>
      </c>
      <c r="AY535">
        <v>11</v>
      </c>
    </row>
    <row r="536" spans="43:51" x14ac:dyDescent="0.25">
      <c r="AQ536" t="s">
        <v>29</v>
      </c>
      <c r="AR536" t="s">
        <v>26</v>
      </c>
      <c r="AS536">
        <v>2005</v>
      </c>
      <c r="AT536" t="s">
        <v>31</v>
      </c>
      <c r="AU536" t="s">
        <v>325</v>
      </c>
      <c r="AV536" t="s">
        <v>305</v>
      </c>
      <c r="AW536" t="s">
        <v>240</v>
      </c>
      <c r="AX536" t="s">
        <v>308</v>
      </c>
      <c r="AY536">
        <v>4</v>
      </c>
    </row>
    <row r="537" spans="43:51" x14ac:dyDescent="0.25">
      <c r="AQ537" t="s">
        <v>29</v>
      </c>
      <c r="AR537" t="s">
        <v>26</v>
      </c>
      <c r="AS537">
        <v>2005</v>
      </c>
      <c r="AT537" t="s">
        <v>31</v>
      </c>
      <c r="AU537" t="s">
        <v>325</v>
      </c>
      <c r="AV537" t="s">
        <v>305</v>
      </c>
      <c r="AW537" t="s">
        <v>240</v>
      </c>
      <c r="AX537" t="s">
        <v>309</v>
      </c>
      <c r="AY537">
        <v>8.9499999999999993</v>
      </c>
    </row>
    <row r="538" spans="43:51" x14ac:dyDescent="0.25">
      <c r="AQ538" t="s">
        <v>29</v>
      </c>
      <c r="AR538" t="s">
        <v>26</v>
      </c>
      <c r="AS538">
        <v>2005</v>
      </c>
      <c r="AT538" t="s">
        <v>31</v>
      </c>
      <c r="AU538" t="s">
        <v>325</v>
      </c>
      <c r="AV538" t="s">
        <v>305</v>
      </c>
      <c r="AW538" t="s">
        <v>240</v>
      </c>
      <c r="AX538" t="s">
        <v>268</v>
      </c>
      <c r="AY538">
        <v>12.95</v>
      </c>
    </row>
    <row r="539" spans="43:51" x14ac:dyDescent="0.25">
      <c r="AQ539" t="s">
        <v>29</v>
      </c>
      <c r="AR539" t="s">
        <v>26</v>
      </c>
      <c r="AS539">
        <v>2005</v>
      </c>
      <c r="AT539" t="s">
        <v>31</v>
      </c>
      <c r="AU539" t="s">
        <v>325</v>
      </c>
      <c r="AV539" t="s">
        <v>305</v>
      </c>
      <c r="AW539" t="s">
        <v>314</v>
      </c>
      <c r="AX539" t="s">
        <v>308</v>
      </c>
      <c r="AY539">
        <v>3.4</v>
      </c>
    </row>
    <row r="540" spans="43:51" x14ac:dyDescent="0.25">
      <c r="AQ540" t="s">
        <v>29</v>
      </c>
      <c r="AR540" t="s">
        <v>26</v>
      </c>
      <c r="AS540">
        <v>2005</v>
      </c>
      <c r="AT540" t="s">
        <v>31</v>
      </c>
      <c r="AU540" t="s">
        <v>325</v>
      </c>
      <c r="AV540" t="s">
        <v>305</v>
      </c>
      <c r="AW540" t="s">
        <v>314</v>
      </c>
      <c r="AX540" t="s">
        <v>309</v>
      </c>
      <c r="AY540">
        <v>8.35</v>
      </c>
    </row>
    <row r="541" spans="43:51" x14ac:dyDescent="0.25">
      <c r="AQ541" t="s">
        <v>29</v>
      </c>
      <c r="AR541" t="s">
        <v>26</v>
      </c>
      <c r="AS541">
        <v>2005</v>
      </c>
      <c r="AT541" t="s">
        <v>31</v>
      </c>
      <c r="AU541" t="s">
        <v>325</v>
      </c>
      <c r="AV541" t="s">
        <v>305</v>
      </c>
      <c r="AW541" t="s">
        <v>314</v>
      </c>
      <c r="AX541" t="s">
        <v>268</v>
      </c>
      <c r="AY541">
        <v>11.75</v>
      </c>
    </row>
    <row r="542" spans="43:51" x14ac:dyDescent="0.25">
      <c r="AQ542" t="s">
        <v>29</v>
      </c>
      <c r="AR542" t="s">
        <v>26</v>
      </c>
      <c r="AS542">
        <v>2005</v>
      </c>
      <c r="AT542" t="s">
        <v>31</v>
      </c>
      <c r="AU542" t="s">
        <v>325</v>
      </c>
      <c r="AV542" t="s">
        <v>305</v>
      </c>
      <c r="AW542" t="s">
        <v>242</v>
      </c>
      <c r="AX542" t="s">
        <v>308</v>
      </c>
      <c r="AY542">
        <v>3</v>
      </c>
    </row>
    <row r="543" spans="43:51" x14ac:dyDescent="0.25">
      <c r="AQ543" t="s">
        <v>29</v>
      </c>
      <c r="AR543" t="s">
        <v>26</v>
      </c>
      <c r="AS543">
        <v>2005</v>
      </c>
      <c r="AT543" t="s">
        <v>31</v>
      </c>
      <c r="AU543" t="s">
        <v>325</v>
      </c>
      <c r="AV543" t="s">
        <v>305</v>
      </c>
      <c r="AW543" t="s">
        <v>242</v>
      </c>
      <c r="AX543" t="s">
        <v>309</v>
      </c>
      <c r="AY543">
        <v>7.9</v>
      </c>
    </row>
    <row r="544" spans="43:51" x14ac:dyDescent="0.25">
      <c r="AQ544" t="s">
        <v>29</v>
      </c>
      <c r="AR544" t="s">
        <v>26</v>
      </c>
      <c r="AS544">
        <v>2005</v>
      </c>
      <c r="AT544" t="s">
        <v>31</v>
      </c>
      <c r="AU544" t="s">
        <v>325</v>
      </c>
      <c r="AV544" t="s">
        <v>305</v>
      </c>
      <c r="AW544" t="s">
        <v>242</v>
      </c>
      <c r="AX544" t="s">
        <v>268</v>
      </c>
      <c r="AY544">
        <v>10.9</v>
      </c>
    </row>
    <row r="545" spans="43:51" x14ac:dyDescent="0.25">
      <c r="AQ545" t="s">
        <v>29</v>
      </c>
      <c r="AR545" t="s">
        <v>26</v>
      </c>
      <c r="AS545">
        <v>2005</v>
      </c>
      <c r="AT545" t="s">
        <v>31</v>
      </c>
      <c r="AU545" t="s">
        <v>325</v>
      </c>
      <c r="AV545" t="s">
        <v>305</v>
      </c>
      <c r="AW545" t="s">
        <v>243</v>
      </c>
      <c r="AX545" t="s">
        <v>326</v>
      </c>
      <c r="AY545">
        <v>21.2</v>
      </c>
    </row>
    <row r="546" spans="43:51" x14ac:dyDescent="0.25">
      <c r="AQ546" t="s">
        <v>29</v>
      </c>
      <c r="AR546" t="s">
        <v>26</v>
      </c>
      <c r="AS546">
        <v>2005</v>
      </c>
      <c r="AT546" t="s">
        <v>31</v>
      </c>
      <c r="AU546" t="s">
        <v>325</v>
      </c>
      <c r="AV546" t="s">
        <v>305</v>
      </c>
      <c r="AW546" t="s">
        <v>243</v>
      </c>
      <c r="AX546" t="s">
        <v>327</v>
      </c>
      <c r="AY546">
        <v>49.8</v>
      </c>
    </row>
    <row r="547" spans="43:51" x14ac:dyDescent="0.25">
      <c r="AQ547" t="s">
        <v>29</v>
      </c>
      <c r="AR547" t="s">
        <v>26</v>
      </c>
      <c r="AS547">
        <v>2005</v>
      </c>
      <c r="AT547" t="s">
        <v>31</v>
      </c>
      <c r="AU547" t="s">
        <v>325</v>
      </c>
      <c r="AV547" t="s">
        <v>305</v>
      </c>
      <c r="AW547" t="s">
        <v>243</v>
      </c>
      <c r="AX547" t="s">
        <v>328</v>
      </c>
      <c r="AY547">
        <v>71</v>
      </c>
    </row>
    <row r="548" spans="43:51" x14ac:dyDescent="0.25">
      <c r="AQ548" t="s">
        <v>32</v>
      </c>
      <c r="AR548" t="s">
        <v>26</v>
      </c>
      <c r="AS548">
        <v>2005</v>
      </c>
      <c r="AT548" t="s">
        <v>31</v>
      </c>
      <c r="AU548" t="s">
        <v>325</v>
      </c>
      <c r="AV548" t="s">
        <v>305</v>
      </c>
      <c r="AW548" t="s">
        <v>218</v>
      </c>
      <c r="AX548" t="s">
        <v>308</v>
      </c>
      <c r="AY548">
        <v>4.2</v>
      </c>
    </row>
    <row r="549" spans="43:51" x14ac:dyDescent="0.25">
      <c r="AQ549" t="s">
        <v>32</v>
      </c>
      <c r="AR549" t="s">
        <v>26</v>
      </c>
      <c r="AS549">
        <v>2005</v>
      </c>
      <c r="AT549" t="s">
        <v>31</v>
      </c>
      <c r="AU549" t="s">
        <v>325</v>
      </c>
      <c r="AV549" t="s">
        <v>305</v>
      </c>
      <c r="AW549" t="s">
        <v>218</v>
      </c>
      <c r="AX549" t="s">
        <v>309</v>
      </c>
      <c r="AY549">
        <v>8.5500000000000007</v>
      </c>
    </row>
    <row r="550" spans="43:51" x14ac:dyDescent="0.25">
      <c r="AQ550" t="s">
        <v>32</v>
      </c>
      <c r="AR550" t="s">
        <v>26</v>
      </c>
      <c r="AS550">
        <v>2005</v>
      </c>
      <c r="AT550" t="s">
        <v>31</v>
      </c>
      <c r="AU550" t="s">
        <v>325</v>
      </c>
      <c r="AV550" t="s">
        <v>305</v>
      </c>
      <c r="AW550" t="s">
        <v>218</v>
      </c>
      <c r="AX550" t="s">
        <v>268</v>
      </c>
      <c r="AY550">
        <v>12.75</v>
      </c>
    </row>
    <row r="551" spans="43:51" x14ac:dyDescent="0.25">
      <c r="AQ551" t="s">
        <v>32</v>
      </c>
      <c r="AR551" t="s">
        <v>26</v>
      </c>
      <c r="AS551">
        <v>2005</v>
      </c>
      <c r="AT551" t="s">
        <v>31</v>
      </c>
      <c r="AU551" t="s">
        <v>325</v>
      </c>
      <c r="AV551" t="s">
        <v>305</v>
      </c>
      <c r="AW551" t="s">
        <v>238</v>
      </c>
      <c r="AX551" t="s">
        <v>308</v>
      </c>
      <c r="AY551">
        <v>3.6</v>
      </c>
    </row>
    <row r="552" spans="43:51" x14ac:dyDescent="0.25">
      <c r="AQ552" t="s">
        <v>32</v>
      </c>
      <c r="AR552" t="s">
        <v>26</v>
      </c>
      <c r="AS552">
        <v>2005</v>
      </c>
      <c r="AT552" t="s">
        <v>31</v>
      </c>
      <c r="AU552" t="s">
        <v>325</v>
      </c>
      <c r="AV552" t="s">
        <v>305</v>
      </c>
      <c r="AW552" t="s">
        <v>238</v>
      </c>
      <c r="AX552" t="s">
        <v>309</v>
      </c>
      <c r="AY552">
        <v>6.2</v>
      </c>
    </row>
    <row r="553" spans="43:51" x14ac:dyDescent="0.25">
      <c r="AQ553" t="s">
        <v>32</v>
      </c>
      <c r="AR553" t="s">
        <v>26</v>
      </c>
      <c r="AS553">
        <v>2005</v>
      </c>
      <c r="AT553" t="s">
        <v>31</v>
      </c>
      <c r="AU553" t="s">
        <v>325</v>
      </c>
      <c r="AV553" t="s">
        <v>305</v>
      </c>
      <c r="AW553" t="s">
        <v>238</v>
      </c>
      <c r="AX553" t="s">
        <v>268</v>
      </c>
      <c r="AY553">
        <v>9.8000000000000007</v>
      </c>
    </row>
    <row r="554" spans="43:51" x14ac:dyDescent="0.25">
      <c r="AQ554" t="s">
        <v>32</v>
      </c>
      <c r="AR554" t="s">
        <v>26</v>
      </c>
      <c r="AS554">
        <v>2005</v>
      </c>
      <c r="AT554" t="s">
        <v>31</v>
      </c>
      <c r="AU554" t="s">
        <v>325</v>
      </c>
      <c r="AV554" t="s">
        <v>305</v>
      </c>
      <c r="AW554" t="s">
        <v>239</v>
      </c>
      <c r="AX554" t="s">
        <v>308</v>
      </c>
      <c r="AY554">
        <v>3.2</v>
      </c>
    </row>
    <row r="555" spans="43:51" x14ac:dyDescent="0.25">
      <c r="AQ555" t="s">
        <v>32</v>
      </c>
      <c r="AR555" t="s">
        <v>26</v>
      </c>
      <c r="AS555">
        <v>2005</v>
      </c>
      <c r="AT555" t="s">
        <v>31</v>
      </c>
      <c r="AU555" t="s">
        <v>325</v>
      </c>
      <c r="AV555" t="s">
        <v>305</v>
      </c>
      <c r="AW555" t="s">
        <v>239</v>
      </c>
      <c r="AX555" t="s">
        <v>309</v>
      </c>
      <c r="AY555">
        <v>9</v>
      </c>
    </row>
    <row r="556" spans="43:51" x14ac:dyDescent="0.25">
      <c r="AQ556" t="s">
        <v>32</v>
      </c>
      <c r="AR556" t="s">
        <v>26</v>
      </c>
      <c r="AS556">
        <v>2005</v>
      </c>
      <c r="AT556" t="s">
        <v>31</v>
      </c>
      <c r="AU556" t="s">
        <v>325</v>
      </c>
      <c r="AV556" t="s">
        <v>305</v>
      </c>
      <c r="AW556" t="s">
        <v>239</v>
      </c>
      <c r="AX556" t="s">
        <v>268</v>
      </c>
      <c r="AY556">
        <v>12.2</v>
      </c>
    </row>
    <row r="557" spans="43:51" x14ac:dyDescent="0.25">
      <c r="AQ557" t="s">
        <v>32</v>
      </c>
      <c r="AR557" t="s">
        <v>26</v>
      </c>
      <c r="AS557">
        <v>2005</v>
      </c>
      <c r="AT557" t="s">
        <v>31</v>
      </c>
      <c r="AU557" t="s">
        <v>325</v>
      </c>
      <c r="AV557" t="s">
        <v>305</v>
      </c>
      <c r="AW557" t="s">
        <v>240</v>
      </c>
      <c r="AX557" t="s">
        <v>308</v>
      </c>
      <c r="AY557">
        <v>3.2</v>
      </c>
    </row>
    <row r="558" spans="43:51" x14ac:dyDescent="0.25">
      <c r="AQ558" t="s">
        <v>32</v>
      </c>
      <c r="AR558" t="s">
        <v>26</v>
      </c>
      <c r="AS558">
        <v>2005</v>
      </c>
      <c r="AT558" t="s">
        <v>31</v>
      </c>
      <c r="AU558" t="s">
        <v>325</v>
      </c>
      <c r="AV558" t="s">
        <v>305</v>
      </c>
      <c r="AW558" t="s">
        <v>240</v>
      </c>
      <c r="AX558" t="s">
        <v>309</v>
      </c>
      <c r="AY558">
        <v>9.4499999999999993</v>
      </c>
    </row>
    <row r="559" spans="43:51" x14ac:dyDescent="0.25">
      <c r="AQ559" t="s">
        <v>32</v>
      </c>
      <c r="AR559" t="s">
        <v>26</v>
      </c>
      <c r="AS559">
        <v>2005</v>
      </c>
      <c r="AT559" t="s">
        <v>31</v>
      </c>
      <c r="AU559" t="s">
        <v>325</v>
      </c>
      <c r="AV559" t="s">
        <v>305</v>
      </c>
      <c r="AW559" t="s">
        <v>240</v>
      </c>
      <c r="AX559" t="s">
        <v>268</v>
      </c>
      <c r="AY559">
        <v>12.65</v>
      </c>
    </row>
    <row r="560" spans="43:51" x14ac:dyDescent="0.25">
      <c r="AQ560" t="s">
        <v>32</v>
      </c>
      <c r="AR560" t="s">
        <v>26</v>
      </c>
      <c r="AS560">
        <v>2005</v>
      </c>
      <c r="AT560" t="s">
        <v>31</v>
      </c>
      <c r="AU560" t="s">
        <v>325</v>
      </c>
      <c r="AV560" t="s">
        <v>305</v>
      </c>
      <c r="AW560" t="s">
        <v>314</v>
      </c>
      <c r="AX560" t="s">
        <v>308</v>
      </c>
      <c r="AY560">
        <v>3.4</v>
      </c>
    </row>
    <row r="561" spans="43:51" x14ac:dyDescent="0.25">
      <c r="AQ561" t="s">
        <v>32</v>
      </c>
      <c r="AR561" t="s">
        <v>26</v>
      </c>
      <c r="AS561">
        <v>2005</v>
      </c>
      <c r="AT561" t="s">
        <v>31</v>
      </c>
      <c r="AU561" t="s">
        <v>325</v>
      </c>
      <c r="AV561" t="s">
        <v>305</v>
      </c>
      <c r="AW561" t="s">
        <v>314</v>
      </c>
      <c r="AX561" t="s">
        <v>309</v>
      </c>
      <c r="AY561">
        <v>7.95</v>
      </c>
    </row>
    <row r="562" spans="43:51" x14ac:dyDescent="0.25">
      <c r="AQ562" t="s">
        <v>32</v>
      </c>
      <c r="AR562" t="s">
        <v>26</v>
      </c>
      <c r="AS562">
        <v>2005</v>
      </c>
      <c r="AT562" t="s">
        <v>31</v>
      </c>
      <c r="AU562" t="s">
        <v>325</v>
      </c>
      <c r="AV562" t="s">
        <v>305</v>
      </c>
      <c r="AW562" t="s">
        <v>314</v>
      </c>
      <c r="AX562" t="s">
        <v>268</v>
      </c>
      <c r="AY562">
        <v>11.35</v>
      </c>
    </row>
    <row r="563" spans="43:51" x14ac:dyDescent="0.25">
      <c r="AQ563" t="s">
        <v>32</v>
      </c>
      <c r="AR563" t="s">
        <v>26</v>
      </c>
      <c r="AS563">
        <v>2005</v>
      </c>
      <c r="AT563" t="s">
        <v>31</v>
      </c>
      <c r="AU563" t="s">
        <v>325</v>
      </c>
      <c r="AV563" t="s">
        <v>305</v>
      </c>
      <c r="AW563" t="s">
        <v>242</v>
      </c>
      <c r="AX563" t="s">
        <v>308</v>
      </c>
      <c r="AY563">
        <v>3.2</v>
      </c>
    </row>
    <row r="564" spans="43:51" x14ac:dyDescent="0.25">
      <c r="AQ564" t="s">
        <v>32</v>
      </c>
      <c r="AR564" t="s">
        <v>26</v>
      </c>
      <c r="AS564">
        <v>2005</v>
      </c>
      <c r="AT564" t="s">
        <v>31</v>
      </c>
      <c r="AU564" t="s">
        <v>325</v>
      </c>
      <c r="AV564" t="s">
        <v>305</v>
      </c>
      <c r="AW564" t="s">
        <v>242</v>
      </c>
      <c r="AX564" t="s">
        <v>309</v>
      </c>
      <c r="AY564">
        <v>7.8</v>
      </c>
    </row>
    <row r="565" spans="43:51" x14ac:dyDescent="0.25">
      <c r="AQ565" t="s">
        <v>32</v>
      </c>
      <c r="AR565" t="s">
        <v>26</v>
      </c>
      <c r="AS565">
        <v>2005</v>
      </c>
      <c r="AT565" t="s">
        <v>31</v>
      </c>
      <c r="AU565" t="s">
        <v>325</v>
      </c>
      <c r="AV565" t="s">
        <v>305</v>
      </c>
      <c r="AW565" t="s">
        <v>242</v>
      </c>
      <c r="AX565" t="s">
        <v>268</v>
      </c>
      <c r="AY565">
        <v>11</v>
      </c>
    </row>
    <row r="566" spans="43:51" x14ac:dyDescent="0.25">
      <c r="AQ566" t="s">
        <v>32</v>
      </c>
      <c r="AR566" t="s">
        <v>26</v>
      </c>
      <c r="AS566">
        <v>2005</v>
      </c>
      <c r="AT566" t="s">
        <v>31</v>
      </c>
      <c r="AU566" t="s">
        <v>325</v>
      </c>
      <c r="AV566" t="s">
        <v>305</v>
      </c>
      <c r="AW566" t="s">
        <v>243</v>
      </c>
      <c r="AX566" t="s">
        <v>326</v>
      </c>
      <c r="AY566">
        <v>20.799999999999997</v>
      </c>
    </row>
    <row r="567" spans="43:51" x14ac:dyDescent="0.25">
      <c r="AQ567" t="s">
        <v>32</v>
      </c>
      <c r="AR567" t="s">
        <v>26</v>
      </c>
      <c r="AS567">
        <v>2005</v>
      </c>
      <c r="AT567" t="s">
        <v>31</v>
      </c>
      <c r="AU567" t="s">
        <v>325</v>
      </c>
      <c r="AV567" t="s">
        <v>305</v>
      </c>
      <c r="AW567" t="s">
        <v>243</v>
      </c>
      <c r="AX567" t="s">
        <v>327</v>
      </c>
      <c r="AY567">
        <v>48.95</v>
      </c>
    </row>
    <row r="568" spans="43:51" x14ac:dyDescent="0.25">
      <c r="AQ568" t="s">
        <v>32</v>
      </c>
      <c r="AR568" t="s">
        <v>26</v>
      </c>
      <c r="AS568">
        <v>2005</v>
      </c>
      <c r="AT568" t="s">
        <v>31</v>
      </c>
      <c r="AU568" t="s">
        <v>325</v>
      </c>
      <c r="AV568" t="s">
        <v>305</v>
      </c>
      <c r="AW568" t="s">
        <v>243</v>
      </c>
      <c r="AX568" t="s">
        <v>328</v>
      </c>
      <c r="AY568">
        <v>69.75</v>
      </c>
    </row>
    <row r="569" spans="43:51" x14ac:dyDescent="0.25">
      <c r="AQ569" t="s">
        <v>34</v>
      </c>
      <c r="AR569" t="s">
        <v>26</v>
      </c>
      <c r="AS569">
        <v>2006</v>
      </c>
      <c r="AT569" t="s">
        <v>36</v>
      </c>
      <c r="AU569" t="s">
        <v>325</v>
      </c>
      <c r="AV569" t="s">
        <v>305</v>
      </c>
      <c r="AW569" t="s">
        <v>218</v>
      </c>
      <c r="AX569" t="s">
        <v>308</v>
      </c>
      <c r="AY569">
        <v>3.7</v>
      </c>
    </row>
    <row r="570" spans="43:51" x14ac:dyDescent="0.25">
      <c r="AQ570" t="s">
        <v>34</v>
      </c>
      <c r="AR570" t="s">
        <v>26</v>
      </c>
      <c r="AS570">
        <v>2006</v>
      </c>
      <c r="AT570" t="s">
        <v>36</v>
      </c>
      <c r="AU570" t="s">
        <v>325</v>
      </c>
      <c r="AV570" t="s">
        <v>305</v>
      </c>
      <c r="AW570" t="s">
        <v>218</v>
      </c>
      <c r="AX570" t="s">
        <v>309</v>
      </c>
      <c r="AY570">
        <v>8.1</v>
      </c>
    </row>
    <row r="571" spans="43:51" x14ac:dyDescent="0.25">
      <c r="AQ571" t="s">
        <v>34</v>
      </c>
      <c r="AR571" t="s">
        <v>26</v>
      </c>
      <c r="AS571">
        <v>2006</v>
      </c>
      <c r="AT571" t="s">
        <v>36</v>
      </c>
      <c r="AU571" t="s">
        <v>325</v>
      </c>
      <c r="AV571" t="s">
        <v>305</v>
      </c>
      <c r="AW571" t="s">
        <v>218</v>
      </c>
      <c r="AX571" t="s">
        <v>268</v>
      </c>
      <c r="AY571">
        <v>11.8</v>
      </c>
    </row>
    <row r="572" spans="43:51" x14ac:dyDescent="0.25">
      <c r="AQ572" t="s">
        <v>34</v>
      </c>
      <c r="AR572" t="s">
        <v>26</v>
      </c>
      <c r="AS572">
        <v>2006</v>
      </c>
      <c r="AT572" t="s">
        <v>36</v>
      </c>
      <c r="AU572" t="s">
        <v>325</v>
      </c>
      <c r="AV572" t="s">
        <v>305</v>
      </c>
      <c r="AW572" t="s">
        <v>238</v>
      </c>
      <c r="AX572" t="s">
        <v>308</v>
      </c>
      <c r="AY572">
        <v>3.9</v>
      </c>
    </row>
    <row r="573" spans="43:51" x14ac:dyDescent="0.25">
      <c r="AQ573" t="s">
        <v>34</v>
      </c>
      <c r="AR573" t="s">
        <v>26</v>
      </c>
      <c r="AS573">
        <v>2006</v>
      </c>
      <c r="AT573" t="s">
        <v>36</v>
      </c>
      <c r="AU573" t="s">
        <v>325</v>
      </c>
      <c r="AV573" t="s">
        <v>305</v>
      </c>
      <c r="AW573" t="s">
        <v>238</v>
      </c>
      <c r="AX573" t="s">
        <v>309</v>
      </c>
      <c r="AY573">
        <v>7</v>
      </c>
    </row>
    <row r="574" spans="43:51" x14ac:dyDescent="0.25">
      <c r="AQ574" t="s">
        <v>34</v>
      </c>
      <c r="AR574" t="s">
        <v>26</v>
      </c>
      <c r="AS574">
        <v>2006</v>
      </c>
      <c r="AT574" t="s">
        <v>36</v>
      </c>
      <c r="AU574" t="s">
        <v>325</v>
      </c>
      <c r="AV574" t="s">
        <v>305</v>
      </c>
      <c r="AW574" t="s">
        <v>238</v>
      </c>
      <c r="AX574" t="s">
        <v>268</v>
      </c>
      <c r="AY574">
        <v>10.9</v>
      </c>
    </row>
    <row r="575" spans="43:51" x14ac:dyDescent="0.25">
      <c r="AQ575" t="s">
        <v>34</v>
      </c>
      <c r="AR575" t="s">
        <v>26</v>
      </c>
      <c r="AS575">
        <v>2006</v>
      </c>
      <c r="AT575" t="s">
        <v>36</v>
      </c>
      <c r="AU575" t="s">
        <v>325</v>
      </c>
      <c r="AV575" t="s">
        <v>305</v>
      </c>
      <c r="AW575" t="s">
        <v>239</v>
      </c>
      <c r="AX575" t="s">
        <v>308</v>
      </c>
      <c r="AY575">
        <v>3.9</v>
      </c>
    </row>
    <row r="576" spans="43:51" x14ac:dyDescent="0.25">
      <c r="AQ576" t="s">
        <v>34</v>
      </c>
      <c r="AR576" t="s">
        <v>26</v>
      </c>
      <c r="AS576">
        <v>2006</v>
      </c>
      <c r="AT576" t="s">
        <v>36</v>
      </c>
      <c r="AU576" t="s">
        <v>325</v>
      </c>
      <c r="AV576" t="s">
        <v>305</v>
      </c>
      <c r="AW576" t="s">
        <v>239</v>
      </c>
      <c r="AX576" t="s">
        <v>309</v>
      </c>
      <c r="AY576">
        <v>8.1</v>
      </c>
    </row>
    <row r="577" spans="43:51" x14ac:dyDescent="0.25">
      <c r="AQ577" t="s">
        <v>34</v>
      </c>
      <c r="AR577" t="s">
        <v>26</v>
      </c>
      <c r="AS577">
        <v>2006</v>
      </c>
      <c r="AT577" t="s">
        <v>36</v>
      </c>
      <c r="AU577" t="s">
        <v>325</v>
      </c>
      <c r="AV577" t="s">
        <v>305</v>
      </c>
      <c r="AW577" t="s">
        <v>239</v>
      </c>
      <c r="AX577" t="s">
        <v>268</v>
      </c>
      <c r="AY577">
        <v>12</v>
      </c>
    </row>
    <row r="578" spans="43:51" x14ac:dyDescent="0.25">
      <c r="AQ578" t="s">
        <v>34</v>
      </c>
      <c r="AR578" t="s">
        <v>26</v>
      </c>
      <c r="AS578">
        <v>2006</v>
      </c>
      <c r="AT578" t="s">
        <v>36</v>
      </c>
      <c r="AU578" t="s">
        <v>325</v>
      </c>
      <c r="AV578" t="s">
        <v>305</v>
      </c>
      <c r="AW578" t="s">
        <v>240</v>
      </c>
      <c r="AX578" t="s">
        <v>308</v>
      </c>
      <c r="AY578">
        <v>2.4</v>
      </c>
    </row>
    <row r="579" spans="43:51" x14ac:dyDescent="0.25">
      <c r="AQ579" t="s">
        <v>34</v>
      </c>
      <c r="AR579" t="s">
        <v>26</v>
      </c>
      <c r="AS579">
        <v>2006</v>
      </c>
      <c r="AT579" t="s">
        <v>36</v>
      </c>
      <c r="AU579" t="s">
        <v>325</v>
      </c>
      <c r="AV579" t="s">
        <v>305</v>
      </c>
      <c r="AW579" t="s">
        <v>240</v>
      </c>
      <c r="AX579" t="s">
        <v>309</v>
      </c>
      <c r="AY579">
        <v>8.9</v>
      </c>
    </row>
    <row r="580" spans="43:51" x14ac:dyDescent="0.25">
      <c r="AQ580" t="s">
        <v>34</v>
      </c>
      <c r="AR580" t="s">
        <v>26</v>
      </c>
      <c r="AS580">
        <v>2006</v>
      </c>
      <c r="AT580" t="s">
        <v>36</v>
      </c>
      <c r="AU580" t="s">
        <v>325</v>
      </c>
      <c r="AV580" t="s">
        <v>305</v>
      </c>
      <c r="AW580" t="s">
        <v>240</v>
      </c>
      <c r="AX580" t="s">
        <v>268</v>
      </c>
      <c r="AY580">
        <v>11.3</v>
      </c>
    </row>
    <row r="581" spans="43:51" x14ac:dyDescent="0.25">
      <c r="AQ581" t="s">
        <v>34</v>
      </c>
      <c r="AR581" t="s">
        <v>26</v>
      </c>
      <c r="AS581">
        <v>2006</v>
      </c>
      <c r="AT581" t="s">
        <v>36</v>
      </c>
      <c r="AU581" t="s">
        <v>325</v>
      </c>
      <c r="AV581" t="s">
        <v>305</v>
      </c>
      <c r="AW581" t="s">
        <v>314</v>
      </c>
      <c r="AX581" t="s">
        <v>308</v>
      </c>
      <c r="AY581">
        <v>3.7</v>
      </c>
    </row>
    <row r="582" spans="43:51" x14ac:dyDescent="0.25">
      <c r="AQ582" t="s">
        <v>34</v>
      </c>
      <c r="AR582" t="s">
        <v>26</v>
      </c>
      <c r="AS582">
        <v>2006</v>
      </c>
      <c r="AT582" t="s">
        <v>36</v>
      </c>
      <c r="AU582" t="s">
        <v>325</v>
      </c>
      <c r="AV582" t="s">
        <v>305</v>
      </c>
      <c r="AW582" t="s">
        <v>314</v>
      </c>
      <c r="AX582" t="s">
        <v>309</v>
      </c>
      <c r="AY582">
        <v>7.45</v>
      </c>
    </row>
    <row r="583" spans="43:51" x14ac:dyDescent="0.25">
      <c r="AQ583" t="s">
        <v>34</v>
      </c>
      <c r="AR583" t="s">
        <v>26</v>
      </c>
      <c r="AS583">
        <v>2006</v>
      </c>
      <c r="AT583" t="s">
        <v>36</v>
      </c>
      <c r="AU583" t="s">
        <v>325</v>
      </c>
      <c r="AV583" t="s">
        <v>305</v>
      </c>
      <c r="AW583" t="s">
        <v>314</v>
      </c>
      <c r="AX583" t="s">
        <v>268</v>
      </c>
      <c r="AY583">
        <v>11.15</v>
      </c>
    </row>
    <row r="584" spans="43:51" x14ac:dyDescent="0.25">
      <c r="AQ584" t="s">
        <v>34</v>
      </c>
      <c r="AR584" t="s">
        <v>26</v>
      </c>
      <c r="AS584">
        <v>2006</v>
      </c>
      <c r="AT584" t="s">
        <v>36</v>
      </c>
      <c r="AU584" t="s">
        <v>325</v>
      </c>
      <c r="AV584" t="s">
        <v>305</v>
      </c>
      <c r="AW584" t="s">
        <v>242</v>
      </c>
      <c r="AX584" t="s">
        <v>308</v>
      </c>
      <c r="AY584">
        <v>3.4</v>
      </c>
    </row>
    <row r="585" spans="43:51" x14ac:dyDescent="0.25">
      <c r="AQ585" t="s">
        <v>34</v>
      </c>
      <c r="AR585" t="s">
        <v>26</v>
      </c>
      <c r="AS585">
        <v>2006</v>
      </c>
      <c r="AT585" t="s">
        <v>36</v>
      </c>
      <c r="AU585" t="s">
        <v>325</v>
      </c>
      <c r="AV585" t="s">
        <v>305</v>
      </c>
      <c r="AW585" t="s">
        <v>242</v>
      </c>
      <c r="AX585" t="s">
        <v>309</v>
      </c>
      <c r="AY585">
        <v>7.5</v>
      </c>
    </row>
    <row r="586" spans="43:51" x14ac:dyDescent="0.25">
      <c r="AQ586" t="s">
        <v>34</v>
      </c>
      <c r="AR586" t="s">
        <v>26</v>
      </c>
      <c r="AS586">
        <v>2006</v>
      </c>
      <c r="AT586" t="s">
        <v>36</v>
      </c>
      <c r="AU586" t="s">
        <v>325</v>
      </c>
      <c r="AV586" t="s">
        <v>305</v>
      </c>
      <c r="AW586" t="s">
        <v>242</v>
      </c>
      <c r="AX586" t="s">
        <v>268</v>
      </c>
      <c r="AY586">
        <v>10.9</v>
      </c>
    </row>
    <row r="587" spans="43:51" x14ac:dyDescent="0.25">
      <c r="AQ587" t="s">
        <v>34</v>
      </c>
      <c r="AR587" t="s">
        <v>26</v>
      </c>
      <c r="AS587">
        <v>2006</v>
      </c>
      <c r="AT587" t="s">
        <v>36</v>
      </c>
      <c r="AU587" t="s">
        <v>325</v>
      </c>
      <c r="AV587" t="s">
        <v>305</v>
      </c>
      <c r="AW587" t="s">
        <v>243</v>
      </c>
      <c r="AX587" t="s">
        <v>326</v>
      </c>
      <c r="AY587">
        <v>21</v>
      </c>
    </row>
    <row r="588" spans="43:51" x14ac:dyDescent="0.25">
      <c r="AQ588" t="s">
        <v>34</v>
      </c>
      <c r="AR588" t="s">
        <v>26</v>
      </c>
      <c r="AS588">
        <v>2006</v>
      </c>
      <c r="AT588" t="s">
        <v>36</v>
      </c>
      <c r="AU588" t="s">
        <v>325</v>
      </c>
      <c r="AV588" t="s">
        <v>305</v>
      </c>
      <c r="AW588" t="s">
        <v>243</v>
      </c>
      <c r="AX588" t="s">
        <v>327</v>
      </c>
      <c r="AY588">
        <v>47.050000000000004</v>
      </c>
    </row>
    <row r="589" spans="43:51" x14ac:dyDescent="0.25">
      <c r="AQ589" t="s">
        <v>34</v>
      </c>
      <c r="AR589" t="s">
        <v>26</v>
      </c>
      <c r="AS589">
        <v>2006</v>
      </c>
      <c r="AT589" t="s">
        <v>36</v>
      </c>
      <c r="AU589" t="s">
        <v>325</v>
      </c>
      <c r="AV589" t="s">
        <v>305</v>
      </c>
      <c r="AW589" t="s">
        <v>243</v>
      </c>
      <c r="AX589" t="s">
        <v>328</v>
      </c>
      <c r="AY589">
        <v>68.05</v>
      </c>
    </row>
    <row r="590" spans="43:51" x14ac:dyDescent="0.25">
      <c r="AQ590" t="s">
        <v>37</v>
      </c>
      <c r="AR590" t="s">
        <v>26</v>
      </c>
      <c r="AS590">
        <v>2006</v>
      </c>
      <c r="AT590" t="s">
        <v>39</v>
      </c>
      <c r="AU590" t="s">
        <v>325</v>
      </c>
      <c r="AV590" t="s">
        <v>305</v>
      </c>
      <c r="AW590" t="s">
        <v>218</v>
      </c>
      <c r="AX590" t="s">
        <v>308</v>
      </c>
      <c r="AY590">
        <v>3.3</v>
      </c>
    </row>
    <row r="591" spans="43:51" x14ac:dyDescent="0.25">
      <c r="AQ591" t="s">
        <v>37</v>
      </c>
      <c r="AR591" t="s">
        <v>26</v>
      </c>
      <c r="AS591">
        <v>2006</v>
      </c>
      <c r="AT591" t="s">
        <v>39</v>
      </c>
      <c r="AU591" t="s">
        <v>325</v>
      </c>
      <c r="AV591" t="s">
        <v>305</v>
      </c>
      <c r="AW591" t="s">
        <v>218</v>
      </c>
      <c r="AX591" t="s">
        <v>309</v>
      </c>
      <c r="AY591">
        <v>8.3000000000000007</v>
      </c>
    </row>
    <row r="592" spans="43:51" x14ac:dyDescent="0.25">
      <c r="AQ592" t="s">
        <v>37</v>
      </c>
      <c r="AR592" t="s">
        <v>26</v>
      </c>
      <c r="AS592">
        <v>2006</v>
      </c>
      <c r="AT592" t="s">
        <v>39</v>
      </c>
      <c r="AU592" t="s">
        <v>325</v>
      </c>
      <c r="AV592" t="s">
        <v>305</v>
      </c>
      <c r="AW592" t="s">
        <v>218</v>
      </c>
      <c r="AX592" t="s">
        <v>268</v>
      </c>
      <c r="AY592">
        <v>11.6</v>
      </c>
    </row>
    <row r="593" spans="43:51" x14ac:dyDescent="0.25">
      <c r="AQ593" t="s">
        <v>37</v>
      </c>
      <c r="AR593" t="s">
        <v>26</v>
      </c>
      <c r="AS593">
        <v>2006</v>
      </c>
      <c r="AT593" t="s">
        <v>39</v>
      </c>
      <c r="AU593" t="s">
        <v>325</v>
      </c>
      <c r="AV593" t="s">
        <v>305</v>
      </c>
      <c r="AW593" t="s">
        <v>238</v>
      </c>
      <c r="AX593" t="s">
        <v>308</v>
      </c>
      <c r="AY593">
        <v>4.3</v>
      </c>
    </row>
    <row r="594" spans="43:51" x14ac:dyDescent="0.25">
      <c r="AQ594" t="s">
        <v>37</v>
      </c>
      <c r="AR594" t="s">
        <v>26</v>
      </c>
      <c r="AS594">
        <v>2006</v>
      </c>
      <c r="AT594" t="s">
        <v>39</v>
      </c>
      <c r="AU594" t="s">
        <v>325</v>
      </c>
      <c r="AV594" t="s">
        <v>305</v>
      </c>
      <c r="AW594" t="s">
        <v>238</v>
      </c>
      <c r="AX594" t="s">
        <v>309</v>
      </c>
      <c r="AY594">
        <v>7.9</v>
      </c>
    </row>
    <row r="595" spans="43:51" x14ac:dyDescent="0.25">
      <c r="AQ595" t="s">
        <v>37</v>
      </c>
      <c r="AR595" t="s">
        <v>26</v>
      </c>
      <c r="AS595">
        <v>2006</v>
      </c>
      <c r="AT595" t="s">
        <v>39</v>
      </c>
      <c r="AU595" t="s">
        <v>325</v>
      </c>
      <c r="AV595" t="s">
        <v>305</v>
      </c>
      <c r="AW595" t="s">
        <v>238</v>
      </c>
      <c r="AX595" t="s">
        <v>268</v>
      </c>
      <c r="AY595">
        <v>12.2</v>
      </c>
    </row>
    <row r="596" spans="43:51" x14ac:dyDescent="0.25">
      <c r="AQ596" t="s">
        <v>37</v>
      </c>
      <c r="AR596" t="s">
        <v>26</v>
      </c>
      <c r="AS596">
        <v>2006</v>
      </c>
      <c r="AT596" t="s">
        <v>39</v>
      </c>
      <c r="AU596" t="s">
        <v>325</v>
      </c>
      <c r="AV596" t="s">
        <v>305</v>
      </c>
      <c r="AW596" t="s">
        <v>239</v>
      </c>
      <c r="AX596" t="s">
        <v>308</v>
      </c>
      <c r="AY596">
        <v>3</v>
      </c>
    </row>
    <row r="597" spans="43:51" x14ac:dyDescent="0.25">
      <c r="AQ597" t="s">
        <v>37</v>
      </c>
      <c r="AR597" t="s">
        <v>26</v>
      </c>
      <c r="AS597">
        <v>2006</v>
      </c>
      <c r="AT597" t="s">
        <v>39</v>
      </c>
      <c r="AU597" t="s">
        <v>325</v>
      </c>
      <c r="AV597" t="s">
        <v>305</v>
      </c>
      <c r="AW597" t="s">
        <v>239</v>
      </c>
      <c r="AX597" t="s">
        <v>309</v>
      </c>
      <c r="AY597">
        <v>8</v>
      </c>
    </row>
    <row r="598" spans="43:51" x14ac:dyDescent="0.25">
      <c r="AQ598" t="s">
        <v>37</v>
      </c>
      <c r="AR598" t="s">
        <v>26</v>
      </c>
      <c r="AS598">
        <v>2006</v>
      </c>
      <c r="AT598" t="s">
        <v>39</v>
      </c>
      <c r="AU598" t="s">
        <v>325</v>
      </c>
      <c r="AV598" t="s">
        <v>305</v>
      </c>
      <c r="AW598" t="s">
        <v>239</v>
      </c>
      <c r="AX598" t="s">
        <v>268</v>
      </c>
      <c r="AY598">
        <v>11</v>
      </c>
    </row>
    <row r="599" spans="43:51" x14ac:dyDescent="0.25">
      <c r="AQ599" t="s">
        <v>37</v>
      </c>
      <c r="AR599" t="s">
        <v>26</v>
      </c>
      <c r="AS599">
        <v>2006</v>
      </c>
      <c r="AT599" t="s">
        <v>39</v>
      </c>
      <c r="AU599" t="s">
        <v>325</v>
      </c>
      <c r="AV599" t="s">
        <v>305</v>
      </c>
      <c r="AW599" t="s">
        <v>240</v>
      </c>
      <c r="AX599" t="s">
        <v>308</v>
      </c>
      <c r="AY599">
        <v>3.2</v>
      </c>
    </row>
    <row r="600" spans="43:51" x14ac:dyDescent="0.25">
      <c r="AQ600" t="s">
        <v>37</v>
      </c>
      <c r="AR600" t="s">
        <v>26</v>
      </c>
      <c r="AS600">
        <v>2006</v>
      </c>
      <c r="AT600" t="s">
        <v>39</v>
      </c>
      <c r="AU600" t="s">
        <v>325</v>
      </c>
      <c r="AV600" t="s">
        <v>305</v>
      </c>
      <c r="AW600" t="s">
        <v>240</v>
      </c>
      <c r="AX600" t="s">
        <v>309</v>
      </c>
      <c r="AY600">
        <v>8.6</v>
      </c>
    </row>
    <row r="601" spans="43:51" x14ac:dyDescent="0.25">
      <c r="AQ601" t="s">
        <v>37</v>
      </c>
      <c r="AR601" t="s">
        <v>26</v>
      </c>
      <c r="AS601">
        <v>2006</v>
      </c>
      <c r="AT601" t="s">
        <v>39</v>
      </c>
      <c r="AU601" t="s">
        <v>325</v>
      </c>
      <c r="AV601" t="s">
        <v>305</v>
      </c>
      <c r="AW601" t="s">
        <v>240</v>
      </c>
      <c r="AX601" t="s">
        <v>268</v>
      </c>
      <c r="AY601">
        <v>11.8</v>
      </c>
    </row>
    <row r="602" spans="43:51" x14ac:dyDescent="0.25">
      <c r="AQ602" t="s">
        <v>37</v>
      </c>
      <c r="AR602" t="s">
        <v>26</v>
      </c>
      <c r="AS602">
        <v>2006</v>
      </c>
      <c r="AT602" t="s">
        <v>39</v>
      </c>
      <c r="AU602" t="s">
        <v>325</v>
      </c>
      <c r="AV602" t="s">
        <v>305</v>
      </c>
      <c r="AW602" t="s">
        <v>314</v>
      </c>
      <c r="AX602" t="s">
        <v>308</v>
      </c>
      <c r="AY602">
        <v>3.1</v>
      </c>
    </row>
    <row r="603" spans="43:51" x14ac:dyDescent="0.25">
      <c r="AQ603" t="s">
        <v>37</v>
      </c>
      <c r="AR603" t="s">
        <v>26</v>
      </c>
      <c r="AS603">
        <v>2006</v>
      </c>
      <c r="AT603" t="s">
        <v>39</v>
      </c>
      <c r="AU603" t="s">
        <v>325</v>
      </c>
      <c r="AV603" t="s">
        <v>305</v>
      </c>
      <c r="AW603" t="s">
        <v>314</v>
      </c>
      <c r="AX603" t="s">
        <v>309</v>
      </c>
      <c r="AY603">
        <v>8</v>
      </c>
    </row>
    <row r="604" spans="43:51" x14ac:dyDescent="0.25">
      <c r="AQ604" t="s">
        <v>37</v>
      </c>
      <c r="AR604" t="s">
        <v>26</v>
      </c>
      <c r="AS604">
        <v>2006</v>
      </c>
      <c r="AT604" t="s">
        <v>39</v>
      </c>
      <c r="AU604" t="s">
        <v>325</v>
      </c>
      <c r="AV604" t="s">
        <v>305</v>
      </c>
      <c r="AW604" t="s">
        <v>314</v>
      </c>
      <c r="AX604" t="s">
        <v>268</v>
      </c>
      <c r="AY604">
        <v>11.1</v>
      </c>
    </row>
    <row r="605" spans="43:51" x14ac:dyDescent="0.25">
      <c r="AQ605" t="s">
        <v>37</v>
      </c>
      <c r="AR605" t="s">
        <v>26</v>
      </c>
      <c r="AS605">
        <v>2006</v>
      </c>
      <c r="AT605" t="s">
        <v>39</v>
      </c>
      <c r="AU605" t="s">
        <v>325</v>
      </c>
      <c r="AV605" t="s">
        <v>305</v>
      </c>
      <c r="AW605" t="s">
        <v>242</v>
      </c>
      <c r="AX605" t="s">
        <v>308</v>
      </c>
      <c r="AY605">
        <v>3</v>
      </c>
    </row>
    <row r="606" spans="43:51" x14ac:dyDescent="0.25">
      <c r="AQ606" t="s">
        <v>37</v>
      </c>
      <c r="AR606" t="s">
        <v>26</v>
      </c>
      <c r="AS606">
        <v>2006</v>
      </c>
      <c r="AT606" t="s">
        <v>39</v>
      </c>
      <c r="AU606" t="s">
        <v>325</v>
      </c>
      <c r="AV606" t="s">
        <v>305</v>
      </c>
      <c r="AW606" t="s">
        <v>242</v>
      </c>
      <c r="AX606" t="s">
        <v>309</v>
      </c>
      <c r="AY606">
        <v>7.2</v>
      </c>
    </row>
    <row r="607" spans="43:51" x14ac:dyDescent="0.25">
      <c r="AQ607" t="s">
        <v>37</v>
      </c>
      <c r="AR607" t="s">
        <v>26</v>
      </c>
      <c r="AS607">
        <v>2006</v>
      </c>
      <c r="AT607" t="s">
        <v>39</v>
      </c>
      <c r="AU607" t="s">
        <v>325</v>
      </c>
      <c r="AV607" t="s">
        <v>305</v>
      </c>
      <c r="AW607" t="s">
        <v>242</v>
      </c>
      <c r="AX607" t="s">
        <v>268</v>
      </c>
      <c r="AY607">
        <v>10.199999999999999</v>
      </c>
    </row>
    <row r="608" spans="43:51" x14ac:dyDescent="0.25">
      <c r="AQ608" t="s">
        <v>37</v>
      </c>
      <c r="AR608" t="s">
        <v>26</v>
      </c>
      <c r="AS608">
        <v>2006</v>
      </c>
      <c r="AT608" t="s">
        <v>39</v>
      </c>
      <c r="AU608" t="s">
        <v>325</v>
      </c>
      <c r="AV608" t="s">
        <v>305</v>
      </c>
      <c r="AW608" t="s">
        <v>243</v>
      </c>
      <c r="AX608" t="s">
        <v>326</v>
      </c>
      <c r="AY608">
        <v>19.900000000000002</v>
      </c>
    </row>
    <row r="609" spans="43:51" x14ac:dyDescent="0.25">
      <c r="AQ609" t="s">
        <v>37</v>
      </c>
      <c r="AR609" t="s">
        <v>26</v>
      </c>
      <c r="AS609">
        <v>2006</v>
      </c>
      <c r="AT609" t="s">
        <v>39</v>
      </c>
      <c r="AU609" t="s">
        <v>325</v>
      </c>
      <c r="AV609" t="s">
        <v>305</v>
      </c>
      <c r="AW609" t="s">
        <v>243</v>
      </c>
      <c r="AX609" t="s">
        <v>327</v>
      </c>
      <c r="AY609">
        <v>48.000000000000007</v>
      </c>
    </row>
    <row r="610" spans="43:51" x14ac:dyDescent="0.25">
      <c r="AQ610" t="s">
        <v>37</v>
      </c>
      <c r="AR610" t="s">
        <v>26</v>
      </c>
      <c r="AS610">
        <v>2006</v>
      </c>
      <c r="AT610" t="s">
        <v>39</v>
      </c>
      <c r="AU610" t="s">
        <v>325</v>
      </c>
      <c r="AV610" t="s">
        <v>305</v>
      </c>
      <c r="AW610" t="s">
        <v>243</v>
      </c>
      <c r="AX610" t="s">
        <v>328</v>
      </c>
      <c r="AY610">
        <v>67.899999999999991</v>
      </c>
    </row>
    <row r="611" spans="43:51" x14ac:dyDescent="0.25">
      <c r="AQ611" t="s">
        <v>40</v>
      </c>
      <c r="AR611" t="s">
        <v>26</v>
      </c>
      <c r="AS611">
        <v>2007</v>
      </c>
      <c r="AT611" t="s">
        <v>39</v>
      </c>
      <c r="AU611" t="s">
        <v>325</v>
      </c>
      <c r="AV611" t="s">
        <v>305</v>
      </c>
      <c r="AW611" t="s">
        <v>218</v>
      </c>
      <c r="AX611" t="s">
        <v>308</v>
      </c>
      <c r="AY611">
        <v>3.4</v>
      </c>
    </row>
    <row r="612" spans="43:51" x14ac:dyDescent="0.25">
      <c r="AQ612" t="s">
        <v>40</v>
      </c>
      <c r="AR612" t="s">
        <v>26</v>
      </c>
      <c r="AS612">
        <v>2007</v>
      </c>
      <c r="AT612" t="s">
        <v>39</v>
      </c>
      <c r="AU612" t="s">
        <v>325</v>
      </c>
      <c r="AV612" t="s">
        <v>305</v>
      </c>
      <c r="AW612" t="s">
        <v>218</v>
      </c>
      <c r="AX612" t="s">
        <v>309</v>
      </c>
      <c r="AY612">
        <v>8.1999999999999993</v>
      </c>
    </row>
    <row r="613" spans="43:51" x14ac:dyDescent="0.25">
      <c r="AQ613" t="s">
        <v>40</v>
      </c>
      <c r="AR613" t="s">
        <v>26</v>
      </c>
      <c r="AS613">
        <v>2007</v>
      </c>
      <c r="AT613" t="s">
        <v>39</v>
      </c>
      <c r="AU613" t="s">
        <v>325</v>
      </c>
      <c r="AV613" t="s">
        <v>305</v>
      </c>
      <c r="AW613" t="s">
        <v>218</v>
      </c>
      <c r="AX613" t="s">
        <v>268</v>
      </c>
      <c r="AY613">
        <v>11.6</v>
      </c>
    </row>
    <row r="614" spans="43:51" x14ac:dyDescent="0.25">
      <c r="AQ614" t="s">
        <v>40</v>
      </c>
      <c r="AR614" t="s">
        <v>26</v>
      </c>
      <c r="AS614">
        <v>2007</v>
      </c>
      <c r="AT614" t="s">
        <v>39</v>
      </c>
      <c r="AU614" t="s">
        <v>325</v>
      </c>
      <c r="AV614" t="s">
        <v>305</v>
      </c>
      <c r="AW614" t="s">
        <v>238</v>
      </c>
      <c r="AX614" t="s">
        <v>308</v>
      </c>
      <c r="AY614">
        <v>2.9</v>
      </c>
    </row>
    <row r="615" spans="43:51" x14ac:dyDescent="0.25">
      <c r="AQ615" t="s">
        <v>40</v>
      </c>
      <c r="AR615" t="s">
        <v>26</v>
      </c>
      <c r="AS615">
        <v>2007</v>
      </c>
      <c r="AT615" t="s">
        <v>39</v>
      </c>
      <c r="AU615" t="s">
        <v>325</v>
      </c>
      <c r="AV615" t="s">
        <v>305</v>
      </c>
      <c r="AW615" t="s">
        <v>238</v>
      </c>
      <c r="AX615" t="s">
        <v>309</v>
      </c>
      <c r="AY615">
        <v>7.2</v>
      </c>
    </row>
    <row r="616" spans="43:51" x14ac:dyDescent="0.25">
      <c r="AQ616" t="s">
        <v>40</v>
      </c>
      <c r="AR616" t="s">
        <v>26</v>
      </c>
      <c r="AS616">
        <v>2007</v>
      </c>
      <c r="AT616" t="s">
        <v>39</v>
      </c>
      <c r="AU616" t="s">
        <v>325</v>
      </c>
      <c r="AV616" t="s">
        <v>305</v>
      </c>
      <c r="AW616" t="s">
        <v>238</v>
      </c>
      <c r="AX616" t="s">
        <v>268</v>
      </c>
      <c r="AY616">
        <v>10.1</v>
      </c>
    </row>
    <row r="617" spans="43:51" x14ac:dyDescent="0.25">
      <c r="AQ617" t="s">
        <v>40</v>
      </c>
      <c r="AR617" t="s">
        <v>26</v>
      </c>
      <c r="AS617">
        <v>2007</v>
      </c>
      <c r="AT617" t="s">
        <v>39</v>
      </c>
      <c r="AU617" t="s">
        <v>325</v>
      </c>
      <c r="AV617" t="s">
        <v>305</v>
      </c>
      <c r="AW617" t="s">
        <v>239</v>
      </c>
      <c r="AX617" t="s">
        <v>308</v>
      </c>
      <c r="AY617">
        <v>3.4</v>
      </c>
    </row>
    <row r="618" spans="43:51" x14ac:dyDescent="0.25">
      <c r="AQ618" t="s">
        <v>40</v>
      </c>
      <c r="AR618" t="s">
        <v>26</v>
      </c>
      <c r="AS618">
        <v>2007</v>
      </c>
      <c r="AT618" t="s">
        <v>39</v>
      </c>
      <c r="AU618" t="s">
        <v>325</v>
      </c>
      <c r="AV618" t="s">
        <v>305</v>
      </c>
      <c r="AW618" t="s">
        <v>239</v>
      </c>
      <c r="AX618" t="s">
        <v>309</v>
      </c>
      <c r="AY618">
        <v>8.1999999999999993</v>
      </c>
    </row>
    <row r="619" spans="43:51" x14ac:dyDescent="0.25">
      <c r="AQ619" t="s">
        <v>40</v>
      </c>
      <c r="AR619" t="s">
        <v>26</v>
      </c>
      <c r="AS619">
        <v>2007</v>
      </c>
      <c r="AT619" t="s">
        <v>39</v>
      </c>
      <c r="AU619" t="s">
        <v>325</v>
      </c>
      <c r="AV619" t="s">
        <v>305</v>
      </c>
      <c r="AW619" t="s">
        <v>239</v>
      </c>
      <c r="AX619" t="s">
        <v>268</v>
      </c>
      <c r="AY619">
        <v>11.6</v>
      </c>
    </row>
    <row r="620" spans="43:51" x14ac:dyDescent="0.25">
      <c r="AQ620" t="s">
        <v>40</v>
      </c>
      <c r="AR620" t="s">
        <v>26</v>
      </c>
      <c r="AS620">
        <v>2007</v>
      </c>
      <c r="AT620" t="s">
        <v>39</v>
      </c>
      <c r="AU620" t="s">
        <v>325</v>
      </c>
      <c r="AV620" t="s">
        <v>305</v>
      </c>
      <c r="AW620" t="s">
        <v>240</v>
      </c>
      <c r="AX620" t="s">
        <v>308</v>
      </c>
      <c r="AY620">
        <v>4</v>
      </c>
    </row>
    <row r="621" spans="43:51" x14ac:dyDescent="0.25">
      <c r="AQ621" t="s">
        <v>40</v>
      </c>
      <c r="AR621" t="s">
        <v>26</v>
      </c>
      <c r="AS621">
        <v>2007</v>
      </c>
      <c r="AT621" t="s">
        <v>39</v>
      </c>
      <c r="AU621" t="s">
        <v>325</v>
      </c>
      <c r="AV621" t="s">
        <v>305</v>
      </c>
      <c r="AW621" t="s">
        <v>240</v>
      </c>
      <c r="AX621" t="s">
        <v>309</v>
      </c>
      <c r="AY621">
        <v>7.95</v>
      </c>
    </row>
    <row r="622" spans="43:51" x14ac:dyDescent="0.25">
      <c r="AQ622" t="s">
        <v>40</v>
      </c>
      <c r="AR622" t="s">
        <v>26</v>
      </c>
      <c r="AS622">
        <v>2007</v>
      </c>
      <c r="AT622" t="s">
        <v>39</v>
      </c>
      <c r="AU622" t="s">
        <v>325</v>
      </c>
      <c r="AV622" t="s">
        <v>305</v>
      </c>
      <c r="AW622" t="s">
        <v>240</v>
      </c>
      <c r="AX622" t="s">
        <v>268</v>
      </c>
      <c r="AY622">
        <v>11.95</v>
      </c>
    </row>
    <row r="623" spans="43:51" x14ac:dyDescent="0.25">
      <c r="AQ623" t="s">
        <v>40</v>
      </c>
      <c r="AR623" t="s">
        <v>26</v>
      </c>
      <c r="AS623">
        <v>2007</v>
      </c>
      <c r="AT623" t="s">
        <v>39</v>
      </c>
      <c r="AU623" t="s">
        <v>325</v>
      </c>
      <c r="AV623" t="s">
        <v>305</v>
      </c>
      <c r="AW623" t="s">
        <v>314</v>
      </c>
      <c r="AX623" t="s">
        <v>308</v>
      </c>
      <c r="AY623">
        <v>3</v>
      </c>
    </row>
    <row r="624" spans="43:51" x14ac:dyDescent="0.25">
      <c r="AQ624" t="s">
        <v>40</v>
      </c>
      <c r="AR624" t="s">
        <v>26</v>
      </c>
      <c r="AS624">
        <v>2007</v>
      </c>
      <c r="AT624" t="s">
        <v>39</v>
      </c>
      <c r="AU624" t="s">
        <v>325</v>
      </c>
      <c r="AV624" t="s">
        <v>305</v>
      </c>
      <c r="AW624" t="s">
        <v>314</v>
      </c>
      <c r="AX624" t="s">
        <v>309</v>
      </c>
      <c r="AY624">
        <v>8.1999999999999993</v>
      </c>
    </row>
    <row r="625" spans="43:51" x14ac:dyDescent="0.25">
      <c r="AQ625" t="s">
        <v>40</v>
      </c>
      <c r="AR625" t="s">
        <v>26</v>
      </c>
      <c r="AS625">
        <v>2007</v>
      </c>
      <c r="AT625" t="s">
        <v>39</v>
      </c>
      <c r="AU625" t="s">
        <v>325</v>
      </c>
      <c r="AV625" t="s">
        <v>305</v>
      </c>
      <c r="AW625" t="s">
        <v>314</v>
      </c>
      <c r="AX625" t="s">
        <v>268</v>
      </c>
      <c r="AY625">
        <v>11.2</v>
      </c>
    </row>
    <row r="626" spans="43:51" x14ac:dyDescent="0.25">
      <c r="AQ626" t="s">
        <v>40</v>
      </c>
      <c r="AR626" t="s">
        <v>26</v>
      </c>
      <c r="AS626">
        <v>2007</v>
      </c>
      <c r="AT626" t="s">
        <v>39</v>
      </c>
      <c r="AU626" t="s">
        <v>325</v>
      </c>
      <c r="AV626" t="s">
        <v>305</v>
      </c>
      <c r="AW626" t="s">
        <v>242</v>
      </c>
      <c r="AX626" t="s">
        <v>308</v>
      </c>
      <c r="AY626">
        <v>2.7</v>
      </c>
    </row>
    <row r="627" spans="43:51" x14ac:dyDescent="0.25">
      <c r="AQ627" t="s">
        <v>40</v>
      </c>
      <c r="AR627" t="s">
        <v>26</v>
      </c>
      <c r="AS627">
        <v>2007</v>
      </c>
      <c r="AT627" t="s">
        <v>39</v>
      </c>
      <c r="AU627" t="s">
        <v>325</v>
      </c>
      <c r="AV627" t="s">
        <v>305</v>
      </c>
      <c r="AW627" t="s">
        <v>242</v>
      </c>
      <c r="AX627" t="s">
        <v>309</v>
      </c>
      <c r="AY627">
        <v>8</v>
      </c>
    </row>
    <row r="628" spans="43:51" x14ac:dyDescent="0.25">
      <c r="AQ628" t="s">
        <v>40</v>
      </c>
      <c r="AR628" t="s">
        <v>26</v>
      </c>
      <c r="AS628">
        <v>2007</v>
      </c>
      <c r="AT628" t="s">
        <v>39</v>
      </c>
      <c r="AU628" t="s">
        <v>325</v>
      </c>
      <c r="AV628" t="s">
        <v>305</v>
      </c>
      <c r="AW628" t="s">
        <v>242</v>
      </c>
      <c r="AX628" t="s">
        <v>268</v>
      </c>
      <c r="AY628">
        <v>10.7</v>
      </c>
    </row>
    <row r="629" spans="43:51" x14ac:dyDescent="0.25">
      <c r="AQ629" t="s">
        <v>40</v>
      </c>
      <c r="AR629" t="s">
        <v>26</v>
      </c>
      <c r="AS629">
        <v>2007</v>
      </c>
      <c r="AT629" t="s">
        <v>39</v>
      </c>
      <c r="AU629" t="s">
        <v>325</v>
      </c>
      <c r="AV629" t="s">
        <v>305</v>
      </c>
      <c r="AW629" t="s">
        <v>243</v>
      </c>
      <c r="AX629" t="s">
        <v>326</v>
      </c>
      <c r="AY629">
        <v>19.399999999999999</v>
      </c>
    </row>
    <row r="630" spans="43:51" x14ac:dyDescent="0.25">
      <c r="AQ630" t="s">
        <v>40</v>
      </c>
      <c r="AR630" t="s">
        <v>26</v>
      </c>
      <c r="AS630">
        <v>2007</v>
      </c>
      <c r="AT630" t="s">
        <v>39</v>
      </c>
      <c r="AU630" t="s">
        <v>325</v>
      </c>
      <c r="AV630" t="s">
        <v>305</v>
      </c>
      <c r="AW630" t="s">
        <v>243</v>
      </c>
      <c r="AX630" t="s">
        <v>327</v>
      </c>
      <c r="AY630">
        <v>47.75</v>
      </c>
    </row>
    <row r="631" spans="43:51" x14ac:dyDescent="0.25">
      <c r="AQ631" t="s">
        <v>40</v>
      </c>
      <c r="AR631" t="s">
        <v>26</v>
      </c>
      <c r="AS631">
        <v>2007</v>
      </c>
      <c r="AT631" t="s">
        <v>39</v>
      </c>
      <c r="AU631" t="s">
        <v>325</v>
      </c>
      <c r="AV631" t="s">
        <v>305</v>
      </c>
      <c r="AW631" t="s">
        <v>243</v>
      </c>
      <c r="AX631" t="s">
        <v>328</v>
      </c>
      <c r="AY631">
        <v>67.150000000000006</v>
      </c>
    </row>
    <row r="632" spans="43:51" x14ac:dyDescent="0.25">
      <c r="AQ632" t="s">
        <v>42</v>
      </c>
      <c r="AR632" t="s">
        <v>26</v>
      </c>
      <c r="AS632">
        <v>2007</v>
      </c>
      <c r="AT632" t="s">
        <v>36</v>
      </c>
      <c r="AU632" t="s">
        <v>325</v>
      </c>
      <c r="AV632" t="s">
        <v>305</v>
      </c>
      <c r="AW632" t="s">
        <v>218</v>
      </c>
      <c r="AX632" t="s">
        <v>308</v>
      </c>
      <c r="AY632">
        <v>3.4</v>
      </c>
    </row>
    <row r="633" spans="43:51" x14ac:dyDescent="0.25">
      <c r="AQ633" t="s">
        <v>42</v>
      </c>
      <c r="AR633" t="s">
        <v>26</v>
      </c>
      <c r="AS633">
        <v>2007</v>
      </c>
      <c r="AT633" t="s">
        <v>36</v>
      </c>
      <c r="AU633" t="s">
        <v>325</v>
      </c>
      <c r="AV633" t="s">
        <v>305</v>
      </c>
      <c r="AW633" t="s">
        <v>218</v>
      </c>
      <c r="AX633" t="s">
        <v>309</v>
      </c>
      <c r="AY633">
        <v>8.4</v>
      </c>
    </row>
    <row r="634" spans="43:51" x14ac:dyDescent="0.25">
      <c r="AQ634" t="s">
        <v>42</v>
      </c>
      <c r="AR634" t="s">
        <v>26</v>
      </c>
      <c r="AS634">
        <v>2007</v>
      </c>
      <c r="AT634" t="s">
        <v>36</v>
      </c>
      <c r="AU634" t="s">
        <v>325</v>
      </c>
      <c r="AV634" t="s">
        <v>305</v>
      </c>
      <c r="AW634" t="s">
        <v>218</v>
      </c>
      <c r="AX634" t="s">
        <v>268</v>
      </c>
      <c r="AY634">
        <v>11.8</v>
      </c>
    </row>
    <row r="635" spans="43:51" x14ac:dyDescent="0.25">
      <c r="AQ635" t="s">
        <v>42</v>
      </c>
      <c r="AR635" t="s">
        <v>26</v>
      </c>
      <c r="AS635">
        <v>2007</v>
      </c>
      <c r="AT635" t="s">
        <v>36</v>
      </c>
      <c r="AU635" t="s">
        <v>325</v>
      </c>
      <c r="AV635" t="s">
        <v>305</v>
      </c>
      <c r="AW635" t="s">
        <v>238</v>
      </c>
      <c r="AX635" t="s">
        <v>308</v>
      </c>
      <c r="AY635">
        <v>2.6</v>
      </c>
    </row>
    <row r="636" spans="43:51" x14ac:dyDescent="0.25">
      <c r="AQ636" t="s">
        <v>42</v>
      </c>
      <c r="AR636" t="s">
        <v>26</v>
      </c>
      <c r="AS636">
        <v>2007</v>
      </c>
      <c r="AT636" t="s">
        <v>36</v>
      </c>
      <c r="AU636" t="s">
        <v>325</v>
      </c>
      <c r="AV636" t="s">
        <v>305</v>
      </c>
      <c r="AW636" t="s">
        <v>238</v>
      </c>
      <c r="AX636" t="s">
        <v>309</v>
      </c>
      <c r="AY636">
        <v>8.5500000000000007</v>
      </c>
    </row>
    <row r="637" spans="43:51" x14ac:dyDescent="0.25">
      <c r="AQ637" t="s">
        <v>42</v>
      </c>
      <c r="AR637" t="s">
        <v>26</v>
      </c>
      <c r="AS637">
        <v>2007</v>
      </c>
      <c r="AT637" t="s">
        <v>36</v>
      </c>
      <c r="AU637" t="s">
        <v>325</v>
      </c>
      <c r="AV637" t="s">
        <v>305</v>
      </c>
      <c r="AW637" t="s">
        <v>238</v>
      </c>
      <c r="AX637" t="s">
        <v>268</v>
      </c>
      <c r="AY637">
        <v>11.15</v>
      </c>
    </row>
    <row r="638" spans="43:51" x14ac:dyDescent="0.25">
      <c r="AQ638" t="s">
        <v>42</v>
      </c>
      <c r="AR638" t="s">
        <v>26</v>
      </c>
      <c r="AS638">
        <v>2007</v>
      </c>
      <c r="AT638" t="s">
        <v>36</v>
      </c>
      <c r="AU638" t="s">
        <v>325</v>
      </c>
      <c r="AV638" t="s">
        <v>305</v>
      </c>
      <c r="AW638" t="s">
        <v>239</v>
      </c>
      <c r="AX638" t="s">
        <v>308</v>
      </c>
      <c r="AY638">
        <v>2.4</v>
      </c>
    </row>
    <row r="639" spans="43:51" x14ac:dyDescent="0.25">
      <c r="AQ639" t="s">
        <v>42</v>
      </c>
      <c r="AR639" t="s">
        <v>26</v>
      </c>
      <c r="AS639">
        <v>2007</v>
      </c>
      <c r="AT639" t="s">
        <v>36</v>
      </c>
      <c r="AU639" t="s">
        <v>325</v>
      </c>
      <c r="AV639" t="s">
        <v>305</v>
      </c>
      <c r="AW639" t="s">
        <v>239</v>
      </c>
      <c r="AX639" t="s">
        <v>309</v>
      </c>
      <c r="AY639">
        <v>7.9</v>
      </c>
    </row>
    <row r="640" spans="43:51" x14ac:dyDescent="0.25">
      <c r="AQ640" t="s">
        <v>42</v>
      </c>
      <c r="AR640" t="s">
        <v>26</v>
      </c>
      <c r="AS640">
        <v>2007</v>
      </c>
      <c r="AT640" t="s">
        <v>36</v>
      </c>
      <c r="AU640" t="s">
        <v>325</v>
      </c>
      <c r="AV640" t="s">
        <v>305</v>
      </c>
      <c r="AW640" t="s">
        <v>239</v>
      </c>
      <c r="AX640" t="s">
        <v>268</v>
      </c>
      <c r="AY640">
        <v>10.3</v>
      </c>
    </row>
    <row r="641" spans="43:51" x14ac:dyDescent="0.25">
      <c r="AQ641" t="s">
        <v>42</v>
      </c>
      <c r="AR641" t="s">
        <v>26</v>
      </c>
      <c r="AS641">
        <v>2007</v>
      </c>
      <c r="AT641" t="s">
        <v>36</v>
      </c>
      <c r="AU641" t="s">
        <v>325</v>
      </c>
      <c r="AV641" t="s">
        <v>305</v>
      </c>
      <c r="AW641" t="s">
        <v>240</v>
      </c>
      <c r="AX641" t="s">
        <v>308</v>
      </c>
      <c r="AY641">
        <v>2.8</v>
      </c>
    </row>
    <row r="642" spans="43:51" x14ac:dyDescent="0.25">
      <c r="AQ642" t="s">
        <v>42</v>
      </c>
      <c r="AR642" t="s">
        <v>26</v>
      </c>
      <c r="AS642">
        <v>2007</v>
      </c>
      <c r="AT642" t="s">
        <v>36</v>
      </c>
      <c r="AU642" t="s">
        <v>325</v>
      </c>
      <c r="AV642" t="s">
        <v>305</v>
      </c>
      <c r="AW642" t="s">
        <v>240</v>
      </c>
      <c r="AX642" t="s">
        <v>309</v>
      </c>
      <c r="AY642">
        <v>9.0500000000000007</v>
      </c>
    </row>
    <row r="643" spans="43:51" x14ac:dyDescent="0.25">
      <c r="AQ643" t="s">
        <v>42</v>
      </c>
      <c r="AR643" t="s">
        <v>26</v>
      </c>
      <c r="AS643">
        <v>2007</v>
      </c>
      <c r="AT643" t="s">
        <v>36</v>
      </c>
      <c r="AU643" t="s">
        <v>325</v>
      </c>
      <c r="AV643" t="s">
        <v>305</v>
      </c>
      <c r="AW643" t="s">
        <v>240</v>
      </c>
      <c r="AX643" t="s">
        <v>268</v>
      </c>
      <c r="AY643">
        <v>11.85</v>
      </c>
    </row>
    <row r="644" spans="43:51" x14ac:dyDescent="0.25">
      <c r="AQ644" t="s">
        <v>42</v>
      </c>
      <c r="AR644" t="s">
        <v>26</v>
      </c>
      <c r="AS644">
        <v>2007</v>
      </c>
      <c r="AT644" t="s">
        <v>36</v>
      </c>
      <c r="AU644" t="s">
        <v>325</v>
      </c>
      <c r="AV644" t="s">
        <v>305</v>
      </c>
      <c r="AW644" t="s">
        <v>314</v>
      </c>
      <c r="AX644" t="s">
        <v>308</v>
      </c>
      <c r="AY644">
        <v>3.1</v>
      </c>
    </row>
    <row r="645" spans="43:51" x14ac:dyDescent="0.25">
      <c r="AQ645" t="s">
        <v>42</v>
      </c>
      <c r="AR645" t="s">
        <v>26</v>
      </c>
      <c r="AS645">
        <v>2007</v>
      </c>
      <c r="AT645" t="s">
        <v>36</v>
      </c>
      <c r="AU645" t="s">
        <v>325</v>
      </c>
      <c r="AV645" t="s">
        <v>305</v>
      </c>
      <c r="AW645" t="s">
        <v>314</v>
      </c>
      <c r="AX645" t="s">
        <v>309</v>
      </c>
      <c r="AY645">
        <v>8.5500000000000007</v>
      </c>
    </row>
    <row r="646" spans="43:51" x14ac:dyDescent="0.25">
      <c r="AQ646" t="s">
        <v>42</v>
      </c>
      <c r="AR646" t="s">
        <v>26</v>
      </c>
      <c r="AS646">
        <v>2007</v>
      </c>
      <c r="AT646" t="s">
        <v>36</v>
      </c>
      <c r="AU646" t="s">
        <v>325</v>
      </c>
      <c r="AV646" t="s">
        <v>305</v>
      </c>
      <c r="AW646" t="s">
        <v>314</v>
      </c>
      <c r="AX646" t="s">
        <v>268</v>
      </c>
      <c r="AY646">
        <v>11.65</v>
      </c>
    </row>
    <row r="647" spans="43:51" x14ac:dyDescent="0.25">
      <c r="AQ647" t="s">
        <v>42</v>
      </c>
      <c r="AR647" t="s">
        <v>26</v>
      </c>
      <c r="AS647">
        <v>2007</v>
      </c>
      <c r="AT647" t="s">
        <v>36</v>
      </c>
      <c r="AU647" t="s">
        <v>325</v>
      </c>
      <c r="AV647" t="s">
        <v>305</v>
      </c>
      <c r="AW647" t="s">
        <v>242</v>
      </c>
      <c r="AX647" t="s">
        <v>308</v>
      </c>
      <c r="AY647">
        <v>1.8</v>
      </c>
    </row>
    <row r="648" spans="43:51" x14ac:dyDescent="0.25">
      <c r="AQ648" t="s">
        <v>42</v>
      </c>
      <c r="AR648" t="s">
        <v>26</v>
      </c>
      <c r="AS648">
        <v>2007</v>
      </c>
      <c r="AT648" t="s">
        <v>36</v>
      </c>
      <c r="AU648" t="s">
        <v>325</v>
      </c>
      <c r="AV648" t="s">
        <v>305</v>
      </c>
      <c r="AW648" t="s">
        <v>242</v>
      </c>
      <c r="AX648" t="s">
        <v>309</v>
      </c>
      <c r="AY648">
        <v>8.4</v>
      </c>
    </row>
    <row r="649" spans="43:51" x14ac:dyDescent="0.25">
      <c r="AQ649" t="s">
        <v>42</v>
      </c>
      <c r="AR649" t="s">
        <v>26</v>
      </c>
      <c r="AS649">
        <v>2007</v>
      </c>
      <c r="AT649" t="s">
        <v>36</v>
      </c>
      <c r="AU649" t="s">
        <v>325</v>
      </c>
      <c r="AV649" t="s">
        <v>305</v>
      </c>
      <c r="AW649" t="s">
        <v>242</v>
      </c>
      <c r="AX649" t="s">
        <v>268</v>
      </c>
      <c r="AY649">
        <v>10.199999999999999</v>
      </c>
    </row>
    <row r="650" spans="43:51" x14ac:dyDescent="0.25">
      <c r="AQ650" t="s">
        <v>42</v>
      </c>
      <c r="AR650" t="s">
        <v>26</v>
      </c>
      <c r="AS650">
        <v>2007</v>
      </c>
      <c r="AT650" t="s">
        <v>36</v>
      </c>
      <c r="AU650" t="s">
        <v>325</v>
      </c>
      <c r="AV650" t="s">
        <v>305</v>
      </c>
      <c r="AW650" t="s">
        <v>243</v>
      </c>
      <c r="AX650" t="s">
        <v>326</v>
      </c>
      <c r="AY650">
        <v>16.099999999999998</v>
      </c>
    </row>
    <row r="651" spans="43:51" x14ac:dyDescent="0.25">
      <c r="AQ651" t="s">
        <v>42</v>
      </c>
      <c r="AR651" t="s">
        <v>26</v>
      </c>
      <c r="AS651">
        <v>2007</v>
      </c>
      <c r="AT651" t="s">
        <v>36</v>
      </c>
      <c r="AU651" t="s">
        <v>325</v>
      </c>
      <c r="AV651" t="s">
        <v>305</v>
      </c>
      <c r="AW651" t="s">
        <v>243</v>
      </c>
      <c r="AX651" t="s">
        <v>327</v>
      </c>
      <c r="AY651">
        <v>50.85</v>
      </c>
    </row>
    <row r="652" spans="43:51" x14ac:dyDescent="0.25">
      <c r="AQ652" t="s">
        <v>42</v>
      </c>
      <c r="AR652" t="s">
        <v>26</v>
      </c>
      <c r="AS652">
        <v>2007</v>
      </c>
      <c r="AT652" t="s">
        <v>36</v>
      </c>
      <c r="AU652" t="s">
        <v>325</v>
      </c>
      <c r="AV652" t="s">
        <v>305</v>
      </c>
      <c r="AW652" t="s">
        <v>243</v>
      </c>
      <c r="AX652" t="s">
        <v>328</v>
      </c>
      <c r="AY652">
        <v>66.95</v>
      </c>
    </row>
    <row r="653" spans="43:51" x14ac:dyDescent="0.25">
      <c r="AQ653" t="s">
        <v>44</v>
      </c>
      <c r="AR653" t="s">
        <v>26</v>
      </c>
      <c r="AS653">
        <v>2007</v>
      </c>
      <c r="AT653" t="s">
        <v>39</v>
      </c>
      <c r="AU653" t="s">
        <v>325</v>
      </c>
      <c r="AV653" t="s">
        <v>305</v>
      </c>
      <c r="AW653" t="s">
        <v>218</v>
      </c>
      <c r="AX653" t="s">
        <v>308</v>
      </c>
      <c r="AY653">
        <v>3.1</v>
      </c>
    </row>
    <row r="654" spans="43:51" x14ac:dyDescent="0.25">
      <c r="AQ654" t="s">
        <v>44</v>
      </c>
      <c r="AR654" t="s">
        <v>26</v>
      </c>
      <c r="AS654">
        <v>2007</v>
      </c>
      <c r="AT654" t="s">
        <v>39</v>
      </c>
      <c r="AU654" t="s">
        <v>325</v>
      </c>
      <c r="AV654" t="s">
        <v>305</v>
      </c>
      <c r="AW654" t="s">
        <v>218</v>
      </c>
      <c r="AX654" t="s">
        <v>309</v>
      </c>
      <c r="AY654">
        <v>8.35</v>
      </c>
    </row>
    <row r="655" spans="43:51" x14ac:dyDescent="0.25">
      <c r="AQ655" t="s">
        <v>44</v>
      </c>
      <c r="AR655" t="s">
        <v>26</v>
      </c>
      <c r="AS655">
        <v>2007</v>
      </c>
      <c r="AT655" t="s">
        <v>39</v>
      </c>
      <c r="AU655" t="s">
        <v>325</v>
      </c>
      <c r="AV655" t="s">
        <v>305</v>
      </c>
      <c r="AW655" t="s">
        <v>218</v>
      </c>
      <c r="AX655" t="s">
        <v>268</v>
      </c>
      <c r="AY655">
        <v>11.45</v>
      </c>
    </row>
    <row r="656" spans="43:51" x14ac:dyDescent="0.25">
      <c r="AQ656" t="s">
        <v>44</v>
      </c>
      <c r="AR656" t="s">
        <v>26</v>
      </c>
      <c r="AS656">
        <v>2007</v>
      </c>
      <c r="AT656" t="s">
        <v>39</v>
      </c>
      <c r="AU656" t="s">
        <v>325</v>
      </c>
      <c r="AV656" t="s">
        <v>305</v>
      </c>
      <c r="AW656" t="s">
        <v>238</v>
      </c>
      <c r="AX656" t="s">
        <v>308</v>
      </c>
      <c r="AY656">
        <v>3</v>
      </c>
    </row>
    <row r="657" spans="43:51" x14ac:dyDescent="0.25">
      <c r="AQ657" t="s">
        <v>44</v>
      </c>
      <c r="AR657" t="s">
        <v>26</v>
      </c>
      <c r="AS657">
        <v>2007</v>
      </c>
      <c r="AT657" t="s">
        <v>39</v>
      </c>
      <c r="AU657" t="s">
        <v>325</v>
      </c>
      <c r="AV657" t="s">
        <v>305</v>
      </c>
      <c r="AW657" t="s">
        <v>238</v>
      </c>
      <c r="AX657" t="s">
        <v>309</v>
      </c>
      <c r="AY657">
        <v>7.2</v>
      </c>
    </row>
    <row r="658" spans="43:51" x14ac:dyDescent="0.25">
      <c r="AQ658" t="s">
        <v>44</v>
      </c>
      <c r="AR658" t="s">
        <v>26</v>
      </c>
      <c r="AS658">
        <v>2007</v>
      </c>
      <c r="AT658" t="s">
        <v>39</v>
      </c>
      <c r="AU658" t="s">
        <v>325</v>
      </c>
      <c r="AV658" t="s">
        <v>305</v>
      </c>
      <c r="AW658" t="s">
        <v>238</v>
      </c>
      <c r="AX658" t="s">
        <v>268</v>
      </c>
      <c r="AY658">
        <v>10.199999999999999</v>
      </c>
    </row>
    <row r="659" spans="43:51" x14ac:dyDescent="0.25">
      <c r="AQ659" t="s">
        <v>44</v>
      </c>
      <c r="AR659" t="s">
        <v>26</v>
      </c>
      <c r="AS659">
        <v>2007</v>
      </c>
      <c r="AT659" t="s">
        <v>39</v>
      </c>
      <c r="AU659" t="s">
        <v>325</v>
      </c>
      <c r="AV659" t="s">
        <v>305</v>
      </c>
      <c r="AW659" t="s">
        <v>239</v>
      </c>
      <c r="AX659" t="s">
        <v>308</v>
      </c>
      <c r="AY659">
        <v>2.1</v>
      </c>
    </row>
    <row r="660" spans="43:51" x14ac:dyDescent="0.25">
      <c r="AQ660" t="s">
        <v>44</v>
      </c>
      <c r="AR660" t="s">
        <v>26</v>
      </c>
      <c r="AS660">
        <v>2007</v>
      </c>
      <c r="AT660" t="s">
        <v>39</v>
      </c>
      <c r="AU660" t="s">
        <v>325</v>
      </c>
      <c r="AV660" t="s">
        <v>305</v>
      </c>
      <c r="AW660" t="s">
        <v>239</v>
      </c>
      <c r="AX660" t="s">
        <v>309</v>
      </c>
      <c r="AY660">
        <v>8.0500000000000007</v>
      </c>
    </row>
    <row r="661" spans="43:51" x14ac:dyDescent="0.25">
      <c r="AQ661" t="s">
        <v>44</v>
      </c>
      <c r="AR661" t="s">
        <v>26</v>
      </c>
      <c r="AS661">
        <v>2007</v>
      </c>
      <c r="AT661" t="s">
        <v>39</v>
      </c>
      <c r="AU661" t="s">
        <v>325</v>
      </c>
      <c r="AV661" t="s">
        <v>305</v>
      </c>
      <c r="AW661" t="s">
        <v>239</v>
      </c>
      <c r="AX661" t="s">
        <v>268</v>
      </c>
      <c r="AY661">
        <v>10.15</v>
      </c>
    </row>
    <row r="662" spans="43:51" x14ac:dyDescent="0.25">
      <c r="AQ662" t="s">
        <v>44</v>
      </c>
      <c r="AR662" t="s">
        <v>26</v>
      </c>
      <c r="AS662">
        <v>2007</v>
      </c>
      <c r="AT662" t="s">
        <v>39</v>
      </c>
      <c r="AU662" t="s">
        <v>325</v>
      </c>
      <c r="AV662" t="s">
        <v>305</v>
      </c>
      <c r="AW662" t="s">
        <v>240</v>
      </c>
      <c r="AX662" t="s">
        <v>308</v>
      </c>
      <c r="AY662">
        <v>2.4</v>
      </c>
    </row>
    <row r="663" spans="43:51" x14ac:dyDescent="0.25">
      <c r="AQ663" t="s">
        <v>44</v>
      </c>
      <c r="AR663" t="s">
        <v>26</v>
      </c>
      <c r="AS663">
        <v>2007</v>
      </c>
      <c r="AT663" t="s">
        <v>39</v>
      </c>
      <c r="AU663" t="s">
        <v>325</v>
      </c>
      <c r="AV663" t="s">
        <v>305</v>
      </c>
      <c r="AW663" t="s">
        <v>240</v>
      </c>
      <c r="AX663" t="s">
        <v>309</v>
      </c>
      <c r="AY663">
        <v>8.9</v>
      </c>
    </row>
    <row r="664" spans="43:51" x14ac:dyDescent="0.25">
      <c r="AQ664" t="s">
        <v>44</v>
      </c>
      <c r="AR664" t="s">
        <v>26</v>
      </c>
      <c r="AS664">
        <v>2007</v>
      </c>
      <c r="AT664" t="s">
        <v>39</v>
      </c>
      <c r="AU664" t="s">
        <v>325</v>
      </c>
      <c r="AV664" t="s">
        <v>305</v>
      </c>
      <c r="AW664" t="s">
        <v>240</v>
      </c>
      <c r="AX664" t="s">
        <v>268</v>
      </c>
      <c r="AY664">
        <v>11.3</v>
      </c>
    </row>
    <row r="665" spans="43:51" x14ac:dyDescent="0.25">
      <c r="AQ665" t="s">
        <v>44</v>
      </c>
      <c r="AR665" t="s">
        <v>26</v>
      </c>
      <c r="AS665">
        <v>2007</v>
      </c>
      <c r="AT665" t="s">
        <v>39</v>
      </c>
      <c r="AU665" t="s">
        <v>325</v>
      </c>
      <c r="AV665" t="s">
        <v>305</v>
      </c>
      <c r="AW665" t="s">
        <v>314</v>
      </c>
      <c r="AX665" t="s">
        <v>308</v>
      </c>
      <c r="AY665">
        <v>3</v>
      </c>
    </row>
    <row r="666" spans="43:51" x14ac:dyDescent="0.25">
      <c r="AQ666" t="s">
        <v>44</v>
      </c>
      <c r="AR666" t="s">
        <v>26</v>
      </c>
      <c r="AS666">
        <v>2007</v>
      </c>
      <c r="AT666" t="s">
        <v>39</v>
      </c>
      <c r="AU666" t="s">
        <v>325</v>
      </c>
      <c r="AV666" t="s">
        <v>305</v>
      </c>
      <c r="AW666" t="s">
        <v>314</v>
      </c>
      <c r="AX666" t="s">
        <v>309</v>
      </c>
      <c r="AY666">
        <v>9</v>
      </c>
    </row>
    <row r="667" spans="43:51" x14ac:dyDescent="0.25">
      <c r="AQ667" t="s">
        <v>44</v>
      </c>
      <c r="AR667" t="s">
        <v>26</v>
      </c>
      <c r="AS667">
        <v>2007</v>
      </c>
      <c r="AT667" t="s">
        <v>39</v>
      </c>
      <c r="AU667" t="s">
        <v>325</v>
      </c>
      <c r="AV667" t="s">
        <v>305</v>
      </c>
      <c r="AW667" t="s">
        <v>314</v>
      </c>
      <c r="AX667" t="s">
        <v>268</v>
      </c>
      <c r="AY667">
        <v>12</v>
      </c>
    </row>
    <row r="668" spans="43:51" x14ac:dyDescent="0.25">
      <c r="AQ668" t="s">
        <v>44</v>
      </c>
      <c r="AR668" t="s">
        <v>26</v>
      </c>
      <c r="AS668">
        <v>2007</v>
      </c>
      <c r="AT668" t="s">
        <v>39</v>
      </c>
      <c r="AU668" t="s">
        <v>325</v>
      </c>
      <c r="AV668" t="s">
        <v>305</v>
      </c>
      <c r="AW668" t="s">
        <v>242</v>
      </c>
      <c r="AX668" t="s">
        <v>308</v>
      </c>
      <c r="AY668">
        <v>2.4</v>
      </c>
    </row>
    <row r="669" spans="43:51" x14ac:dyDescent="0.25">
      <c r="AQ669" t="s">
        <v>44</v>
      </c>
      <c r="AR669" t="s">
        <v>26</v>
      </c>
      <c r="AS669">
        <v>2007</v>
      </c>
      <c r="AT669" t="s">
        <v>39</v>
      </c>
      <c r="AU669" t="s">
        <v>325</v>
      </c>
      <c r="AV669" t="s">
        <v>305</v>
      </c>
      <c r="AW669" t="s">
        <v>242</v>
      </c>
      <c r="AX669" t="s">
        <v>309</v>
      </c>
      <c r="AY669">
        <v>7.9</v>
      </c>
    </row>
    <row r="670" spans="43:51" x14ac:dyDescent="0.25">
      <c r="AQ670" t="s">
        <v>44</v>
      </c>
      <c r="AR670" t="s">
        <v>26</v>
      </c>
      <c r="AS670">
        <v>2007</v>
      </c>
      <c r="AT670" t="s">
        <v>39</v>
      </c>
      <c r="AU670" t="s">
        <v>325</v>
      </c>
      <c r="AV670" t="s">
        <v>305</v>
      </c>
      <c r="AW670" t="s">
        <v>242</v>
      </c>
      <c r="AX670" t="s">
        <v>268</v>
      </c>
      <c r="AY670">
        <v>10.3</v>
      </c>
    </row>
    <row r="671" spans="43:51" x14ac:dyDescent="0.25">
      <c r="AQ671" t="s">
        <v>44</v>
      </c>
      <c r="AR671" t="s">
        <v>26</v>
      </c>
      <c r="AS671">
        <v>2007</v>
      </c>
      <c r="AT671" t="s">
        <v>39</v>
      </c>
      <c r="AU671" t="s">
        <v>325</v>
      </c>
      <c r="AV671" t="s">
        <v>305</v>
      </c>
      <c r="AW671" t="s">
        <v>243</v>
      </c>
      <c r="AX671" t="s">
        <v>326</v>
      </c>
      <c r="AY671">
        <v>16</v>
      </c>
    </row>
    <row r="672" spans="43:51" x14ac:dyDescent="0.25">
      <c r="AQ672" t="s">
        <v>44</v>
      </c>
      <c r="AR672" t="s">
        <v>26</v>
      </c>
      <c r="AS672">
        <v>2007</v>
      </c>
      <c r="AT672" t="s">
        <v>39</v>
      </c>
      <c r="AU672" t="s">
        <v>325</v>
      </c>
      <c r="AV672" t="s">
        <v>305</v>
      </c>
      <c r="AW672" t="s">
        <v>243</v>
      </c>
      <c r="AX672" t="s">
        <v>327</v>
      </c>
      <c r="AY672">
        <v>49.4</v>
      </c>
    </row>
    <row r="673" spans="43:51" x14ac:dyDescent="0.25">
      <c r="AQ673" t="s">
        <v>44</v>
      </c>
      <c r="AR673" t="s">
        <v>26</v>
      </c>
      <c r="AS673">
        <v>2007</v>
      </c>
      <c r="AT673" t="s">
        <v>39</v>
      </c>
      <c r="AU673" t="s">
        <v>325</v>
      </c>
      <c r="AV673" t="s">
        <v>305</v>
      </c>
      <c r="AW673" t="s">
        <v>243</v>
      </c>
      <c r="AX673" t="s">
        <v>328</v>
      </c>
      <c r="AY673">
        <v>65.399999999999991</v>
      </c>
    </row>
    <row r="674" spans="43:51" x14ac:dyDescent="0.25">
      <c r="AQ674" t="s">
        <v>46</v>
      </c>
      <c r="AR674" t="s">
        <v>26</v>
      </c>
      <c r="AS674">
        <v>2006</v>
      </c>
      <c r="AT674" t="s">
        <v>36</v>
      </c>
      <c r="AU674" t="s">
        <v>325</v>
      </c>
      <c r="AV674" t="s">
        <v>305</v>
      </c>
      <c r="AW674" t="s">
        <v>218</v>
      </c>
      <c r="AX674" t="s">
        <v>308</v>
      </c>
      <c r="AY674">
        <v>2.9</v>
      </c>
    </row>
    <row r="675" spans="43:51" x14ac:dyDescent="0.25">
      <c r="AQ675" t="s">
        <v>46</v>
      </c>
      <c r="AR675" t="s">
        <v>26</v>
      </c>
      <c r="AS675">
        <v>2006</v>
      </c>
      <c r="AT675" t="s">
        <v>36</v>
      </c>
      <c r="AU675" t="s">
        <v>325</v>
      </c>
      <c r="AV675" t="s">
        <v>305</v>
      </c>
      <c r="AW675" t="s">
        <v>218</v>
      </c>
      <c r="AX675" t="s">
        <v>309</v>
      </c>
      <c r="AY675">
        <v>8.1999999999999993</v>
      </c>
    </row>
    <row r="676" spans="43:51" x14ac:dyDescent="0.25">
      <c r="AQ676" t="s">
        <v>46</v>
      </c>
      <c r="AR676" t="s">
        <v>26</v>
      </c>
      <c r="AS676">
        <v>2006</v>
      </c>
      <c r="AT676" t="s">
        <v>36</v>
      </c>
      <c r="AU676" t="s">
        <v>325</v>
      </c>
      <c r="AV676" t="s">
        <v>305</v>
      </c>
      <c r="AW676" t="s">
        <v>218</v>
      </c>
      <c r="AX676" t="s">
        <v>268</v>
      </c>
      <c r="AY676">
        <v>11.1</v>
      </c>
    </row>
    <row r="677" spans="43:51" x14ac:dyDescent="0.25">
      <c r="AQ677" t="s">
        <v>46</v>
      </c>
      <c r="AR677" t="s">
        <v>26</v>
      </c>
      <c r="AS677">
        <v>2006</v>
      </c>
      <c r="AT677" t="s">
        <v>36</v>
      </c>
      <c r="AU677" t="s">
        <v>325</v>
      </c>
      <c r="AV677" t="s">
        <v>305</v>
      </c>
      <c r="AW677" t="s">
        <v>238</v>
      </c>
      <c r="AX677" t="s">
        <v>308</v>
      </c>
      <c r="AY677">
        <v>2.2000000000000002</v>
      </c>
    </row>
    <row r="678" spans="43:51" x14ac:dyDescent="0.25">
      <c r="AQ678" t="s">
        <v>46</v>
      </c>
      <c r="AR678" t="s">
        <v>26</v>
      </c>
      <c r="AS678">
        <v>2006</v>
      </c>
      <c r="AT678" t="s">
        <v>36</v>
      </c>
      <c r="AU678" t="s">
        <v>325</v>
      </c>
      <c r="AV678" t="s">
        <v>305</v>
      </c>
      <c r="AW678" t="s">
        <v>238</v>
      </c>
      <c r="AX678" t="s">
        <v>309</v>
      </c>
      <c r="AY678">
        <v>5.75</v>
      </c>
    </row>
    <row r="679" spans="43:51" x14ac:dyDescent="0.25">
      <c r="AQ679" t="s">
        <v>46</v>
      </c>
      <c r="AR679" t="s">
        <v>26</v>
      </c>
      <c r="AS679">
        <v>2006</v>
      </c>
      <c r="AT679" t="s">
        <v>36</v>
      </c>
      <c r="AU679" t="s">
        <v>325</v>
      </c>
      <c r="AV679" t="s">
        <v>305</v>
      </c>
      <c r="AW679" t="s">
        <v>238</v>
      </c>
      <c r="AX679" t="s">
        <v>268</v>
      </c>
      <c r="AY679">
        <v>7.95</v>
      </c>
    </row>
    <row r="680" spans="43:51" x14ac:dyDescent="0.25">
      <c r="AQ680" t="s">
        <v>46</v>
      </c>
      <c r="AR680" t="s">
        <v>26</v>
      </c>
      <c r="AS680">
        <v>2006</v>
      </c>
      <c r="AT680" t="s">
        <v>36</v>
      </c>
      <c r="AU680" t="s">
        <v>325</v>
      </c>
      <c r="AV680" t="s">
        <v>305</v>
      </c>
      <c r="AW680" t="s">
        <v>239</v>
      </c>
      <c r="AX680" t="s">
        <v>308</v>
      </c>
      <c r="AY680">
        <v>1.7</v>
      </c>
    </row>
    <row r="681" spans="43:51" x14ac:dyDescent="0.25">
      <c r="AQ681" t="s">
        <v>46</v>
      </c>
      <c r="AR681" t="s">
        <v>26</v>
      </c>
      <c r="AS681">
        <v>2006</v>
      </c>
      <c r="AT681" t="s">
        <v>36</v>
      </c>
      <c r="AU681" t="s">
        <v>325</v>
      </c>
      <c r="AV681" t="s">
        <v>305</v>
      </c>
      <c r="AW681" t="s">
        <v>239</v>
      </c>
      <c r="AX681" t="s">
        <v>309</v>
      </c>
      <c r="AY681">
        <v>6.8</v>
      </c>
    </row>
    <row r="682" spans="43:51" x14ac:dyDescent="0.25">
      <c r="AQ682" t="s">
        <v>46</v>
      </c>
      <c r="AR682" t="s">
        <v>26</v>
      </c>
      <c r="AS682">
        <v>2006</v>
      </c>
      <c r="AT682" t="s">
        <v>36</v>
      </c>
      <c r="AU682" t="s">
        <v>325</v>
      </c>
      <c r="AV682" t="s">
        <v>305</v>
      </c>
      <c r="AW682" t="s">
        <v>239</v>
      </c>
      <c r="AX682" t="s">
        <v>268</v>
      </c>
      <c r="AY682">
        <v>8.5</v>
      </c>
    </row>
    <row r="683" spans="43:51" x14ac:dyDescent="0.25">
      <c r="AQ683" t="s">
        <v>46</v>
      </c>
      <c r="AR683" t="s">
        <v>26</v>
      </c>
      <c r="AS683">
        <v>2006</v>
      </c>
      <c r="AT683" t="s">
        <v>36</v>
      </c>
      <c r="AU683" t="s">
        <v>325</v>
      </c>
      <c r="AV683" t="s">
        <v>305</v>
      </c>
      <c r="AW683" t="s">
        <v>240</v>
      </c>
      <c r="AX683" t="s">
        <v>308</v>
      </c>
      <c r="AY683">
        <v>1.6</v>
      </c>
    </row>
    <row r="684" spans="43:51" x14ac:dyDescent="0.25">
      <c r="AQ684" t="s">
        <v>46</v>
      </c>
      <c r="AR684" t="s">
        <v>26</v>
      </c>
      <c r="AS684">
        <v>2006</v>
      </c>
      <c r="AT684" t="s">
        <v>36</v>
      </c>
      <c r="AU684" t="s">
        <v>325</v>
      </c>
      <c r="AV684" t="s">
        <v>305</v>
      </c>
      <c r="AW684" t="s">
        <v>240</v>
      </c>
      <c r="AX684" t="s">
        <v>309</v>
      </c>
      <c r="AY684">
        <v>9</v>
      </c>
    </row>
    <row r="685" spans="43:51" x14ac:dyDescent="0.25">
      <c r="AQ685" t="s">
        <v>46</v>
      </c>
      <c r="AR685" t="s">
        <v>26</v>
      </c>
      <c r="AS685">
        <v>2006</v>
      </c>
      <c r="AT685" t="s">
        <v>36</v>
      </c>
      <c r="AU685" t="s">
        <v>325</v>
      </c>
      <c r="AV685" t="s">
        <v>305</v>
      </c>
      <c r="AW685" t="s">
        <v>240</v>
      </c>
      <c r="AX685" t="s">
        <v>268</v>
      </c>
      <c r="AY685">
        <v>10.6</v>
      </c>
    </row>
    <row r="686" spans="43:51" x14ac:dyDescent="0.25">
      <c r="AQ686" t="s">
        <v>46</v>
      </c>
      <c r="AR686" t="s">
        <v>26</v>
      </c>
      <c r="AS686">
        <v>2006</v>
      </c>
      <c r="AT686" t="s">
        <v>36</v>
      </c>
      <c r="AU686" t="s">
        <v>325</v>
      </c>
      <c r="AV686" t="s">
        <v>305</v>
      </c>
      <c r="AW686" t="s">
        <v>314</v>
      </c>
      <c r="AX686" t="s">
        <v>308</v>
      </c>
      <c r="AY686">
        <v>2.4</v>
      </c>
    </row>
    <row r="687" spans="43:51" x14ac:dyDescent="0.25">
      <c r="AQ687" t="s">
        <v>46</v>
      </c>
      <c r="AR687" t="s">
        <v>26</v>
      </c>
      <c r="AS687">
        <v>2006</v>
      </c>
      <c r="AT687" t="s">
        <v>36</v>
      </c>
      <c r="AU687" t="s">
        <v>325</v>
      </c>
      <c r="AV687" t="s">
        <v>305</v>
      </c>
      <c r="AW687" t="s">
        <v>314</v>
      </c>
      <c r="AX687" t="s">
        <v>309</v>
      </c>
      <c r="AY687">
        <v>8.6</v>
      </c>
    </row>
    <row r="688" spans="43:51" x14ac:dyDescent="0.25">
      <c r="AQ688" t="s">
        <v>46</v>
      </c>
      <c r="AR688" t="s">
        <v>26</v>
      </c>
      <c r="AS688">
        <v>2006</v>
      </c>
      <c r="AT688" t="s">
        <v>36</v>
      </c>
      <c r="AU688" t="s">
        <v>325</v>
      </c>
      <c r="AV688" t="s">
        <v>305</v>
      </c>
      <c r="AW688" t="s">
        <v>314</v>
      </c>
      <c r="AX688" t="s">
        <v>268</v>
      </c>
      <c r="AY688">
        <v>11</v>
      </c>
    </row>
    <row r="689" spans="43:51" x14ac:dyDescent="0.25">
      <c r="AQ689" t="s">
        <v>46</v>
      </c>
      <c r="AR689" t="s">
        <v>26</v>
      </c>
      <c r="AS689">
        <v>2006</v>
      </c>
      <c r="AT689" t="s">
        <v>36</v>
      </c>
      <c r="AU689" t="s">
        <v>325</v>
      </c>
      <c r="AV689" t="s">
        <v>305</v>
      </c>
      <c r="AW689" t="s">
        <v>242</v>
      </c>
      <c r="AX689" t="s">
        <v>308</v>
      </c>
      <c r="AY689">
        <v>1.8</v>
      </c>
    </row>
    <row r="690" spans="43:51" x14ac:dyDescent="0.25">
      <c r="AQ690" t="s">
        <v>46</v>
      </c>
      <c r="AR690" t="s">
        <v>26</v>
      </c>
      <c r="AS690">
        <v>2006</v>
      </c>
      <c r="AT690" t="s">
        <v>36</v>
      </c>
      <c r="AU690" t="s">
        <v>325</v>
      </c>
      <c r="AV690" t="s">
        <v>305</v>
      </c>
      <c r="AW690" t="s">
        <v>242</v>
      </c>
      <c r="AX690" t="s">
        <v>309</v>
      </c>
      <c r="AY690">
        <v>7.7</v>
      </c>
    </row>
    <row r="691" spans="43:51" x14ac:dyDescent="0.25">
      <c r="AQ691" t="s">
        <v>46</v>
      </c>
      <c r="AR691" t="s">
        <v>26</v>
      </c>
      <c r="AS691">
        <v>2006</v>
      </c>
      <c r="AT691" t="s">
        <v>36</v>
      </c>
      <c r="AU691" t="s">
        <v>325</v>
      </c>
      <c r="AV691" t="s">
        <v>305</v>
      </c>
      <c r="AW691" t="s">
        <v>242</v>
      </c>
      <c r="AX691" t="s">
        <v>268</v>
      </c>
      <c r="AY691">
        <v>9.5</v>
      </c>
    </row>
    <row r="692" spans="43:51" x14ac:dyDescent="0.25">
      <c r="AQ692" t="s">
        <v>46</v>
      </c>
      <c r="AR692" t="s">
        <v>26</v>
      </c>
      <c r="AS692">
        <v>2006</v>
      </c>
      <c r="AT692" t="s">
        <v>36</v>
      </c>
      <c r="AU692" t="s">
        <v>325</v>
      </c>
      <c r="AV692" t="s">
        <v>305</v>
      </c>
      <c r="AW692" t="s">
        <v>243</v>
      </c>
      <c r="AX692" t="s">
        <v>326</v>
      </c>
      <c r="AY692">
        <v>12.600000000000001</v>
      </c>
    </row>
    <row r="693" spans="43:51" x14ac:dyDescent="0.25">
      <c r="AQ693" t="s">
        <v>46</v>
      </c>
      <c r="AR693" t="s">
        <v>26</v>
      </c>
      <c r="AS693">
        <v>2006</v>
      </c>
      <c r="AT693" t="s">
        <v>36</v>
      </c>
      <c r="AU693" t="s">
        <v>325</v>
      </c>
      <c r="AV693" t="s">
        <v>305</v>
      </c>
      <c r="AW693" t="s">
        <v>243</v>
      </c>
      <c r="AX693" t="s">
        <v>327</v>
      </c>
      <c r="AY693">
        <v>46.050000000000004</v>
      </c>
    </row>
    <row r="694" spans="43:51" x14ac:dyDescent="0.25">
      <c r="AQ694" t="s">
        <v>46</v>
      </c>
      <c r="AR694" t="s">
        <v>26</v>
      </c>
      <c r="AS694">
        <v>2006</v>
      </c>
      <c r="AT694" t="s">
        <v>36</v>
      </c>
      <c r="AU694" t="s">
        <v>325</v>
      </c>
      <c r="AV694" t="s">
        <v>305</v>
      </c>
      <c r="AW694" t="s">
        <v>243</v>
      </c>
      <c r="AX694" t="s">
        <v>328</v>
      </c>
      <c r="AY694">
        <v>58.65</v>
      </c>
    </row>
    <row r="695" spans="43:51" x14ac:dyDescent="0.25">
      <c r="AQ695" t="s">
        <v>48</v>
      </c>
      <c r="AR695" t="s">
        <v>26</v>
      </c>
      <c r="AS695">
        <v>2006</v>
      </c>
      <c r="AT695" t="s">
        <v>36</v>
      </c>
      <c r="AU695" t="s">
        <v>325</v>
      </c>
      <c r="AV695" t="s">
        <v>305</v>
      </c>
      <c r="AW695" t="s">
        <v>218</v>
      </c>
      <c r="AX695" t="s">
        <v>308</v>
      </c>
      <c r="AY695">
        <v>3.2</v>
      </c>
    </row>
    <row r="696" spans="43:51" x14ac:dyDescent="0.25">
      <c r="AQ696" t="s">
        <v>48</v>
      </c>
      <c r="AR696" t="s">
        <v>26</v>
      </c>
      <c r="AS696">
        <v>2006</v>
      </c>
      <c r="AT696" t="s">
        <v>36</v>
      </c>
      <c r="AU696" t="s">
        <v>325</v>
      </c>
      <c r="AV696" t="s">
        <v>305</v>
      </c>
      <c r="AW696" t="s">
        <v>218</v>
      </c>
      <c r="AX696" t="s">
        <v>309</v>
      </c>
      <c r="AY696">
        <v>8.15</v>
      </c>
    </row>
    <row r="697" spans="43:51" x14ac:dyDescent="0.25">
      <c r="AQ697" t="s">
        <v>48</v>
      </c>
      <c r="AR697" t="s">
        <v>26</v>
      </c>
      <c r="AS697">
        <v>2006</v>
      </c>
      <c r="AT697" t="s">
        <v>36</v>
      </c>
      <c r="AU697" t="s">
        <v>325</v>
      </c>
      <c r="AV697" t="s">
        <v>305</v>
      </c>
      <c r="AW697" t="s">
        <v>218</v>
      </c>
      <c r="AX697" t="s">
        <v>268</v>
      </c>
      <c r="AY697">
        <v>11.35</v>
      </c>
    </row>
    <row r="698" spans="43:51" x14ac:dyDescent="0.25">
      <c r="AQ698" t="s">
        <v>48</v>
      </c>
      <c r="AR698" t="s">
        <v>26</v>
      </c>
      <c r="AS698">
        <v>2006</v>
      </c>
      <c r="AT698" t="s">
        <v>36</v>
      </c>
      <c r="AU698" t="s">
        <v>325</v>
      </c>
      <c r="AV698" t="s">
        <v>305</v>
      </c>
      <c r="AW698" t="s">
        <v>238</v>
      </c>
      <c r="AX698" t="s">
        <v>308</v>
      </c>
      <c r="AY698">
        <v>2.7</v>
      </c>
    </row>
    <row r="699" spans="43:51" x14ac:dyDescent="0.25">
      <c r="AQ699" t="s">
        <v>48</v>
      </c>
      <c r="AR699" t="s">
        <v>26</v>
      </c>
      <c r="AS699">
        <v>2006</v>
      </c>
      <c r="AT699" t="s">
        <v>36</v>
      </c>
      <c r="AU699" t="s">
        <v>325</v>
      </c>
      <c r="AV699" t="s">
        <v>305</v>
      </c>
      <c r="AW699" t="s">
        <v>238</v>
      </c>
      <c r="AX699" t="s">
        <v>309</v>
      </c>
      <c r="AY699">
        <v>1.95</v>
      </c>
    </row>
    <row r="700" spans="43:51" x14ac:dyDescent="0.25">
      <c r="AQ700" t="s">
        <v>48</v>
      </c>
      <c r="AR700" t="s">
        <v>26</v>
      </c>
      <c r="AS700">
        <v>2006</v>
      </c>
      <c r="AT700" t="s">
        <v>36</v>
      </c>
      <c r="AU700" t="s">
        <v>325</v>
      </c>
      <c r="AV700" t="s">
        <v>305</v>
      </c>
      <c r="AW700" t="s">
        <v>238</v>
      </c>
      <c r="AX700" t="s">
        <v>268</v>
      </c>
      <c r="AY700">
        <v>4.6500000000000004</v>
      </c>
    </row>
    <row r="701" spans="43:51" x14ac:dyDescent="0.25">
      <c r="AQ701" t="s">
        <v>48</v>
      </c>
      <c r="AR701" t="s">
        <v>26</v>
      </c>
      <c r="AS701">
        <v>2006</v>
      </c>
      <c r="AT701" t="s">
        <v>36</v>
      </c>
      <c r="AU701" t="s">
        <v>325</v>
      </c>
      <c r="AV701" t="s">
        <v>305</v>
      </c>
      <c r="AW701" t="s">
        <v>239</v>
      </c>
      <c r="AX701" t="s">
        <v>308</v>
      </c>
      <c r="AY701">
        <v>2.5</v>
      </c>
    </row>
    <row r="702" spans="43:51" x14ac:dyDescent="0.25">
      <c r="AQ702" t="s">
        <v>48</v>
      </c>
      <c r="AR702" t="s">
        <v>26</v>
      </c>
      <c r="AS702">
        <v>2006</v>
      </c>
      <c r="AT702" t="s">
        <v>36</v>
      </c>
      <c r="AU702" t="s">
        <v>325</v>
      </c>
      <c r="AV702" t="s">
        <v>305</v>
      </c>
      <c r="AW702" t="s">
        <v>239</v>
      </c>
      <c r="AX702" t="s">
        <v>309</v>
      </c>
      <c r="AY702">
        <v>6.5</v>
      </c>
    </row>
    <row r="703" spans="43:51" x14ac:dyDescent="0.25">
      <c r="AQ703" t="s">
        <v>48</v>
      </c>
      <c r="AR703" t="s">
        <v>26</v>
      </c>
      <c r="AS703">
        <v>2006</v>
      </c>
      <c r="AT703" t="s">
        <v>36</v>
      </c>
      <c r="AU703" t="s">
        <v>325</v>
      </c>
      <c r="AV703" t="s">
        <v>305</v>
      </c>
      <c r="AW703" t="s">
        <v>239</v>
      </c>
      <c r="AX703" t="s">
        <v>268</v>
      </c>
      <c r="AY703">
        <v>9</v>
      </c>
    </row>
    <row r="704" spans="43:51" x14ac:dyDescent="0.25">
      <c r="AQ704" t="s">
        <v>48</v>
      </c>
      <c r="AR704" t="s">
        <v>26</v>
      </c>
      <c r="AS704">
        <v>2006</v>
      </c>
      <c r="AT704" t="s">
        <v>36</v>
      </c>
      <c r="AU704" t="s">
        <v>325</v>
      </c>
      <c r="AV704" t="s">
        <v>305</v>
      </c>
      <c r="AW704" t="s">
        <v>240</v>
      </c>
      <c r="AX704" t="s">
        <v>308</v>
      </c>
      <c r="AY704">
        <v>1.6</v>
      </c>
    </row>
    <row r="705" spans="43:51" x14ac:dyDescent="0.25">
      <c r="AQ705" t="s">
        <v>48</v>
      </c>
      <c r="AR705" t="s">
        <v>26</v>
      </c>
      <c r="AS705">
        <v>2006</v>
      </c>
      <c r="AT705" t="s">
        <v>36</v>
      </c>
      <c r="AU705" t="s">
        <v>325</v>
      </c>
      <c r="AV705" t="s">
        <v>305</v>
      </c>
      <c r="AW705" t="s">
        <v>240</v>
      </c>
      <c r="AX705" t="s">
        <v>309</v>
      </c>
      <c r="AY705">
        <v>9.5</v>
      </c>
    </row>
    <row r="706" spans="43:51" x14ac:dyDescent="0.25">
      <c r="AQ706" t="s">
        <v>48</v>
      </c>
      <c r="AR706" t="s">
        <v>26</v>
      </c>
      <c r="AS706">
        <v>2006</v>
      </c>
      <c r="AT706" t="s">
        <v>36</v>
      </c>
      <c r="AU706" t="s">
        <v>325</v>
      </c>
      <c r="AV706" t="s">
        <v>305</v>
      </c>
      <c r="AW706" t="s">
        <v>240</v>
      </c>
      <c r="AX706" t="s">
        <v>268</v>
      </c>
      <c r="AY706">
        <v>11.1</v>
      </c>
    </row>
    <row r="707" spans="43:51" x14ac:dyDescent="0.25">
      <c r="AQ707" t="s">
        <v>48</v>
      </c>
      <c r="AR707" t="s">
        <v>26</v>
      </c>
      <c r="AS707">
        <v>2006</v>
      </c>
      <c r="AT707" t="s">
        <v>36</v>
      </c>
      <c r="AU707" t="s">
        <v>325</v>
      </c>
      <c r="AV707" t="s">
        <v>305</v>
      </c>
      <c r="AW707" t="s">
        <v>314</v>
      </c>
      <c r="AX707" t="s">
        <v>308</v>
      </c>
      <c r="AY707">
        <v>3.1</v>
      </c>
    </row>
    <row r="708" spans="43:51" x14ac:dyDescent="0.25">
      <c r="AQ708" t="s">
        <v>48</v>
      </c>
      <c r="AR708" t="s">
        <v>26</v>
      </c>
      <c r="AS708">
        <v>2006</v>
      </c>
      <c r="AT708" t="s">
        <v>36</v>
      </c>
      <c r="AU708" t="s">
        <v>325</v>
      </c>
      <c r="AV708" t="s">
        <v>305</v>
      </c>
      <c r="AW708" t="s">
        <v>314</v>
      </c>
      <c r="AX708" t="s">
        <v>309</v>
      </c>
      <c r="AY708">
        <v>7.8</v>
      </c>
    </row>
    <row r="709" spans="43:51" x14ac:dyDescent="0.25">
      <c r="AQ709" t="s">
        <v>48</v>
      </c>
      <c r="AR709" t="s">
        <v>26</v>
      </c>
      <c r="AS709">
        <v>2006</v>
      </c>
      <c r="AT709" t="s">
        <v>36</v>
      </c>
      <c r="AU709" t="s">
        <v>325</v>
      </c>
      <c r="AV709" t="s">
        <v>305</v>
      </c>
      <c r="AW709" t="s">
        <v>314</v>
      </c>
      <c r="AX709" t="s">
        <v>268</v>
      </c>
      <c r="AY709">
        <v>10.9</v>
      </c>
    </row>
    <row r="710" spans="43:51" x14ac:dyDescent="0.25">
      <c r="AQ710" t="s">
        <v>48</v>
      </c>
      <c r="AR710" t="s">
        <v>26</v>
      </c>
      <c r="AS710">
        <v>2006</v>
      </c>
      <c r="AT710" t="s">
        <v>36</v>
      </c>
      <c r="AU710" t="s">
        <v>325</v>
      </c>
      <c r="AV710" t="s">
        <v>305</v>
      </c>
      <c r="AW710" t="s">
        <v>242</v>
      </c>
      <c r="AX710" t="s">
        <v>308</v>
      </c>
      <c r="AY710">
        <v>1.9</v>
      </c>
    </row>
    <row r="711" spans="43:51" x14ac:dyDescent="0.25">
      <c r="AQ711" t="s">
        <v>48</v>
      </c>
      <c r="AR711" t="s">
        <v>26</v>
      </c>
      <c r="AS711">
        <v>2006</v>
      </c>
      <c r="AT711" t="s">
        <v>36</v>
      </c>
      <c r="AU711" t="s">
        <v>325</v>
      </c>
      <c r="AV711" t="s">
        <v>305</v>
      </c>
      <c r="AW711" t="s">
        <v>242</v>
      </c>
      <c r="AX711" t="s">
        <v>309</v>
      </c>
      <c r="AY711">
        <v>8.1999999999999993</v>
      </c>
    </row>
    <row r="712" spans="43:51" x14ac:dyDescent="0.25">
      <c r="AQ712" t="s">
        <v>48</v>
      </c>
      <c r="AR712" t="s">
        <v>26</v>
      </c>
      <c r="AS712">
        <v>2006</v>
      </c>
      <c r="AT712" t="s">
        <v>36</v>
      </c>
      <c r="AU712" t="s">
        <v>325</v>
      </c>
      <c r="AV712" t="s">
        <v>305</v>
      </c>
      <c r="AW712" t="s">
        <v>242</v>
      </c>
      <c r="AX712" t="s">
        <v>268</v>
      </c>
      <c r="AY712">
        <v>10.1</v>
      </c>
    </row>
    <row r="713" spans="43:51" x14ac:dyDescent="0.25">
      <c r="AQ713" t="s">
        <v>48</v>
      </c>
      <c r="AR713" t="s">
        <v>26</v>
      </c>
      <c r="AS713">
        <v>2006</v>
      </c>
      <c r="AT713" t="s">
        <v>36</v>
      </c>
      <c r="AU713" t="s">
        <v>325</v>
      </c>
      <c r="AV713" t="s">
        <v>305</v>
      </c>
      <c r="AW713" t="s">
        <v>243</v>
      </c>
      <c r="AX713" t="s">
        <v>326</v>
      </c>
      <c r="AY713">
        <v>15</v>
      </c>
    </row>
    <row r="714" spans="43:51" x14ac:dyDescent="0.25">
      <c r="AQ714" t="s">
        <v>48</v>
      </c>
      <c r="AR714" t="s">
        <v>26</v>
      </c>
      <c r="AS714">
        <v>2006</v>
      </c>
      <c r="AT714" t="s">
        <v>36</v>
      </c>
      <c r="AU714" t="s">
        <v>325</v>
      </c>
      <c r="AV714" t="s">
        <v>305</v>
      </c>
      <c r="AW714" t="s">
        <v>243</v>
      </c>
      <c r="AX714" t="s">
        <v>327</v>
      </c>
      <c r="AY714">
        <v>42.099999999999994</v>
      </c>
    </row>
    <row r="715" spans="43:51" x14ac:dyDescent="0.25">
      <c r="AQ715" t="s">
        <v>48</v>
      </c>
      <c r="AR715" t="s">
        <v>26</v>
      </c>
      <c r="AS715">
        <v>2006</v>
      </c>
      <c r="AT715" t="s">
        <v>36</v>
      </c>
      <c r="AU715" t="s">
        <v>325</v>
      </c>
      <c r="AV715" t="s">
        <v>305</v>
      </c>
      <c r="AW715" t="s">
        <v>243</v>
      </c>
      <c r="AX715" t="s">
        <v>328</v>
      </c>
      <c r="AY715">
        <v>57.1</v>
      </c>
    </row>
    <row r="716" spans="43:51" x14ac:dyDescent="0.25">
      <c r="AQ716" t="s">
        <v>50</v>
      </c>
      <c r="AR716" t="s">
        <v>26</v>
      </c>
      <c r="AS716">
        <v>2007</v>
      </c>
      <c r="AT716" t="s">
        <v>36</v>
      </c>
      <c r="AU716" t="s">
        <v>325</v>
      </c>
      <c r="AV716" t="s">
        <v>306</v>
      </c>
      <c r="AW716" t="s">
        <v>218</v>
      </c>
      <c r="AX716" t="s">
        <v>308</v>
      </c>
      <c r="AY716">
        <v>3.7</v>
      </c>
    </row>
    <row r="717" spans="43:51" x14ac:dyDescent="0.25">
      <c r="AQ717" t="s">
        <v>50</v>
      </c>
      <c r="AR717" t="s">
        <v>26</v>
      </c>
      <c r="AS717">
        <v>2007</v>
      </c>
      <c r="AT717" t="s">
        <v>36</v>
      </c>
      <c r="AU717" t="s">
        <v>325</v>
      </c>
      <c r="AV717" t="s">
        <v>306</v>
      </c>
      <c r="AW717" t="s">
        <v>218</v>
      </c>
      <c r="AX717" t="s">
        <v>309</v>
      </c>
      <c r="AY717">
        <v>8.3000000000000007</v>
      </c>
    </row>
    <row r="718" spans="43:51" x14ac:dyDescent="0.25">
      <c r="AQ718" t="s">
        <v>50</v>
      </c>
      <c r="AR718" t="s">
        <v>26</v>
      </c>
      <c r="AS718">
        <v>2007</v>
      </c>
      <c r="AT718" t="s">
        <v>36</v>
      </c>
      <c r="AU718" t="s">
        <v>325</v>
      </c>
      <c r="AV718" t="s">
        <v>306</v>
      </c>
      <c r="AW718" t="s">
        <v>218</v>
      </c>
      <c r="AX718" t="s">
        <v>268</v>
      </c>
      <c r="AY718">
        <v>12</v>
      </c>
    </row>
    <row r="719" spans="43:51" x14ac:dyDescent="0.25">
      <c r="AQ719" t="s">
        <v>50</v>
      </c>
      <c r="AR719" t="s">
        <v>26</v>
      </c>
      <c r="AS719">
        <v>2007</v>
      </c>
      <c r="AT719" t="s">
        <v>36</v>
      </c>
      <c r="AU719" t="s">
        <v>325</v>
      </c>
      <c r="AV719" t="s">
        <v>306</v>
      </c>
      <c r="AW719" t="s">
        <v>238</v>
      </c>
      <c r="AX719" t="s">
        <v>308</v>
      </c>
      <c r="AY719">
        <v>0</v>
      </c>
    </row>
    <row r="720" spans="43:51" x14ac:dyDescent="0.25">
      <c r="AQ720" t="s">
        <v>50</v>
      </c>
      <c r="AR720" t="s">
        <v>26</v>
      </c>
      <c r="AS720">
        <v>2007</v>
      </c>
      <c r="AT720" t="s">
        <v>36</v>
      </c>
      <c r="AU720" t="s">
        <v>325</v>
      </c>
      <c r="AV720" t="s">
        <v>306</v>
      </c>
      <c r="AW720" t="s">
        <v>238</v>
      </c>
      <c r="AX720" t="s">
        <v>309</v>
      </c>
      <c r="AY720">
        <v>0</v>
      </c>
    </row>
    <row r="721" spans="43:51" x14ac:dyDescent="0.25">
      <c r="AQ721" t="s">
        <v>50</v>
      </c>
      <c r="AR721" t="s">
        <v>26</v>
      </c>
      <c r="AS721">
        <v>2007</v>
      </c>
      <c r="AT721" t="s">
        <v>36</v>
      </c>
      <c r="AU721" t="s">
        <v>325</v>
      </c>
      <c r="AV721" t="s">
        <v>306</v>
      </c>
      <c r="AW721" t="s">
        <v>238</v>
      </c>
      <c r="AX721" t="s">
        <v>268</v>
      </c>
      <c r="AY721">
        <v>0</v>
      </c>
    </row>
    <row r="722" spans="43:51" x14ac:dyDescent="0.25">
      <c r="AQ722" t="s">
        <v>50</v>
      </c>
      <c r="AR722" t="s">
        <v>26</v>
      </c>
      <c r="AS722">
        <v>2007</v>
      </c>
      <c r="AT722" t="s">
        <v>36</v>
      </c>
      <c r="AU722" t="s">
        <v>325</v>
      </c>
      <c r="AV722" t="s">
        <v>306</v>
      </c>
      <c r="AW722" t="s">
        <v>239</v>
      </c>
      <c r="AX722" t="s">
        <v>308</v>
      </c>
      <c r="AY722">
        <v>3.7</v>
      </c>
    </row>
    <row r="723" spans="43:51" x14ac:dyDescent="0.25">
      <c r="AQ723" t="s">
        <v>50</v>
      </c>
      <c r="AR723" t="s">
        <v>26</v>
      </c>
      <c r="AS723">
        <v>2007</v>
      </c>
      <c r="AT723" t="s">
        <v>36</v>
      </c>
      <c r="AU723" t="s">
        <v>325</v>
      </c>
      <c r="AV723" t="s">
        <v>306</v>
      </c>
      <c r="AW723" t="s">
        <v>239</v>
      </c>
      <c r="AX723" t="s">
        <v>309</v>
      </c>
      <c r="AY723">
        <v>8.1</v>
      </c>
    </row>
    <row r="724" spans="43:51" x14ac:dyDescent="0.25">
      <c r="AQ724" t="s">
        <v>50</v>
      </c>
      <c r="AR724" t="s">
        <v>26</v>
      </c>
      <c r="AS724">
        <v>2007</v>
      </c>
      <c r="AT724" t="s">
        <v>36</v>
      </c>
      <c r="AU724" t="s">
        <v>325</v>
      </c>
      <c r="AV724" t="s">
        <v>306</v>
      </c>
      <c r="AW724" t="s">
        <v>239</v>
      </c>
      <c r="AX724" t="s">
        <v>268</v>
      </c>
      <c r="AY724">
        <v>11.8</v>
      </c>
    </row>
    <row r="725" spans="43:51" x14ac:dyDescent="0.25">
      <c r="AQ725" t="s">
        <v>50</v>
      </c>
      <c r="AR725" t="s">
        <v>26</v>
      </c>
      <c r="AS725">
        <v>2007</v>
      </c>
      <c r="AT725" t="s">
        <v>36</v>
      </c>
      <c r="AU725" t="s">
        <v>325</v>
      </c>
      <c r="AV725" t="s">
        <v>306</v>
      </c>
      <c r="AW725" t="s">
        <v>240</v>
      </c>
      <c r="AX725" t="s">
        <v>308</v>
      </c>
      <c r="AY725">
        <v>0</v>
      </c>
    </row>
    <row r="726" spans="43:51" x14ac:dyDescent="0.25">
      <c r="AQ726" t="s">
        <v>50</v>
      </c>
      <c r="AR726" t="s">
        <v>26</v>
      </c>
      <c r="AS726">
        <v>2007</v>
      </c>
      <c r="AT726" t="s">
        <v>36</v>
      </c>
      <c r="AU726" t="s">
        <v>325</v>
      </c>
      <c r="AV726" t="s">
        <v>306</v>
      </c>
      <c r="AW726" t="s">
        <v>240</v>
      </c>
      <c r="AX726" t="s">
        <v>309</v>
      </c>
      <c r="AY726">
        <v>0</v>
      </c>
    </row>
    <row r="727" spans="43:51" x14ac:dyDescent="0.25">
      <c r="AQ727" t="s">
        <v>50</v>
      </c>
      <c r="AR727" t="s">
        <v>26</v>
      </c>
      <c r="AS727">
        <v>2007</v>
      </c>
      <c r="AT727" t="s">
        <v>36</v>
      </c>
      <c r="AU727" t="s">
        <v>325</v>
      </c>
      <c r="AV727" t="s">
        <v>306</v>
      </c>
      <c r="AW727" t="s">
        <v>240</v>
      </c>
      <c r="AX727" t="s">
        <v>268</v>
      </c>
      <c r="AY727">
        <v>0</v>
      </c>
    </row>
    <row r="728" spans="43:51" x14ac:dyDescent="0.25">
      <c r="AQ728" t="s">
        <v>50</v>
      </c>
      <c r="AR728" t="s">
        <v>26</v>
      </c>
      <c r="AS728">
        <v>2007</v>
      </c>
      <c r="AT728" t="s">
        <v>36</v>
      </c>
      <c r="AU728" t="s">
        <v>325</v>
      </c>
      <c r="AV728" t="s">
        <v>306</v>
      </c>
      <c r="AW728" t="s">
        <v>314</v>
      </c>
      <c r="AX728" t="s">
        <v>308</v>
      </c>
      <c r="AY728">
        <v>0</v>
      </c>
    </row>
    <row r="729" spans="43:51" x14ac:dyDescent="0.25">
      <c r="AQ729" t="s">
        <v>50</v>
      </c>
      <c r="AR729" t="s">
        <v>26</v>
      </c>
      <c r="AS729">
        <v>2007</v>
      </c>
      <c r="AT729" t="s">
        <v>36</v>
      </c>
      <c r="AU729" t="s">
        <v>325</v>
      </c>
      <c r="AV729" t="s">
        <v>306</v>
      </c>
      <c r="AW729" t="s">
        <v>314</v>
      </c>
      <c r="AX729" t="s">
        <v>309</v>
      </c>
      <c r="AY729">
        <v>0</v>
      </c>
    </row>
    <row r="730" spans="43:51" x14ac:dyDescent="0.25">
      <c r="AQ730" t="s">
        <v>50</v>
      </c>
      <c r="AR730" t="s">
        <v>26</v>
      </c>
      <c r="AS730">
        <v>2007</v>
      </c>
      <c r="AT730" t="s">
        <v>36</v>
      </c>
      <c r="AU730" t="s">
        <v>325</v>
      </c>
      <c r="AV730" t="s">
        <v>306</v>
      </c>
      <c r="AW730" t="s">
        <v>314</v>
      </c>
      <c r="AX730" t="s">
        <v>268</v>
      </c>
      <c r="AY730">
        <v>0</v>
      </c>
    </row>
    <row r="731" spans="43:51" x14ac:dyDescent="0.25">
      <c r="AQ731" t="s">
        <v>50</v>
      </c>
      <c r="AR731" t="s">
        <v>26</v>
      </c>
      <c r="AS731">
        <v>2007</v>
      </c>
      <c r="AT731" t="s">
        <v>36</v>
      </c>
      <c r="AU731" t="s">
        <v>325</v>
      </c>
      <c r="AV731" t="s">
        <v>306</v>
      </c>
      <c r="AW731" t="s">
        <v>242</v>
      </c>
      <c r="AX731" t="s">
        <v>308</v>
      </c>
      <c r="AY731">
        <v>2.7</v>
      </c>
    </row>
    <row r="732" spans="43:51" x14ac:dyDescent="0.25">
      <c r="AQ732" t="s">
        <v>50</v>
      </c>
      <c r="AR732" t="s">
        <v>26</v>
      </c>
      <c r="AS732">
        <v>2007</v>
      </c>
      <c r="AT732" t="s">
        <v>36</v>
      </c>
      <c r="AU732" t="s">
        <v>325</v>
      </c>
      <c r="AV732" t="s">
        <v>306</v>
      </c>
      <c r="AW732" t="s">
        <v>242</v>
      </c>
      <c r="AX732" t="s">
        <v>309</v>
      </c>
      <c r="AY732">
        <v>8</v>
      </c>
    </row>
    <row r="733" spans="43:51" x14ac:dyDescent="0.25">
      <c r="AQ733" t="s">
        <v>50</v>
      </c>
      <c r="AR733" t="s">
        <v>26</v>
      </c>
      <c r="AS733">
        <v>2007</v>
      </c>
      <c r="AT733" t="s">
        <v>36</v>
      </c>
      <c r="AU733" t="s">
        <v>325</v>
      </c>
      <c r="AV733" t="s">
        <v>306</v>
      </c>
      <c r="AW733" t="s">
        <v>242</v>
      </c>
      <c r="AX733" t="s">
        <v>268</v>
      </c>
      <c r="AY733">
        <v>10.7</v>
      </c>
    </row>
    <row r="734" spans="43:51" x14ac:dyDescent="0.25">
      <c r="AQ734" t="s">
        <v>50</v>
      </c>
      <c r="AR734" t="s">
        <v>26</v>
      </c>
      <c r="AS734">
        <v>2007</v>
      </c>
      <c r="AT734" t="s">
        <v>36</v>
      </c>
      <c r="AU734" t="s">
        <v>325</v>
      </c>
      <c r="AV734" t="s">
        <v>306</v>
      </c>
      <c r="AW734" t="s">
        <v>243</v>
      </c>
      <c r="AX734" t="s">
        <v>326</v>
      </c>
      <c r="AY734">
        <v>0</v>
      </c>
    </row>
    <row r="735" spans="43:51" x14ac:dyDescent="0.25">
      <c r="AQ735" t="s">
        <v>50</v>
      </c>
      <c r="AR735" t="s">
        <v>26</v>
      </c>
      <c r="AS735">
        <v>2007</v>
      </c>
      <c r="AT735" t="s">
        <v>36</v>
      </c>
      <c r="AU735" t="s">
        <v>325</v>
      </c>
      <c r="AV735" t="s">
        <v>306</v>
      </c>
      <c r="AW735" t="s">
        <v>243</v>
      </c>
      <c r="AX735" t="s">
        <v>327</v>
      </c>
      <c r="AY735">
        <v>0</v>
      </c>
    </row>
    <row r="736" spans="43:51" x14ac:dyDescent="0.25">
      <c r="AQ736" t="s">
        <v>50</v>
      </c>
      <c r="AR736" t="s">
        <v>26</v>
      </c>
      <c r="AS736">
        <v>2007</v>
      </c>
      <c r="AT736" t="s">
        <v>36</v>
      </c>
      <c r="AU736" t="s">
        <v>325</v>
      </c>
      <c r="AV736" t="s">
        <v>306</v>
      </c>
      <c r="AW736" t="s">
        <v>243</v>
      </c>
      <c r="AX736" t="s">
        <v>328</v>
      </c>
      <c r="AY736">
        <v>34.5</v>
      </c>
    </row>
    <row r="737" spans="43:51" x14ac:dyDescent="0.25">
      <c r="AQ737" t="s">
        <v>52</v>
      </c>
      <c r="AR737" t="s">
        <v>26</v>
      </c>
      <c r="AS737">
        <v>2006</v>
      </c>
      <c r="AT737" t="s">
        <v>36</v>
      </c>
      <c r="AU737" t="s">
        <v>325</v>
      </c>
      <c r="AV737" t="s">
        <v>306</v>
      </c>
      <c r="AW737" t="s">
        <v>218</v>
      </c>
      <c r="AX737" t="s">
        <v>308</v>
      </c>
      <c r="AY737">
        <v>0</v>
      </c>
    </row>
    <row r="738" spans="43:51" x14ac:dyDescent="0.25">
      <c r="AQ738" t="s">
        <v>52</v>
      </c>
      <c r="AR738" t="s">
        <v>26</v>
      </c>
      <c r="AS738">
        <v>2006</v>
      </c>
      <c r="AT738" t="s">
        <v>36</v>
      </c>
      <c r="AU738" t="s">
        <v>325</v>
      </c>
      <c r="AV738" t="s">
        <v>306</v>
      </c>
      <c r="AW738" t="s">
        <v>218</v>
      </c>
      <c r="AX738" t="s">
        <v>309</v>
      </c>
      <c r="AY738">
        <v>0</v>
      </c>
    </row>
    <row r="739" spans="43:51" x14ac:dyDescent="0.25">
      <c r="AQ739" t="s">
        <v>52</v>
      </c>
      <c r="AR739" t="s">
        <v>26</v>
      </c>
      <c r="AS739">
        <v>2006</v>
      </c>
      <c r="AT739" t="s">
        <v>36</v>
      </c>
      <c r="AU739" t="s">
        <v>325</v>
      </c>
      <c r="AV739" t="s">
        <v>306</v>
      </c>
      <c r="AW739" t="s">
        <v>218</v>
      </c>
      <c r="AX739" t="s">
        <v>268</v>
      </c>
      <c r="AY739">
        <v>0</v>
      </c>
    </row>
    <row r="740" spans="43:51" x14ac:dyDescent="0.25">
      <c r="AQ740" t="s">
        <v>52</v>
      </c>
      <c r="AR740" t="s">
        <v>26</v>
      </c>
      <c r="AS740">
        <v>2006</v>
      </c>
      <c r="AT740" t="s">
        <v>36</v>
      </c>
      <c r="AU740" t="s">
        <v>325</v>
      </c>
      <c r="AV740" t="s">
        <v>306</v>
      </c>
      <c r="AW740" t="s">
        <v>238</v>
      </c>
      <c r="AX740" t="s">
        <v>308</v>
      </c>
      <c r="AY740">
        <v>2.2000000000000002</v>
      </c>
    </row>
    <row r="741" spans="43:51" x14ac:dyDescent="0.25">
      <c r="AQ741" t="s">
        <v>52</v>
      </c>
      <c r="AR741" t="s">
        <v>26</v>
      </c>
      <c r="AS741">
        <v>2006</v>
      </c>
      <c r="AT741" t="s">
        <v>36</v>
      </c>
      <c r="AU741" t="s">
        <v>325</v>
      </c>
      <c r="AV741" t="s">
        <v>306</v>
      </c>
      <c r="AW741" t="s">
        <v>238</v>
      </c>
      <c r="AX741" t="s">
        <v>309</v>
      </c>
      <c r="AY741">
        <v>6.5</v>
      </c>
    </row>
    <row r="742" spans="43:51" x14ac:dyDescent="0.25">
      <c r="AQ742" t="s">
        <v>52</v>
      </c>
      <c r="AR742" t="s">
        <v>26</v>
      </c>
      <c r="AS742">
        <v>2006</v>
      </c>
      <c r="AT742" t="s">
        <v>36</v>
      </c>
      <c r="AU742" t="s">
        <v>325</v>
      </c>
      <c r="AV742" t="s">
        <v>306</v>
      </c>
      <c r="AW742" t="s">
        <v>238</v>
      </c>
      <c r="AX742" t="s">
        <v>268</v>
      </c>
      <c r="AY742">
        <v>8.6999999999999993</v>
      </c>
    </row>
    <row r="743" spans="43:51" x14ac:dyDescent="0.25">
      <c r="AQ743" t="s">
        <v>52</v>
      </c>
      <c r="AR743" t="s">
        <v>26</v>
      </c>
      <c r="AS743">
        <v>2006</v>
      </c>
      <c r="AT743" t="s">
        <v>36</v>
      </c>
      <c r="AU743" t="s">
        <v>325</v>
      </c>
      <c r="AV743" t="s">
        <v>306</v>
      </c>
      <c r="AW743" t="s">
        <v>239</v>
      </c>
      <c r="AX743" t="s">
        <v>308</v>
      </c>
      <c r="AY743">
        <v>0</v>
      </c>
    </row>
    <row r="744" spans="43:51" x14ac:dyDescent="0.25">
      <c r="AQ744" t="s">
        <v>52</v>
      </c>
      <c r="AR744" t="s">
        <v>26</v>
      </c>
      <c r="AS744">
        <v>2006</v>
      </c>
      <c r="AT744" t="s">
        <v>36</v>
      </c>
      <c r="AU744" t="s">
        <v>325</v>
      </c>
      <c r="AV744" t="s">
        <v>306</v>
      </c>
      <c r="AW744" t="s">
        <v>239</v>
      </c>
      <c r="AX744" t="s">
        <v>309</v>
      </c>
      <c r="AY744">
        <v>0</v>
      </c>
    </row>
    <row r="745" spans="43:51" x14ac:dyDescent="0.25">
      <c r="AQ745" t="s">
        <v>52</v>
      </c>
      <c r="AR745" t="s">
        <v>26</v>
      </c>
      <c r="AS745">
        <v>2006</v>
      </c>
      <c r="AT745" t="s">
        <v>36</v>
      </c>
      <c r="AU745" t="s">
        <v>325</v>
      </c>
      <c r="AV745" t="s">
        <v>306</v>
      </c>
      <c r="AW745" t="s">
        <v>239</v>
      </c>
      <c r="AX745" t="s">
        <v>268</v>
      </c>
      <c r="AY745">
        <v>0</v>
      </c>
    </row>
    <row r="746" spans="43:51" x14ac:dyDescent="0.25">
      <c r="AQ746" t="s">
        <v>52</v>
      </c>
      <c r="AR746" t="s">
        <v>26</v>
      </c>
      <c r="AS746">
        <v>2006</v>
      </c>
      <c r="AT746" t="s">
        <v>36</v>
      </c>
      <c r="AU746" t="s">
        <v>325</v>
      </c>
      <c r="AV746" t="s">
        <v>306</v>
      </c>
      <c r="AW746" t="s">
        <v>240</v>
      </c>
      <c r="AX746" t="s">
        <v>308</v>
      </c>
      <c r="AY746">
        <v>0</v>
      </c>
    </row>
    <row r="747" spans="43:51" x14ac:dyDescent="0.25">
      <c r="AQ747" t="s">
        <v>52</v>
      </c>
      <c r="AR747" t="s">
        <v>26</v>
      </c>
      <c r="AS747">
        <v>2006</v>
      </c>
      <c r="AT747" t="s">
        <v>36</v>
      </c>
      <c r="AU747" t="s">
        <v>325</v>
      </c>
      <c r="AV747" t="s">
        <v>306</v>
      </c>
      <c r="AW747" t="s">
        <v>240</v>
      </c>
      <c r="AX747" t="s">
        <v>309</v>
      </c>
      <c r="AY747">
        <v>0</v>
      </c>
    </row>
    <row r="748" spans="43:51" x14ac:dyDescent="0.25">
      <c r="AQ748" t="s">
        <v>52</v>
      </c>
      <c r="AR748" t="s">
        <v>26</v>
      </c>
      <c r="AS748">
        <v>2006</v>
      </c>
      <c r="AT748" t="s">
        <v>36</v>
      </c>
      <c r="AU748" t="s">
        <v>325</v>
      </c>
      <c r="AV748" t="s">
        <v>306</v>
      </c>
      <c r="AW748" t="s">
        <v>240</v>
      </c>
      <c r="AX748" t="s">
        <v>268</v>
      </c>
      <c r="AY748">
        <v>0</v>
      </c>
    </row>
    <row r="749" spans="43:51" x14ac:dyDescent="0.25">
      <c r="AQ749" t="s">
        <v>52</v>
      </c>
      <c r="AR749" t="s">
        <v>26</v>
      </c>
      <c r="AS749">
        <v>2006</v>
      </c>
      <c r="AT749" t="s">
        <v>36</v>
      </c>
      <c r="AU749" t="s">
        <v>325</v>
      </c>
      <c r="AV749" t="s">
        <v>306</v>
      </c>
      <c r="AW749" t="s">
        <v>314</v>
      </c>
      <c r="AX749" t="s">
        <v>308</v>
      </c>
      <c r="AY749">
        <v>3.1</v>
      </c>
    </row>
    <row r="750" spans="43:51" x14ac:dyDescent="0.25">
      <c r="AQ750" t="s">
        <v>52</v>
      </c>
      <c r="AR750" t="s">
        <v>26</v>
      </c>
      <c r="AS750">
        <v>2006</v>
      </c>
      <c r="AT750" t="s">
        <v>36</v>
      </c>
      <c r="AU750" t="s">
        <v>325</v>
      </c>
      <c r="AV750" t="s">
        <v>306</v>
      </c>
      <c r="AW750" t="s">
        <v>314</v>
      </c>
      <c r="AX750" t="s">
        <v>309</v>
      </c>
      <c r="AY750">
        <v>8</v>
      </c>
    </row>
    <row r="751" spans="43:51" x14ac:dyDescent="0.25">
      <c r="AQ751" t="s">
        <v>52</v>
      </c>
      <c r="AR751" t="s">
        <v>26</v>
      </c>
      <c r="AS751">
        <v>2006</v>
      </c>
      <c r="AT751" t="s">
        <v>36</v>
      </c>
      <c r="AU751" t="s">
        <v>325</v>
      </c>
      <c r="AV751" t="s">
        <v>306</v>
      </c>
      <c r="AW751" t="s">
        <v>314</v>
      </c>
      <c r="AX751" t="s">
        <v>268</v>
      </c>
      <c r="AY751">
        <v>11.1</v>
      </c>
    </row>
    <row r="752" spans="43:51" x14ac:dyDescent="0.25">
      <c r="AQ752" t="s">
        <v>52</v>
      </c>
      <c r="AR752" t="s">
        <v>26</v>
      </c>
      <c r="AS752">
        <v>2006</v>
      </c>
      <c r="AT752" t="s">
        <v>36</v>
      </c>
      <c r="AU752" t="s">
        <v>325</v>
      </c>
      <c r="AV752" t="s">
        <v>306</v>
      </c>
      <c r="AW752" t="s">
        <v>242</v>
      </c>
      <c r="AX752" t="s">
        <v>308</v>
      </c>
      <c r="AY752">
        <v>0</v>
      </c>
    </row>
    <row r="753" spans="43:51" x14ac:dyDescent="0.25">
      <c r="AQ753" t="s">
        <v>52</v>
      </c>
      <c r="AR753" t="s">
        <v>26</v>
      </c>
      <c r="AS753">
        <v>2006</v>
      </c>
      <c r="AT753" t="s">
        <v>36</v>
      </c>
      <c r="AU753" t="s">
        <v>325</v>
      </c>
      <c r="AV753" t="s">
        <v>306</v>
      </c>
      <c r="AW753" t="s">
        <v>242</v>
      </c>
      <c r="AX753" t="s">
        <v>309</v>
      </c>
      <c r="AY753">
        <v>0</v>
      </c>
    </row>
    <row r="754" spans="43:51" x14ac:dyDescent="0.25">
      <c r="AQ754" t="s">
        <v>52</v>
      </c>
      <c r="AR754" t="s">
        <v>26</v>
      </c>
      <c r="AS754">
        <v>2006</v>
      </c>
      <c r="AT754" t="s">
        <v>36</v>
      </c>
      <c r="AU754" t="s">
        <v>325</v>
      </c>
      <c r="AV754" t="s">
        <v>306</v>
      </c>
      <c r="AW754" t="s">
        <v>242</v>
      </c>
      <c r="AX754" t="s">
        <v>268</v>
      </c>
      <c r="AY754">
        <v>0</v>
      </c>
    </row>
    <row r="755" spans="43:51" x14ac:dyDescent="0.25">
      <c r="AQ755" t="s">
        <v>52</v>
      </c>
      <c r="AR755" t="s">
        <v>26</v>
      </c>
      <c r="AS755">
        <v>2006</v>
      </c>
      <c r="AT755" t="s">
        <v>36</v>
      </c>
      <c r="AU755" t="s">
        <v>325</v>
      </c>
      <c r="AV755" t="s">
        <v>306</v>
      </c>
      <c r="AW755" t="s">
        <v>243</v>
      </c>
      <c r="AX755" t="s">
        <v>326</v>
      </c>
      <c r="AY755">
        <v>0</v>
      </c>
    </row>
    <row r="756" spans="43:51" x14ac:dyDescent="0.25">
      <c r="AQ756" t="s">
        <v>52</v>
      </c>
      <c r="AR756" t="s">
        <v>26</v>
      </c>
      <c r="AS756">
        <v>2006</v>
      </c>
      <c r="AT756" t="s">
        <v>36</v>
      </c>
      <c r="AU756" t="s">
        <v>325</v>
      </c>
      <c r="AV756" t="s">
        <v>306</v>
      </c>
      <c r="AW756" t="s">
        <v>243</v>
      </c>
      <c r="AX756" t="s">
        <v>327</v>
      </c>
      <c r="AY756">
        <v>0</v>
      </c>
    </row>
    <row r="757" spans="43:51" x14ac:dyDescent="0.25">
      <c r="AQ757" t="s">
        <v>52</v>
      </c>
      <c r="AR757" t="s">
        <v>26</v>
      </c>
      <c r="AS757">
        <v>2006</v>
      </c>
      <c r="AT757" t="s">
        <v>36</v>
      </c>
      <c r="AU757" t="s">
        <v>325</v>
      </c>
      <c r="AV757" t="s">
        <v>306</v>
      </c>
      <c r="AW757" t="s">
        <v>243</v>
      </c>
      <c r="AX757" t="s">
        <v>328</v>
      </c>
      <c r="AY757">
        <v>19.799999999999997</v>
      </c>
    </row>
    <row r="758" spans="43:51" x14ac:dyDescent="0.25">
      <c r="AQ758" t="s">
        <v>54</v>
      </c>
      <c r="AR758" t="s">
        <v>26</v>
      </c>
      <c r="AS758">
        <v>2008</v>
      </c>
      <c r="AT758" t="s">
        <v>56</v>
      </c>
      <c r="AU758" t="s">
        <v>325</v>
      </c>
      <c r="AV758" t="s">
        <v>306</v>
      </c>
      <c r="AW758" t="s">
        <v>218</v>
      </c>
      <c r="AX758" t="s">
        <v>308</v>
      </c>
      <c r="AY758">
        <v>0</v>
      </c>
    </row>
    <row r="759" spans="43:51" x14ac:dyDescent="0.25">
      <c r="AQ759" t="s">
        <v>54</v>
      </c>
      <c r="AR759" t="s">
        <v>26</v>
      </c>
      <c r="AS759">
        <v>2008</v>
      </c>
      <c r="AT759" t="s">
        <v>56</v>
      </c>
      <c r="AU759" t="s">
        <v>325</v>
      </c>
      <c r="AV759" t="s">
        <v>306</v>
      </c>
      <c r="AW759" t="s">
        <v>218</v>
      </c>
      <c r="AX759" t="s">
        <v>309</v>
      </c>
      <c r="AY759">
        <v>0</v>
      </c>
    </row>
    <row r="760" spans="43:51" x14ac:dyDescent="0.25">
      <c r="AQ760" t="s">
        <v>54</v>
      </c>
      <c r="AR760" t="s">
        <v>26</v>
      </c>
      <c r="AS760">
        <v>2008</v>
      </c>
      <c r="AT760" t="s">
        <v>56</v>
      </c>
      <c r="AU760" t="s">
        <v>325</v>
      </c>
      <c r="AV760" t="s">
        <v>306</v>
      </c>
      <c r="AW760" t="s">
        <v>218</v>
      </c>
      <c r="AX760" t="s">
        <v>268</v>
      </c>
      <c r="AY760">
        <v>0</v>
      </c>
    </row>
    <row r="761" spans="43:51" x14ac:dyDescent="0.25">
      <c r="AQ761" t="s">
        <v>54</v>
      </c>
      <c r="AR761" t="s">
        <v>26</v>
      </c>
      <c r="AS761">
        <v>2008</v>
      </c>
      <c r="AT761" t="s">
        <v>56</v>
      </c>
      <c r="AU761" t="s">
        <v>325</v>
      </c>
      <c r="AV761" t="s">
        <v>306</v>
      </c>
      <c r="AW761" t="s">
        <v>238</v>
      </c>
      <c r="AX761" t="s">
        <v>308</v>
      </c>
      <c r="AY761">
        <v>0</v>
      </c>
    </row>
    <row r="762" spans="43:51" x14ac:dyDescent="0.25">
      <c r="AQ762" t="s">
        <v>54</v>
      </c>
      <c r="AR762" t="s">
        <v>26</v>
      </c>
      <c r="AS762">
        <v>2008</v>
      </c>
      <c r="AT762" t="s">
        <v>56</v>
      </c>
      <c r="AU762" t="s">
        <v>325</v>
      </c>
      <c r="AV762" t="s">
        <v>306</v>
      </c>
      <c r="AW762" t="s">
        <v>238</v>
      </c>
      <c r="AX762" t="s">
        <v>309</v>
      </c>
      <c r="AY762">
        <v>0</v>
      </c>
    </row>
    <row r="763" spans="43:51" x14ac:dyDescent="0.25">
      <c r="AQ763" t="s">
        <v>54</v>
      </c>
      <c r="AR763" t="s">
        <v>26</v>
      </c>
      <c r="AS763">
        <v>2008</v>
      </c>
      <c r="AT763" t="s">
        <v>56</v>
      </c>
      <c r="AU763" t="s">
        <v>325</v>
      </c>
      <c r="AV763" t="s">
        <v>306</v>
      </c>
      <c r="AW763" t="s">
        <v>238</v>
      </c>
      <c r="AX763" t="s">
        <v>268</v>
      </c>
      <c r="AY763">
        <v>0</v>
      </c>
    </row>
    <row r="764" spans="43:51" x14ac:dyDescent="0.25">
      <c r="AQ764" t="s">
        <v>54</v>
      </c>
      <c r="AR764" t="s">
        <v>26</v>
      </c>
      <c r="AS764">
        <v>2008</v>
      </c>
      <c r="AT764" t="s">
        <v>56</v>
      </c>
      <c r="AU764" t="s">
        <v>325</v>
      </c>
      <c r="AV764" t="s">
        <v>306</v>
      </c>
      <c r="AW764" t="s">
        <v>239</v>
      </c>
      <c r="AX764" t="s">
        <v>308</v>
      </c>
      <c r="AY764">
        <v>0</v>
      </c>
    </row>
    <row r="765" spans="43:51" x14ac:dyDescent="0.25">
      <c r="AQ765" t="s">
        <v>54</v>
      </c>
      <c r="AR765" t="s">
        <v>26</v>
      </c>
      <c r="AS765">
        <v>2008</v>
      </c>
      <c r="AT765" t="s">
        <v>56</v>
      </c>
      <c r="AU765" t="s">
        <v>325</v>
      </c>
      <c r="AV765" t="s">
        <v>306</v>
      </c>
      <c r="AW765" t="s">
        <v>239</v>
      </c>
      <c r="AX765" t="s">
        <v>309</v>
      </c>
      <c r="AY765">
        <v>0</v>
      </c>
    </row>
    <row r="766" spans="43:51" x14ac:dyDescent="0.25">
      <c r="AQ766" t="s">
        <v>54</v>
      </c>
      <c r="AR766" t="s">
        <v>26</v>
      </c>
      <c r="AS766">
        <v>2008</v>
      </c>
      <c r="AT766" t="s">
        <v>56</v>
      </c>
      <c r="AU766" t="s">
        <v>325</v>
      </c>
      <c r="AV766" t="s">
        <v>306</v>
      </c>
      <c r="AW766" t="s">
        <v>239</v>
      </c>
      <c r="AX766" t="s">
        <v>268</v>
      </c>
      <c r="AY766">
        <v>0</v>
      </c>
    </row>
    <row r="767" spans="43:51" x14ac:dyDescent="0.25">
      <c r="AQ767" t="s">
        <v>54</v>
      </c>
      <c r="AR767" t="s">
        <v>26</v>
      </c>
      <c r="AS767">
        <v>2008</v>
      </c>
      <c r="AT767" t="s">
        <v>56</v>
      </c>
      <c r="AU767" t="s">
        <v>325</v>
      </c>
      <c r="AV767" t="s">
        <v>306</v>
      </c>
      <c r="AW767" t="s">
        <v>240</v>
      </c>
      <c r="AX767" t="s">
        <v>308</v>
      </c>
      <c r="AY767">
        <v>1.6</v>
      </c>
    </row>
    <row r="768" spans="43:51" x14ac:dyDescent="0.25">
      <c r="AQ768" t="s">
        <v>54</v>
      </c>
      <c r="AR768" t="s">
        <v>26</v>
      </c>
      <c r="AS768">
        <v>2008</v>
      </c>
      <c r="AT768" t="s">
        <v>56</v>
      </c>
      <c r="AU768" t="s">
        <v>325</v>
      </c>
      <c r="AV768" t="s">
        <v>306</v>
      </c>
      <c r="AW768" t="s">
        <v>240</v>
      </c>
      <c r="AX768" t="s">
        <v>309</v>
      </c>
      <c r="AY768">
        <v>8.3000000000000007</v>
      </c>
    </row>
    <row r="769" spans="43:51" x14ac:dyDescent="0.25">
      <c r="AQ769" t="s">
        <v>54</v>
      </c>
      <c r="AR769" t="s">
        <v>26</v>
      </c>
      <c r="AS769">
        <v>2008</v>
      </c>
      <c r="AT769" t="s">
        <v>56</v>
      </c>
      <c r="AU769" t="s">
        <v>325</v>
      </c>
      <c r="AV769" t="s">
        <v>306</v>
      </c>
      <c r="AW769" t="s">
        <v>240</v>
      </c>
      <c r="AX769" t="s">
        <v>268</v>
      </c>
      <c r="AY769">
        <v>9.9</v>
      </c>
    </row>
    <row r="770" spans="43:51" x14ac:dyDescent="0.25">
      <c r="AQ770" t="s">
        <v>54</v>
      </c>
      <c r="AR770" t="s">
        <v>26</v>
      </c>
      <c r="AS770">
        <v>2008</v>
      </c>
      <c r="AT770" t="s">
        <v>56</v>
      </c>
      <c r="AU770" t="s">
        <v>325</v>
      </c>
      <c r="AV770" t="s">
        <v>306</v>
      </c>
      <c r="AW770" t="s">
        <v>314</v>
      </c>
      <c r="AX770" t="s">
        <v>308</v>
      </c>
      <c r="AY770">
        <v>0</v>
      </c>
    </row>
    <row r="771" spans="43:51" x14ac:dyDescent="0.25">
      <c r="AQ771" t="s">
        <v>54</v>
      </c>
      <c r="AR771" t="s">
        <v>26</v>
      </c>
      <c r="AS771">
        <v>2008</v>
      </c>
      <c r="AT771" t="s">
        <v>56</v>
      </c>
      <c r="AU771" t="s">
        <v>325</v>
      </c>
      <c r="AV771" t="s">
        <v>306</v>
      </c>
      <c r="AW771" t="s">
        <v>314</v>
      </c>
      <c r="AX771" t="s">
        <v>309</v>
      </c>
      <c r="AY771">
        <v>0</v>
      </c>
    </row>
    <row r="772" spans="43:51" x14ac:dyDescent="0.25">
      <c r="AQ772" t="s">
        <v>54</v>
      </c>
      <c r="AR772" t="s">
        <v>26</v>
      </c>
      <c r="AS772">
        <v>2008</v>
      </c>
      <c r="AT772" t="s">
        <v>56</v>
      </c>
      <c r="AU772" t="s">
        <v>325</v>
      </c>
      <c r="AV772" t="s">
        <v>306</v>
      </c>
      <c r="AW772" t="s">
        <v>314</v>
      </c>
      <c r="AX772" t="s">
        <v>268</v>
      </c>
      <c r="AY772">
        <v>0</v>
      </c>
    </row>
    <row r="773" spans="43:51" x14ac:dyDescent="0.25">
      <c r="AQ773" t="s">
        <v>54</v>
      </c>
      <c r="AR773" t="s">
        <v>26</v>
      </c>
      <c r="AS773">
        <v>2008</v>
      </c>
      <c r="AT773" t="s">
        <v>56</v>
      </c>
      <c r="AU773" t="s">
        <v>325</v>
      </c>
      <c r="AV773" t="s">
        <v>306</v>
      </c>
      <c r="AW773" t="s">
        <v>242</v>
      </c>
      <c r="AX773" t="s">
        <v>308</v>
      </c>
      <c r="AY773">
        <v>0</v>
      </c>
    </row>
    <row r="774" spans="43:51" x14ac:dyDescent="0.25">
      <c r="AQ774" t="s">
        <v>54</v>
      </c>
      <c r="AR774" t="s">
        <v>26</v>
      </c>
      <c r="AS774">
        <v>2008</v>
      </c>
      <c r="AT774" t="s">
        <v>56</v>
      </c>
      <c r="AU774" t="s">
        <v>325</v>
      </c>
      <c r="AV774" t="s">
        <v>306</v>
      </c>
      <c r="AW774" t="s">
        <v>242</v>
      </c>
      <c r="AX774" t="s">
        <v>309</v>
      </c>
      <c r="AY774">
        <v>0</v>
      </c>
    </row>
    <row r="775" spans="43:51" x14ac:dyDescent="0.25">
      <c r="AQ775" t="s">
        <v>54</v>
      </c>
      <c r="AR775" t="s">
        <v>26</v>
      </c>
      <c r="AS775">
        <v>2008</v>
      </c>
      <c r="AT775" t="s">
        <v>56</v>
      </c>
      <c r="AU775" t="s">
        <v>325</v>
      </c>
      <c r="AV775" t="s">
        <v>306</v>
      </c>
      <c r="AW775" t="s">
        <v>242</v>
      </c>
      <c r="AX775" t="s">
        <v>268</v>
      </c>
      <c r="AY775">
        <v>0</v>
      </c>
    </row>
    <row r="776" spans="43:51" x14ac:dyDescent="0.25">
      <c r="AQ776" t="s">
        <v>54</v>
      </c>
      <c r="AR776" t="s">
        <v>26</v>
      </c>
      <c r="AS776">
        <v>2008</v>
      </c>
      <c r="AT776" t="s">
        <v>56</v>
      </c>
      <c r="AU776" t="s">
        <v>325</v>
      </c>
      <c r="AV776" t="s">
        <v>306</v>
      </c>
      <c r="AW776" t="s">
        <v>243</v>
      </c>
      <c r="AX776" t="s">
        <v>326</v>
      </c>
      <c r="AY776">
        <v>0</v>
      </c>
    </row>
    <row r="777" spans="43:51" x14ac:dyDescent="0.25">
      <c r="AQ777" t="s">
        <v>54</v>
      </c>
      <c r="AR777" t="s">
        <v>26</v>
      </c>
      <c r="AS777">
        <v>2008</v>
      </c>
      <c r="AT777" t="s">
        <v>56</v>
      </c>
      <c r="AU777" t="s">
        <v>325</v>
      </c>
      <c r="AV777" t="s">
        <v>306</v>
      </c>
      <c r="AW777" t="s">
        <v>243</v>
      </c>
      <c r="AX777" t="s">
        <v>327</v>
      </c>
      <c r="AY777">
        <v>0</v>
      </c>
    </row>
    <row r="778" spans="43:51" x14ac:dyDescent="0.25">
      <c r="AQ778" t="s">
        <v>54</v>
      </c>
      <c r="AR778" t="s">
        <v>26</v>
      </c>
      <c r="AS778">
        <v>2008</v>
      </c>
      <c r="AT778" t="s">
        <v>56</v>
      </c>
      <c r="AU778" t="s">
        <v>325</v>
      </c>
      <c r="AV778" t="s">
        <v>306</v>
      </c>
      <c r="AW778" t="s">
        <v>243</v>
      </c>
      <c r="AX778" t="s">
        <v>328</v>
      </c>
      <c r="AY778">
        <v>9.9</v>
      </c>
    </row>
  </sheetData>
  <mergeCells count="2">
    <mergeCell ref="AD2:AD8"/>
    <mergeCell ref="AD9:AD15"/>
  </mergeCells>
  <phoneticPr fontId="1" type="noConversion"/>
  <conditionalFormatting sqref="B2:B38">
    <cfRule type="expression" dxfId="692" priority="1">
      <formula>IF($C2="junior",$AB2=MAX(_xlfn._xlws.FILTER($AB$2:$AB$38,$C$2:$C$38="junior")),$AB2=MAX(_xlfn._xlws.FILTER($AB$2:$AB$38,$C$2:$C$38="senior")))</formula>
    </cfRule>
    <cfRule type="expression" dxfId="691" priority="2">
      <formula>IF($C2="junior",$AB2=LARGE(_xlfn._xlws.FILTER($AB$2:$AB$38,$C$2:$C$38="junior"),2),$AB2=LARGE(_xlfn._xlws.FILTER($AB$2:$AB$38,$C$2:$C$38="senior"),2))</formula>
    </cfRule>
    <cfRule type="expression" dxfId="690" priority="3">
      <formula>IF($C2="junior",$AB2=LARGE(_xlfn._xlws.FILTER($AB$2:$AB$38,$C$2:$C$38="junior"),3),$AB2=LARGE(_xlfn._xlws.FILTER($AB$2:$AB$38,$C$2:$C$38="senior"),3))</formula>
    </cfRule>
    <cfRule type="expression" dxfId="689" priority="4">
      <formula>IF($C2="junior",Z2=MAX(_xlfn._xlws.FILTER($Z$2:$Z$38,$C$2:$C$38="junior")),Z2=MAX(_xlfn._xlws.FILTER($Z$2:$Z$38,$C$2:$C$38="senior")))</formula>
    </cfRule>
    <cfRule type="expression" dxfId="688" priority="5">
      <formula>IF($C2="junior",$AA2=MAX(_xlfn._xlws.FILTER($AA$2:$AA$38,$C$2:$C$38="junior")),$AA2=MAX(_xlfn._xlws.FILTER($AA$2:$AA$38,$C$2:$C$38="junior")))</formula>
    </cfRule>
  </conditionalFormatting>
  <conditionalFormatting sqref="H2:H38 K2:K38 N1:N39 Q1:Q39 T1:T39 W1:W39 N41 Q41 T41 W41 N58:N1048576 Q58:Q1048576 T58:T1048576 W58:W1048576">
    <cfRule type="expression" dxfId="687" priority="34">
      <formula>AND(AND($C1="senior",H1&lt;2.9),H1&gt;0)</formula>
    </cfRule>
  </conditionalFormatting>
  <conditionalFormatting sqref="H2:H38 K2:K38 N2:N38 Q1:Q39 T1:T39 W1:W39 Q41 T41 W41 Q58:Q1048576 T58:T1048576 W58:W1048576">
    <cfRule type="expression" dxfId="686" priority="33">
      <formula>AND(AND($C1="junior",H1&lt;2.6),H1&gt;0)</formula>
    </cfRule>
  </conditionalFormatting>
  <conditionalFormatting sqref="H2:H38">
    <cfRule type="expression" dxfId="685" priority="27">
      <formula>IF($C2="junior",H2&gt;=$AF$10+$AG$10,H2&gt;=$AF$3+$AG$3)</formula>
    </cfRule>
  </conditionalFormatting>
  <conditionalFormatting sqref="H2:AB38">
    <cfRule type="cellIs" dxfId="684" priority="37" operator="equal">
      <formula>0</formula>
    </cfRule>
  </conditionalFormatting>
  <conditionalFormatting sqref="J2:J38">
    <cfRule type="expression" dxfId="683" priority="26">
      <formula>IF($C2="junior",J2=MAX(_xlfn._xlws.FILTER(J$2:J$38,$C$2:$C$38="junior")),J2=MAX(_xlfn._xlws.FILTER(J$2:J$38,$C$2:$C$38="senior")))</formula>
    </cfRule>
    <cfRule type="expression" dxfId="682" priority="28">
      <formula>IF($C2="junior",J2&gt;=$AJ$10+$AK$10,J2&gt;=$AJ$3+$AK$3)</formula>
    </cfRule>
  </conditionalFormatting>
  <conditionalFormatting sqref="K2:K38">
    <cfRule type="expression" dxfId="681" priority="11">
      <formula>IF($C2="junior",K2&gt;=$AF$13+$AG$13,K2&gt;=$AF$6+$AG$6)</formula>
    </cfRule>
  </conditionalFormatting>
  <conditionalFormatting sqref="M2:M38">
    <cfRule type="expression" dxfId="680" priority="24">
      <formula>IF($C2="junior",M2=MAX(_xlfn._xlws.FILTER(M$2:M$38,$C$2:$C$38="junior")),M2=MAX(_xlfn._xlws.FILTER(M$2:M$38,$C$2:$C$38="senior")))</formula>
    </cfRule>
    <cfRule type="expression" dxfId="679" priority="25">
      <formula>IF($C2="junior",M2&gt;=$AJ$13+$AK$13,M2&gt;=$AJ$6+$AK$6)</formula>
    </cfRule>
  </conditionalFormatting>
  <conditionalFormatting sqref="N2:N38">
    <cfRule type="expression" dxfId="678" priority="10">
      <formula>IF($C2="junior",N2&gt;=$AF$14+$AG$14,N2&gt;=$AF$7+$AG$7)</formula>
    </cfRule>
  </conditionalFormatting>
  <conditionalFormatting sqref="N40 Q40 T40 W40">
    <cfRule type="expression" dxfId="677" priority="505">
      <formula>AND(AND($AD19="senior",N40&lt;2.9),N40&gt;0)</formula>
    </cfRule>
  </conditionalFormatting>
  <conditionalFormatting sqref="P2:P38">
    <cfRule type="expression" dxfId="676" priority="22">
      <formula>IF($C2="junior",P2=MAX(_xlfn._xlws.FILTER(P$2:P$38,$C$2:$C$38="junior")),P2=MAX(_xlfn._xlws.FILTER(P$2:P$38,$C$2:$C$38="senior")))</formula>
    </cfRule>
    <cfRule type="expression" dxfId="675" priority="23">
      <formula>IF($C2="junior",P2&gt;=$AJ$14+$AK$14,P2&gt;=$AJ$7+$AK$7)</formula>
    </cfRule>
  </conditionalFormatting>
  <conditionalFormatting sqref="Q2:Q38">
    <cfRule type="expression" dxfId="674" priority="9">
      <formula>IF($C2="junior",Q2&gt;=$AF$15+$AG$15,Q2&gt;=$AF$8+$AG$8)</formula>
    </cfRule>
  </conditionalFormatting>
  <conditionalFormatting sqref="Q40 T40 W40">
    <cfRule type="expression" dxfId="673" priority="509">
      <formula>AND(AND($AD19="junior",Q40&lt;2.6),Q40&gt;0)</formula>
    </cfRule>
  </conditionalFormatting>
  <conditionalFormatting sqref="S2:S38">
    <cfRule type="expression" dxfId="672" priority="20">
      <formula>IF($C2="junior",S2=MAX(_xlfn._xlws.FILTER(S$2:S$38,$C$2:$C$38="junior")),S2=MAX(_xlfn._xlws.FILTER(S$2:S$38,$C$2:$C$38="senior")))</formula>
    </cfRule>
    <cfRule type="expression" dxfId="671" priority="21">
      <formula>IF($C2="junior",S2&gt;=$AJ$15+$AK$15,S2&gt;=$AJ$8+$AK$8)</formula>
    </cfRule>
  </conditionalFormatting>
  <conditionalFormatting sqref="T2:T38">
    <cfRule type="expression" dxfId="670" priority="8">
      <formula>IF($C2="junior",T2&gt;=$AF$12+$AG$12,T2&gt;=$AF$5+$AG$5)</formula>
    </cfRule>
  </conditionalFormatting>
  <conditionalFormatting sqref="V2:V38">
    <cfRule type="expression" dxfId="669" priority="18">
      <formula>IF($C2="junior",V2=MAX(_xlfn._xlws.FILTER(V$2:V$38,$C$2:$C$38="junior")),V2=MAX(_xlfn._xlws.FILTER(V$2:V$38,$C$2:$C$38="senior")))</formula>
    </cfRule>
    <cfRule type="expression" dxfId="668" priority="19">
      <formula>IF($C2="junior",V2&gt;=$AJ$12+$AK$12,V2&gt;=$AJ$5+$AK$5)</formula>
    </cfRule>
  </conditionalFormatting>
  <conditionalFormatting sqref="W2:W38">
    <cfRule type="expression" dxfId="667" priority="7">
      <formula>IF($C2="junior",W2&gt;=$AF$11+$AG$11,W2&gt;=$AF$4+$AG$4)</formula>
    </cfRule>
  </conditionalFormatting>
  <conditionalFormatting sqref="Y2:Y38">
    <cfRule type="expression" dxfId="666" priority="15">
      <formula>IF($C2="junior",Y2=MAX(_xlfn._xlws.FILTER(Y$2:Y$38,$C$2:$C$38="junior")),Y2=MAX(_xlfn._xlws.FILTER(Y$2:Y$38,$C$2:$C$38="senior")))</formula>
    </cfRule>
    <cfRule type="expression" dxfId="665" priority="17">
      <formula>IF($C2="junior",Y2&gt;=$AJ$11+$AK$11,Y2&gt;=$AJ$4+$AK$4)</formula>
    </cfRule>
  </conditionalFormatting>
  <conditionalFormatting sqref="Z2:Z38">
    <cfRule type="expression" dxfId="664" priority="6">
      <formula>IF($C2="junior",Z2&gt;=$AF$9+$AG$9,Z2&gt;=$AF$2+$AG$2)</formula>
    </cfRule>
  </conditionalFormatting>
  <conditionalFormatting sqref="AA2:AA38">
    <cfRule type="expression" dxfId="663" priority="12">
      <formula>IF($C2="junior",AA2&gt;=$AH$9+$AI$9,AA2&gt;=$AH$2+$AI$2)</formula>
    </cfRule>
  </conditionalFormatting>
  <conditionalFormatting sqref="AB2:AB38">
    <cfRule type="expression" dxfId="662" priority="13">
      <formula>IF($C2="junior",AB2=MAX(_xlfn._xlws.FILTER(AB$2:AB$38,$C$2:$C$38="junior",$G$2:$G$38="Yes")),AB2=MAX(_xlfn._xlws.FILTER(AB$2:AB$38,$C$2:$C$38="senior",$G$2:$G$38="Yes")))</formula>
    </cfRule>
    <cfRule type="expression" dxfId="661" priority="14">
      <formula>IF($C2="junior",AB2&gt;=$AJ$9+$AK$9,AB2&gt;=$AJ$2+$AK$2)</formula>
    </cfRule>
  </conditionalFormatting>
  <pageMargins left="0.7" right="0.7" top="0.75" bottom="0.75" header="0.3" footer="0.3"/>
  <drawing r:id="rId2"/>
  <tableParts count="3">
    <tablePart r:id="rId3"/>
    <tablePart r:id="rId4"/>
    <tablePart r:id="rId5"/>
  </tablePart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398A1-811F-6445-AF48-6D5EC1CBDD04}">
  <sheetPr codeName="Arkusz4">
    <tabColor theme="4" tint="0.39997558519241921"/>
  </sheetPr>
  <dimension ref="A1:AY820"/>
  <sheetViews>
    <sheetView zoomScale="70" zoomScaleNormal="70" workbookViewId="0">
      <selection activeCell="AD55" sqref="AD55"/>
    </sheetView>
  </sheetViews>
  <sheetFormatPr defaultColWidth="11" defaultRowHeight="15.75" x14ac:dyDescent="0.25"/>
  <cols>
    <col min="1" max="1" width="9.375" style="2" customWidth="1"/>
    <col min="2" max="2" width="21.125" bestFit="1" customWidth="1"/>
    <col min="3" max="3" width="13.625" style="2" bestFit="1" customWidth="1"/>
    <col min="4" max="4" width="11.875" style="2" customWidth="1"/>
    <col min="5" max="5" width="16.625" style="2" customWidth="1"/>
    <col min="6" max="6" width="24.625" bestFit="1" customWidth="1"/>
    <col min="7" max="7" width="16.125" customWidth="1"/>
    <col min="8" max="8" width="15.125" style="2" bestFit="1" customWidth="1"/>
    <col min="9" max="9" width="15" style="2" bestFit="1" customWidth="1"/>
    <col min="10" max="10" width="19" style="2" bestFit="1" customWidth="1"/>
    <col min="11" max="11" width="15.5" style="2" bestFit="1" customWidth="1"/>
    <col min="12" max="12" width="13.125" style="2" customWidth="1"/>
    <col min="13" max="13" width="19.625" style="2" bestFit="1" customWidth="1"/>
    <col min="14" max="14" width="15.125" style="2" bestFit="1" customWidth="1"/>
    <col min="15" max="15" width="15" style="2" bestFit="1" customWidth="1"/>
    <col min="16" max="16" width="19.5" style="2" bestFit="1" customWidth="1"/>
    <col min="17" max="17" width="15.125" style="2" bestFit="1" customWidth="1"/>
    <col min="18" max="18" width="15" style="2" bestFit="1" customWidth="1"/>
    <col min="19" max="19" width="19" style="2" bestFit="1" customWidth="1"/>
    <col min="20" max="20" width="15.125" style="2" bestFit="1" customWidth="1"/>
    <col min="21" max="21" width="15" style="2" bestFit="1" customWidth="1"/>
    <col min="22" max="23" width="9" style="2" customWidth="1"/>
    <col min="24" max="24" width="12.375" style="2" customWidth="1"/>
    <col min="25" max="25" width="14.875" style="2" customWidth="1"/>
    <col min="26" max="28" width="9" style="2" customWidth="1"/>
    <col min="30" max="30" width="17.125" bestFit="1" customWidth="1"/>
    <col min="31" max="31" width="13.5" bestFit="1" customWidth="1"/>
    <col min="32" max="32" width="30.75" bestFit="1" customWidth="1"/>
    <col min="33" max="33" width="26.875" bestFit="1" customWidth="1"/>
    <col min="34" max="35" width="16.5" bestFit="1" customWidth="1"/>
    <col min="36" max="36" width="15.625" bestFit="1" customWidth="1"/>
    <col min="37" max="37" width="20.25" bestFit="1" customWidth="1"/>
    <col min="38" max="38" width="17.875" bestFit="1" customWidth="1"/>
    <col min="39" max="39" width="17.75" bestFit="1" customWidth="1"/>
    <col min="43" max="43" width="24.625" bestFit="1" customWidth="1"/>
    <col min="44" max="44" width="17.375" customWidth="1"/>
  </cols>
  <sheetData>
    <row r="1" spans="1:51" s="13" customFormat="1" x14ac:dyDescent="0.25">
      <c r="A1" s="4" t="s">
        <v>0</v>
      </c>
      <c r="B1" s="13" t="s">
        <v>1</v>
      </c>
      <c r="C1" s="2" t="s">
        <v>2</v>
      </c>
      <c r="D1" s="2" t="s">
        <v>3</v>
      </c>
      <c r="E1" s="2" t="s">
        <v>4</v>
      </c>
      <c r="F1" s="13" t="s">
        <v>5</v>
      </c>
      <c r="G1" s="2" t="s">
        <v>243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247</v>
      </c>
      <c r="AA1" s="2" t="s">
        <v>248</v>
      </c>
      <c r="AB1" s="2" t="s">
        <v>24</v>
      </c>
      <c r="AD1" s="20" t="s">
        <v>2</v>
      </c>
      <c r="AE1" s="20" t="s">
        <v>217</v>
      </c>
      <c r="AF1" s="20" t="s">
        <v>244</v>
      </c>
      <c r="AG1" s="20" t="s">
        <v>249</v>
      </c>
      <c r="AH1" s="20" t="s">
        <v>245</v>
      </c>
      <c r="AI1" s="20" t="s">
        <v>250</v>
      </c>
      <c r="AJ1" s="20" t="s">
        <v>246</v>
      </c>
      <c r="AK1" s="20" t="s">
        <v>251</v>
      </c>
      <c r="AL1" s="20" t="s">
        <v>252</v>
      </c>
      <c r="AN1" t="s">
        <v>1</v>
      </c>
      <c r="AO1" t="s">
        <v>2</v>
      </c>
      <c r="AP1" t="s">
        <v>3</v>
      </c>
      <c r="AQ1" t="s">
        <v>5</v>
      </c>
      <c r="AR1" t="s">
        <v>316</v>
      </c>
      <c r="AS1" t="s">
        <v>243</v>
      </c>
      <c r="AT1" t="s">
        <v>217</v>
      </c>
      <c r="AU1" t="s">
        <v>313</v>
      </c>
      <c r="AV1" t="s">
        <v>307</v>
      </c>
    </row>
    <row r="2" spans="1:51" x14ac:dyDescent="0.25">
      <c r="A2" s="2">
        <v>1</v>
      </c>
      <c r="B2" t="s">
        <v>63</v>
      </c>
      <c r="C2" s="2" t="s">
        <v>60</v>
      </c>
      <c r="D2" s="2">
        <v>1997</v>
      </c>
      <c r="E2" s="2" t="s">
        <v>64</v>
      </c>
      <c r="F2" t="s">
        <v>39</v>
      </c>
      <c r="G2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2" s="4">
        <v>5.6</v>
      </c>
      <c r="I2" s="8">
        <v>7.65</v>
      </c>
      <c r="J2" s="7">
        <v>13.25</v>
      </c>
      <c r="K2" s="5">
        <v>4.4000000000000004</v>
      </c>
      <c r="L2" s="8">
        <v>7</v>
      </c>
      <c r="M2" s="7">
        <v>11.4</v>
      </c>
      <c r="N2" s="5">
        <v>4.3</v>
      </c>
      <c r="O2" s="8">
        <v>7.85</v>
      </c>
      <c r="P2" s="7">
        <v>12.15</v>
      </c>
      <c r="Q2" s="5">
        <v>5.2</v>
      </c>
      <c r="R2" s="8">
        <v>8.0500000000000007</v>
      </c>
      <c r="S2" s="7">
        <v>13.25</v>
      </c>
      <c r="T2" s="5">
        <v>4.2</v>
      </c>
      <c r="U2" s="8">
        <v>8.8000000000000007</v>
      </c>
      <c r="V2" s="7">
        <v>13</v>
      </c>
      <c r="W2" s="5">
        <v>4.4000000000000004</v>
      </c>
      <c r="X2" s="8">
        <v>8.4</v>
      </c>
      <c r="Y2" s="7">
        <v>12.8</v>
      </c>
      <c r="Z2" s="4">
        <f>IF(Cracow_result[[#This Row],[All Around]]="Yes",SUM(H2,K2,N2,Q2,T2,W2),0)</f>
        <v>28.1</v>
      </c>
      <c r="AA2" s="7">
        <f>IF(Cracow_result[[#This Row],[All Around]]="Yes",SUM(I2,L2,O2,R2,U2,X2),0)</f>
        <v>47.75</v>
      </c>
      <c r="AB2" s="7">
        <v>75.849999999999994</v>
      </c>
      <c r="AD2" s="39" t="s">
        <v>60</v>
      </c>
      <c r="AE2" s="25" t="s">
        <v>243</v>
      </c>
      <c r="AF2" s="26">
        <f>AVERAGEIFS(Cracow_result[AA_Dscore],Cracow_result[[Category]:[Category]],"senior",Cracow_result[AA_Dscore],"&lt;&gt;0",Cracow_result[All Around],"Yes")</f>
        <v>23.790909090909089</v>
      </c>
      <c r="AG2" s="26" cm="1">
        <f t="array" ref="AG2">_xlfn.STDEV.S(_xlfn._xlws.FILTER(Cracow_result[AA_Dscore],(Cracow_result[Category]="senior")*(Cracow_result[All Around]="Yes")))</f>
        <v>3.4697131136319093</v>
      </c>
      <c r="AH2" s="27">
        <f>AVERAGEIFS(Cracow_result[AA_Escore],Cracow_result[[Category]:[Category]],"senior",Cracow_result[AA_Escore],"&lt;&gt;0",Cracow_result[All Around],"yes")</f>
        <v>47.340909090909093</v>
      </c>
      <c r="AI2" s="27" cm="1">
        <f t="array" ref="AI2">_xlfn.STDEV.S(_xlfn._xlws.FILTER(Cracow_result[AA_Escore],(Cracow_result[Category]="senior")*(Cracow_result[All Around]="Yes")))</f>
        <v>2.8313263836776366</v>
      </c>
      <c r="AJ2" s="27">
        <f>AVERAGEIFS(Cracow_result[Total_Score],Cracow_result[[Category]:[Category]],"senior",Cracow_result[Total_Score],"&lt;&gt;0",Cracow_result[All Around],"yes")</f>
        <v>71.13181818181819</v>
      </c>
      <c r="AK2" s="27" cm="1">
        <f t="array" ref="AK2">_xlfn.STDEV.S(_xlfn._xlws.FILTER(Cracow_result[Total_Score],(Cracow_result[Category]="senior")*(Cracow_result[All Around]="Yes")))</f>
        <v>4.1965624460546698</v>
      </c>
      <c r="AL2" s="27" cm="1">
        <f t="array" ref="AL2">MAX(_xlfn._xlws.FILTER(Cracow_result[Total_Score],Cracow_result[Category]="senior"))</f>
        <v>75.849999999999994</v>
      </c>
      <c r="AN2" t="s">
        <v>63</v>
      </c>
      <c r="AO2" t="s">
        <v>60</v>
      </c>
      <c r="AP2">
        <v>1997</v>
      </c>
      <c r="AQ2" t="s">
        <v>39</v>
      </c>
      <c r="AR2" t="s">
        <v>330</v>
      </c>
      <c r="AS2" t="s">
        <v>305</v>
      </c>
      <c r="AT2" t="s">
        <v>218</v>
      </c>
      <c r="AU2" t="s">
        <v>308</v>
      </c>
      <c r="AV2">
        <v>5.6</v>
      </c>
    </row>
    <row r="3" spans="1:51" x14ac:dyDescent="0.25">
      <c r="A3" s="2">
        <v>2</v>
      </c>
      <c r="B3" t="s">
        <v>59</v>
      </c>
      <c r="C3" s="2" t="s">
        <v>60</v>
      </c>
      <c r="D3" s="2">
        <v>2002</v>
      </c>
      <c r="E3" s="2" t="s">
        <v>61</v>
      </c>
      <c r="F3" t="s">
        <v>62</v>
      </c>
      <c r="G3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3" s="5">
        <v>5.3</v>
      </c>
      <c r="I3" s="8">
        <v>7.25</v>
      </c>
      <c r="J3" s="8">
        <v>12.55</v>
      </c>
      <c r="K3" s="5">
        <v>5.2</v>
      </c>
      <c r="L3" s="8">
        <v>7.7</v>
      </c>
      <c r="M3" s="8">
        <v>12.9</v>
      </c>
      <c r="N3" s="5">
        <v>4.0999999999999996</v>
      </c>
      <c r="O3" s="8">
        <v>8.1</v>
      </c>
      <c r="P3" s="8">
        <v>12.2</v>
      </c>
      <c r="Q3" s="5">
        <v>4.4000000000000004</v>
      </c>
      <c r="R3" s="8">
        <v>9.15</v>
      </c>
      <c r="S3" s="8">
        <v>13.55</v>
      </c>
      <c r="T3" s="5">
        <v>5.3</v>
      </c>
      <c r="U3" s="8">
        <v>6.6</v>
      </c>
      <c r="V3" s="8">
        <v>11.9</v>
      </c>
      <c r="W3" s="5">
        <v>4.5999999999999996</v>
      </c>
      <c r="X3" s="8">
        <v>8.15</v>
      </c>
      <c r="Y3" s="8">
        <v>12.75</v>
      </c>
      <c r="Z3" s="4">
        <f>IF(Cracow_result[[#This Row],[All Around]]="Yes",SUM(H3,K3,N3,Q3,T3,W3),0)</f>
        <v>28.9</v>
      </c>
      <c r="AA3" s="7">
        <f>IF(Cracow_result[[#This Row],[All Around]]="Yes",SUM(I3,L3,O3,R3,U3,X3),0)</f>
        <v>46.949999999999996</v>
      </c>
      <c r="AB3" s="7">
        <v>75.849999999999994</v>
      </c>
      <c r="AD3" s="40"/>
      <c r="AE3" s="25" t="s">
        <v>218</v>
      </c>
      <c r="AF3" s="26">
        <f>AVERAGEIFS(Cracow_result[FX_Dscore],Cracow_result[[Category]:[Category]],"senior",Cracow_result[FX_Dscore],"&lt;&gt;0")</f>
        <v>4.3350000000000009</v>
      </c>
      <c r="AG3" s="26" cm="1">
        <f t="array" ref="AG3">_xlfn.STDEV.S(_xlfn._xlws.FILTER(Cracow_result[FX_Dscore],(Cracow_result[Category]="senior")*(Cracow_result[FX_Dscore]&gt;0)))</f>
        <v>0.60111738060311626</v>
      </c>
      <c r="AH3" s="27">
        <f>AVERAGEIFS(Cracow_result[FX_Escore],Cracow_result[[Category]:[Category]],"senior",Cracow_result[FX_Escore],"&lt;&gt;0")</f>
        <v>7.7</v>
      </c>
      <c r="AI3" s="27" cm="1">
        <f t="array" ref="AI3">_xlfn.STDEV.S(_xlfn._xlws.FILTER(Cracow_result[FX_Escore],(Cracow_result[Category]="senior")*(Cracow_result[FX_Escore]&gt;0)))</f>
        <v>0.45739537198772529</v>
      </c>
      <c r="AJ3" s="27">
        <f>AVERAGEIFS(Cracow_result[FX_total_score],Cracow_result[[Category]:[Category]],"senior",Cracow_result[FX_total_score],"&lt;&gt;0")</f>
        <v>12.035</v>
      </c>
      <c r="AK3" s="27" cm="1">
        <f t="array" ref="AK3">_xlfn.STDEV.S(_xlfn._xlws.FILTER(Cracow_result[FX_total_score],(Cracow_result[Category]="senior")*(Cracow_result[FX_total_score]&gt;0)))</f>
        <v>0.75951854556201037</v>
      </c>
      <c r="AL3" s="27" cm="1">
        <f t="array" ref="AL3">MAX(_xlfn._xlws.FILTER(Cracow_result[FX_total_score],Cracow_result[Category]="senior"))</f>
        <v>13.65</v>
      </c>
      <c r="AN3" t="s">
        <v>63</v>
      </c>
      <c r="AO3" t="s">
        <v>60</v>
      </c>
      <c r="AP3">
        <v>1997</v>
      </c>
      <c r="AQ3" t="s">
        <v>39</v>
      </c>
      <c r="AR3" t="s">
        <v>330</v>
      </c>
      <c r="AS3" t="s">
        <v>305</v>
      </c>
      <c r="AT3" t="s">
        <v>218</v>
      </c>
      <c r="AU3" t="s">
        <v>309</v>
      </c>
      <c r="AV3">
        <v>7.65</v>
      </c>
    </row>
    <row r="4" spans="1:51" x14ac:dyDescent="0.25">
      <c r="A4" s="2">
        <v>3</v>
      </c>
      <c r="B4" t="s">
        <v>68</v>
      </c>
      <c r="C4" s="2" t="s">
        <v>60</v>
      </c>
      <c r="D4" s="2">
        <v>2004</v>
      </c>
      <c r="E4" s="2" t="s">
        <v>69</v>
      </c>
      <c r="F4" t="s">
        <v>31</v>
      </c>
      <c r="G4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4" s="5">
        <v>4.5</v>
      </c>
      <c r="I4" s="8">
        <v>8</v>
      </c>
      <c r="J4" s="8">
        <v>12.5</v>
      </c>
      <c r="K4" s="5">
        <v>3.8</v>
      </c>
      <c r="L4" s="8">
        <v>8</v>
      </c>
      <c r="M4" s="8">
        <v>11.8</v>
      </c>
      <c r="N4" s="5">
        <v>3.8</v>
      </c>
      <c r="O4" s="8">
        <v>8.5500000000000007</v>
      </c>
      <c r="P4" s="8">
        <v>12.35</v>
      </c>
      <c r="Q4" s="5">
        <v>4</v>
      </c>
      <c r="R4" s="8">
        <v>9.35</v>
      </c>
      <c r="S4" s="8">
        <v>13.35</v>
      </c>
      <c r="T4" s="5">
        <v>3.4</v>
      </c>
      <c r="U4" s="8">
        <v>8.75</v>
      </c>
      <c r="V4" s="8">
        <v>12.15</v>
      </c>
      <c r="W4" s="5">
        <v>2.6</v>
      </c>
      <c r="X4" s="8">
        <v>8.9</v>
      </c>
      <c r="Y4" s="8">
        <v>11.5</v>
      </c>
      <c r="Z4" s="4">
        <f>IF(Cracow_result[[#This Row],[All Around]]="Yes",SUM(H4,K4,N4,Q4,T4,W4),0)</f>
        <v>22.1</v>
      </c>
      <c r="AA4" s="7">
        <f>IF(Cracow_result[[#This Row],[All Around]]="Yes",SUM(I4,L4,O4,R4,U4,X4),0)</f>
        <v>51.55</v>
      </c>
      <c r="AB4" s="7">
        <v>73.650000000000006</v>
      </c>
      <c r="AD4" s="40"/>
      <c r="AE4" s="25" t="s">
        <v>242</v>
      </c>
      <c r="AF4" s="26">
        <f>AVERAGEIFS(Cracow_result[HB_Dscore],Cracow_result[[Category]:[Category]],"senior",Cracow_result[HB_Dscore],"&lt;&gt;0")</f>
        <v>3.3266666666666671</v>
      </c>
      <c r="AG4" s="26" cm="1">
        <f t="array" ref="AG4">_xlfn.STDEV.S(_xlfn._xlws.FILTER(Cracow_result[HB_Dscore],(Cracow_result[Category]="senior")*(Cracow_result[HB_Dscore]&gt;0)))</f>
        <v>0.85311753223663156</v>
      </c>
      <c r="AH4" s="27">
        <f>AVERAGEIFS(Cracow_result[HB_Escore],Cracow_result[[Category]:[Category]],"senior",Cracow_result[HB_Escore],"&lt;&gt;0")</f>
        <v>7.8866666666666676</v>
      </c>
      <c r="AI4" s="27" cm="1">
        <f t="array" ref="AI4">_xlfn.STDEV.S(_xlfn._xlws.FILTER(Cracow_result[HB_Escore],(Cracow_result[Category]="senior")*(Cracow_result[HB_Escore]&gt;0)))</f>
        <v>0.63792819419773328</v>
      </c>
      <c r="AJ4" s="27">
        <f>AVERAGEIFS(Cracow_result[HB_total_score],Cracow_result[[Category]:[Category]],"senior",Cracow_result[HB_total_score],"&lt;&gt;0")</f>
        <v>11.213333333333335</v>
      </c>
      <c r="AK4" s="27" cm="1">
        <f t="array" ref="AK4">_xlfn.STDEV.S(_xlfn._xlws.FILTER(Cracow_result[HB_total_score],(Cracow_result[Category]="senior")*(Cracow_result[HB_total_score]&gt;0)))</f>
        <v>1.0052481333102838</v>
      </c>
      <c r="AL4" s="27" cm="1">
        <f t="array" ref="AL4">MAX(_xlfn._xlws.FILTER(Cracow_result[HB_total_score],Cracow_result[Category]="senior"))</f>
        <v>12.8</v>
      </c>
      <c r="AN4" t="s">
        <v>63</v>
      </c>
      <c r="AO4" t="s">
        <v>60</v>
      </c>
      <c r="AP4">
        <v>1997</v>
      </c>
      <c r="AQ4" t="s">
        <v>39</v>
      </c>
      <c r="AR4" t="s">
        <v>330</v>
      </c>
      <c r="AS4" t="s">
        <v>305</v>
      </c>
      <c r="AT4" t="s">
        <v>218</v>
      </c>
      <c r="AU4" t="s">
        <v>268</v>
      </c>
      <c r="AV4">
        <v>13.25</v>
      </c>
    </row>
    <row r="5" spans="1:51" x14ac:dyDescent="0.25">
      <c r="A5" s="2">
        <v>4</v>
      </c>
      <c r="B5" t="s">
        <v>118</v>
      </c>
      <c r="C5" s="2" t="s">
        <v>60</v>
      </c>
      <c r="D5" s="2">
        <v>2000</v>
      </c>
      <c r="E5" s="2" t="s">
        <v>119</v>
      </c>
      <c r="F5" t="s">
        <v>31</v>
      </c>
      <c r="G5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5" s="5">
        <v>4.8</v>
      </c>
      <c r="I5" s="8">
        <v>7.7</v>
      </c>
      <c r="J5" s="8">
        <v>12.5</v>
      </c>
      <c r="K5" s="5">
        <v>4.5999999999999996</v>
      </c>
      <c r="L5" s="8">
        <v>7.7</v>
      </c>
      <c r="M5" s="8">
        <v>12.3</v>
      </c>
      <c r="N5" s="5">
        <v>4</v>
      </c>
      <c r="O5" s="8">
        <v>7.65</v>
      </c>
      <c r="P5" s="8">
        <v>11.65</v>
      </c>
      <c r="Q5" s="5">
        <v>4</v>
      </c>
      <c r="R5" s="8">
        <v>9.3000000000000007</v>
      </c>
      <c r="S5" s="8">
        <v>13.3</v>
      </c>
      <c r="T5" s="5">
        <v>4.3</v>
      </c>
      <c r="U5" s="8">
        <v>7.1</v>
      </c>
      <c r="V5" s="8">
        <v>11.4</v>
      </c>
      <c r="W5" s="5">
        <v>3.7</v>
      </c>
      <c r="X5" s="8">
        <v>8.15</v>
      </c>
      <c r="Y5" s="8">
        <v>11.85</v>
      </c>
      <c r="Z5" s="4">
        <f>IF(Cracow_result[[#This Row],[All Around]]="Yes",SUM(H5,K5,N5,Q5,T5,W5),0)</f>
        <v>25.4</v>
      </c>
      <c r="AA5" s="7">
        <f>IF(Cracow_result[[#This Row],[All Around]]="Yes",SUM(I5,L5,O5,R5,U5,X5),0)</f>
        <v>47.6</v>
      </c>
      <c r="AB5" s="7">
        <v>73</v>
      </c>
      <c r="AD5" s="40"/>
      <c r="AE5" s="25" t="s">
        <v>241</v>
      </c>
      <c r="AF5" s="26">
        <f>AVERAGEIFS(Cracow_result[PB_Dscore],Cracow_result[[Category]:[Category]],"senior",Cracow_result[PB_Dscore],"&lt;&gt;0")</f>
        <v>3.6000000000000005</v>
      </c>
      <c r="AG5" s="26" cm="1">
        <f t="array" ref="AG5">_xlfn.STDEV.S(_xlfn._xlws.FILTER(Cracow_result[PB_Dscore],(Cracow_result[Category]="senior")*(Cracow_result[PB_Dscore]&gt;0)))</f>
        <v>0.74280866034420168</v>
      </c>
      <c r="AH5" s="27">
        <f>AVERAGEIFS(Cracow_result[PB_Escore],Cracow_result[[Category]:[Category]],"senior",Cracow_result[PB_Escore],"&lt;&gt;0")</f>
        <v>7.9361111111111109</v>
      </c>
      <c r="AI5" s="27" cm="1">
        <f t="array" ref="AI5">_xlfn.STDEV.S(_xlfn._xlws.FILTER(Cracow_result[PB_Escore],(Cracow_result[Category]="senior")*(Cracow_result[PB_Escore]&gt;0)))</f>
        <v>0.87696092131653669</v>
      </c>
      <c r="AJ5" s="27">
        <f>AVERAGEIFS(Cracow_result[PB_total_score],Cracow_result[[Category]:[Category]],"senior",Cracow_result[PB_total_score],"&lt;&gt;0")</f>
        <v>11.53611111111111</v>
      </c>
      <c r="AK5" s="27" cm="1">
        <f t="array" ref="AK5">_xlfn.STDEV.S(_xlfn._xlws.FILTER(Cracow_result[PB_total_score],(Cracow_result[Category]="senior")*(Cracow_result[PB_total_score]&gt;0)))</f>
        <v>0.91181873126889135</v>
      </c>
      <c r="AL5" s="27" cm="1">
        <f t="array" ref="AL5">MAX(_xlfn._xlws.FILTER(Cracow_result[PB_total_score],Cracow_result[Category]="senior"))</f>
        <v>13</v>
      </c>
      <c r="AN5" t="s">
        <v>63</v>
      </c>
      <c r="AO5" t="s">
        <v>60</v>
      </c>
      <c r="AP5">
        <v>1997</v>
      </c>
      <c r="AQ5" t="s">
        <v>39</v>
      </c>
      <c r="AR5" t="s">
        <v>330</v>
      </c>
      <c r="AS5" t="s">
        <v>305</v>
      </c>
      <c r="AT5" t="s">
        <v>238</v>
      </c>
      <c r="AU5" t="s">
        <v>308</v>
      </c>
      <c r="AV5">
        <v>4.4000000000000004</v>
      </c>
      <c r="AY5" s="38"/>
    </row>
    <row r="6" spans="1:51" x14ac:dyDescent="0.25">
      <c r="A6" s="2">
        <v>5</v>
      </c>
      <c r="B6" t="s">
        <v>116</v>
      </c>
      <c r="C6" s="2" t="s">
        <v>60</v>
      </c>
      <c r="D6" s="2">
        <v>1996</v>
      </c>
      <c r="E6" s="2" t="s">
        <v>117</v>
      </c>
      <c r="F6" t="s">
        <v>62</v>
      </c>
      <c r="G6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6" s="5">
        <v>5.4</v>
      </c>
      <c r="I6" s="8">
        <v>8.25</v>
      </c>
      <c r="J6" s="8">
        <v>13.65</v>
      </c>
      <c r="K6" s="5">
        <v>4.2</v>
      </c>
      <c r="L6" s="8">
        <v>6.5</v>
      </c>
      <c r="M6" s="8">
        <v>10.7</v>
      </c>
      <c r="N6" s="5">
        <v>5</v>
      </c>
      <c r="O6" s="8">
        <v>8.1</v>
      </c>
      <c r="P6" s="8">
        <v>13.1</v>
      </c>
      <c r="Q6" s="5">
        <v>5.2</v>
      </c>
      <c r="R6" s="8">
        <v>8.1</v>
      </c>
      <c r="S6" s="8">
        <v>13.3</v>
      </c>
      <c r="T6" s="5">
        <v>4.5</v>
      </c>
      <c r="U6" s="8">
        <v>6.45</v>
      </c>
      <c r="V6" s="8">
        <v>10.95</v>
      </c>
      <c r="W6" s="5">
        <v>4.5999999999999996</v>
      </c>
      <c r="X6" s="8">
        <v>6.65</v>
      </c>
      <c r="Y6" s="8">
        <v>11.25</v>
      </c>
      <c r="Z6" s="4">
        <f>IF(Cracow_result[[#This Row],[All Around]]="Yes",SUM(H6,K6,N6,Q6,T6,W6),0)</f>
        <v>28.9</v>
      </c>
      <c r="AA6" s="7">
        <f>IF(Cracow_result[[#This Row],[All Around]]="Yes",SUM(I6,L6,O6,R6,U6,X6),0)</f>
        <v>44.050000000000004</v>
      </c>
      <c r="AB6" s="7">
        <v>72.95</v>
      </c>
      <c r="AD6" s="40"/>
      <c r="AE6" s="25" t="s">
        <v>238</v>
      </c>
      <c r="AF6" s="26">
        <f>AVERAGEIFS(Cracow_result[PH_Dscore],Cracow_result[[Category]:[Category]],"senior",Cracow_result[PH_Dscore],"&lt;&gt;0")</f>
        <v>3.9055555555555563</v>
      </c>
      <c r="AG6" s="26" cm="1">
        <f t="array" ref="AG6">_xlfn.STDEV.S(_xlfn._xlws.FILTER(Cracow_result[PH_Dscore],(Cracow_result[Category]="senior")*(Cracow_result[PH_Dscore]&gt;0)))</f>
        <v>0.61879600574989169</v>
      </c>
      <c r="AH6" s="27">
        <f>AVERAGEIFS(Cracow_result[PH_Escore],Cracow_result[[Category]:[Category]],"senior",Cracow_result[PH_Escore],"&lt;&gt;0")</f>
        <v>6.68611111111111</v>
      </c>
      <c r="AI6" s="27" cm="1">
        <f t="array" ref="AI6">_xlfn.STDEV.S(_xlfn._xlws.FILTER(Cracow_result[PH_Escore],(Cracow_result[Category]="senior")*(Cracow_result[PH_Escore]&gt;0)))</f>
        <v>1.6041128715196997</v>
      </c>
      <c r="AJ6" s="27">
        <f>AVERAGEIFS(Cracow_result[PH_Total_Score],Cracow_result[[Category]:[Category]],"senior",Cracow_result[PH_Total_Score],"&lt;&gt;0")</f>
        <v>10.591666666666667</v>
      </c>
      <c r="AK6" s="27" cm="1">
        <f t="array" ref="AK6">_xlfn.STDEV.S(_xlfn._xlws.FILTER(Cracow_result[PH_Total_Score],(Cracow_result[Category]="senior")*(Cracow_result[PH_Total_Score]&gt;0)))</f>
        <v>2.0444508826980194</v>
      </c>
      <c r="AL6" s="27" cm="1">
        <f t="array" ref="AL6">MAX(_xlfn._xlws.FILTER(Cracow_result[PH_Total_Score],Cracow_result[Category]="senior"))</f>
        <v>12.9</v>
      </c>
      <c r="AN6" t="s">
        <v>63</v>
      </c>
      <c r="AO6" t="s">
        <v>60</v>
      </c>
      <c r="AP6">
        <v>1997</v>
      </c>
      <c r="AQ6" t="s">
        <v>39</v>
      </c>
      <c r="AR6" t="s">
        <v>330</v>
      </c>
      <c r="AS6" t="s">
        <v>305</v>
      </c>
      <c r="AT6" t="s">
        <v>238</v>
      </c>
      <c r="AU6" t="s">
        <v>309</v>
      </c>
      <c r="AV6">
        <v>7</v>
      </c>
    </row>
    <row r="7" spans="1:51" x14ac:dyDescent="0.25">
      <c r="A7" s="2">
        <v>6</v>
      </c>
      <c r="B7" t="s">
        <v>127</v>
      </c>
      <c r="C7" s="2" t="s">
        <v>60</v>
      </c>
      <c r="D7" s="2">
        <v>2000</v>
      </c>
      <c r="E7" s="2" t="s">
        <v>128</v>
      </c>
      <c r="F7" t="s">
        <v>72</v>
      </c>
      <c r="G7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7" s="5">
        <v>3.7</v>
      </c>
      <c r="I7" s="8">
        <v>7.1</v>
      </c>
      <c r="J7" s="8">
        <v>10.8</v>
      </c>
      <c r="K7" s="5">
        <v>4.4000000000000004</v>
      </c>
      <c r="L7" s="8">
        <v>7.2</v>
      </c>
      <c r="M7" s="8">
        <v>11.6</v>
      </c>
      <c r="N7" s="5">
        <v>3.8</v>
      </c>
      <c r="O7" s="8">
        <v>8.35</v>
      </c>
      <c r="P7" s="8">
        <v>12.15</v>
      </c>
      <c r="Q7" s="5">
        <v>4</v>
      </c>
      <c r="R7" s="8">
        <v>9.15</v>
      </c>
      <c r="S7" s="8">
        <v>13.15</v>
      </c>
      <c r="T7" s="5">
        <v>4</v>
      </c>
      <c r="U7" s="8">
        <v>8.3000000000000007</v>
      </c>
      <c r="V7" s="8">
        <v>12.3</v>
      </c>
      <c r="W7" s="5">
        <v>4</v>
      </c>
      <c r="X7" s="8">
        <v>8.0500000000000007</v>
      </c>
      <c r="Y7" s="8">
        <v>12.05</v>
      </c>
      <c r="Z7" s="4">
        <f>IF(Cracow_result[[#This Row],[All Around]]="Yes",SUM(H7,K7,N7,Q7,T7,W7),0)</f>
        <v>23.900000000000002</v>
      </c>
      <c r="AA7" s="7">
        <f>IF(Cracow_result[[#This Row],[All Around]]="Yes",SUM(I7,L7,O7,R7,U7,X7),0)</f>
        <v>48.149999999999991</v>
      </c>
      <c r="AB7" s="7">
        <v>72.05</v>
      </c>
      <c r="AD7" s="40"/>
      <c r="AE7" s="25" t="s">
        <v>239</v>
      </c>
      <c r="AF7" s="26">
        <f>AVERAGEIFS(Cracow_result[SR_Dscore],Cracow_result[[Category]:[Category]],"senior",Cracow_result[SR_Dscore],"&lt;&gt;0")</f>
        <v>3.6833333333333331</v>
      </c>
      <c r="AG7" s="26" cm="1">
        <f t="array" ref="AG7">_xlfn.STDEV.S(_xlfn._xlws.FILTER(Cracow_result[SR_Dscore],(Cracow_result[Category]="senior")*(Cracow_result[SR_Dscore]&gt;0)))</f>
        <v>0.6410010553354617</v>
      </c>
      <c r="AH7" s="27">
        <f>AVERAGEIFS(Cracow_result[SR_Escore],Cracow_result[[Category]:[Category]],"senior",Cracow_result[SR_Escore],"&lt;&gt;0")</f>
        <v>7.5611111111111109</v>
      </c>
      <c r="AI7" s="27" cm="1">
        <f t="array" ref="AI7">_xlfn.STDEV.S(_xlfn._xlws.FILTER(Cracow_result[SR_Escore],(Cracow_result[Category]="senior")*(Cracow_result[SR_Escore]&gt;0)))</f>
        <v>0.83587846632002305</v>
      </c>
      <c r="AJ7" s="27">
        <f>AVERAGEIFS(Cracow_result[SR_Total_Score],Cracow_result[[Category]:[Category]],"senior",Cracow_result[SR_Total_Score],"&lt;&gt;0")</f>
        <v>11.244444444444445</v>
      </c>
      <c r="AK7" s="27" cm="1">
        <f t="array" ref="AK7">_xlfn.STDEV.S(_xlfn._xlws.FILTER(Cracow_result[SR_Total_Score],(Cracow_result[Category]="senior")*(Cracow_result[SR_Total_Score]&gt;0)))</f>
        <v>1.3940935162413337</v>
      </c>
      <c r="AL7" s="27" cm="1">
        <f t="array" ref="AL7">MAX(_xlfn._xlws.FILTER(Cracow_result[SR_Total_Score],Cracow_result[Category]="senior"))</f>
        <v>13.1</v>
      </c>
      <c r="AN7" t="s">
        <v>63</v>
      </c>
      <c r="AO7" t="s">
        <v>60</v>
      </c>
      <c r="AP7">
        <v>1997</v>
      </c>
      <c r="AQ7" t="s">
        <v>39</v>
      </c>
      <c r="AR7" t="s">
        <v>330</v>
      </c>
      <c r="AS7" t="s">
        <v>305</v>
      </c>
      <c r="AT7" t="s">
        <v>238</v>
      </c>
      <c r="AU7" t="s">
        <v>268</v>
      </c>
      <c r="AV7">
        <v>11.4</v>
      </c>
    </row>
    <row r="8" spans="1:51" x14ac:dyDescent="0.25">
      <c r="A8" s="2">
        <v>7</v>
      </c>
      <c r="B8" t="s">
        <v>75</v>
      </c>
      <c r="C8" s="2" t="s">
        <v>60</v>
      </c>
      <c r="D8" s="2">
        <v>2003</v>
      </c>
      <c r="E8" s="2" t="s">
        <v>76</v>
      </c>
      <c r="F8" t="s">
        <v>28</v>
      </c>
      <c r="G8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8" s="5">
        <v>3.9</v>
      </c>
      <c r="I8" s="8">
        <v>7.9</v>
      </c>
      <c r="J8" s="8">
        <v>11.8</v>
      </c>
      <c r="K8" s="5">
        <v>4.2</v>
      </c>
      <c r="L8" s="8">
        <v>8.5</v>
      </c>
      <c r="M8" s="8">
        <v>12.7</v>
      </c>
      <c r="N8" s="5">
        <v>3.4</v>
      </c>
      <c r="O8" s="8">
        <v>7.7</v>
      </c>
      <c r="P8" s="8">
        <v>11.1</v>
      </c>
      <c r="Q8" s="5">
        <v>3.2</v>
      </c>
      <c r="R8" s="8">
        <v>9.0500000000000007</v>
      </c>
      <c r="S8" s="8">
        <v>12.25</v>
      </c>
      <c r="T8" s="5">
        <v>3.5</v>
      </c>
      <c r="U8" s="8">
        <v>9.1</v>
      </c>
      <c r="V8" s="8">
        <v>12.6</v>
      </c>
      <c r="W8" s="5">
        <v>2.5</v>
      </c>
      <c r="X8" s="8">
        <v>8.15</v>
      </c>
      <c r="Y8" s="8">
        <v>10.65</v>
      </c>
      <c r="Z8" s="4">
        <f>IF(Cracow_result[[#This Row],[All Around]]="Yes",SUM(H8,K8,N8,Q8,T8,W8),0)</f>
        <v>20.7</v>
      </c>
      <c r="AA8" s="7">
        <f>IF(Cracow_result[[#This Row],[All Around]]="Yes",SUM(I8,L8,O8,R8,U8,X8),0)</f>
        <v>50.4</v>
      </c>
      <c r="AB8" s="7">
        <v>71.099999999999994</v>
      </c>
      <c r="AD8" s="41"/>
      <c r="AE8" s="25" t="s">
        <v>240</v>
      </c>
      <c r="AF8" s="26">
        <f>AVERAGEIFS(Cracow_result[VT_Dscore],Cracow_result[[Category]:[Category]],"senior",Cracow_result[VT_Dscore],"&lt;&gt;0")</f>
        <v>3.933333333333334</v>
      </c>
      <c r="AG8" s="26" cm="1">
        <f t="array" ref="AG8">_xlfn.STDEV.S(_xlfn._xlws.FILTER(Cracow_result[VT_Dscore],(Cracow_result[Category]="senior")*(Cracow_result[VT_Dscore]&gt;0)))</f>
        <v>0.76696498884736608</v>
      </c>
      <c r="AH8" s="27">
        <f>AVERAGEIFS(Cracow_result[VT_Escore],Cracow_result[[Category]:[Category]],"senior",Cracow_result[VT_Escore],"&lt;&gt;0")</f>
        <v>8.8277777777777775</v>
      </c>
      <c r="AI8" s="27" cm="1">
        <f t="array" ref="AI8">_xlfn.STDEV.S(_xlfn._xlws.FILTER(Cracow_result[VT_Escore],(Cracow_result[Category]="senior")*(Cracow_result[VT_Escore]&gt;0)))</f>
        <v>0.62148357183867642</v>
      </c>
      <c r="AJ8" s="27">
        <f>AVERAGEIFS(Cracow_result[VT_total_score],Cracow_result[[Category]:[Category]],"senior",Cracow_result[VT_total_score],"&lt;&gt;0")</f>
        <v>12.761111111111111</v>
      </c>
      <c r="AK8" s="27" cm="1">
        <f t="array" ref="AK8">_xlfn.STDEV.S(_xlfn._xlws.FILTER(Cracow_result[VT_total_score],(Cracow_result[Category]="senior")*(Cracow_result[VT_total_score]&gt;0)))</f>
        <v>0.8272128176906075</v>
      </c>
      <c r="AL8" s="27" cm="1">
        <f t="array" ref="AL8">MAX(_xlfn._xlws.FILTER(Cracow_result[VT_total_score],Cracow_result[Category]="senior"))</f>
        <v>13.75</v>
      </c>
      <c r="AN8" t="s">
        <v>63</v>
      </c>
      <c r="AO8" t="s">
        <v>60</v>
      </c>
      <c r="AP8">
        <v>1997</v>
      </c>
      <c r="AQ8" t="s">
        <v>39</v>
      </c>
      <c r="AR8" t="s">
        <v>330</v>
      </c>
      <c r="AS8" t="s">
        <v>305</v>
      </c>
      <c r="AT8" t="s">
        <v>239</v>
      </c>
      <c r="AU8" t="s">
        <v>308</v>
      </c>
      <c r="AV8">
        <v>4.3</v>
      </c>
    </row>
    <row r="9" spans="1:51" x14ac:dyDescent="0.25">
      <c r="A9" s="2">
        <v>8</v>
      </c>
      <c r="B9" t="s">
        <v>80</v>
      </c>
      <c r="C9" s="2" t="s">
        <v>60</v>
      </c>
      <c r="D9" s="2">
        <v>2004</v>
      </c>
      <c r="E9" s="2" t="s">
        <v>81</v>
      </c>
      <c r="F9" t="s">
        <v>62</v>
      </c>
      <c r="G9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9" s="5">
        <v>3.6</v>
      </c>
      <c r="I9" s="8">
        <v>8.4</v>
      </c>
      <c r="J9" s="8">
        <v>12</v>
      </c>
      <c r="K9" s="5">
        <v>3.6</v>
      </c>
      <c r="L9" s="8">
        <v>8</v>
      </c>
      <c r="M9" s="8">
        <v>11.6</v>
      </c>
      <c r="N9" s="5">
        <v>3.9</v>
      </c>
      <c r="O9" s="8">
        <v>8.1999999999999993</v>
      </c>
      <c r="P9" s="8">
        <v>12.1</v>
      </c>
      <c r="Q9" s="5">
        <v>4</v>
      </c>
      <c r="R9" s="8">
        <v>8.65</v>
      </c>
      <c r="S9" s="8">
        <v>12.65</v>
      </c>
      <c r="T9" s="5">
        <v>4</v>
      </c>
      <c r="U9" s="8">
        <v>8.85</v>
      </c>
      <c r="V9" s="8">
        <v>12.85</v>
      </c>
      <c r="W9" s="5">
        <v>2.5</v>
      </c>
      <c r="X9" s="8">
        <v>7.2</v>
      </c>
      <c r="Y9" s="8">
        <v>9.6999999999999993</v>
      </c>
      <c r="Z9" s="4">
        <f>IF(Cracow_result[[#This Row],[All Around]]="Yes",SUM(H9,K9,N9,Q9,T9,W9),0)</f>
        <v>21.6</v>
      </c>
      <c r="AA9" s="7">
        <f>IF(Cracow_result[[#This Row],[All Around]]="Yes",SUM(I9,L9,O9,R9,U9,X9),0)</f>
        <v>49.300000000000004</v>
      </c>
      <c r="AB9" s="7">
        <v>70.900000000000006</v>
      </c>
      <c r="AD9" s="39" t="s">
        <v>26</v>
      </c>
      <c r="AE9" s="25" t="s">
        <v>243</v>
      </c>
      <c r="AF9" s="26">
        <f>AVERAGEIFS(Cracow_result[AA_Dscore],Cracow_result[[Category]:[Category]],"junior",Cracow_result[AA_Dscore],"&lt;&gt;0",Cracow_result[All Around],"Yes")</f>
        <v>17.966666666666665</v>
      </c>
      <c r="AG9" s="26" cm="1">
        <f t="array" ref="AG9">_xlfn.STDEV.S(_xlfn._xlws.FILTER(Cracow_result[AA_Dscore],(Cracow_result[Category]="junior")*(Cracow_result[All Around]="Yes")))</f>
        <v>2.3785499784532651</v>
      </c>
      <c r="AH9" s="27">
        <f>AVERAGEIFS(Cracow_result[AA_Escore],Cracow_result[[Category]:[Category]],"junior",Cracow_result[AA_Escore],"&lt;&gt;0",Cracow_result[All Around],"yes")</f>
        <v>47.094444444444441</v>
      </c>
      <c r="AI9" s="27" cm="1">
        <f t="array" ref="AI9">_xlfn.STDEV.S(_xlfn._xlws.FILTER(Cracow_result[AA_Escore],(Cracow_result[Category]="junior")*(Cracow_result[All Around]="Yes")))</f>
        <v>2.9596710590499353</v>
      </c>
      <c r="AJ9" s="27">
        <f>AVERAGEIFS(Cracow_result[Total_Score],Cracow_result[[Category]:[Category]],"junior",Cracow_result[Total_Score],"&lt;&gt;0",Cracow_result[All Around],"yes")</f>
        <v>65.061111111111103</v>
      </c>
      <c r="AK9" s="27" cm="1">
        <f t="array" ref="AK9">_xlfn.STDEV.S(_xlfn._xlws.FILTER(Cracow_result[Total_Score],(Cracow_result[Category]="junior")*(Cracow_result[All Around]="Yes")))</f>
        <v>4.9550969830176985</v>
      </c>
      <c r="AL9" s="27" cm="1">
        <f t="array" ref="AL9">MAX(_xlfn._xlws.FILTER(Cracow_result[Total_Score],Cracow_result[Category]="junior"))</f>
        <v>72.2</v>
      </c>
      <c r="AN9" t="s">
        <v>63</v>
      </c>
      <c r="AO9" t="s">
        <v>60</v>
      </c>
      <c r="AP9">
        <v>1997</v>
      </c>
      <c r="AQ9" t="s">
        <v>39</v>
      </c>
      <c r="AR9" t="s">
        <v>330</v>
      </c>
      <c r="AS9" t="s">
        <v>305</v>
      </c>
      <c r="AT9" t="s">
        <v>239</v>
      </c>
      <c r="AU9" t="s">
        <v>309</v>
      </c>
      <c r="AV9">
        <v>7.85</v>
      </c>
    </row>
    <row r="10" spans="1:51" x14ac:dyDescent="0.25">
      <c r="A10" s="2">
        <v>9</v>
      </c>
      <c r="B10" t="s">
        <v>77</v>
      </c>
      <c r="C10" s="2" t="s">
        <v>60</v>
      </c>
      <c r="D10" s="2">
        <v>2002</v>
      </c>
      <c r="E10" s="2" t="s">
        <v>78</v>
      </c>
      <c r="F10" t="s">
        <v>79</v>
      </c>
      <c r="G10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10" s="5">
        <v>3.9</v>
      </c>
      <c r="I10" s="8">
        <v>8</v>
      </c>
      <c r="J10" s="8">
        <v>11.9</v>
      </c>
      <c r="K10" s="5">
        <v>3.7</v>
      </c>
      <c r="L10" s="8">
        <v>7</v>
      </c>
      <c r="M10" s="8">
        <v>10.7</v>
      </c>
      <c r="N10" s="5">
        <v>3.8</v>
      </c>
      <c r="O10" s="8">
        <v>8.0500000000000007</v>
      </c>
      <c r="P10" s="8">
        <v>11.85</v>
      </c>
      <c r="Q10" s="5">
        <v>3.2</v>
      </c>
      <c r="R10" s="8">
        <v>9.0500000000000007</v>
      </c>
      <c r="S10" s="8">
        <v>12.25</v>
      </c>
      <c r="T10" s="5">
        <v>3.8</v>
      </c>
      <c r="U10" s="8">
        <v>8.5</v>
      </c>
      <c r="V10" s="8">
        <v>12.3</v>
      </c>
      <c r="W10" s="5">
        <v>3</v>
      </c>
      <c r="X10" s="8">
        <v>8.1</v>
      </c>
      <c r="Y10" s="8">
        <v>11.1</v>
      </c>
      <c r="Z10" s="4">
        <f>IF(Cracow_result[[#This Row],[All Around]]="Yes",SUM(H10,K10,N10,Q10,T10,W10),0)</f>
        <v>21.4</v>
      </c>
      <c r="AA10" s="7">
        <f>IF(Cracow_result[[#This Row],[All Around]]="Yes",SUM(I10,L10,O10,R10,U10,X10),0)</f>
        <v>48.7</v>
      </c>
      <c r="AB10" s="7">
        <v>70.099999999999994</v>
      </c>
      <c r="AD10" s="40"/>
      <c r="AE10" s="25" t="s">
        <v>218</v>
      </c>
      <c r="AF10" s="26">
        <f>AVERAGEIFS(Cracow_result[FX_Dscore],Cracow_result[[Category]:[Category]],"junior",Cracow_result[FX_Dscore],"&lt;&gt;0")</f>
        <v>3.4923076923076923</v>
      </c>
      <c r="AG10" s="26" cm="1">
        <f t="array" ref="AG10">_xlfn.STDEV.S(_xlfn._xlws.FILTER(Cracow_result[FX_Dscore],(Cracow_result[Category]="junior")*(Cracow_result[FX_Dscore]&gt;0)))</f>
        <v>0.42712515430011744</v>
      </c>
      <c r="AH10" s="27">
        <f>AVERAGEIFS(Cracow_result[FX_Escore],Cracow_result[[Category]:[Category]],"junior",Cracow_result[FX_Escore],"&lt;&gt;0")</f>
        <v>7.7884615384615374</v>
      </c>
      <c r="AI10" s="27" cm="1">
        <f t="array" ref="AI10">_xlfn.STDEV.S(_xlfn._xlws.FILTER(Cracow_result[FX_Escore],(Cracow_result[Category]="junior")*(Cracow_result[FX_Escore]&gt;0)))</f>
        <v>0.41339743092747433</v>
      </c>
      <c r="AJ10" s="27">
        <f>AVERAGEIFS(Cracow_result[FX_total_score],Cracow_result[[Category]:[Category]],"junior",Cracow_result[FX_total_score],"&lt;&gt;0")</f>
        <v>11.280769230769231</v>
      </c>
      <c r="AK10" s="27" cm="1">
        <f t="array" ref="AK10">_xlfn.STDEV.S(_xlfn._xlws.FILTER(Cracow_result[FX_total_score],(Cracow_result[Category]="junior")*(Cracow_result[FX_total_score]&gt;0)))</f>
        <v>0.6656883847875259</v>
      </c>
      <c r="AL10" s="27" cm="1">
        <f t="array" ref="AL10">MAX(_xlfn._xlws.FILTER(Cracow_result[FX_total_score],Cracow_result[Category]="junior"))</f>
        <v>12.5</v>
      </c>
      <c r="AN10" t="s">
        <v>63</v>
      </c>
      <c r="AO10" t="s">
        <v>60</v>
      </c>
      <c r="AP10">
        <v>1997</v>
      </c>
      <c r="AQ10" t="s">
        <v>39</v>
      </c>
      <c r="AR10" t="s">
        <v>330</v>
      </c>
      <c r="AS10" t="s">
        <v>305</v>
      </c>
      <c r="AT10" t="s">
        <v>239</v>
      </c>
      <c r="AU10" t="s">
        <v>268</v>
      </c>
      <c r="AV10">
        <v>12.15</v>
      </c>
    </row>
    <row r="11" spans="1:51" x14ac:dyDescent="0.25">
      <c r="A11" s="2">
        <v>10</v>
      </c>
      <c r="B11" t="s">
        <v>73</v>
      </c>
      <c r="C11" s="2" t="s">
        <v>60</v>
      </c>
      <c r="D11" s="2">
        <v>2001</v>
      </c>
      <c r="E11" s="2" t="s">
        <v>74</v>
      </c>
      <c r="F11" t="s">
        <v>62</v>
      </c>
      <c r="G11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11" s="5">
        <v>4.5</v>
      </c>
      <c r="I11" s="8">
        <v>8.15</v>
      </c>
      <c r="J11" s="8">
        <v>12.65</v>
      </c>
      <c r="K11" s="5">
        <v>3.1</v>
      </c>
      <c r="L11" s="8">
        <v>3.05</v>
      </c>
      <c r="M11" s="8">
        <v>6.15</v>
      </c>
      <c r="N11" s="5">
        <v>2.8</v>
      </c>
      <c r="O11" s="8">
        <v>7.1</v>
      </c>
      <c r="P11" s="8">
        <v>9.9</v>
      </c>
      <c r="Q11" s="5">
        <v>4</v>
      </c>
      <c r="R11" s="8">
        <v>9.35</v>
      </c>
      <c r="S11" s="8">
        <v>13.35</v>
      </c>
      <c r="T11" s="5">
        <v>3.7</v>
      </c>
      <c r="U11" s="8">
        <v>6.85</v>
      </c>
      <c r="V11" s="8">
        <v>10.55</v>
      </c>
      <c r="W11" s="5">
        <v>2.7</v>
      </c>
      <c r="X11" s="8">
        <v>8.1999999999999993</v>
      </c>
      <c r="Y11" s="8">
        <v>10.9</v>
      </c>
      <c r="Z11" s="4">
        <f>IF(Cracow_result[[#This Row],[All Around]]="Yes",SUM(H11,K11,N11,Q11,T11,W11),0)</f>
        <v>20.799999999999997</v>
      </c>
      <c r="AA11" s="7">
        <f>IF(Cracow_result[[#This Row],[All Around]]="Yes",SUM(I11,L11,O11,R11,U11,X11),0)</f>
        <v>42.7</v>
      </c>
      <c r="AB11" s="7">
        <v>63.5</v>
      </c>
      <c r="AD11" s="40"/>
      <c r="AE11" s="25" t="s">
        <v>242</v>
      </c>
      <c r="AF11" s="26">
        <f>AVERAGEIFS(Cracow_result[HB_Dscore],Cracow_result[[Category]:[Category]],"junior",Cracow_result[HB_Dscore],"&lt;&gt;0")</f>
        <v>2.4750000000000001</v>
      </c>
      <c r="AG11" s="26" cm="1">
        <f t="array" ref="AG11">_xlfn.STDEV.S(_xlfn._xlws.FILTER(Cracow_result[HB_Dscore],(Cracow_result[Category]="junior")*(Cracow_result[HB_Dscore]&gt;0)))</f>
        <v>0.57227615711298141</v>
      </c>
      <c r="AH11" s="27">
        <f>AVERAGEIFS(Cracow_result[HB_Escore],Cracow_result[[Category]:[Category]],"junior",Cracow_result[HB_Escore],"&lt;&gt;0")</f>
        <v>7.9541666666666648</v>
      </c>
      <c r="AI11" s="27" cm="1">
        <f t="array" ref="AI11">_xlfn.STDEV.S(_xlfn._xlws.FILTER(Cracow_result[HB_Escore],(Cracow_result[Category]="junior")*(Cracow_result[HB_Escore]&gt;0)))</f>
        <v>1.2787526474394362</v>
      </c>
      <c r="AJ11" s="27">
        <f>AVERAGEIFS(Cracow_result[HB_total_score],Cracow_result[[Category]:[Category]],"junior",Cracow_result[HB_total_score],"&lt;&gt;0")</f>
        <v>10.429166666666665</v>
      </c>
      <c r="AK11" s="27" cm="1">
        <f t="array" ref="AK11">_xlfn.STDEV.S(_xlfn._xlws.FILTER(Cracow_result[HB_total_score],(Cracow_result[Category]="junior")*(Cracow_result[HB_total_score]&gt;0)))</f>
        <v>1.2993806799837939</v>
      </c>
      <c r="AL11" s="27" cm="1">
        <f t="array" ref="AL11">MAX(_xlfn._xlws.FILTER(Cracow_result[HB_total_score],Cracow_result[Category]="junior"))</f>
        <v>12.15</v>
      </c>
      <c r="AN11" t="s">
        <v>63</v>
      </c>
      <c r="AO11" t="s">
        <v>60</v>
      </c>
      <c r="AP11">
        <v>1997</v>
      </c>
      <c r="AQ11" t="s">
        <v>39</v>
      </c>
      <c r="AR11" t="s">
        <v>330</v>
      </c>
      <c r="AS11" t="s">
        <v>305</v>
      </c>
      <c r="AT11" t="s">
        <v>240</v>
      </c>
      <c r="AU11" t="s">
        <v>308</v>
      </c>
      <c r="AV11">
        <v>5.2</v>
      </c>
    </row>
    <row r="12" spans="1:51" x14ac:dyDescent="0.25">
      <c r="A12" s="2">
        <v>11</v>
      </c>
      <c r="B12" t="s">
        <v>84</v>
      </c>
      <c r="C12" s="2" t="s">
        <v>60</v>
      </c>
      <c r="D12" s="2">
        <v>2004</v>
      </c>
      <c r="E12" s="2" t="s">
        <v>85</v>
      </c>
      <c r="F12" t="s">
        <v>39</v>
      </c>
      <c r="G12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12" s="5">
        <v>4.0999999999999996</v>
      </c>
      <c r="I12" s="8">
        <v>8.4</v>
      </c>
      <c r="J12" s="8">
        <v>12.5</v>
      </c>
      <c r="K12" s="5">
        <v>3.2</v>
      </c>
      <c r="L12" s="8">
        <v>4.5999999999999996</v>
      </c>
      <c r="M12" s="8">
        <v>7.8</v>
      </c>
      <c r="N12" s="5">
        <v>2.9</v>
      </c>
      <c r="O12" s="8">
        <v>6.15</v>
      </c>
      <c r="P12" s="8">
        <v>9.0500000000000007</v>
      </c>
      <c r="Q12" s="5">
        <v>3.2</v>
      </c>
      <c r="R12" s="8">
        <v>9.3000000000000007</v>
      </c>
      <c r="S12" s="8">
        <v>12.5</v>
      </c>
      <c r="T12" s="5">
        <v>3.6</v>
      </c>
      <c r="U12" s="8">
        <v>7.9</v>
      </c>
      <c r="V12" s="8">
        <v>11.5</v>
      </c>
      <c r="W12" s="5">
        <v>2.9</v>
      </c>
      <c r="X12" s="8">
        <v>7.25</v>
      </c>
      <c r="Y12" s="8">
        <v>10.15</v>
      </c>
      <c r="Z12" s="4">
        <f>IF(Cracow_result[[#This Row],[All Around]]="Yes",SUM(H12,K12,N12,Q12,T12,W12),0)</f>
        <v>19.899999999999999</v>
      </c>
      <c r="AA12" s="7">
        <f>IF(Cracow_result[[#This Row],[All Around]]="Yes",SUM(I12,L12,O12,R12,U12,X12),0)</f>
        <v>43.6</v>
      </c>
      <c r="AB12" s="7">
        <v>63.5</v>
      </c>
      <c r="AD12" s="40"/>
      <c r="AE12" s="25" t="s">
        <v>241</v>
      </c>
      <c r="AF12" s="26">
        <f>AVERAGEIFS(Cracow_result[PB_Dscore],Cracow_result[[Category]:[Category]],"junior",Cracow_result[PB_Dscore],"&lt;&gt;0")</f>
        <v>3.0500000000000003</v>
      </c>
      <c r="AG12" s="26" cm="1">
        <f t="array" ref="AG12">_xlfn.STDEV.S(_xlfn._xlws.FILTER(Cracow_result[PB_Dscore],(Cracow_result[Category]="junior")*(Cracow_result[PB_Dscore]&gt;0)))</f>
        <v>0.53851648071345026</v>
      </c>
      <c r="AH12" s="27">
        <f>AVERAGEIFS(Cracow_result[PB_Escore],Cracow_result[[Category]:[Category]],"junior",Cracow_result[PB_Escore],"&lt;&gt;0")</f>
        <v>8.2083333333333321</v>
      </c>
      <c r="AI12" s="27" cm="1">
        <f t="array" ref="AI12">_xlfn.STDEV.S(_xlfn._xlws.FILTER(Cracow_result[PB_Escore],(Cracow_result[Category]="junior")*(Cracow_result[PB_Escore]&gt;0)))</f>
        <v>0.63562186204940407</v>
      </c>
      <c r="AJ12" s="27">
        <f>AVERAGEIFS(Cracow_result[PB_total_score],Cracow_result[[Category]:[Category]],"junior",Cracow_result[PB_total_score],"&lt;&gt;0")</f>
        <v>11.258333333333335</v>
      </c>
      <c r="AK12" s="27" cm="1">
        <f t="array" ref="AK12">_xlfn.STDEV.S(_xlfn._xlws.FILTER(Cracow_result[PB_total_score],(Cracow_result[Category]="junior")*(Cracow_result[PB_total_score]&gt;0)))</f>
        <v>0.87926449979858778</v>
      </c>
      <c r="AL12" s="27" cm="1">
        <f t="array" ref="AL12">MAX(_xlfn._xlws.FILTER(Cracow_result[PB_total_score],Cracow_result[Category]="junior"))</f>
        <v>12.8</v>
      </c>
      <c r="AN12" t="s">
        <v>63</v>
      </c>
      <c r="AO12" t="s">
        <v>60</v>
      </c>
      <c r="AP12">
        <v>1997</v>
      </c>
      <c r="AQ12" t="s">
        <v>39</v>
      </c>
      <c r="AR12" t="s">
        <v>330</v>
      </c>
      <c r="AS12" t="s">
        <v>305</v>
      </c>
      <c r="AT12" t="s">
        <v>240</v>
      </c>
      <c r="AU12" t="s">
        <v>309</v>
      </c>
      <c r="AV12">
        <v>8.0500000000000007</v>
      </c>
    </row>
    <row r="13" spans="1:51" x14ac:dyDescent="0.25">
      <c r="A13" s="2">
        <v>12</v>
      </c>
      <c r="B13" t="s">
        <v>70</v>
      </c>
      <c r="C13" s="2" t="s">
        <v>60</v>
      </c>
      <c r="D13" s="2">
        <v>2001</v>
      </c>
      <c r="E13" s="2" t="s">
        <v>71</v>
      </c>
      <c r="F13" t="s">
        <v>72</v>
      </c>
      <c r="G13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13" s="5">
        <v>4.9000000000000004</v>
      </c>
      <c r="I13" s="8">
        <v>7.6</v>
      </c>
      <c r="J13" s="8">
        <v>12.5</v>
      </c>
      <c r="K13" s="5">
        <v>3.6</v>
      </c>
      <c r="L13" s="8">
        <v>6.7</v>
      </c>
      <c r="M13" s="8">
        <v>10.3</v>
      </c>
      <c r="N13" s="5">
        <v>4.0999999999999996</v>
      </c>
      <c r="O13" s="8">
        <v>7.8</v>
      </c>
      <c r="P13" s="8">
        <v>11.9</v>
      </c>
      <c r="Q13" s="5">
        <v>5.2</v>
      </c>
      <c r="R13" s="8">
        <v>7.65</v>
      </c>
      <c r="S13" s="8">
        <v>12.85</v>
      </c>
      <c r="T13" s="5">
        <v>0</v>
      </c>
      <c r="U13" s="8">
        <v>0</v>
      </c>
      <c r="V13" s="8">
        <v>0</v>
      </c>
      <c r="W13" s="5">
        <v>3.7</v>
      </c>
      <c r="X13" s="8">
        <v>7.4</v>
      </c>
      <c r="Y13" s="8">
        <v>11.1</v>
      </c>
      <c r="Z13" s="4">
        <f>IF(Cracow_result[[#This Row],[All Around]]="Yes",SUM(H13,K13,N13,Q13,T13,W13),0)</f>
        <v>0</v>
      </c>
      <c r="AA13" s="7">
        <f>IF(Cracow_result[[#This Row],[All Around]]="Yes",SUM(I13,L13,O13,R13,U13,X13),0)</f>
        <v>0</v>
      </c>
      <c r="AB13" s="7">
        <v>58.65</v>
      </c>
      <c r="AD13" s="40"/>
      <c r="AE13" s="25" t="s">
        <v>238</v>
      </c>
      <c r="AF13" s="26">
        <f>AVERAGEIFS(Cracow_result[PH_Dscore],Cracow_result[[Category]:[Category]],"junior",Cracow_result[PH_Dscore],"&lt;&gt;0")</f>
        <v>2.8750000000000004</v>
      </c>
      <c r="AG13" s="26" cm="1">
        <f t="array" ref="AG13">_xlfn.STDEV.S(_xlfn._xlws.FILTER(Cracow_result[PH_Dscore],(Cracow_result[Category]="junior")*(Cracow_result[PH_Dscore]&gt;0)))</f>
        <v>0.59867277448460032</v>
      </c>
      <c r="AH13" s="27">
        <f>AVERAGEIFS(Cracow_result[PH_Escore],Cracow_result[[Category]:[Category]],"junior",Cracow_result[PH_Escore],"&lt;&gt;0")</f>
        <v>6.762500000000002</v>
      </c>
      <c r="AI13" s="27" cm="1">
        <f t="array" ref="AI13">_xlfn.STDEV.S(_xlfn._xlws.FILTER(Cracow_result[PH_Escore],(Cracow_result[Category]="junior")*(Cracow_result[PH_Escore]&gt;0)))</f>
        <v>1.7350825235810414</v>
      </c>
      <c r="AJ13" s="27">
        <f>AVERAGEIFS(Cracow_result[PH_Total_Score],Cracow_result[[Category]:[Category]],"junior",Cracow_result[PH_Total_Score],"&lt;&gt;0")</f>
        <v>9.6375000000000011</v>
      </c>
      <c r="AK13" s="27" cm="1">
        <f t="array" ref="AK13">_xlfn.STDEV.S(_xlfn._xlws.FILTER(Cracow_result[PH_Total_Score],(Cracow_result[Category]="junior")*(Cracow_result[PH_Total_Score]&gt;0)))</f>
        <v>2.2044505602819169</v>
      </c>
      <c r="AL13" s="27" cm="1">
        <f t="array" ref="AL13">MAX(_xlfn._xlws.FILTER(Cracow_result[PH_Total_Score],Cracow_result[Category]="junior"))</f>
        <v>12.35</v>
      </c>
      <c r="AN13" t="s">
        <v>63</v>
      </c>
      <c r="AO13" t="s">
        <v>60</v>
      </c>
      <c r="AP13">
        <v>1997</v>
      </c>
      <c r="AQ13" t="s">
        <v>39</v>
      </c>
      <c r="AR13" t="s">
        <v>330</v>
      </c>
      <c r="AS13" t="s">
        <v>305</v>
      </c>
      <c r="AT13" t="s">
        <v>240</v>
      </c>
      <c r="AU13" t="s">
        <v>268</v>
      </c>
      <c r="AV13">
        <v>13.25</v>
      </c>
    </row>
    <row r="14" spans="1:51" x14ac:dyDescent="0.25">
      <c r="A14" s="2">
        <v>13</v>
      </c>
      <c r="B14" t="s">
        <v>82</v>
      </c>
      <c r="C14" s="2" t="s">
        <v>60</v>
      </c>
      <c r="D14" s="2">
        <v>2003</v>
      </c>
      <c r="E14" s="2" t="s">
        <v>83</v>
      </c>
      <c r="F14" t="s">
        <v>36</v>
      </c>
      <c r="G14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14" s="5">
        <v>4.0999999999999996</v>
      </c>
      <c r="I14" s="8">
        <v>6.7</v>
      </c>
      <c r="J14" s="8">
        <v>10.8</v>
      </c>
      <c r="K14" s="5">
        <v>0</v>
      </c>
      <c r="L14" s="8">
        <v>0</v>
      </c>
      <c r="M14" s="8">
        <v>0</v>
      </c>
      <c r="N14" s="5">
        <v>3.8</v>
      </c>
      <c r="O14" s="8">
        <v>7.7</v>
      </c>
      <c r="P14" s="8">
        <v>11.5</v>
      </c>
      <c r="Q14" s="5">
        <v>4</v>
      </c>
      <c r="R14" s="8">
        <v>9.1</v>
      </c>
      <c r="S14" s="8">
        <v>13.1</v>
      </c>
      <c r="T14" s="5">
        <v>2.5</v>
      </c>
      <c r="U14" s="8">
        <v>7.15</v>
      </c>
      <c r="V14" s="8">
        <v>9.65</v>
      </c>
      <c r="W14" s="5">
        <v>4</v>
      </c>
      <c r="X14" s="8">
        <v>8.25</v>
      </c>
      <c r="Y14" s="8">
        <v>12.25</v>
      </c>
      <c r="Z14" s="4">
        <f>IF(Cracow_result[[#This Row],[All Around]]="Yes",SUM(H14,K14,N14,Q14,T14,W14),0)</f>
        <v>0</v>
      </c>
      <c r="AA14" s="7">
        <f>IF(Cracow_result[[#This Row],[All Around]]="Yes",SUM(I14,L14,O14,R14,U14,X14),0)</f>
        <v>0</v>
      </c>
      <c r="AB14" s="7">
        <v>57.3</v>
      </c>
      <c r="AD14" s="40"/>
      <c r="AE14" s="25" t="s">
        <v>239</v>
      </c>
      <c r="AF14" s="26">
        <f>AVERAGEIFS(Cracow_result[SR_Dscore],Cracow_result[[Category]:[Category]],"junior",Cracow_result[SR_Dscore],"&lt;&gt;0")</f>
        <v>2.6153846153846154</v>
      </c>
      <c r="AG14" s="26" cm="1">
        <f t="array" ref="AG14">_xlfn.STDEV.S(_xlfn._xlws.FILTER(Cracow_result[SR_Dscore],(Cracow_result[Category]="junior")*(Cracow_result[SR_Dscore]&gt;0)))</f>
        <v>0.69981682585058547</v>
      </c>
      <c r="AH14" s="27">
        <f>AVERAGEIFS(Cracow_result[SR_Escore],Cracow_result[[Category]:[Category]],"junior",Cracow_result[SR_Escore],"&lt;&gt;0")</f>
        <v>7.4307692307692301</v>
      </c>
      <c r="AI14" s="27" cm="1">
        <f t="array" ref="AI14">_xlfn.STDEV.S(_xlfn._xlws.FILTER(Cracow_result[SR_Escore],(Cracow_result[Category]="junior")*(Cracow_result[SR_Escore]&gt;0)))</f>
        <v>0.59635645853887231</v>
      </c>
      <c r="AJ14" s="27">
        <f>AVERAGEIFS(Cracow_result[SR_Total_Score],Cracow_result[[Category]:[Category]],"junior",Cracow_result[SR_Total_Score],"&lt;&gt;0")</f>
        <v>10.046153846153848</v>
      </c>
      <c r="AK14" s="27" cm="1">
        <f t="array" ref="AK14">_xlfn.STDEV.S(_xlfn._xlws.FILTER(Cracow_result[SR_Total_Score],(Cracow_result[Category]="junior")*(Cracow_result[SR_Total_Score]&gt;0)))</f>
        <v>1.0235684186669241</v>
      </c>
      <c r="AL14" s="27" cm="1">
        <f t="array" ref="AL14">MAX(_xlfn._xlws.FILTER(Cracow_result[SR_Total_Score],Cracow_result[Category]="junior"))</f>
        <v>11.5</v>
      </c>
      <c r="AN14" t="s">
        <v>63</v>
      </c>
      <c r="AO14" t="s">
        <v>60</v>
      </c>
      <c r="AP14">
        <v>1997</v>
      </c>
      <c r="AQ14" t="s">
        <v>39</v>
      </c>
      <c r="AR14" t="s">
        <v>330</v>
      </c>
      <c r="AS14" t="s">
        <v>305</v>
      </c>
      <c r="AT14" t="s">
        <v>314</v>
      </c>
      <c r="AU14" t="s">
        <v>308</v>
      </c>
      <c r="AV14">
        <v>4.2</v>
      </c>
    </row>
    <row r="15" spans="1:51" x14ac:dyDescent="0.25">
      <c r="A15" s="2">
        <v>14</v>
      </c>
      <c r="B15" t="s">
        <v>90</v>
      </c>
      <c r="C15" s="2" t="s">
        <v>60</v>
      </c>
      <c r="D15" s="2">
        <v>2004</v>
      </c>
      <c r="E15" s="2" t="s">
        <v>91</v>
      </c>
      <c r="F15" t="s">
        <v>36</v>
      </c>
      <c r="G15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15" s="5">
        <v>4</v>
      </c>
      <c r="I15" s="8">
        <v>7.9</v>
      </c>
      <c r="J15" s="8">
        <v>11.9</v>
      </c>
      <c r="K15" s="5">
        <v>2.9</v>
      </c>
      <c r="L15" s="8">
        <v>5</v>
      </c>
      <c r="M15" s="8">
        <v>7.9</v>
      </c>
      <c r="N15" s="5">
        <v>3</v>
      </c>
      <c r="O15" s="8">
        <v>6.35</v>
      </c>
      <c r="P15" s="8">
        <v>9.35</v>
      </c>
      <c r="Q15" s="5">
        <v>4</v>
      </c>
      <c r="R15" s="8">
        <v>9.25</v>
      </c>
      <c r="S15" s="8">
        <v>13.25</v>
      </c>
      <c r="T15" s="5">
        <v>2.9</v>
      </c>
      <c r="U15" s="8">
        <v>8.5</v>
      </c>
      <c r="V15" s="8">
        <v>11.4</v>
      </c>
      <c r="W15" s="5">
        <v>0</v>
      </c>
      <c r="X15" s="8">
        <v>0</v>
      </c>
      <c r="Y15" s="8">
        <v>0</v>
      </c>
      <c r="Z15" s="4">
        <f>IF(Cracow_result[[#This Row],[All Around]]="Yes",SUM(H15,K15,N15,Q15,T15,W15),0)</f>
        <v>0</v>
      </c>
      <c r="AA15" s="7">
        <f>IF(Cracow_result[[#This Row],[All Around]]="Yes",SUM(I15,L15,O15,R15,U15,X15),0)</f>
        <v>0</v>
      </c>
      <c r="AB15" s="7">
        <v>53.8</v>
      </c>
      <c r="AD15" s="41"/>
      <c r="AE15" s="25" t="s">
        <v>240</v>
      </c>
      <c r="AF15" s="26">
        <f>AVERAGEIFS(Cracow_result[VT_Dscore],Cracow_result[[Category]:[Category]],"junior",Cracow_result[VT_Dscore],"&lt;&gt;0")</f>
        <v>2.5428571428571431</v>
      </c>
      <c r="AG15" s="26" cm="1">
        <f t="array" ref="AG15">_xlfn.STDEV.S(_xlfn._xlws.FILTER(Cracow_result[VT_Dscore],(Cracow_result[Category]="junior")*(Cracow_result[VT_Dscore]&gt;0)))</f>
        <v>0.70788339512867626</v>
      </c>
      <c r="AH15" s="27">
        <f>AVERAGEIFS(Cracow_result[VT_Escore],Cracow_result[[Category]:[Category]],"junior",Cracow_result[VT_Escore],"&lt;&gt;0")</f>
        <v>8.7785714285714285</v>
      </c>
      <c r="AI15" s="27" cm="1">
        <f t="array" ref="AI15">_xlfn.STDEV.S(_xlfn._xlws.FILTER(Cracow_result[VT_Escore],(Cracow_result[Category]="junior")*(Cracow_result[VT_Escore]&gt;0)))</f>
        <v>0.43532228808722212</v>
      </c>
      <c r="AJ15" s="27">
        <f>AVERAGEIFS(Cracow_result[VT_total_score],Cracow_result[[Category]:[Category]],"junior",Cracow_result[VT_total_score],"&lt;&gt;0")</f>
        <v>11.321428571428573</v>
      </c>
      <c r="AK15" s="27" cm="1">
        <f t="array" ref="AK15">_xlfn.STDEV.S(_xlfn._xlws.FILTER(Cracow_result[VT_total_score],(Cracow_result[Category]="junior")*(Cracow_result[VT_total_score]&gt;0)))</f>
        <v>0.75465587820243929</v>
      </c>
      <c r="AL15" s="27" cm="1">
        <f t="array" ref="AL15">MAX(_xlfn._xlws.FILTER(Cracow_result[VT_total_score],Cracow_result[Category]="junior"))</f>
        <v>12.8</v>
      </c>
      <c r="AN15" t="s">
        <v>63</v>
      </c>
      <c r="AO15" t="s">
        <v>60</v>
      </c>
      <c r="AP15">
        <v>1997</v>
      </c>
      <c r="AQ15" t="s">
        <v>39</v>
      </c>
      <c r="AR15" t="s">
        <v>330</v>
      </c>
      <c r="AS15" t="s">
        <v>305</v>
      </c>
      <c r="AT15" t="s">
        <v>314</v>
      </c>
      <c r="AU15" t="s">
        <v>309</v>
      </c>
      <c r="AV15">
        <v>8.8000000000000007</v>
      </c>
    </row>
    <row r="16" spans="1:51" x14ac:dyDescent="0.25">
      <c r="A16" s="2">
        <v>15</v>
      </c>
      <c r="B16" t="s">
        <v>92</v>
      </c>
      <c r="C16" s="2" t="s">
        <v>60</v>
      </c>
      <c r="D16" s="2">
        <v>2004</v>
      </c>
      <c r="E16" s="2" t="s">
        <v>93</v>
      </c>
      <c r="F16" t="s">
        <v>39</v>
      </c>
      <c r="G16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16" s="5">
        <v>4.0999999999999996</v>
      </c>
      <c r="I16" s="8">
        <v>7.95</v>
      </c>
      <c r="J16" s="8">
        <v>12.05</v>
      </c>
      <c r="K16" s="5">
        <v>3.7</v>
      </c>
      <c r="L16" s="8">
        <v>8.85</v>
      </c>
      <c r="M16" s="8">
        <v>12.55</v>
      </c>
      <c r="N16" s="5">
        <v>0</v>
      </c>
      <c r="O16" s="8">
        <v>0</v>
      </c>
      <c r="P16" s="8">
        <v>0</v>
      </c>
      <c r="Q16" s="5">
        <v>4.4000000000000004</v>
      </c>
      <c r="R16" s="8">
        <v>9.35</v>
      </c>
      <c r="S16" s="8">
        <v>13.75</v>
      </c>
      <c r="T16" s="5">
        <v>0</v>
      </c>
      <c r="U16" s="8">
        <v>0</v>
      </c>
      <c r="V16" s="8">
        <v>0</v>
      </c>
      <c r="W16" s="5">
        <v>0</v>
      </c>
      <c r="X16" s="8">
        <v>0</v>
      </c>
      <c r="Y16" s="8">
        <v>0</v>
      </c>
      <c r="Z16" s="4">
        <f>IF(Cracow_result[[#This Row],[All Around]]="Yes",SUM(H16,K16,N16,Q16,T16,W16),0)</f>
        <v>0</v>
      </c>
      <c r="AA16" s="7">
        <f>IF(Cracow_result[[#This Row],[All Around]]="Yes",SUM(I16,L16,O16,R16,U16,X16),0)</f>
        <v>0</v>
      </c>
      <c r="AB16" s="7">
        <v>38.35</v>
      </c>
      <c r="AN16" t="s">
        <v>63</v>
      </c>
      <c r="AO16" t="s">
        <v>60</v>
      </c>
      <c r="AP16">
        <v>1997</v>
      </c>
      <c r="AQ16" t="s">
        <v>39</v>
      </c>
      <c r="AR16" t="s">
        <v>330</v>
      </c>
      <c r="AS16" t="s">
        <v>305</v>
      </c>
      <c r="AT16" t="s">
        <v>314</v>
      </c>
      <c r="AU16" t="s">
        <v>268</v>
      </c>
      <c r="AV16">
        <v>13</v>
      </c>
    </row>
    <row r="17" spans="1:48" x14ac:dyDescent="0.25">
      <c r="A17" s="2">
        <v>16</v>
      </c>
      <c r="B17" t="s">
        <v>98</v>
      </c>
      <c r="C17" s="2" t="s">
        <v>60</v>
      </c>
      <c r="D17" s="2">
        <v>2003</v>
      </c>
      <c r="E17" s="2" t="s">
        <v>99</v>
      </c>
      <c r="F17" t="s">
        <v>72</v>
      </c>
      <c r="G17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17" s="5">
        <v>0</v>
      </c>
      <c r="I17" s="8">
        <v>0</v>
      </c>
      <c r="J17" s="8">
        <v>0</v>
      </c>
      <c r="K17" s="5">
        <v>3.3</v>
      </c>
      <c r="L17" s="8">
        <v>4.1500000000000004</v>
      </c>
      <c r="M17" s="8">
        <v>7.45</v>
      </c>
      <c r="N17" s="5">
        <v>2.5</v>
      </c>
      <c r="O17" s="8">
        <v>6.55</v>
      </c>
      <c r="P17" s="8">
        <v>9.0500000000000007</v>
      </c>
      <c r="Q17" s="5">
        <v>0</v>
      </c>
      <c r="R17" s="8">
        <v>0</v>
      </c>
      <c r="S17" s="8">
        <v>0</v>
      </c>
      <c r="T17" s="5">
        <v>2.5</v>
      </c>
      <c r="U17" s="8">
        <v>8.6999999999999993</v>
      </c>
      <c r="V17" s="8">
        <v>11.2</v>
      </c>
      <c r="W17" s="5">
        <v>2.6</v>
      </c>
      <c r="X17" s="8">
        <v>6.95</v>
      </c>
      <c r="Y17" s="8">
        <v>9.5500000000000007</v>
      </c>
      <c r="Z17" s="4">
        <f>IF(Cracow_result[[#This Row],[All Around]]="Yes",SUM(H17,K17,N17,Q17,T17,W17),0)</f>
        <v>0</v>
      </c>
      <c r="AA17" s="7">
        <f>IF(Cracow_result[[#This Row],[All Around]]="Yes",SUM(I17,L17,O17,R17,U17,X17),0)</f>
        <v>0</v>
      </c>
      <c r="AB17" s="7">
        <v>37.25</v>
      </c>
      <c r="AD17" s="28" t="s">
        <v>296</v>
      </c>
      <c r="AN17" t="s">
        <v>63</v>
      </c>
      <c r="AO17" t="s">
        <v>60</v>
      </c>
      <c r="AP17">
        <v>1997</v>
      </c>
      <c r="AQ17" t="s">
        <v>39</v>
      </c>
      <c r="AR17" t="s">
        <v>330</v>
      </c>
      <c r="AS17" t="s">
        <v>305</v>
      </c>
      <c r="AT17" t="s">
        <v>242</v>
      </c>
      <c r="AU17" t="s">
        <v>308</v>
      </c>
      <c r="AV17">
        <v>4.4000000000000004</v>
      </c>
    </row>
    <row r="18" spans="1:48" x14ac:dyDescent="0.25">
      <c r="A18" s="2">
        <v>17</v>
      </c>
      <c r="B18" t="s">
        <v>96</v>
      </c>
      <c r="C18" s="2" t="s">
        <v>60</v>
      </c>
      <c r="D18" s="2">
        <v>2002</v>
      </c>
      <c r="E18" s="2" t="s">
        <v>97</v>
      </c>
      <c r="F18" t="s">
        <v>62</v>
      </c>
      <c r="G18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18" s="5">
        <v>0</v>
      </c>
      <c r="I18" s="8">
        <v>0</v>
      </c>
      <c r="J18" s="8">
        <v>0</v>
      </c>
      <c r="K18" s="5">
        <v>4.7</v>
      </c>
      <c r="L18" s="8">
        <v>6.8</v>
      </c>
      <c r="M18" s="8">
        <v>11.5</v>
      </c>
      <c r="N18" s="5">
        <v>4.2</v>
      </c>
      <c r="O18" s="8">
        <v>8.5</v>
      </c>
      <c r="P18" s="8">
        <v>12.7</v>
      </c>
      <c r="Q18" s="5">
        <v>0</v>
      </c>
      <c r="R18" s="8">
        <v>0</v>
      </c>
      <c r="S18" s="8">
        <v>0</v>
      </c>
      <c r="T18" s="5">
        <v>3.8</v>
      </c>
      <c r="U18" s="8">
        <v>7.2</v>
      </c>
      <c r="V18" s="8">
        <v>11</v>
      </c>
      <c r="W18" s="5">
        <v>0</v>
      </c>
      <c r="X18" s="8">
        <v>0</v>
      </c>
      <c r="Y18" s="8">
        <v>0</v>
      </c>
      <c r="Z18" s="4">
        <f>IF(Cracow_result[[#This Row],[All Around]]="Yes",SUM(H18,K18,N18,Q18,T18,W18),0)</f>
        <v>0</v>
      </c>
      <c r="AA18" s="7">
        <f>IF(Cracow_result[[#This Row],[All Around]]="Yes",SUM(I18,L18,O18,R18,U18,X18),0)</f>
        <v>0</v>
      </c>
      <c r="AB18" s="7">
        <v>35.200000000000003</v>
      </c>
      <c r="AD18" s="29" t="s">
        <v>297</v>
      </c>
      <c r="AN18" t="s">
        <v>63</v>
      </c>
      <c r="AO18" t="s">
        <v>60</v>
      </c>
      <c r="AP18">
        <v>1997</v>
      </c>
      <c r="AQ18" t="s">
        <v>39</v>
      </c>
      <c r="AR18" t="s">
        <v>330</v>
      </c>
      <c r="AS18" t="s">
        <v>305</v>
      </c>
      <c r="AT18" t="s">
        <v>242</v>
      </c>
      <c r="AU18" t="s">
        <v>309</v>
      </c>
      <c r="AV18">
        <v>8.4</v>
      </c>
    </row>
    <row r="19" spans="1:48" x14ac:dyDescent="0.25">
      <c r="A19" s="2">
        <v>18</v>
      </c>
      <c r="B19" t="s">
        <v>94</v>
      </c>
      <c r="C19" s="2" t="s">
        <v>60</v>
      </c>
      <c r="D19" s="2">
        <v>2002</v>
      </c>
      <c r="E19" s="2" t="s">
        <v>95</v>
      </c>
      <c r="F19" t="s">
        <v>72</v>
      </c>
      <c r="G19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19" s="5">
        <v>0</v>
      </c>
      <c r="I19" s="8">
        <v>0</v>
      </c>
      <c r="J19" s="8">
        <v>0</v>
      </c>
      <c r="K19" s="5">
        <v>0</v>
      </c>
      <c r="L19" s="8">
        <v>0</v>
      </c>
      <c r="M19" s="8">
        <v>0</v>
      </c>
      <c r="N19" s="5">
        <v>4</v>
      </c>
      <c r="O19" s="8">
        <v>7.65</v>
      </c>
      <c r="P19" s="8">
        <v>11.65</v>
      </c>
      <c r="Q19" s="5">
        <v>2.8</v>
      </c>
      <c r="R19" s="8">
        <v>9.1</v>
      </c>
      <c r="S19" s="8">
        <v>11.9</v>
      </c>
      <c r="T19" s="5">
        <v>3.2</v>
      </c>
      <c r="U19" s="8">
        <v>8.35</v>
      </c>
      <c r="V19" s="8">
        <v>11.55</v>
      </c>
      <c r="W19" s="5">
        <v>0</v>
      </c>
      <c r="X19" s="8">
        <v>0</v>
      </c>
      <c r="Y19" s="8">
        <v>0</v>
      </c>
      <c r="Z19" s="4">
        <f>IF(Cracow_result[[#This Row],[All Around]]="Yes",SUM(H19,K19,N19,Q19,T19,W19),0)</f>
        <v>0</v>
      </c>
      <c r="AA19" s="7">
        <f>IF(Cracow_result[[#This Row],[All Around]]="Yes",SUM(I19,L19,O19,R19,U19,X19),0)</f>
        <v>0</v>
      </c>
      <c r="AB19" s="7">
        <v>35.1</v>
      </c>
      <c r="AD19" s="30" t="s">
        <v>298</v>
      </c>
      <c r="AN19" t="s">
        <v>63</v>
      </c>
      <c r="AO19" t="s">
        <v>60</v>
      </c>
      <c r="AP19">
        <v>1997</v>
      </c>
      <c r="AQ19" t="s">
        <v>39</v>
      </c>
      <c r="AR19" t="s">
        <v>330</v>
      </c>
      <c r="AS19" t="s">
        <v>305</v>
      </c>
      <c r="AT19" t="s">
        <v>242</v>
      </c>
      <c r="AU19" t="s">
        <v>268</v>
      </c>
      <c r="AV19">
        <v>12.8</v>
      </c>
    </row>
    <row r="20" spans="1:48" ht="21" x14ac:dyDescent="0.35">
      <c r="A20" s="2">
        <v>19</v>
      </c>
      <c r="B20" t="s">
        <v>129</v>
      </c>
      <c r="C20" s="2" t="s">
        <v>60</v>
      </c>
      <c r="D20" s="2">
        <v>1999</v>
      </c>
      <c r="E20" s="2" t="s">
        <v>130</v>
      </c>
      <c r="F20" t="s">
        <v>72</v>
      </c>
      <c r="G20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20" s="5">
        <v>4.4000000000000004</v>
      </c>
      <c r="I20" s="8">
        <v>7.05</v>
      </c>
      <c r="J20" s="8">
        <v>11.45</v>
      </c>
      <c r="K20" s="5">
        <v>0</v>
      </c>
      <c r="L20" s="8">
        <v>0</v>
      </c>
      <c r="M20" s="8">
        <v>0</v>
      </c>
      <c r="N20" s="5">
        <v>0</v>
      </c>
      <c r="O20" s="8">
        <v>0</v>
      </c>
      <c r="P20" s="8">
        <v>0</v>
      </c>
      <c r="Q20" s="5">
        <v>2.8</v>
      </c>
      <c r="R20" s="8">
        <v>8.5500000000000007</v>
      </c>
      <c r="S20" s="8">
        <v>11.35</v>
      </c>
      <c r="T20" s="5">
        <v>2.7</v>
      </c>
      <c r="U20" s="8">
        <v>8.5500000000000007</v>
      </c>
      <c r="V20" s="8">
        <v>11.25</v>
      </c>
      <c r="W20" s="5">
        <v>0</v>
      </c>
      <c r="X20" s="8">
        <v>0</v>
      </c>
      <c r="Y20" s="8">
        <v>0</v>
      </c>
      <c r="Z20" s="4">
        <f>IF(Cracow_result[[#This Row],[All Around]]="Yes",SUM(H20,K20,N20,Q20,T20,W20),0)</f>
        <v>0</v>
      </c>
      <c r="AA20" s="7">
        <f>IF(Cracow_result[[#This Row],[All Around]]="Yes",SUM(I20,L20,O20,R20,U20,X20),0)</f>
        <v>0</v>
      </c>
      <c r="AB20" s="7">
        <v>34.049999999999997</v>
      </c>
      <c r="AD20" s="31" t="s">
        <v>300</v>
      </c>
      <c r="AF20" s="44" t="s">
        <v>355</v>
      </c>
      <c r="AG20" s="45"/>
      <c r="AH20" s="44" t="s">
        <v>313</v>
      </c>
      <c r="AI20" s="44" t="s">
        <v>2</v>
      </c>
      <c r="AN20" t="s">
        <v>63</v>
      </c>
      <c r="AO20" t="s">
        <v>60</v>
      </c>
      <c r="AP20">
        <v>1997</v>
      </c>
      <c r="AQ20" t="s">
        <v>39</v>
      </c>
      <c r="AR20" t="s">
        <v>330</v>
      </c>
      <c r="AS20" t="s">
        <v>305</v>
      </c>
      <c r="AT20" t="s">
        <v>243</v>
      </c>
      <c r="AU20" t="s">
        <v>326</v>
      </c>
      <c r="AV20">
        <v>28.1</v>
      </c>
    </row>
    <row r="21" spans="1:48" ht="21" x14ac:dyDescent="0.35">
      <c r="A21" s="2">
        <v>20</v>
      </c>
      <c r="B21" t="s">
        <v>86</v>
      </c>
      <c r="C21" s="2" t="s">
        <v>60</v>
      </c>
      <c r="D21" s="2">
        <v>2003</v>
      </c>
      <c r="E21" s="2" t="s">
        <v>87</v>
      </c>
      <c r="F21" t="s">
        <v>72</v>
      </c>
      <c r="G21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21" s="5">
        <v>4.2</v>
      </c>
      <c r="I21" s="8">
        <v>7.55</v>
      </c>
      <c r="J21" s="8">
        <v>11.75</v>
      </c>
      <c r="K21" s="5">
        <v>4.2</v>
      </c>
      <c r="L21" s="8">
        <v>8</v>
      </c>
      <c r="M21" s="8">
        <v>12.2</v>
      </c>
      <c r="N21" s="5">
        <v>0</v>
      </c>
      <c r="O21" s="8">
        <v>0</v>
      </c>
      <c r="P21" s="8">
        <v>0</v>
      </c>
      <c r="Q21" s="5">
        <v>0</v>
      </c>
      <c r="R21" s="8">
        <v>0</v>
      </c>
      <c r="S21" s="8">
        <v>0</v>
      </c>
      <c r="T21" s="5">
        <v>2.9</v>
      </c>
      <c r="U21" s="8">
        <v>7.2</v>
      </c>
      <c r="V21" s="8">
        <v>10.1</v>
      </c>
      <c r="W21" s="5">
        <v>0</v>
      </c>
      <c r="X21" s="8">
        <v>0</v>
      </c>
      <c r="Y21" s="8">
        <v>0</v>
      </c>
      <c r="Z21" s="4">
        <f>IF(Cracow_result[[#This Row],[All Around]]="Yes",SUM(H21,K21,N21,Q21,T21,W21),0)</f>
        <v>0</v>
      </c>
      <c r="AA21" s="7">
        <f>IF(Cracow_result[[#This Row],[All Around]]="Yes",SUM(I21,L21,O21,R21,U21,X21),0)</f>
        <v>0</v>
      </c>
      <c r="AB21" s="7">
        <v>34.049999999999997</v>
      </c>
      <c r="AD21" s="32" t="s">
        <v>299</v>
      </c>
      <c r="AF21" s="45"/>
      <c r="AG21" s="45"/>
      <c r="AH21" s="45" t="s">
        <v>309</v>
      </c>
      <c r="AI21" s="45" t="s">
        <v>268</v>
      </c>
      <c r="AN21" t="s">
        <v>63</v>
      </c>
      <c r="AO21" t="s">
        <v>60</v>
      </c>
      <c r="AP21">
        <v>1997</v>
      </c>
      <c r="AQ21" t="s">
        <v>39</v>
      </c>
      <c r="AR21" t="s">
        <v>330</v>
      </c>
      <c r="AS21" t="s">
        <v>305</v>
      </c>
      <c r="AT21" t="s">
        <v>243</v>
      </c>
      <c r="AU21" t="s">
        <v>327</v>
      </c>
      <c r="AV21">
        <v>47.75</v>
      </c>
    </row>
    <row r="22" spans="1:48" ht="21" x14ac:dyDescent="0.35">
      <c r="A22" s="2">
        <v>21</v>
      </c>
      <c r="B22" t="s">
        <v>100</v>
      </c>
      <c r="C22" s="2" t="s">
        <v>60</v>
      </c>
      <c r="D22" s="2">
        <v>2004</v>
      </c>
      <c r="E22" s="2" t="s">
        <v>101</v>
      </c>
      <c r="F22" t="s">
        <v>31</v>
      </c>
      <c r="G22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22" s="5">
        <v>4.4000000000000004</v>
      </c>
      <c r="I22" s="8">
        <v>7.55</v>
      </c>
      <c r="J22" s="8">
        <v>11.95</v>
      </c>
      <c r="K22" s="5">
        <v>0</v>
      </c>
      <c r="L22" s="8">
        <v>0</v>
      </c>
      <c r="M22" s="8">
        <v>0</v>
      </c>
      <c r="N22" s="5">
        <v>0</v>
      </c>
      <c r="O22" s="8">
        <v>0</v>
      </c>
      <c r="P22" s="8">
        <v>0</v>
      </c>
      <c r="Q22" s="5">
        <v>0</v>
      </c>
      <c r="R22" s="8">
        <v>0</v>
      </c>
      <c r="S22" s="8">
        <v>0</v>
      </c>
      <c r="T22" s="5">
        <v>0</v>
      </c>
      <c r="U22" s="8">
        <v>0</v>
      </c>
      <c r="V22" s="8">
        <v>0</v>
      </c>
      <c r="W22" s="5">
        <v>2.1</v>
      </c>
      <c r="X22" s="8">
        <v>8.5</v>
      </c>
      <c r="Y22" s="8">
        <v>10.6</v>
      </c>
      <c r="Z22" s="4">
        <f>IF(Cracow_result[[#This Row],[All Around]]="Yes",SUM(H22,K22,N22,Q22,T22,W22),0)</f>
        <v>0</v>
      </c>
      <c r="AA22" s="7">
        <f>IF(Cracow_result[[#This Row],[All Around]]="Yes",SUM(I22,L22,O22,R22,U22,X22),0)</f>
        <v>0</v>
      </c>
      <c r="AB22" s="7">
        <v>22.55</v>
      </c>
      <c r="AD22" s="33" t="s">
        <v>252</v>
      </c>
      <c r="AF22" s="44" t="s">
        <v>217</v>
      </c>
      <c r="AG22" s="44" t="s">
        <v>1</v>
      </c>
      <c r="AH22" s="45" t="s">
        <v>60</v>
      </c>
      <c r="AI22" s="45" t="s">
        <v>60</v>
      </c>
      <c r="AN22" t="s">
        <v>63</v>
      </c>
      <c r="AO22" t="s">
        <v>60</v>
      </c>
      <c r="AP22">
        <v>1997</v>
      </c>
      <c r="AQ22" t="s">
        <v>39</v>
      </c>
      <c r="AR22" t="s">
        <v>330</v>
      </c>
      <c r="AS22" t="s">
        <v>305</v>
      </c>
      <c r="AT22" t="s">
        <v>243</v>
      </c>
      <c r="AU22" t="s">
        <v>329</v>
      </c>
      <c r="AV22">
        <v>75.849999999999994</v>
      </c>
    </row>
    <row r="23" spans="1:48" ht="21" x14ac:dyDescent="0.35">
      <c r="A23" s="2">
        <v>22</v>
      </c>
      <c r="B23" t="s">
        <v>106</v>
      </c>
      <c r="C23" s="2" t="s">
        <v>60</v>
      </c>
      <c r="D23" s="2">
        <v>2004</v>
      </c>
      <c r="E23" s="2" t="s">
        <v>107</v>
      </c>
      <c r="F23" t="s">
        <v>31</v>
      </c>
      <c r="G23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23" s="5">
        <v>3.8</v>
      </c>
      <c r="I23" s="8">
        <v>7.45</v>
      </c>
      <c r="J23" s="8">
        <v>11.25</v>
      </c>
      <c r="K23" s="5">
        <v>0</v>
      </c>
      <c r="L23" s="8">
        <v>0</v>
      </c>
      <c r="M23" s="8">
        <v>0</v>
      </c>
      <c r="N23" s="5">
        <v>0</v>
      </c>
      <c r="O23" s="8">
        <v>0</v>
      </c>
      <c r="P23" s="8">
        <v>0</v>
      </c>
      <c r="Q23" s="5">
        <v>3.2</v>
      </c>
      <c r="R23" s="8">
        <v>7.4</v>
      </c>
      <c r="S23" s="8">
        <v>10.6</v>
      </c>
      <c r="T23" s="5">
        <v>0</v>
      </c>
      <c r="U23" s="8">
        <v>0</v>
      </c>
      <c r="V23" s="8">
        <v>0</v>
      </c>
      <c r="W23" s="5">
        <v>0</v>
      </c>
      <c r="X23" s="8">
        <v>0</v>
      </c>
      <c r="Y23" s="8">
        <v>0</v>
      </c>
      <c r="Z23" s="4">
        <f>IF(Cracow_result[[#This Row],[All Around]]="Yes",SUM(H23,K23,N23,Q23,T23,W23),0)</f>
        <v>0</v>
      </c>
      <c r="AA23" s="7">
        <f>IF(Cracow_result[[#This Row],[All Around]]="Yes",SUM(I23,L23,O23,R23,U23,X23),0)</f>
        <v>0</v>
      </c>
      <c r="AB23" s="7">
        <v>21.85</v>
      </c>
      <c r="AD23" s="34" t="s">
        <v>301</v>
      </c>
      <c r="AF23" s="45" t="s">
        <v>238</v>
      </c>
      <c r="AG23" s="45" t="s">
        <v>73</v>
      </c>
      <c r="AH23" s="57">
        <v>3.05</v>
      </c>
      <c r="AI23" s="56">
        <v>6.15</v>
      </c>
      <c r="AN23" t="s">
        <v>59</v>
      </c>
      <c r="AO23" t="s">
        <v>60</v>
      </c>
      <c r="AP23">
        <v>2002</v>
      </c>
      <c r="AQ23" t="s">
        <v>62</v>
      </c>
      <c r="AR23" t="s">
        <v>330</v>
      </c>
      <c r="AS23" t="s">
        <v>305</v>
      </c>
      <c r="AT23" t="s">
        <v>218</v>
      </c>
      <c r="AU23" t="s">
        <v>308</v>
      </c>
      <c r="AV23">
        <v>5.3</v>
      </c>
    </row>
    <row r="24" spans="1:48" ht="21" x14ac:dyDescent="0.35">
      <c r="A24" s="2">
        <v>23</v>
      </c>
      <c r="B24" t="s">
        <v>108</v>
      </c>
      <c r="C24" s="2" t="s">
        <v>60</v>
      </c>
      <c r="D24" s="2">
        <v>2000</v>
      </c>
      <c r="E24" s="2" t="s">
        <v>109</v>
      </c>
      <c r="F24" t="s">
        <v>62</v>
      </c>
      <c r="G24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24" s="4">
        <v>3.5</v>
      </c>
      <c r="I24" s="7">
        <v>7.45</v>
      </c>
      <c r="J24" s="7">
        <v>10.95</v>
      </c>
      <c r="K24" s="4">
        <v>0</v>
      </c>
      <c r="L24" s="7">
        <v>0</v>
      </c>
      <c r="M24" s="7">
        <v>0</v>
      </c>
      <c r="N24" s="4">
        <v>2.9</v>
      </c>
      <c r="O24" s="7">
        <v>5.75</v>
      </c>
      <c r="P24" s="7">
        <v>8.65</v>
      </c>
      <c r="Q24" s="4">
        <v>0</v>
      </c>
      <c r="R24" s="7">
        <v>0</v>
      </c>
      <c r="S24" s="7">
        <v>0</v>
      </c>
      <c r="T24" s="4">
        <v>0</v>
      </c>
      <c r="U24" s="7">
        <v>0</v>
      </c>
      <c r="V24" s="7">
        <v>0</v>
      </c>
      <c r="W24" s="4">
        <v>0</v>
      </c>
      <c r="X24" s="7">
        <v>0</v>
      </c>
      <c r="Y24" s="7">
        <v>0</v>
      </c>
      <c r="Z24" s="4">
        <f>IF(Cracow_result[[#This Row],[All Around]]="Yes",SUM(H24,K24,N24,Q24,T24,W24),0)</f>
        <v>0</v>
      </c>
      <c r="AA24" s="7">
        <f>IF(Cracow_result[[#This Row],[All Around]]="Yes",SUM(I24,L24,O24,R24,U24,X24),0)</f>
        <v>0</v>
      </c>
      <c r="AB24" s="7">
        <v>19.600000000000001</v>
      </c>
      <c r="AD24" s="37" t="s">
        <v>304</v>
      </c>
      <c r="AF24" s="45"/>
      <c r="AG24" s="45" t="s">
        <v>84</v>
      </c>
      <c r="AH24" s="57">
        <v>4.5999999999999996</v>
      </c>
      <c r="AI24" s="56">
        <v>7.8</v>
      </c>
      <c r="AN24" t="s">
        <v>59</v>
      </c>
      <c r="AO24" t="s">
        <v>60</v>
      </c>
      <c r="AP24">
        <v>2002</v>
      </c>
      <c r="AQ24" t="s">
        <v>62</v>
      </c>
      <c r="AR24" t="s">
        <v>330</v>
      </c>
      <c r="AS24" t="s">
        <v>305</v>
      </c>
      <c r="AT24" t="s">
        <v>218</v>
      </c>
      <c r="AU24" t="s">
        <v>309</v>
      </c>
      <c r="AV24">
        <v>7.25</v>
      </c>
    </row>
    <row r="25" spans="1:48" ht="21" x14ac:dyDescent="0.35">
      <c r="A25" s="2">
        <v>24</v>
      </c>
      <c r="B25" t="s">
        <v>110</v>
      </c>
      <c r="C25" s="2" t="s">
        <v>60</v>
      </c>
      <c r="D25" s="2">
        <v>2004</v>
      </c>
      <c r="E25" s="2" t="s">
        <v>111</v>
      </c>
      <c r="F25" t="s">
        <v>36</v>
      </c>
      <c r="G25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25" s="4">
        <v>0</v>
      </c>
      <c r="I25" s="7">
        <v>0</v>
      </c>
      <c r="J25" s="7">
        <v>0</v>
      </c>
      <c r="K25" s="4">
        <v>3.5</v>
      </c>
      <c r="L25" s="7">
        <v>5.6</v>
      </c>
      <c r="M25" s="7">
        <v>9.1</v>
      </c>
      <c r="N25" s="4">
        <v>0</v>
      </c>
      <c r="O25" s="7">
        <v>0</v>
      </c>
      <c r="P25" s="7">
        <v>0</v>
      </c>
      <c r="Q25" s="4">
        <v>0</v>
      </c>
      <c r="R25" s="7">
        <v>0</v>
      </c>
      <c r="S25" s="7">
        <v>0</v>
      </c>
      <c r="T25" s="4">
        <v>0</v>
      </c>
      <c r="U25" s="7">
        <v>0</v>
      </c>
      <c r="V25" s="7">
        <v>0</v>
      </c>
      <c r="W25" s="4">
        <v>0</v>
      </c>
      <c r="X25" s="7">
        <v>0</v>
      </c>
      <c r="Y25" s="7">
        <v>0</v>
      </c>
      <c r="Z25" s="4">
        <f>IF(Cracow_result[[#This Row],[All Around]]="Yes",SUM(H25,K25,N25,Q25,T25,W25),0)</f>
        <v>0</v>
      </c>
      <c r="AA25" s="7">
        <f>IF(Cracow_result[[#This Row],[All Around]]="Yes",SUM(I25,L25,O25,R25,U25,X25),0)</f>
        <v>0</v>
      </c>
      <c r="AB25" s="7">
        <v>9.1</v>
      </c>
      <c r="AD25" s="35" t="s">
        <v>302</v>
      </c>
      <c r="AF25" s="45"/>
      <c r="AG25" s="45" t="s">
        <v>116</v>
      </c>
      <c r="AH25" s="57">
        <v>6.5</v>
      </c>
      <c r="AI25" s="56">
        <v>10.7</v>
      </c>
      <c r="AN25" t="s">
        <v>59</v>
      </c>
      <c r="AO25" t="s">
        <v>60</v>
      </c>
      <c r="AP25">
        <v>2002</v>
      </c>
      <c r="AQ25" t="s">
        <v>62</v>
      </c>
      <c r="AR25" t="s">
        <v>330</v>
      </c>
      <c r="AS25" t="s">
        <v>305</v>
      </c>
      <c r="AT25" t="s">
        <v>218</v>
      </c>
      <c r="AU25" t="s">
        <v>268</v>
      </c>
      <c r="AV25">
        <v>12.55</v>
      </c>
    </row>
    <row r="26" spans="1:48" ht="21" x14ac:dyDescent="0.35">
      <c r="A26" s="2">
        <v>1</v>
      </c>
      <c r="B26" t="s">
        <v>25</v>
      </c>
      <c r="C26" s="2" t="s">
        <v>26</v>
      </c>
      <c r="D26" s="2">
        <v>2008</v>
      </c>
      <c r="E26" s="2" t="s">
        <v>27</v>
      </c>
      <c r="F26" t="s">
        <v>28</v>
      </c>
      <c r="G26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26" s="5">
        <v>4</v>
      </c>
      <c r="I26" s="8">
        <v>8.4499999999999993</v>
      </c>
      <c r="J26" s="8">
        <v>12.45</v>
      </c>
      <c r="K26" s="5">
        <v>3.8</v>
      </c>
      <c r="L26" s="8">
        <v>8.5500000000000007</v>
      </c>
      <c r="M26" s="8">
        <v>12.35</v>
      </c>
      <c r="N26" s="5">
        <v>2.8</v>
      </c>
      <c r="O26" s="8">
        <v>8.4</v>
      </c>
      <c r="P26" s="8">
        <v>11.2</v>
      </c>
      <c r="Q26" s="5">
        <v>2.2000000000000002</v>
      </c>
      <c r="R26" s="8">
        <v>9.0500000000000007</v>
      </c>
      <c r="S26" s="8">
        <v>11.25</v>
      </c>
      <c r="T26" s="5">
        <v>4.2</v>
      </c>
      <c r="U26" s="8">
        <v>8.6</v>
      </c>
      <c r="V26" s="8">
        <v>12.8</v>
      </c>
      <c r="W26" s="5">
        <v>2.7</v>
      </c>
      <c r="X26" s="8">
        <v>9.4499999999999993</v>
      </c>
      <c r="Y26" s="8">
        <v>12.15</v>
      </c>
      <c r="Z26" s="4">
        <f>IF(Cracow_result[[#This Row],[All Around]]="Yes",SUM(H26,K26,N26,Q26,T26,W26),0)</f>
        <v>19.7</v>
      </c>
      <c r="AA26" s="7">
        <f>IF(Cracow_result[[#This Row],[All Around]]="Yes",SUM(I26,L26,O26,R26,U26,X26),0)</f>
        <v>52.5</v>
      </c>
      <c r="AB26" s="7">
        <v>72.2</v>
      </c>
      <c r="AD26" s="36" t="s">
        <v>303</v>
      </c>
      <c r="AF26" s="45"/>
      <c r="AG26" s="45" t="s">
        <v>77</v>
      </c>
      <c r="AH26" s="57">
        <v>7</v>
      </c>
      <c r="AI26" s="56">
        <v>10.7</v>
      </c>
      <c r="AN26" t="s">
        <v>59</v>
      </c>
      <c r="AO26" t="s">
        <v>60</v>
      </c>
      <c r="AP26">
        <v>2002</v>
      </c>
      <c r="AQ26" t="s">
        <v>62</v>
      </c>
      <c r="AR26" t="s">
        <v>330</v>
      </c>
      <c r="AS26" t="s">
        <v>305</v>
      </c>
      <c r="AT26" t="s">
        <v>238</v>
      </c>
      <c r="AU26" t="s">
        <v>308</v>
      </c>
      <c r="AV26">
        <v>5.2</v>
      </c>
    </row>
    <row r="27" spans="1:48" ht="21" x14ac:dyDescent="0.35">
      <c r="A27" s="2">
        <v>2</v>
      </c>
      <c r="B27" t="s">
        <v>34</v>
      </c>
      <c r="C27" s="2" t="s">
        <v>26</v>
      </c>
      <c r="D27" s="2">
        <v>2006</v>
      </c>
      <c r="E27" s="2" t="s">
        <v>35</v>
      </c>
      <c r="F27" t="s">
        <v>36</v>
      </c>
      <c r="G27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27" s="5">
        <v>3.6</v>
      </c>
      <c r="I27" s="8">
        <v>8.25</v>
      </c>
      <c r="J27" s="8">
        <v>11.85</v>
      </c>
      <c r="K27" s="5">
        <v>3.6</v>
      </c>
      <c r="L27" s="8">
        <v>8.4</v>
      </c>
      <c r="M27" s="8">
        <v>12</v>
      </c>
      <c r="N27" s="5">
        <v>3.7</v>
      </c>
      <c r="O27" s="8">
        <v>7.45</v>
      </c>
      <c r="P27" s="8">
        <v>11.15</v>
      </c>
      <c r="Q27" s="5">
        <v>3.2</v>
      </c>
      <c r="R27" s="8">
        <v>8.6999999999999993</v>
      </c>
      <c r="S27" s="8">
        <v>11.9</v>
      </c>
      <c r="T27" s="5">
        <v>3.7</v>
      </c>
      <c r="U27" s="8">
        <v>8</v>
      </c>
      <c r="V27" s="8">
        <v>11.7</v>
      </c>
      <c r="W27" s="5">
        <v>3.4</v>
      </c>
      <c r="X27" s="8">
        <v>8.6</v>
      </c>
      <c r="Y27" s="8">
        <v>12</v>
      </c>
      <c r="Z27" s="4">
        <f>IF(Cracow_result[[#This Row],[All Around]]="Yes",SUM(H27,K27,N27,Q27,T27,W27),0)</f>
        <v>21.2</v>
      </c>
      <c r="AA27" s="7">
        <f>IF(Cracow_result[[#This Row],[All Around]]="Yes",SUM(I27,L27,O27,R27,U27,X27),0)</f>
        <v>49.4</v>
      </c>
      <c r="AB27" s="7">
        <v>70.599999999999994</v>
      </c>
      <c r="AF27" s="45"/>
      <c r="AG27" s="45" t="s">
        <v>63</v>
      </c>
      <c r="AH27" s="57">
        <v>7</v>
      </c>
      <c r="AI27" s="56">
        <v>11.4</v>
      </c>
      <c r="AN27" t="s">
        <v>59</v>
      </c>
      <c r="AO27" t="s">
        <v>60</v>
      </c>
      <c r="AP27">
        <v>2002</v>
      </c>
      <c r="AQ27" t="s">
        <v>62</v>
      </c>
      <c r="AR27" t="s">
        <v>330</v>
      </c>
      <c r="AS27" t="s">
        <v>305</v>
      </c>
      <c r="AT27" t="s">
        <v>238</v>
      </c>
      <c r="AU27" t="s">
        <v>309</v>
      </c>
      <c r="AV27">
        <v>7.7</v>
      </c>
    </row>
    <row r="28" spans="1:48" ht="21" x14ac:dyDescent="0.35">
      <c r="A28" s="2">
        <v>3</v>
      </c>
      <c r="B28" t="s">
        <v>40</v>
      </c>
      <c r="C28" s="2" t="s">
        <v>26</v>
      </c>
      <c r="D28" s="2">
        <v>2007</v>
      </c>
      <c r="E28" s="2" t="s">
        <v>41</v>
      </c>
      <c r="F28" t="s">
        <v>39</v>
      </c>
      <c r="G28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28" s="5">
        <v>3.4</v>
      </c>
      <c r="I28" s="8">
        <v>7.95</v>
      </c>
      <c r="J28" s="8">
        <v>11.35</v>
      </c>
      <c r="K28" s="5">
        <v>2.9</v>
      </c>
      <c r="L28" s="8">
        <v>8.15</v>
      </c>
      <c r="M28" s="8">
        <v>11.05</v>
      </c>
      <c r="N28" s="5">
        <v>3.4</v>
      </c>
      <c r="O28" s="8">
        <v>7.9</v>
      </c>
      <c r="P28" s="8">
        <v>11.3</v>
      </c>
      <c r="Q28" s="5">
        <v>4</v>
      </c>
      <c r="R28" s="8">
        <v>8.8000000000000007</v>
      </c>
      <c r="S28" s="8">
        <v>12.8</v>
      </c>
      <c r="T28" s="5">
        <v>3</v>
      </c>
      <c r="U28" s="8">
        <v>8.1</v>
      </c>
      <c r="V28" s="8">
        <v>11.1</v>
      </c>
      <c r="W28" s="5">
        <v>2.6</v>
      </c>
      <c r="X28" s="8">
        <v>7.65</v>
      </c>
      <c r="Y28" s="8">
        <v>10.25</v>
      </c>
      <c r="Z28" s="4">
        <f>IF(Cracow_result[[#This Row],[All Around]]="Yes",SUM(H28,K28,N28,Q28,T28,W28),0)</f>
        <v>19.3</v>
      </c>
      <c r="AA28" s="7">
        <f>IF(Cracow_result[[#This Row],[All Around]]="Yes",SUM(I28,L28,O28,R28,U28,X28),0)</f>
        <v>48.55</v>
      </c>
      <c r="AB28" s="7">
        <v>67.849999999999994</v>
      </c>
      <c r="AF28" s="45"/>
      <c r="AG28" s="45" t="s">
        <v>127</v>
      </c>
      <c r="AH28" s="57">
        <v>7.2</v>
      </c>
      <c r="AI28" s="56">
        <v>11.6</v>
      </c>
      <c r="AN28" t="s">
        <v>59</v>
      </c>
      <c r="AO28" t="s">
        <v>60</v>
      </c>
      <c r="AP28">
        <v>2002</v>
      </c>
      <c r="AQ28" t="s">
        <v>62</v>
      </c>
      <c r="AR28" t="s">
        <v>330</v>
      </c>
      <c r="AS28" t="s">
        <v>305</v>
      </c>
      <c r="AT28" t="s">
        <v>238</v>
      </c>
      <c r="AU28" t="s">
        <v>268</v>
      </c>
      <c r="AV28">
        <v>12.9</v>
      </c>
    </row>
    <row r="29" spans="1:48" ht="21" x14ac:dyDescent="0.35">
      <c r="A29" s="2">
        <v>4</v>
      </c>
      <c r="B29" t="s">
        <v>32</v>
      </c>
      <c r="C29" s="2" t="s">
        <v>26</v>
      </c>
      <c r="D29" s="2">
        <v>2005</v>
      </c>
      <c r="E29" s="2" t="s">
        <v>33</v>
      </c>
      <c r="F29" t="s">
        <v>31</v>
      </c>
      <c r="G29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29" s="5">
        <v>4.2</v>
      </c>
      <c r="I29" s="8">
        <v>8.3000000000000007</v>
      </c>
      <c r="J29" s="8">
        <v>12.5</v>
      </c>
      <c r="K29" s="5">
        <v>3.4</v>
      </c>
      <c r="L29" s="8">
        <v>7.95</v>
      </c>
      <c r="M29" s="8">
        <v>11.35</v>
      </c>
      <c r="N29" s="5">
        <v>3.3</v>
      </c>
      <c r="O29" s="8">
        <v>6.95</v>
      </c>
      <c r="P29" s="8">
        <v>10.25</v>
      </c>
      <c r="Q29" s="5">
        <v>3.2</v>
      </c>
      <c r="R29" s="8">
        <v>9.1999999999999993</v>
      </c>
      <c r="S29" s="8">
        <v>12.4</v>
      </c>
      <c r="T29" s="5">
        <v>3.2</v>
      </c>
      <c r="U29" s="8">
        <v>8.8000000000000007</v>
      </c>
      <c r="V29" s="8">
        <v>12</v>
      </c>
      <c r="W29" s="5">
        <v>3.1</v>
      </c>
      <c r="X29" s="8">
        <v>4.7</v>
      </c>
      <c r="Y29" s="8">
        <v>7.8</v>
      </c>
      <c r="Z29" s="4">
        <f>IF(Cracow_result[[#This Row],[All Around]]="Yes",SUM(H29,K29,N29,Q29,T29,W29),0)</f>
        <v>20.399999999999999</v>
      </c>
      <c r="AA29" s="7">
        <f>IF(Cracow_result[[#This Row],[All Around]]="Yes",SUM(I29,L29,O29,R29,U29,X29),0)</f>
        <v>45.900000000000006</v>
      </c>
      <c r="AB29" s="7">
        <v>66.3</v>
      </c>
      <c r="AF29" s="45"/>
      <c r="AG29" s="45" t="s">
        <v>80</v>
      </c>
      <c r="AH29" s="57">
        <v>8</v>
      </c>
      <c r="AI29" s="56">
        <v>11.6</v>
      </c>
      <c r="AN29" t="s">
        <v>59</v>
      </c>
      <c r="AO29" t="s">
        <v>60</v>
      </c>
      <c r="AP29">
        <v>2002</v>
      </c>
      <c r="AQ29" t="s">
        <v>62</v>
      </c>
      <c r="AR29" t="s">
        <v>330</v>
      </c>
      <c r="AS29" t="s">
        <v>305</v>
      </c>
      <c r="AT29" t="s">
        <v>239</v>
      </c>
      <c r="AU29" t="s">
        <v>308</v>
      </c>
      <c r="AV29">
        <v>4.0999999999999996</v>
      </c>
    </row>
    <row r="30" spans="1:48" ht="21" x14ac:dyDescent="0.35">
      <c r="A30" s="2">
        <v>5</v>
      </c>
      <c r="B30" t="s">
        <v>44</v>
      </c>
      <c r="C30" s="2" t="s">
        <v>26</v>
      </c>
      <c r="D30" s="2">
        <v>2007</v>
      </c>
      <c r="E30" s="2" t="s">
        <v>45</v>
      </c>
      <c r="F30" t="s">
        <v>39</v>
      </c>
      <c r="G30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30" s="5">
        <v>3.4</v>
      </c>
      <c r="I30" s="8">
        <v>8.0500000000000007</v>
      </c>
      <c r="J30" s="8">
        <v>11.45</v>
      </c>
      <c r="K30" s="5">
        <v>3</v>
      </c>
      <c r="L30" s="8">
        <v>5.75</v>
      </c>
      <c r="M30" s="8">
        <v>8.75</v>
      </c>
      <c r="N30" s="5">
        <v>2.2999999999999998</v>
      </c>
      <c r="O30" s="8">
        <v>7.9</v>
      </c>
      <c r="P30" s="8">
        <v>10.199999999999999</v>
      </c>
      <c r="Q30" s="5">
        <v>2.8</v>
      </c>
      <c r="R30" s="8">
        <v>8.75</v>
      </c>
      <c r="S30" s="8">
        <v>11.55</v>
      </c>
      <c r="T30" s="5">
        <v>3</v>
      </c>
      <c r="U30" s="8">
        <v>8.9</v>
      </c>
      <c r="V30" s="8">
        <v>11.9</v>
      </c>
      <c r="W30" s="5">
        <v>2.7</v>
      </c>
      <c r="X30" s="8">
        <v>8.15</v>
      </c>
      <c r="Y30" s="8">
        <v>10.85</v>
      </c>
      <c r="Z30" s="4">
        <f>IF(Cracow_result[[#This Row],[All Around]]="Yes",SUM(H30,K30,N30,Q30,T30,W30),0)</f>
        <v>17.2</v>
      </c>
      <c r="AA30" s="7">
        <f>IF(Cracow_result[[#This Row],[All Around]]="Yes",SUM(I30,L30,O30,R30,U30,X30),0)</f>
        <v>47.5</v>
      </c>
      <c r="AB30" s="7">
        <v>64.7</v>
      </c>
      <c r="AF30" s="45"/>
      <c r="AG30" s="45" t="s">
        <v>68</v>
      </c>
      <c r="AH30" s="57">
        <v>8</v>
      </c>
      <c r="AI30" s="56">
        <v>11.8</v>
      </c>
      <c r="AN30" t="s">
        <v>59</v>
      </c>
      <c r="AO30" t="s">
        <v>60</v>
      </c>
      <c r="AP30">
        <v>2002</v>
      </c>
      <c r="AQ30" t="s">
        <v>62</v>
      </c>
      <c r="AR30" t="s">
        <v>330</v>
      </c>
      <c r="AS30" t="s">
        <v>305</v>
      </c>
      <c r="AT30" t="s">
        <v>239</v>
      </c>
      <c r="AU30" t="s">
        <v>309</v>
      </c>
      <c r="AV30">
        <v>8.1</v>
      </c>
    </row>
    <row r="31" spans="1:48" ht="21" x14ac:dyDescent="0.35">
      <c r="A31" s="2">
        <v>6</v>
      </c>
      <c r="B31" t="s">
        <v>42</v>
      </c>
      <c r="C31" s="2" t="s">
        <v>26</v>
      </c>
      <c r="D31" s="2">
        <v>2007</v>
      </c>
      <c r="E31" s="2" t="s">
        <v>43</v>
      </c>
      <c r="F31" t="s">
        <v>36</v>
      </c>
      <c r="G31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31" s="5">
        <v>3.8</v>
      </c>
      <c r="I31" s="8">
        <v>7.1</v>
      </c>
      <c r="J31" s="8">
        <v>10.9</v>
      </c>
      <c r="K31" s="5">
        <v>2.6</v>
      </c>
      <c r="L31" s="8">
        <v>7.65</v>
      </c>
      <c r="M31" s="8">
        <v>10.25</v>
      </c>
      <c r="N31" s="5">
        <v>2.4</v>
      </c>
      <c r="O31" s="8">
        <v>8.0500000000000007</v>
      </c>
      <c r="P31" s="8">
        <v>10.45</v>
      </c>
      <c r="Q31" s="5">
        <v>2.8</v>
      </c>
      <c r="R31" s="8">
        <v>9.1999999999999993</v>
      </c>
      <c r="S31" s="8">
        <v>12</v>
      </c>
      <c r="T31" s="5">
        <v>3.1</v>
      </c>
      <c r="U31" s="8">
        <v>7.1</v>
      </c>
      <c r="V31" s="8">
        <v>10.199999999999999</v>
      </c>
      <c r="W31" s="5">
        <v>1.8</v>
      </c>
      <c r="X31" s="8">
        <v>8.4</v>
      </c>
      <c r="Y31" s="8">
        <v>10.199999999999999</v>
      </c>
      <c r="Z31" s="4">
        <f>IF(Cracow_result[[#This Row],[All Around]]="Yes",SUM(H31,K31,N31,Q31,T31,W31),0)</f>
        <v>16.5</v>
      </c>
      <c r="AA31" s="7">
        <f>IF(Cracow_result[[#This Row],[All Around]]="Yes",SUM(I31,L31,O31,R31,U31,X31),0)</f>
        <v>47.5</v>
      </c>
      <c r="AB31" s="7">
        <v>64</v>
      </c>
      <c r="AF31" s="45"/>
      <c r="AG31" s="45" t="s">
        <v>118</v>
      </c>
      <c r="AH31" s="57">
        <v>7.7</v>
      </c>
      <c r="AI31" s="56">
        <v>12.3</v>
      </c>
      <c r="AN31" t="s">
        <v>59</v>
      </c>
      <c r="AO31" t="s">
        <v>60</v>
      </c>
      <c r="AP31">
        <v>2002</v>
      </c>
      <c r="AQ31" t="s">
        <v>62</v>
      </c>
      <c r="AR31" t="s">
        <v>330</v>
      </c>
      <c r="AS31" t="s">
        <v>305</v>
      </c>
      <c r="AT31" t="s">
        <v>239</v>
      </c>
      <c r="AU31" t="s">
        <v>268</v>
      </c>
      <c r="AV31">
        <v>12.2</v>
      </c>
    </row>
    <row r="32" spans="1:48" ht="21" x14ac:dyDescent="0.35">
      <c r="A32" s="2">
        <v>7</v>
      </c>
      <c r="B32" t="s">
        <v>37</v>
      </c>
      <c r="C32" s="2" t="s">
        <v>26</v>
      </c>
      <c r="D32" s="2">
        <v>2006</v>
      </c>
      <c r="E32" s="2" t="s">
        <v>38</v>
      </c>
      <c r="F32" t="s">
        <v>39</v>
      </c>
      <c r="G32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32" s="5">
        <v>3.3</v>
      </c>
      <c r="I32" s="8">
        <v>7.25</v>
      </c>
      <c r="J32" s="8">
        <v>10.55</v>
      </c>
      <c r="K32" s="5">
        <v>3.6</v>
      </c>
      <c r="L32" s="8">
        <v>7.45</v>
      </c>
      <c r="M32" s="8">
        <v>11.05</v>
      </c>
      <c r="N32" s="5">
        <v>2.2999999999999998</v>
      </c>
      <c r="O32" s="8">
        <v>6.85</v>
      </c>
      <c r="P32" s="8">
        <v>9.15</v>
      </c>
      <c r="Q32" s="5">
        <v>2.4</v>
      </c>
      <c r="R32" s="8">
        <v>8.3000000000000007</v>
      </c>
      <c r="S32" s="8">
        <v>10.7</v>
      </c>
      <c r="T32" s="5">
        <v>3.1</v>
      </c>
      <c r="U32" s="8">
        <v>8.4</v>
      </c>
      <c r="V32" s="8">
        <v>11.5</v>
      </c>
      <c r="W32" s="5">
        <v>3.1</v>
      </c>
      <c r="X32" s="8">
        <v>7.65</v>
      </c>
      <c r="Y32" s="8">
        <v>10.75</v>
      </c>
      <c r="Z32" s="4">
        <f>IF(Cracow_result[[#This Row],[All Around]]="Yes",SUM(H32,K32,N32,Q32,T32,W32),0)</f>
        <v>17.8</v>
      </c>
      <c r="AA32" s="7">
        <f>IF(Cracow_result[[#This Row],[All Around]]="Yes",SUM(I32,L32,O32,R32,U32,X32),0)</f>
        <v>45.9</v>
      </c>
      <c r="AB32" s="7">
        <v>63.7</v>
      </c>
      <c r="AF32" s="45"/>
      <c r="AG32" s="45" t="s">
        <v>59</v>
      </c>
      <c r="AH32" s="57">
        <v>7.7</v>
      </c>
      <c r="AI32" s="56">
        <v>12.9</v>
      </c>
      <c r="AN32" t="s">
        <v>59</v>
      </c>
      <c r="AO32" t="s">
        <v>60</v>
      </c>
      <c r="AP32">
        <v>2002</v>
      </c>
      <c r="AQ32" t="s">
        <v>62</v>
      </c>
      <c r="AR32" t="s">
        <v>330</v>
      </c>
      <c r="AS32" t="s">
        <v>305</v>
      </c>
      <c r="AT32" t="s">
        <v>240</v>
      </c>
      <c r="AU32" t="s">
        <v>308</v>
      </c>
      <c r="AV32">
        <v>4.4000000000000004</v>
      </c>
    </row>
    <row r="33" spans="1:48" ht="21" x14ac:dyDescent="0.35">
      <c r="A33" s="2">
        <v>8</v>
      </c>
      <c r="B33" t="s">
        <v>48</v>
      </c>
      <c r="C33" s="2" t="s">
        <v>26</v>
      </c>
      <c r="D33" s="2">
        <v>2006</v>
      </c>
      <c r="E33" s="2" t="s">
        <v>49</v>
      </c>
      <c r="F33" t="s">
        <v>36</v>
      </c>
      <c r="G33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33" s="5">
        <v>3.5</v>
      </c>
      <c r="I33" s="8">
        <v>7.65</v>
      </c>
      <c r="J33" s="8">
        <v>11.15</v>
      </c>
      <c r="K33" s="5">
        <v>2.2000000000000002</v>
      </c>
      <c r="L33" s="8">
        <v>4.95</v>
      </c>
      <c r="M33" s="8">
        <v>7.15</v>
      </c>
      <c r="N33" s="5">
        <v>2.5</v>
      </c>
      <c r="O33" s="8">
        <v>6.65</v>
      </c>
      <c r="P33" s="8">
        <v>9.15</v>
      </c>
      <c r="Q33" s="5">
        <v>2.4</v>
      </c>
      <c r="R33" s="8">
        <v>8.85</v>
      </c>
      <c r="S33" s="8">
        <v>11.25</v>
      </c>
      <c r="T33" s="5">
        <v>3.1</v>
      </c>
      <c r="U33" s="8">
        <v>7.45</v>
      </c>
      <c r="V33" s="8">
        <v>10.55</v>
      </c>
      <c r="W33" s="5">
        <v>1.9</v>
      </c>
      <c r="X33" s="8">
        <v>8.6</v>
      </c>
      <c r="Y33" s="8">
        <v>10.5</v>
      </c>
      <c r="Z33" s="4">
        <f>IF(Cracow_result[[#This Row],[All Around]]="Yes",SUM(H33,K33,N33,Q33,T33,W33),0)</f>
        <v>15.6</v>
      </c>
      <c r="AA33" s="7">
        <f>IF(Cracow_result[[#This Row],[All Around]]="Yes",SUM(I33,L33,O33,R33,U33,X33),0)</f>
        <v>44.150000000000006</v>
      </c>
      <c r="AB33" s="7">
        <v>59.75</v>
      </c>
      <c r="AF33" s="45"/>
      <c r="AG33" s="45" t="s">
        <v>75</v>
      </c>
      <c r="AH33" s="57">
        <v>8.5</v>
      </c>
      <c r="AI33" s="56">
        <v>12.7</v>
      </c>
      <c r="AN33" t="s">
        <v>59</v>
      </c>
      <c r="AO33" t="s">
        <v>60</v>
      </c>
      <c r="AP33">
        <v>2002</v>
      </c>
      <c r="AQ33" t="s">
        <v>62</v>
      </c>
      <c r="AR33" t="s">
        <v>330</v>
      </c>
      <c r="AS33" t="s">
        <v>305</v>
      </c>
      <c r="AT33" t="s">
        <v>240</v>
      </c>
      <c r="AU33" t="s">
        <v>309</v>
      </c>
      <c r="AV33">
        <v>9.15</v>
      </c>
    </row>
    <row r="34" spans="1:48" ht="21" x14ac:dyDescent="0.35">
      <c r="A34" s="2">
        <v>9</v>
      </c>
      <c r="B34" t="s">
        <v>46</v>
      </c>
      <c r="C34" s="2" t="s">
        <v>26</v>
      </c>
      <c r="D34" s="2">
        <v>2006</v>
      </c>
      <c r="E34" s="2" t="s">
        <v>47</v>
      </c>
      <c r="F34" t="s">
        <v>36</v>
      </c>
      <c r="G34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34" s="5">
        <v>3.1</v>
      </c>
      <c r="I34" s="8">
        <v>7.7</v>
      </c>
      <c r="J34" s="8">
        <v>10.8</v>
      </c>
      <c r="K34" s="5">
        <v>2.2000000000000002</v>
      </c>
      <c r="L34" s="8">
        <v>2.75</v>
      </c>
      <c r="M34" s="8">
        <v>4.95</v>
      </c>
      <c r="N34" s="5">
        <v>2.1</v>
      </c>
      <c r="O34" s="8">
        <v>6.65</v>
      </c>
      <c r="P34" s="8">
        <v>8.75</v>
      </c>
      <c r="Q34" s="5">
        <v>1.6</v>
      </c>
      <c r="R34" s="8">
        <v>9</v>
      </c>
      <c r="S34" s="8">
        <v>10.6</v>
      </c>
      <c r="T34" s="5">
        <v>3.1</v>
      </c>
      <c r="U34" s="8">
        <v>8.6</v>
      </c>
      <c r="V34" s="8">
        <v>11.7</v>
      </c>
      <c r="W34" s="5">
        <v>1.9</v>
      </c>
      <c r="X34" s="8">
        <v>7.75</v>
      </c>
      <c r="Y34" s="8">
        <v>9.65</v>
      </c>
      <c r="Z34" s="4">
        <f>IF(Cracow_result[[#This Row],[All Around]]="Yes",SUM(H34,K34,N34,Q34,T34,W34),0)</f>
        <v>14</v>
      </c>
      <c r="AA34" s="7">
        <f>IF(Cracow_result[[#This Row],[All Around]]="Yes",SUM(I34,L34,O34,R34,U34,X34),0)</f>
        <v>42.45</v>
      </c>
      <c r="AB34" s="7">
        <v>56.45</v>
      </c>
      <c r="AF34" s="45" t="s">
        <v>310</v>
      </c>
      <c r="AG34" s="45"/>
      <c r="AH34" s="57">
        <v>6.8409090909090908</v>
      </c>
      <c r="AI34" s="56">
        <v>10.877272727272727</v>
      </c>
      <c r="AN34" t="s">
        <v>59</v>
      </c>
      <c r="AO34" t="s">
        <v>60</v>
      </c>
      <c r="AP34">
        <v>2002</v>
      </c>
      <c r="AQ34" t="s">
        <v>62</v>
      </c>
      <c r="AR34" t="s">
        <v>330</v>
      </c>
      <c r="AS34" t="s">
        <v>305</v>
      </c>
      <c r="AT34" t="s">
        <v>240</v>
      </c>
      <c r="AU34" t="s">
        <v>268</v>
      </c>
      <c r="AV34">
        <v>13.55</v>
      </c>
    </row>
    <row r="35" spans="1:48" ht="21" x14ac:dyDescent="0.35">
      <c r="A35" s="2">
        <v>10</v>
      </c>
      <c r="B35" t="s">
        <v>114</v>
      </c>
      <c r="C35" s="2" t="s">
        <v>26</v>
      </c>
      <c r="D35" s="2">
        <v>2006</v>
      </c>
      <c r="E35" s="2" t="s">
        <v>115</v>
      </c>
      <c r="F35" t="s">
        <v>36</v>
      </c>
      <c r="G35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35" s="5">
        <v>0</v>
      </c>
      <c r="I35" s="8">
        <v>0</v>
      </c>
      <c r="J35" s="8">
        <v>0</v>
      </c>
      <c r="K35" s="5">
        <v>2.6</v>
      </c>
      <c r="L35" s="8">
        <v>7.65</v>
      </c>
      <c r="M35" s="8">
        <v>10.25</v>
      </c>
      <c r="N35" s="5">
        <v>1.7</v>
      </c>
      <c r="O35" s="8">
        <v>7.85</v>
      </c>
      <c r="P35" s="8">
        <v>9.5500000000000007</v>
      </c>
      <c r="Q35" s="5">
        <v>1.6</v>
      </c>
      <c r="R35" s="8">
        <v>8.8000000000000007</v>
      </c>
      <c r="S35" s="8">
        <v>10.4</v>
      </c>
      <c r="T35" s="5">
        <v>2.4</v>
      </c>
      <c r="U35" s="8">
        <v>8</v>
      </c>
      <c r="V35" s="8">
        <v>10.4</v>
      </c>
      <c r="W35" s="5">
        <v>1.8</v>
      </c>
      <c r="X35" s="8">
        <v>8.8000000000000007</v>
      </c>
      <c r="Y35" s="8">
        <v>10.6</v>
      </c>
      <c r="Z35" s="4">
        <f>IF(Cracow_result[[#This Row],[All Around]]="Yes",SUM(H35,K35,N35,Q35,T35,W35),0)</f>
        <v>0</v>
      </c>
      <c r="AA35" s="7">
        <f>IF(Cracow_result[[#This Row],[All Around]]="Yes",SUM(I35,L35,O35,R35,U35,X35),0)</f>
        <v>0</v>
      </c>
      <c r="AB35" s="7">
        <v>51.2</v>
      </c>
      <c r="AN35" t="s">
        <v>59</v>
      </c>
      <c r="AO35" t="s">
        <v>60</v>
      </c>
      <c r="AP35">
        <v>2002</v>
      </c>
      <c r="AQ35" t="s">
        <v>62</v>
      </c>
      <c r="AR35" t="s">
        <v>330</v>
      </c>
      <c r="AS35" t="s">
        <v>305</v>
      </c>
      <c r="AT35" t="s">
        <v>314</v>
      </c>
      <c r="AU35" t="s">
        <v>308</v>
      </c>
      <c r="AV35">
        <v>5.3</v>
      </c>
    </row>
    <row r="36" spans="1:48" ht="21" x14ac:dyDescent="0.35">
      <c r="A36" s="2">
        <v>11</v>
      </c>
      <c r="B36" t="s">
        <v>120</v>
      </c>
      <c r="C36" s="2" t="s">
        <v>26</v>
      </c>
      <c r="D36" s="2">
        <v>2006</v>
      </c>
      <c r="E36" s="2" t="s">
        <v>121</v>
      </c>
      <c r="F36" t="s">
        <v>39</v>
      </c>
      <c r="G36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36" s="5">
        <v>2.6</v>
      </c>
      <c r="I36" s="8">
        <v>7.8</v>
      </c>
      <c r="J36" s="8">
        <v>10.4</v>
      </c>
      <c r="K36" s="5">
        <v>2.4</v>
      </c>
      <c r="L36" s="8">
        <v>5.7</v>
      </c>
      <c r="M36" s="8">
        <v>8.1</v>
      </c>
      <c r="N36" s="5">
        <v>1.8</v>
      </c>
      <c r="O36" s="8">
        <v>6.8</v>
      </c>
      <c r="P36" s="8">
        <v>8.6</v>
      </c>
      <c r="Q36" s="5">
        <v>2.4</v>
      </c>
      <c r="R36" s="8">
        <v>7.8</v>
      </c>
      <c r="S36" s="8">
        <v>10.199999999999999</v>
      </c>
      <c r="T36" s="5">
        <v>2.2999999999999998</v>
      </c>
      <c r="U36" s="8">
        <v>7.45</v>
      </c>
      <c r="V36" s="8">
        <v>9.75</v>
      </c>
      <c r="W36" s="5">
        <v>0</v>
      </c>
      <c r="X36" s="8">
        <v>0</v>
      </c>
      <c r="Y36" s="8">
        <v>0</v>
      </c>
      <c r="Z36" s="4">
        <f>IF(Cracow_result[[#This Row],[All Around]]="Yes",SUM(H36,K36,N36,Q36,T36,W36),0)</f>
        <v>0</v>
      </c>
      <c r="AA36" s="7">
        <f>IF(Cracow_result[[#This Row],[All Around]]="Yes",SUM(I36,L36,O36,R36,U36,X36),0)</f>
        <v>0</v>
      </c>
      <c r="AB36" s="7">
        <v>47.05</v>
      </c>
      <c r="AN36" t="s">
        <v>59</v>
      </c>
      <c r="AO36" t="s">
        <v>60</v>
      </c>
      <c r="AP36">
        <v>2002</v>
      </c>
      <c r="AQ36" t="s">
        <v>62</v>
      </c>
      <c r="AR36" t="s">
        <v>330</v>
      </c>
      <c r="AS36" t="s">
        <v>305</v>
      </c>
      <c r="AT36" t="s">
        <v>314</v>
      </c>
      <c r="AU36" t="s">
        <v>309</v>
      </c>
      <c r="AV36">
        <v>6.6</v>
      </c>
    </row>
    <row r="37" spans="1:48" ht="21" x14ac:dyDescent="0.35">
      <c r="A37" s="2">
        <v>12</v>
      </c>
      <c r="B37" t="s">
        <v>122</v>
      </c>
      <c r="C37" s="2" t="s">
        <v>26</v>
      </c>
      <c r="D37" s="2">
        <v>2006</v>
      </c>
      <c r="E37" s="2" t="s">
        <v>123</v>
      </c>
      <c r="F37" t="s">
        <v>124</v>
      </c>
      <c r="G37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37" s="5">
        <v>3.1</v>
      </c>
      <c r="I37" s="8">
        <v>7.55</v>
      </c>
      <c r="J37" s="8">
        <v>10.65</v>
      </c>
      <c r="K37" s="5">
        <v>0</v>
      </c>
      <c r="L37" s="8">
        <v>0</v>
      </c>
      <c r="M37" s="8">
        <v>0</v>
      </c>
      <c r="N37" s="5">
        <v>2</v>
      </c>
      <c r="O37" s="8">
        <v>7.35</v>
      </c>
      <c r="P37" s="8">
        <v>9.35</v>
      </c>
      <c r="Q37" s="5">
        <v>2.2000000000000002</v>
      </c>
      <c r="R37" s="8">
        <v>8.8000000000000007</v>
      </c>
      <c r="S37" s="8">
        <v>11</v>
      </c>
      <c r="T37" s="5">
        <v>0</v>
      </c>
      <c r="U37" s="8">
        <v>0</v>
      </c>
      <c r="V37" s="8">
        <v>0</v>
      </c>
      <c r="W37" s="5">
        <v>2</v>
      </c>
      <c r="X37" s="8">
        <v>6.6</v>
      </c>
      <c r="Y37" s="8">
        <v>8.6</v>
      </c>
      <c r="Z37" s="4">
        <f>IF(Cracow_result[[#This Row],[All Around]]="Yes",SUM(H37,K37,N37,Q37,T37,W37),0)</f>
        <v>0</v>
      </c>
      <c r="AA37" s="7">
        <f>IF(Cracow_result[[#This Row],[All Around]]="Yes",SUM(I37,L37,O37,R37,U37,X37),0)</f>
        <v>0</v>
      </c>
      <c r="AB37" s="7">
        <v>39.6</v>
      </c>
      <c r="AN37" t="s">
        <v>59</v>
      </c>
      <c r="AO37" t="s">
        <v>60</v>
      </c>
      <c r="AP37">
        <v>2002</v>
      </c>
      <c r="AQ37" t="s">
        <v>62</v>
      </c>
      <c r="AR37" t="s">
        <v>330</v>
      </c>
      <c r="AS37" t="s">
        <v>305</v>
      </c>
      <c r="AT37" t="s">
        <v>314</v>
      </c>
      <c r="AU37" t="s">
        <v>268</v>
      </c>
      <c r="AV37">
        <v>11.9</v>
      </c>
    </row>
    <row r="38" spans="1:48" ht="21" x14ac:dyDescent="0.35">
      <c r="A38" s="2">
        <v>13</v>
      </c>
      <c r="B38" t="s">
        <v>50</v>
      </c>
      <c r="C38" s="2" t="s">
        <v>26</v>
      </c>
      <c r="D38" s="2">
        <v>2007</v>
      </c>
      <c r="E38" s="2" t="s">
        <v>51</v>
      </c>
      <c r="F38" t="s">
        <v>36</v>
      </c>
      <c r="G38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38" s="5">
        <v>3.9</v>
      </c>
      <c r="I38" s="8">
        <v>7.35</v>
      </c>
      <c r="J38" s="8">
        <v>11.25</v>
      </c>
      <c r="K38" s="5">
        <v>0</v>
      </c>
      <c r="L38" s="8">
        <v>0</v>
      </c>
      <c r="M38" s="8">
        <v>0</v>
      </c>
      <c r="N38" s="5">
        <v>3.7</v>
      </c>
      <c r="O38" s="8">
        <v>7.8</v>
      </c>
      <c r="P38" s="8">
        <v>11.5</v>
      </c>
      <c r="Q38" s="5">
        <v>0</v>
      </c>
      <c r="R38" s="8">
        <v>0</v>
      </c>
      <c r="S38" s="8">
        <v>0</v>
      </c>
      <c r="T38" s="5">
        <v>0</v>
      </c>
      <c r="U38" s="8">
        <v>0</v>
      </c>
      <c r="V38" s="8">
        <v>0</v>
      </c>
      <c r="W38" s="5">
        <v>2.7</v>
      </c>
      <c r="X38" s="8">
        <v>9.1</v>
      </c>
      <c r="Y38" s="8">
        <v>11.8</v>
      </c>
      <c r="Z38" s="4">
        <f>IF(Cracow_result[[#This Row],[All Around]]="Yes",SUM(H38,K38,N38,Q38,T38,W38),0)</f>
        <v>0</v>
      </c>
      <c r="AA38" s="7">
        <f>IF(Cracow_result[[#This Row],[All Around]]="Yes",SUM(I38,L38,O38,R38,U38,X38),0)</f>
        <v>0</v>
      </c>
      <c r="AB38" s="7">
        <v>34.549999999999997</v>
      </c>
      <c r="AN38" t="s">
        <v>59</v>
      </c>
      <c r="AO38" t="s">
        <v>60</v>
      </c>
      <c r="AP38">
        <v>2002</v>
      </c>
      <c r="AQ38" t="s">
        <v>62</v>
      </c>
      <c r="AR38" t="s">
        <v>330</v>
      </c>
      <c r="AS38" t="s">
        <v>305</v>
      </c>
      <c r="AT38" t="s">
        <v>242</v>
      </c>
      <c r="AU38" t="s">
        <v>308</v>
      </c>
      <c r="AV38">
        <v>4.5999999999999996</v>
      </c>
    </row>
    <row r="39" spans="1:48" ht="21" x14ac:dyDescent="0.35">
      <c r="A39" s="2">
        <v>14</v>
      </c>
      <c r="B39" t="s">
        <v>52</v>
      </c>
      <c r="C39" s="2" t="s">
        <v>26</v>
      </c>
      <c r="D39" s="2">
        <v>2006</v>
      </c>
      <c r="E39" s="2" t="s">
        <v>53</v>
      </c>
      <c r="F39" t="s">
        <v>36</v>
      </c>
      <c r="G39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39" s="5">
        <v>0</v>
      </c>
      <c r="I39" s="8">
        <v>0</v>
      </c>
      <c r="J39" s="8">
        <v>0</v>
      </c>
      <c r="K39" s="5">
        <v>2.2000000000000002</v>
      </c>
      <c r="L39" s="8">
        <v>6.2</v>
      </c>
      <c r="M39" s="8">
        <v>8.4</v>
      </c>
      <c r="N39" s="5">
        <v>0</v>
      </c>
      <c r="O39" s="8">
        <v>0</v>
      </c>
      <c r="P39" s="8">
        <v>0</v>
      </c>
      <c r="Q39" s="5">
        <v>1.6</v>
      </c>
      <c r="R39" s="8">
        <v>9.4499999999999993</v>
      </c>
      <c r="S39" s="8">
        <v>11.05</v>
      </c>
      <c r="T39" s="5">
        <v>2.4</v>
      </c>
      <c r="U39" s="8">
        <v>9.1</v>
      </c>
      <c r="V39" s="8">
        <v>11.5</v>
      </c>
      <c r="W39" s="5">
        <v>0</v>
      </c>
      <c r="X39" s="8">
        <v>0</v>
      </c>
      <c r="Y39" s="8">
        <v>0</v>
      </c>
      <c r="Z39" s="4">
        <f>IF(Cracow_result[[#This Row],[All Around]]="Yes",SUM(H39,K39,N39,Q39,T39,W39),0)</f>
        <v>0</v>
      </c>
      <c r="AA39" s="7">
        <f>IF(Cracow_result[[#This Row],[All Around]]="Yes",SUM(I39,L39,O39,R39,U39,X39),0)</f>
        <v>0</v>
      </c>
      <c r="AB39" s="7">
        <v>30.95</v>
      </c>
      <c r="AN39" t="s">
        <v>59</v>
      </c>
      <c r="AO39" t="s">
        <v>60</v>
      </c>
      <c r="AP39">
        <v>2002</v>
      </c>
      <c r="AQ39" t="s">
        <v>62</v>
      </c>
      <c r="AR39" t="s">
        <v>330</v>
      </c>
      <c r="AS39" t="s">
        <v>305</v>
      </c>
      <c r="AT39" t="s">
        <v>242</v>
      </c>
      <c r="AU39" t="s">
        <v>309</v>
      </c>
      <c r="AV39">
        <v>8.15</v>
      </c>
    </row>
    <row r="40" spans="1:48" ht="21" x14ac:dyDescent="0.35">
      <c r="A40" s="2">
        <v>15</v>
      </c>
      <c r="B40" t="s">
        <v>125</v>
      </c>
      <c r="C40" s="2" t="s">
        <v>26</v>
      </c>
      <c r="D40" s="2">
        <v>2006</v>
      </c>
      <c r="E40" s="2" t="s">
        <v>126</v>
      </c>
      <c r="F40" t="s">
        <v>67</v>
      </c>
      <c r="G40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40" s="5">
        <v>3.5</v>
      </c>
      <c r="I40" s="8">
        <v>7.85</v>
      </c>
      <c r="J40" s="8">
        <v>11.35</v>
      </c>
      <c r="K40" s="5">
        <v>0</v>
      </c>
      <c r="L40" s="8">
        <v>0</v>
      </c>
      <c r="M40" s="8">
        <v>0</v>
      </c>
      <c r="N40" s="5">
        <v>0</v>
      </c>
      <c r="O40" s="8">
        <v>0</v>
      </c>
      <c r="P40" s="8">
        <v>0</v>
      </c>
      <c r="Q40" s="5">
        <v>3.2</v>
      </c>
      <c r="R40" s="8">
        <v>8.1999999999999993</v>
      </c>
      <c r="S40" s="8">
        <v>11.4</v>
      </c>
      <c r="T40" s="5">
        <v>0</v>
      </c>
      <c r="U40" s="8">
        <v>0</v>
      </c>
      <c r="V40" s="8">
        <v>0</v>
      </c>
      <c r="W40" s="5">
        <v>0</v>
      </c>
      <c r="X40" s="8">
        <v>0</v>
      </c>
      <c r="Y40" s="8">
        <v>0</v>
      </c>
      <c r="Z40" s="4">
        <f>IF(Cracow_result[[#This Row],[All Around]]="Yes",SUM(H40,K40,N40,Q40,T40,W40),0)</f>
        <v>0</v>
      </c>
      <c r="AA40" s="7">
        <f>IF(Cracow_result[[#This Row],[All Around]]="Yes",SUM(I40,L40,O40,R40,U40,X40),0)</f>
        <v>0</v>
      </c>
      <c r="AB40" s="7">
        <v>22.75</v>
      </c>
      <c r="AN40" t="s">
        <v>59</v>
      </c>
      <c r="AO40" t="s">
        <v>60</v>
      </c>
      <c r="AP40">
        <v>2002</v>
      </c>
      <c r="AQ40" t="s">
        <v>62</v>
      </c>
      <c r="AR40" t="s">
        <v>330</v>
      </c>
      <c r="AS40" t="s">
        <v>305</v>
      </c>
      <c r="AT40" t="s">
        <v>242</v>
      </c>
      <c r="AU40" t="s">
        <v>268</v>
      </c>
      <c r="AV40">
        <v>12.75</v>
      </c>
    </row>
    <row r="41" spans="1:48" ht="21" x14ac:dyDescent="0.35">
      <c r="AN41" t="s">
        <v>59</v>
      </c>
      <c r="AO41" t="s">
        <v>60</v>
      </c>
      <c r="AP41">
        <v>2002</v>
      </c>
      <c r="AQ41" t="s">
        <v>62</v>
      </c>
      <c r="AR41" t="s">
        <v>330</v>
      </c>
      <c r="AS41" t="s">
        <v>305</v>
      </c>
      <c r="AT41" t="s">
        <v>243</v>
      </c>
      <c r="AU41" t="s">
        <v>326</v>
      </c>
      <c r="AV41">
        <v>28.9</v>
      </c>
    </row>
    <row r="42" spans="1:48" ht="21" x14ac:dyDescent="0.35">
      <c r="AN42" t="s">
        <v>59</v>
      </c>
      <c r="AO42" t="s">
        <v>60</v>
      </c>
      <c r="AP42">
        <v>2002</v>
      </c>
      <c r="AQ42" t="s">
        <v>62</v>
      </c>
      <c r="AR42" t="s">
        <v>330</v>
      </c>
      <c r="AS42" t="s">
        <v>305</v>
      </c>
      <c r="AT42" t="s">
        <v>243</v>
      </c>
      <c r="AU42" t="s">
        <v>327</v>
      </c>
      <c r="AV42">
        <v>46.949999999999996</v>
      </c>
    </row>
    <row r="43" spans="1:48" ht="21" x14ac:dyDescent="0.35">
      <c r="A43" s="2" t="s">
        <v>2</v>
      </c>
      <c r="B43" s="10" t="s">
        <v>217</v>
      </c>
      <c r="C43" s="10" t="s">
        <v>244</v>
      </c>
      <c r="D43" s="10" t="s">
        <v>249</v>
      </c>
      <c r="E43" s="10" t="s">
        <v>245</v>
      </c>
      <c r="F43" s="10" t="s">
        <v>250</v>
      </c>
      <c r="G43" s="10" t="s">
        <v>246</v>
      </c>
      <c r="H43" s="10" t="s">
        <v>251</v>
      </c>
      <c r="I43" s="10" t="s">
        <v>252</v>
      </c>
      <c r="J43" s="10" t="s">
        <v>253</v>
      </c>
      <c r="T43" s="13"/>
      <c r="U43" s="13"/>
      <c r="AN43" t="s">
        <v>59</v>
      </c>
      <c r="AO43" t="s">
        <v>60</v>
      </c>
      <c r="AP43">
        <v>2002</v>
      </c>
      <c r="AQ43" t="s">
        <v>62</v>
      </c>
      <c r="AR43" t="s">
        <v>330</v>
      </c>
      <c r="AS43" t="s">
        <v>305</v>
      </c>
      <c r="AT43" t="s">
        <v>243</v>
      </c>
      <c r="AU43" t="s">
        <v>329</v>
      </c>
      <c r="AV43">
        <v>75.849999999999994</v>
      </c>
    </row>
    <row r="44" spans="1:48" ht="31.5" x14ac:dyDescent="0.35">
      <c r="A44" s="2" t="s">
        <v>60</v>
      </c>
      <c r="B44" s="10" t="s">
        <v>243</v>
      </c>
      <c r="C44" s="11">
        <f>AVERAGEIFS(Cracow_result[AA_Dscore],Cracow_result[[Category]:[Category]],"senior",Cracow_result[AA_Dscore],"&lt;&gt;0",Cracow_result[All Around],"Yes")</f>
        <v>23.790909090909089</v>
      </c>
      <c r="D44" s="11" cm="1">
        <f t="array" ref="D44">_xlfn.STDEV.S(_xlfn._xlws.FILTER(Cracow_result[AA_Dscore],(Cracow_result[Category]="senior")*(Cracow_result[All Around]="Yes")))</f>
        <v>3.4697131136319093</v>
      </c>
      <c r="E44" s="12">
        <f>AVERAGEIFS(Cracow_result[AA_Escore],Cracow_result[[Category]:[Category]],"senior",Cracow_result[AA_Escore],"&lt;&gt;0",Cracow_result[All Around],"yes")</f>
        <v>47.340909090909093</v>
      </c>
      <c r="F44" s="12" cm="1">
        <f t="array" ref="F44">_xlfn.STDEV.S(_xlfn._xlws.FILTER(Cracow_result[AA_Escore],(Cracow_result[Category]="senior")*(Cracow_result[All Around]="Yes")))</f>
        <v>2.8313263836776366</v>
      </c>
      <c r="G44" s="12">
        <f>AVERAGEIFS(Cracow_result[Total_Score],Cracow_result[[Category]:[Category]],"senior",Cracow_result[Total_Score],"&lt;&gt;0",Cracow_result[All Around],"yes")</f>
        <v>71.13181818181819</v>
      </c>
      <c r="H44" s="12" cm="1">
        <f t="array" ref="H44">_xlfn.STDEV.S(_xlfn._xlws.FILTER(Cracow_result[Total_Score],(Cracow_result[Category]="senior")*(Cracow_result[All Around]="Yes")))</f>
        <v>4.1965624460546698</v>
      </c>
      <c r="I44" s="12" cm="1">
        <f t="array" ref="I44">MAX(_xlfn._xlws.FILTER(Cracow_result[Total_Score],Cracow_result[Category]="senior"))</f>
        <v>75.849999999999994</v>
      </c>
      <c r="J44" s="10" t="str" cm="1">
        <f t="array" ref="J44">IF(COUNTIFS(Cracow_result[Total_Score],I44,Cracow_result[Category],"senior")&gt;1,_xlfn.XLOOKUP(I44,_xlfn._xlws.FILTER(Cracow_result[Total_Score],Cracow_result[Category]="senior"),_xlfn._xlws.FILTER(Cracow_result[Name],Cracow_result[Category]="senior"),0)&amp;" and "&amp;(COUNTIFS(Cracow_result[Total_Score],I44,Cracow_result[Category],"senior")-1)&amp;" more",_xlfn.XLOOKUP(I44,_xlfn._xlws.FILTER(Cracow_result[Total_Score],Cracow_result[Category]="senior"),_xlfn._xlws.FILTER(Cracow_result[Name],Cracow_result[Category]="senior"),0))</f>
        <v>SASNAL Filip and 1 more</v>
      </c>
      <c r="AN44" t="s">
        <v>68</v>
      </c>
      <c r="AO44" t="s">
        <v>60</v>
      </c>
      <c r="AP44">
        <v>2004</v>
      </c>
      <c r="AQ44" t="s">
        <v>31</v>
      </c>
      <c r="AR44" t="s">
        <v>330</v>
      </c>
      <c r="AS44" t="s">
        <v>305</v>
      </c>
      <c r="AT44" t="s">
        <v>218</v>
      </c>
      <c r="AU44" t="s">
        <v>308</v>
      </c>
      <c r="AV44">
        <v>4.5</v>
      </c>
    </row>
    <row r="45" spans="1:48" ht="31.5" x14ac:dyDescent="0.35">
      <c r="A45" s="2" t="s">
        <v>60</v>
      </c>
      <c r="B45" s="10" t="s">
        <v>218</v>
      </c>
      <c r="C45" s="11">
        <f>AVERAGEIFS(Cracow_result[FX_Dscore],Cracow_result[[Category]:[Category]],"senior",Cracow_result[FX_Dscore],"&lt;&gt;0")</f>
        <v>4.3350000000000009</v>
      </c>
      <c r="D45" s="11" cm="1">
        <f t="array" ref="D45">_xlfn.STDEV.S(_xlfn._xlws.FILTER(Cracow_result[FX_Dscore],(Cracow_result[Category]="senior")*(Cracow_result[FX_Dscore]&gt;0)))</f>
        <v>0.60111738060311626</v>
      </c>
      <c r="E45" s="12">
        <f>AVERAGEIFS(Cracow_result[FX_Escore],Cracow_result[[Category]:[Category]],"senior",Cracow_result[FX_Escore],"&lt;&gt;0")</f>
        <v>7.7</v>
      </c>
      <c r="F45" s="12" cm="1">
        <f t="array" ref="F45">_xlfn.STDEV.S(_xlfn._xlws.FILTER(Cracow_result[FX_Escore],(Cracow_result[Category]="senior")*(Cracow_result[FX_Escore]&gt;0)))</f>
        <v>0.45739537198772529</v>
      </c>
      <c r="G45" s="12">
        <f>AVERAGEIFS(Cracow_result[FX_total_score],Cracow_result[[Category]:[Category]],"senior",Cracow_result[FX_total_score],"&lt;&gt;0")</f>
        <v>12.035</v>
      </c>
      <c r="H45" s="12" cm="1">
        <f t="array" ref="H45">_xlfn.STDEV.S(_xlfn._xlws.FILTER(Cracow_result[FX_total_score],(Cracow_result[Category]="senior")*(Cracow_result[FX_total_score]&gt;0)))</f>
        <v>0.75951854556201037</v>
      </c>
      <c r="I45" s="12" cm="1">
        <f t="array" ref="I45">MAX(_xlfn._xlws.FILTER(Cracow_result[FX_total_score],Cracow_result[Category]="senior"))</f>
        <v>13.65</v>
      </c>
      <c r="J45" s="10" t="str" cm="1">
        <f t="array" ref="J45">IF(COUNTIFS(Cracow_result[FX_total_score],I45,Cracow_result[Category],"senior")&gt;1,_xlfn.XLOOKUP(I45,_xlfn._xlws.FILTER(Cracow_result[FX_total_score],Cracow_result[Category]="senior"),_xlfn._xlws.FILTER(Cracow_result[Name],Cracow_result[Category]="senior"),0)&amp;" and "&amp;(COUNTIFS(Cracow_result[FX_total_score],I45,Cracow_result[Category],"senior")-1)&amp;" more",_xlfn.XLOOKUP(I45,_xlfn._xlws.FILTER(Cracow_result[FX_total_score],Cracow_result[Category]="senior"),_xlfn._xlws.FILTER(Cracow_result[Name],Cracow_result[Category]="senior"),0))</f>
        <v>GAWROŃSKI Sebastian</v>
      </c>
      <c r="AN45" t="s">
        <v>68</v>
      </c>
      <c r="AO45" t="s">
        <v>60</v>
      </c>
      <c r="AP45">
        <v>2004</v>
      </c>
      <c r="AQ45" t="s">
        <v>31</v>
      </c>
      <c r="AR45" t="s">
        <v>330</v>
      </c>
      <c r="AS45" t="s">
        <v>305</v>
      </c>
      <c r="AT45" t="s">
        <v>218</v>
      </c>
      <c r="AU45" t="s">
        <v>309</v>
      </c>
      <c r="AV45">
        <v>8</v>
      </c>
    </row>
    <row r="46" spans="1:48" ht="21" x14ac:dyDescent="0.35">
      <c r="A46" s="2" t="s">
        <v>60</v>
      </c>
      <c r="B46" s="10" t="s">
        <v>242</v>
      </c>
      <c r="C46" s="11">
        <f>AVERAGEIFS(Cracow_result[HB_Dscore],Cracow_result[[Category]:[Category]],"senior",Cracow_result[HB_Dscore],"&lt;&gt;0")</f>
        <v>3.3266666666666671</v>
      </c>
      <c r="D46" s="11" cm="1">
        <f t="array" ref="D46">_xlfn.STDEV.S(_xlfn._xlws.FILTER(Cracow_result[HB_Dscore],(Cracow_result[Category]="senior")*(Cracow_result[HB_Dscore]&gt;0)))</f>
        <v>0.85311753223663156</v>
      </c>
      <c r="E46" s="12">
        <f>AVERAGEIFS(Cracow_result[HB_Escore],Cracow_result[[Category]:[Category]],"senior",Cracow_result[HB_Escore],"&lt;&gt;0")</f>
        <v>7.8866666666666676</v>
      </c>
      <c r="F46" s="12" cm="1">
        <f t="array" ref="F46">_xlfn.STDEV.S(_xlfn._xlws.FILTER(Cracow_result[HB_Escore],(Cracow_result[Category]="senior")*(Cracow_result[HB_Escore]&gt;0)))</f>
        <v>0.63792819419773328</v>
      </c>
      <c r="G46" s="12">
        <f>AVERAGEIFS(Cracow_result[HB_total_score],Cracow_result[[Category]:[Category]],"senior",Cracow_result[HB_total_score],"&lt;&gt;0")</f>
        <v>11.213333333333335</v>
      </c>
      <c r="H46" s="12" cm="1">
        <f t="array" ref="H46">_xlfn.STDEV.S(_xlfn._xlws.FILTER(Cracow_result[HB_total_score],(Cracow_result[Category]="senior")*(Cracow_result[HB_total_score]&gt;0)))</f>
        <v>1.0052481333102838</v>
      </c>
      <c r="I46" s="12" cm="1">
        <f t="array" ref="I46">MAX(_xlfn._xlws.FILTER(Cracow_result[HB_total_score],Cracow_result[Category]="senior"))</f>
        <v>12.8</v>
      </c>
      <c r="J46" s="10" t="str" cm="1">
        <f t="array" ref="J46">IF(COUNTIFS(Cracow_result[HB_total_score],I46,Cracow_result[Category],"senior")&gt;1,_xlfn.XLOOKUP(I46,_xlfn._xlws.FILTER(Cracow_result[HB_total_score],Cracow_result[Category]="senior"),_xlfn._xlws.FILTER(Cracow_result[Name],Cracow_result[Category]="senior"),0)&amp;" and "&amp;(COUNTIFS(Cracow_result[HB_total_score],I46,Cracow_result[Category],"senior")-1)&amp;" more",_xlfn.XLOOKUP(I46,_xlfn._xlws.FILTER(Cracow_result[HB_total_score],Cracow_result[Category]="senior"),_xlfn._xlws.FILTER(Cracow_result[Name],Cracow_result[Category]="senior"),0))</f>
        <v>SASNAL Filip</v>
      </c>
      <c r="AN46" t="s">
        <v>68</v>
      </c>
      <c r="AO46" t="s">
        <v>60</v>
      </c>
      <c r="AP46">
        <v>2004</v>
      </c>
      <c r="AQ46" t="s">
        <v>31</v>
      </c>
      <c r="AR46" t="s">
        <v>330</v>
      </c>
      <c r="AS46" t="s">
        <v>305</v>
      </c>
      <c r="AT46" t="s">
        <v>218</v>
      </c>
      <c r="AU46" t="s">
        <v>268</v>
      </c>
      <c r="AV46">
        <v>12.5</v>
      </c>
    </row>
    <row r="47" spans="1:48" ht="21" x14ac:dyDescent="0.35">
      <c r="A47" s="2" t="s">
        <v>60</v>
      </c>
      <c r="B47" s="10" t="s">
        <v>241</v>
      </c>
      <c r="C47" s="11">
        <f>AVERAGEIFS(Cracow_result[PB_Dscore],Cracow_result[[Category]:[Category]],"senior",Cracow_result[PB_Dscore],"&lt;&gt;0")</f>
        <v>3.6000000000000005</v>
      </c>
      <c r="D47" s="11" cm="1">
        <f t="array" ref="D47">_xlfn.STDEV.S(_xlfn._xlws.FILTER(Cracow_result[PB_Dscore],(Cracow_result[Category]="senior")*(Cracow_result[PB_Dscore]&gt;0)))</f>
        <v>0.74280866034420168</v>
      </c>
      <c r="E47" s="12">
        <f>AVERAGEIFS(Cracow_result[PB_Escore],Cracow_result[[Category]:[Category]],"senior",Cracow_result[PB_Escore],"&lt;&gt;0")</f>
        <v>7.9361111111111109</v>
      </c>
      <c r="F47" s="12" cm="1">
        <f t="array" ref="F47">_xlfn.STDEV.S(_xlfn._xlws.FILTER(Cracow_result[PB_Escore],(Cracow_result[Category]="senior")*(Cracow_result[PB_Escore]&gt;0)))</f>
        <v>0.87696092131653669</v>
      </c>
      <c r="G47" s="12">
        <f>AVERAGEIFS(Cracow_result[PB_total_score],Cracow_result[[Category]:[Category]],"senior",Cracow_result[PB_total_score],"&lt;&gt;0")</f>
        <v>11.53611111111111</v>
      </c>
      <c r="H47" s="12" cm="1">
        <f t="array" ref="H47">_xlfn.STDEV.S(_xlfn._xlws.FILTER(Cracow_result[PB_total_score],(Cracow_result[Category]="senior")*(Cracow_result[PB_total_score]&gt;0)))</f>
        <v>0.91181873126889135</v>
      </c>
      <c r="I47" s="12" cm="1">
        <f t="array" ref="I47">MAX(_xlfn._xlws.FILTER(Cracow_result[PB_total_score],Cracow_result[Category]="senior"))</f>
        <v>13</v>
      </c>
      <c r="J47" s="10" t="str" cm="1">
        <f t="array" ref="J47">IF(COUNTIFS(Cracow_result[PB_total_score],I47,Cracow_result[Category],"senior")&gt;1,_xlfn.XLOOKUP(I47,_xlfn._xlws.FILTER(Cracow_result[PB_total_score],Cracow_result[Category]="senior"),_xlfn._xlws.FILTER(Cracow_result[Name],Cracow_result[Category]="senior"),0)&amp;" and "&amp;(COUNTIFS(Cracow_result[PB_total_score],I47,Cracow_result[Category],"senior")-1)&amp;" more",_xlfn.XLOOKUP(I47,_xlfn._xlws.FILTER(Cracow_result[PB_total_score],Cracow_result[Category]="senior"),_xlfn._xlws.FILTER(Cracow_result[Name],Cracow_result[Category]="senior"),0))</f>
        <v>SASNAL Filip</v>
      </c>
      <c r="AN47" t="s">
        <v>68</v>
      </c>
      <c r="AO47" t="s">
        <v>60</v>
      </c>
      <c r="AP47">
        <v>2004</v>
      </c>
      <c r="AQ47" t="s">
        <v>31</v>
      </c>
      <c r="AR47" t="s">
        <v>330</v>
      </c>
      <c r="AS47" t="s">
        <v>305</v>
      </c>
      <c r="AT47" t="s">
        <v>238</v>
      </c>
      <c r="AU47" t="s">
        <v>308</v>
      </c>
      <c r="AV47">
        <v>3.8</v>
      </c>
    </row>
    <row r="48" spans="1:48" ht="21" x14ac:dyDescent="0.35">
      <c r="A48" s="2" t="s">
        <v>60</v>
      </c>
      <c r="B48" s="10" t="s">
        <v>238</v>
      </c>
      <c r="C48" s="11">
        <f>AVERAGEIFS(Cracow_result[PH_Dscore],Cracow_result[[Category]:[Category]],"senior",Cracow_result[PH_Dscore],"&lt;&gt;0")</f>
        <v>3.9055555555555563</v>
      </c>
      <c r="D48" s="11" cm="1">
        <f t="array" ref="D48">_xlfn.STDEV.S(_xlfn._xlws.FILTER(Cracow_result[PH_Dscore],(Cracow_result[Category]="senior")*(Cracow_result[PH_Dscore]&gt;0)))</f>
        <v>0.61879600574989169</v>
      </c>
      <c r="E48" s="12">
        <f>AVERAGEIFS(Cracow_result[PH_Escore],Cracow_result[[Category]:[Category]],"senior",Cracow_result[PH_Escore],"&lt;&gt;0")</f>
        <v>6.68611111111111</v>
      </c>
      <c r="F48" s="12" cm="1">
        <f t="array" ref="F48">_xlfn.STDEV.S(_xlfn._xlws.FILTER(Cracow_result[PH_Escore],(Cracow_result[Category]="senior")*(Cracow_result[PH_Escore]&gt;0)))</f>
        <v>1.6041128715196997</v>
      </c>
      <c r="G48" s="12">
        <f>AVERAGEIFS(Cracow_result[PH_Total_Score],Cracow_result[[Category]:[Category]],"senior",Cracow_result[PH_Total_Score],"&lt;&gt;0")</f>
        <v>10.591666666666667</v>
      </c>
      <c r="H48" s="12" cm="1">
        <f t="array" ref="H48">_xlfn.STDEV.S(_xlfn._xlws.FILTER(Cracow_result[PH_Total_Score],(Cracow_result[Category]="senior")*(Cracow_result[PH_Total_Score]&gt;0)))</f>
        <v>2.0444508826980194</v>
      </c>
      <c r="I48" s="12" cm="1">
        <f t="array" ref="I48">MAX(_xlfn._xlws.FILTER(Cracow_result[PH_Total_Score],Cracow_result[Category]="senior"))</f>
        <v>12.9</v>
      </c>
      <c r="J48" s="10" t="str" cm="1">
        <f t="array" ref="J48">IF(COUNTIFS(Cracow_result[PH_Total_Score],I48,Cracow_result[Category],"senior")&gt;1,_xlfn.XLOOKUP(I48,_xlfn._xlws.FILTER(Cracow_result[PH_Total_Score],Cracow_result[Category]="senior"),_xlfn._xlws.FILTER(Cracow_result[Name],Cracow_result[Category]="senior"),0)&amp;" and "&amp;(COUNTIFS(Cracow_result[PH_Total_Score],I48,Cracow_result[Category],"senior")-1)&amp;" more",_xlfn.XLOOKUP(I48,_xlfn._xlws.FILTER(Cracow_result[PH_Total_Score],Cracow_result[Category]="senior"),_xlfn._xlws.FILTER(Cracow_result[Name],Cracow_result[Category]="senior"),0))</f>
        <v>GARNCZAREK Kacper</v>
      </c>
      <c r="AN48" t="s">
        <v>68</v>
      </c>
      <c r="AO48" t="s">
        <v>60</v>
      </c>
      <c r="AP48">
        <v>2004</v>
      </c>
      <c r="AQ48" t="s">
        <v>31</v>
      </c>
      <c r="AR48" t="s">
        <v>330</v>
      </c>
      <c r="AS48" t="s">
        <v>305</v>
      </c>
      <c r="AT48" t="s">
        <v>238</v>
      </c>
      <c r="AU48" t="s">
        <v>309</v>
      </c>
      <c r="AV48">
        <v>8</v>
      </c>
    </row>
    <row r="49" spans="1:48" ht="31.5" x14ac:dyDescent="0.35">
      <c r="A49" s="2" t="s">
        <v>60</v>
      </c>
      <c r="B49" s="10" t="s">
        <v>239</v>
      </c>
      <c r="C49" s="11">
        <f>AVERAGEIFS(Cracow_result[SR_Dscore],Cracow_result[[Category]:[Category]],"senior",Cracow_result[SR_Dscore],"&lt;&gt;0")</f>
        <v>3.6833333333333331</v>
      </c>
      <c r="D49" s="11" cm="1">
        <f t="array" ref="D49">_xlfn.STDEV.S(_xlfn._xlws.FILTER(Cracow_result[SR_Dscore],(Cracow_result[Category]="senior")*(Cracow_result[SR_Dscore]&gt;0)))</f>
        <v>0.6410010553354617</v>
      </c>
      <c r="E49" s="12">
        <f>AVERAGEIFS(Cracow_result[SR_Escore],Cracow_result[[Category]:[Category]],"senior",Cracow_result[SR_Escore],"&lt;&gt;0")</f>
        <v>7.5611111111111109</v>
      </c>
      <c r="F49" s="12" cm="1">
        <f t="array" ref="F49">_xlfn.STDEV.S(_xlfn._xlws.FILTER(Cracow_result[SR_Escore],(Cracow_result[Category]="senior")*(Cracow_result[SR_Escore]&gt;0)))</f>
        <v>0.83587846632002305</v>
      </c>
      <c r="G49" s="12">
        <f>AVERAGEIFS(Cracow_result[SR_Total_Score],Cracow_result[[Category]:[Category]],"senior",Cracow_result[SR_Total_Score],"&lt;&gt;0")</f>
        <v>11.244444444444445</v>
      </c>
      <c r="H49" s="12" cm="1">
        <f t="array" ref="H49">_xlfn.STDEV.S(_xlfn._xlws.FILTER(Cracow_result[SR_Total_Score],(Cracow_result[Category]="senior")*(Cracow_result[SR_Total_Score]&gt;0)))</f>
        <v>1.3940935162413337</v>
      </c>
      <c r="I49" s="12" cm="1">
        <f t="array" ref="I49">MAX(_xlfn._xlws.FILTER(Cracow_result[SR_Total_Score],Cracow_result[Category]="senior"))</f>
        <v>13.1</v>
      </c>
      <c r="J49" s="10" t="str" cm="1">
        <f t="array" ref="J49">IF(COUNTIFS(Cracow_result[SR_Total_Score],I49,Cracow_result[Category],"senior")&gt;1,_xlfn.XLOOKUP(I49,_xlfn._xlws.FILTER(Cracow_result[SR_Total_Score],Cracow_result[Category]="senior"),_xlfn._xlws.FILTER(Cracow_result[Name],Cracow_result[Category]="senior"),0)&amp;" and "&amp;(COUNTIFS(Cracow_result[SR_Total_Score],I49,Cracow_result[Category],"senior")-1)&amp;" more",_xlfn.XLOOKUP(I49,_xlfn._xlws.FILTER(Cracow_result[SR_Total_Score],Cracow_result[Category]="senior"),_xlfn._xlws.FILTER(Cracow_result[Name],Cracow_result[Category]="senior"),0))</f>
        <v>GAWROŃSKI Sebastian</v>
      </c>
      <c r="AN49" t="s">
        <v>68</v>
      </c>
      <c r="AO49" t="s">
        <v>60</v>
      </c>
      <c r="AP49">
        <v>2004</v>
      </c>
      <c r="AQ49" t="s">
        <v>31</v>
      </c>
      <c r="AR49" t="s">
        <v>330</v>
      </c>
      <c r="AS49" t="s">
        <v>305</v>
      </c>
      <c r="AT49" t="s">
        <v>238</v>
      </c>
      <c r="AU49" t="s">
        <v>268</v>
      </c>
      <c r="AV49">
        <v>11.8</v>
      </c>
    </row>
    <row r="50" spans="1:48" ht="21" x14ac:dyDescent="0.35">
      <c r="A50" s="2" t="s">
        <v>60</v>
      </c>
      <c r="B50" s="10" t="s">
        <v>240</v>
      </c>
      <c r="C50" s="11">
        <f>AVERAGEIFS(Cracow_result[VT_Dscore],Cracow_result[[Category]:[Category]],"senior",Cracow_result[VT_Dscore],"&lt;&gt;0")</f>
        <v>3.933333333333334</v>
      </c>
      <c r="D50" s="11" cm="1">
        <f t="array" ref="D50">_xlfn.STDEV.S(_xlfn._xlws.FILTER(Cracow_result[VT_Dscore],(Cracow_result[Category]="senior")*(Cracow_result[VT_Dscore]&gt;0)))</f>
        <v>0.76696498884736608</v>
      </c>
      <c r="E50" s="12">
        <f>AVERAGEIFS(Cracow_result[VT_Escore],Cracow_result[[Category]:[Category]],"senior",Cracow_result[VT_Escore],"&lt;&gt;0")</f>
        <v>8.8277777777777775</v>
      </c>
      <c r="F50" s="12" cm="1">
        <f t="array" ref="F50">_xlfn.STDEV.S(_xlfn._xlws.FILTER(Cracow_result[VT_Escore],(Cracow_result[Category]="senior")*(Cracow_result[VT_Escore]&gt;0)))</f>
        <v>0.62148357183867642</v>
      </c>
      <c r="G50" s="12">
        <f>AVERAGEIFS(Cracow_result[VT_total_score],Cracow_result[[Category]:[Category]],"senior",Cracow_result[VT_total_score],"&lt;&gt;0")</f>
        <v>12.761111111111111</v>
      </c>
      <c r="H50" s="12" cm="1">
        <f t="array" ref="H50">_xlfn.STDEV.S(_xlfn._xlws.FILTER(Cracow_result[VT_total_score],(Cracow_result[Category]="senior")*(Cracow_result[VT_total_score]&gt;0)))</f>
        <v>0.8272128176906075</v>
      </c>
      <c r="I50" s="12" cm="1">
        <f t="array" ref="I50">MAX(_xlfn._xlws.FILTER(Cracow_result[VT_total_score],Cracow_result[Category]="senior"))</f>
        <v>13.75</v>
      </c>
      <c r="J50" s="10" t="str" cm="1">
        <f t="array" ref="J50">IF(COUNTIFS(Cracow_result[VT_total_score],I50,Cracow_result[Category],"senior")&gt;1,_xlfn.XLOOKUP(I50,_xlfn._xlws.FILTER(Cracow_result[VT_total_score],Cracow_result[Category]="senior"),_xlfn._xlws.FILTER(Cracow_result[Name],Cracow_result[Category]="senior"),0)&amp;" and "&amp;(COUNTIFS(Cracow_result[VT_total_score],I50,Cracow_result[Category],"senior")-1)&amp;" more",_xlfn.XLOOKUP(I50,_xlfn._xlws.FILTER(Cracow_result[VT_total_score],Cracow_result[Category]="senior"),_xlfn._xlws.FILTER(Cracow_result[Name],Cracow_result[Category]="senior"),0))</f>
        <v>SZYMCZYK Radosław</v>
      </c>
      <c r="AN50" t="s">
        <v>68</v>
      </c>
      <c r="AO50" t="s">
        <v>60</v>
      </c>
      <c r="AP50">
        <v>2004</v>
      </c>
      <c r="AQ50" t="s">
        <v>31</v>
      </c>
      <c r="AR50" t="s">
        <v>330</v>
      </c>
      <c r="AS50" t="s">
        <v>305</v>
      </c>
      <c r="AT50" t="s">
        <v>239</v>
      </c>
      <c r="AU50" t="s">
        <v>308</v>
      </c>
      <c r="AV50">
        <v>3.8</v>
      </c>
    </row>
    <row r="51" spans="1:48" ht="21" x14ac:dyDescent="0.35">
      <c r="A51" s="2" t="s">
        <v>26</v>
      </c>
      <c r="B51" s="10" t="s">
        <v>243</v>
      </c>
      <c r="C51" s="11">
        <f>AVERAGEIFS(Cracow_result[AA_Dscore],Cracow_result[[Category]:[Category]],"junior",Cracow_result[AA_Dscore],"&lt;&gt;0",Cracow_result[All Around],"Yes")</f>
        <v>17.966666666666665</v>
      </c>
      <c r="D51" s="11" cm="1">
        <f t="array" ref="D51">_xlfn.STDEV.S(_xlfn._xlws.FILTER(Cracow_result[AA_Dscore],(Cracow_result[Category]="junior")*(Cracow_result[All Around]="Yes")))</f>
        <v>2.3785499784532651</v>
      </c>
      <c r="E51" s="12">
        <f>AVERAGEIFS(Cracow_result[AA_Escore],Cracow_result[[Category]:[Category]],"junior",Cracow_result[AA_Escore],"&lt;&gt;0",Cracow_result[All Around],"yes")</f>
        <v>47.094444444444441</v>
      </c>
      <c r="F51" s="12" cm="1">
        <f t="array" ref="F51">_xlfn.STDEV.S(_xlfn._xlws.FILTER(Cracow_result[AA_Escore],(Cracow_result[Category]="junior")*(Cracow_result[All Around]="Yes")))</f>
        <v>2.9596710590499353</v>
      </c>
      <c r="G51" s="12">
        <f>AVERAGEIFS(Cracow_result[Total_Score],Cracow_result[[Category]:[Category]],"junior",Cracow_result[Total_Score],"&lt;&gt;0",Cracow_result[All Around],"yes")</f>
        <v>65.061111111111103</v>
      </c>
      <c r="H51" s="12" cm="1">
        <f t="array" ref="H51">_xlfn.STDEV.S(_xlfn._xlws.FILTER(Cracow_result[Total_Score],(Cracow_result[Category]="junior")*(Cracow_result[All Around]="Yes")))</f>
        <v>4.9550969830176985</v>
      </c>
      <c r="I51" s="12" cm="1">
        <f t="array" ref="I51">MAX(_xlfn._xlws.FILTER(Cracow_result[Total_Score],Cracow_result[Category]="junior"))</f>
        <v>72.2</v>
      </c>
      <c r="J51" s="10" t="str" cm="1">
        <f t="array" ref="J51">IF(COUNTIFS(Cracow_result[Total_Score],I51,Cracow_result[Category],"junior")&gt;1,_xlfn.XLOOKUP(I51,_xlfn._xlws.FILTER(Cracow_result[Total_Score],Cracow_result[Category]="junior"),_xlfn._xlws.FILTER(Cracow_result[Name],Cracow_result[Category]="junior"),0)&amp;" and "&amp;(COUNTIFS(Cracow_result[Total_Score],I51,Cracow_result[Category],"junior")-1)&amp;" more",_xlfn.XLOOKUP(I51,_xlfn._xlws.FILTER(Cracow_result[Total_Score],Cracow_result[Category]="junior"),_xlfn._xlws.FILTER(Cracow_result[Name],Cracow_result[Category]="junior"),0))</f>
        <v>LEKHAC Tomasz</v>
      </c>
      <c r="AN51" t="s">
        <v>68</v>
      </c>
      <c r="AO51" t="s">
        <v>60</v>
      </c>
      <c r="AP51">
        <v>2004</v>
      </c>
      <c r="AQ51" t="s">
        <v>31</v>
      </c>
      <c r="AR51" t="s">
        <v>330</v>
      </c>
      <c r="AS51" t="s">
        <v>305</v>
      </c>
      <c r="AT51" t="s">
        <v>239</v>
      </c>
      <c r="AU51" t="s">
        <v>309</v>
      </c>
      <c r="AV51">
        <v>8.5500000000000007</v>
      </c>
    </row>
    <row r="52" spans="1:48" ht="21" x14ac:dyDescent="0.35">
      <c r="A52" s="2" t="s">
        <v>26</v>
      </c>
      <c r="B52" s="10" t="s">
        <v>218</v>
      </c>
      <c r="C52" s="11">
        <f>AVERAGEIFS(Cracow_result[FX_Dscore],Cracow_result[[Category]:[Category]],"junior",Cracow_result[FX_Dscore],"&lt;&gt;0")</f>
        <v>3.4923076923076923</v>
      </c>
      <c r="D52" s="11" cm="1">
        <f t="array" ref="D52">_xlfn.STDEV.S(_xlfn._xlws.FILTER(Cracow_result[FX_Dscore],(Cracow_result[Category]="junior")*(Cracow_result[FX_Dscore]&gt;0)))</f>
        <v>0.42712515430011744</v>
      </c>
      <c r="E52" s="12">
        <f>AVERAGEIFS(Cracow_result[FX_Escore],Cracow_result[[Category]:[Category]],"junior",Cracow_result[FX_Escore],"&lt;&gt;0")</f>
        <v>7.7884615384615374</v>
      </c>
      <c r="F52" s="12" cm="1">
        <f t="array" ref="F52">_xlfn.STDEV.S(_xlfn._xlws.FILTER(Cracow_result[FX_Escore],(Cracow_result[Category]="junior")*(Cracow_result[FX_Escore]&gt;0)))</f>
        <v>0.41339743092747433</v>
      </c>
      <c r="G52" s="12">
        <f>AVERAGEIFS(Cracow_result[FX_total_score],Cracow_result[[Category]:[Category]],"junior",Cracow_result[FX_total_score],"&lt;&gt;0")</f>
        <v>11.280769230769231</v>
      </c>
      <c r="H52" s="12" cm="1">
        <f t="array" ref="H52">_xlfn.STDEV.S(_xlfn._xlws.FILTER(Cracow_result[FX_total_score],(Cracow_result[Category]="junior")*(Cracow_result[FX_total_score]&gt;0)))</f>
        <v>0.6656883847875259</v>
      </c>
      <c r="I52" s="12" cm="1">
        <f t="array" ref="I52">MAX(_xlfn._xlws.FILTER(Cracow_result[FX_total_score],Cracow_result[Category]="junior"))</f>
        <v>12.5</v>
      </c>
      <c r="J52" s="10" t="str" cm="1">
        <f t="array" ref="J52">IF(COUNTIFS(Cracow_result[FX_total_score],I52,Cracow_result[Category],"junior")&gt;1,_xlfn.XLOOKUP(I52,_xlfn._xlws.FILTER(Cracow_result[FX_total_score],Cracow_result[Category]="junior"),_xlfn._xlws.FILTER(Cracow_result[Name],Cracow_result[Category]="junior"),0)&amp;" and "&amp;(COUNTIFS(Cracow_result[FX_total_score],I52,Cracow_result[Category],"junior")-1)&amp;" more",_xlfn.XLOOKUP(I52,_xlfn._xlws.FILTER(Cracow_result[FX_total_score],Cracow_result[Category]="junior"),_xlfn._xlws.FILTER(Cracow_result[Name],Cracow_result[Category]="junior"),0))</f>
        <v>KWIATKOWSKI Michał</v>
      </c>
      <c r="AN52" t="s">
        <v>68</v>
      </c>
      <c r="AO52" t="s">
        <v>60</v>
      </c>
      <c r="AP52">
        <v>2004</v>
      </c>
      <c r="AQ52" t="s">
        <v>31</v>
      </c>
      <c r="AR52" t="s">
        <v>330</v>
      </c>
      <c r="AS52" t="s">
        <v>305</v>
      </c>
      <c r="AT52" t="s">
        <v>239</v>
      </c>
      <c r="AU52" t="s">
        <v>268</v>
      </c>
      <c r="AV52">
        <v>12.35</v>
      </c>
    </row>
    <row r="53" spans="1:48" ht="21" x14ac:dyDescent="0.35">
      <c r="A53" s="2" t="s">
        <v>26</v>
      </c>
      <c r="B53" s="10" t="s">
        <v>242</v>
      </c>
      <c r="C53" s="11">
        <f>AVERAGEIFS(Cracow_result[HB_Dscore],Cracow_result[[Category]:[Category]],"junior",Cracow_result[HB_Dscore],"&lt;&gt;0")</f>
        <v>2.4750000000000001</v>
      </c>
      <c r="D53" s="11" cm="1">
        <f t="array" ref="D53">_xlfn.STDEV.S(_xlfn._xlws.FILTER(Cracow_result[HB_Dscore],(Cracow_result[Category]="junior")*(Cracow_result[HB_Dscore]&gt;0)))</f>
        <v>0.57227615711298141</v>
      </c>
      <c r="E53" s="12">
        <f>AVERAGEIFS(Cracow_result[HB_Escore],Cracow_result[[Category]:[Category]],"junior",Cracow_result[HB_Escore],"&lt;&gt;0")</f>
        <v>7.9541666666666648</v>
      </c>
      <c r="F53" s="12" cm="1">
        <f t="array" ref="F53">_xlfn.STDEV.S(_xlfn._xlws.FILTER(Cracow_result[HB_Escore],(Cracow_result[Category]="junior")*(Cracow_result[HB_Escore]&gt;0)))</f>
        <v>1.2787526474394362</v>
      </c>
      <c r="G53" s="12">
        <f>AVERAGEIFS(Cracow_result[HB_total_score],Cracow_result[[Category]:[Category]],"junior",Cracow_result[HB_total_score],"&lt;&gt;0")</f>
        <v>10.429166666666665</v>
      </c>
      <c r="H53" s="12" cm="1">
        <f t="array" ref="H53">_xlfn.STDEV.S(_xlfn._xlws.FILTER(Cracow_result[HB_total_score],(Cracow_result[Category]="junior")*(Cracow_result[HB_total_score]&gt;0)))</f>
        <v>1.2993806799837939</v>
      </c>
      <c r="I53" s="12" cm="1">
        <f t="array" ref="I53">MAX(_xlfn._xlws.FILTER(Cracow_result[HB_total_score],Cracow_result[Category]="junior"))</f>
        <v>12.15</v>
      </c>
      <c r="J53" s="10" t="str" cm="1">
        <f t="array" ref="J53">IF(COUNTIFS(Cracow_result[HB_total_score],I53,Cracow_result[Category],"junior")&gt;1,_xlfn.XLOOKUP(I53,_xlfn._xlws.FILTER(Cracow_result[HB_total_score],Cracow_result[Category]="junior"),_xlfn._xlws.FILTER(Cracow_result[Name],Cracow_result[Category]="junior"),0)&amp;" and "&amp;(COUNTIFS(Cracow_result[HB_total_score],I53,Cracow_result[Category],"junior")-1)&amp;" more",_xlfn.XLOOKUP(I53,_xlfn._xlws.FILTER(Cracow_result[HB_total_score],Cracow_result[Category]="junior"),_xlfn._xlws.FILTER(Cracow_result[Name],Cracow_result[Category]="junior"),0))</f>
        <v>LEKHAC Tomasz</v>
      </c>
      <c r="AN53" t="s">
        <v>68</v>
      </c>
      <c r="AO53" t="s">
        <v>60</v>
      </c>
      <c r="AP53">
        <v>2004</v>
      </c>
      <c r="AQ53" t="s">
        <v>31</v>
      </c>
      <c r="AR53" t="s">
        <v>330</v>
      </c>
      <c r="AS53" t="s">
        <v>305</v>
      </c>
      <c r="AT53" t="s">
        <v>240</v>
      </c>
      <c r="AU53" t="s">
        <v>308</v>
      </c>
      <c r="AV53">
        <v>4</v>
      </c>
    </row>
    <row r="54" spans="1:48" ht="21" x14ac:dyDescent="0.35">
      <c r="A54" s="2" t="s">
        <v>26</v>
      </c>
      <c r="B54" s="10" t="s">
        <v>241</v>
      </c>
      <c r="C54" s="11">
        <f>AVERAGEIFS(Cracow_result[PB_Dscore],Cracow_result[[Category]:[Category]],"junior",Cracow_result[PB_Dscore],"&lt;&gt;0")</f>
        <v>3.0500000000000003</v>
      </c>
      <c r="D54" s="11" cm="1">
        <f t="array" ref="D54">_xlfn.STDEV.S(_xlfn._xlws.FILTER(Cracow_result[PB_Dscore],(Cracow_result[Category]="junior")*(Cracow_result[PB_Dscore]&gt;0)))</f>
        <v>0.53851648071345026</v>
      </c>
      <c r="E54" s="12">
        <f>AVERAGEIFS(Cracow_result[PB_Escore],Cracow_result[[Category]:[Category]],"junior",Cracow_result[PB_Escore],"&lt;&gt;0")</f>
        <v>8.2083333333333321</v>
      </c>
      <c r="F54" s="12" cm="1">
        <f t="array" ref="F54">_xlfn.STDEV.S(_xlfn._xlws.FILTER(Cracow_result[PB_Escore],(Cracow_result[Category]="junior")*(Cracow_result[PB_Escore]&gt;0)))</f>
        <v>0.63562186204940407</v>
      </c>
      <c r="G54" s="12">
        <f>AVERAGEIFS(Cracow_result[PB_total_score],Cracow_result[[Category]:[Category]],"junior",Cracow_result[PB_total_score],"&lt;&gt;0")</f>
        <v>11.258333333333335</v>
      </c>
      <c r="H54" s="12" cm="1">
        <f t="array" ref="H54">_xlfn.STDEV.S(_xlfn._xlws.FILTER(Cracow_result[PB_total_score],(Cracow_result[Category]="junior")*(Cracow_result[PB_total_score]&gt;0)))</f>
        <v>0.87926449979858778</v>
      </c>
      <c r="I54" s="12" cm="1">
        <f t="array" ref="I54">MAX(_xlfn._xlws.FILTER(Cracow_result[PB_total_score],Cracow_result[Category]="junior"))</f>
        <v>12.8</v>
      </c>
      <c r="J54" s="10" t="str" cm="1">
        <f t="array" ref="J54">IF(COUNTIFS(Cracow_result[PB_total_score],I54,Cracow_result[Category],"junior")&gt;1,_xlfn.XLOOKUP(I54,_xlfn._xlws.FILTER(Cracow_result[PB_total_score],Cracow_result[Category]="junior"),_xlfn._xlws.FILTER(Cracow_result[Name],Cracow_result[Category]="junior"),0)&amp;" and "&amp;(COUNTIFS(Cracow_result[PB_total_score],I54,Cracow_result[Category],"junior")-1)&amp;" more",_xlfn.XLOOKUP(I54,_xlfn._xlws.FILTER(Cracow_result[PB_total_score],Cracow_result[Category]="junior"),_xlfn._xlws.FILTER(Cracow_result[Name],Cracow_result[Category]="junior"),0))</f>
        <v>LEKHAC Tomasz</v>
      </c>
      <c r="AN54" t="s">
        <v>68</v>
      </c>
      <c r="AO54" t="s">
        <v>60</v>
      </c>
      <c r="AP54">
        <v>2004</v>
      </c>
      <c r="AQ54" t="s">
        <v>31</v>
      </c>
      <c r="AR54" t="s">
        <v>330</v>
      </c>
      <c r="AS54" t="s">
        <v>305</v>
      </c>
      <c r="AT54" t="s">
        <v>240</v>
      </c>
      <c r="AU54" t="s">
        <v>309</v>
      </c>
      <c r="AV54">
        <v>9.35</v>
      </c>
    </row>
    <row r="55" spans="1:48" ht="21" x14ac:dyDescent="0.35">
      <c r="A55" s="2" t="s">
        <v>26</v>
      </c>
      <c r="B55" s="10" t="s">
        <v>238</v>
      </c>
      <c r="C55" s="11">
        <f>AVERAGEIFS(Cracow_result[PH_Dscore],Cracow_result[[Category]:[Category]],"junior",Cracow_result[PH_Dscore],"&lt;&gt;0")</f>
        <v>2.8750000000000004</v>
      </c>
      <c r="D55" s="11" cm="1">
        <f t="array" ref="D55">_xlfn.STDEV.S(_xlfn._xlws.FILTER(Cracow_result[PH_Dscore],(Cracow_result[Category]="junior")*(Cracow_result[PH_Dscore]&gt;0)))</f>
        <v>0.59867277448460032</v>
      </c>
      <c r="E55" s="12">
        <f>AVERAGEIFS(Cracow_result[PH_Escore],Cracow_result[[Category]:[Category]],"junior",Cracow_result[PH_Escore],"&lt;&gt;0")</f>
        <v>6.762500000000002</v>
      </c>
      <c r="F55" s="12" cm="1">
        <f t="array" ref="F55">_xlfn.STDEV.S(_xlfn._xlws.FILTER(Cracow_result[PH_Escore],(Cracow_result[Category]="junior")*(Cracow_result[PH_Escore]&gt;0)))</f>
        <v>1.7350825235810414</v>
      </c>
      <c r="G55" s="12">
        <f>AVERAGEIFS(Cracow_result[PH_Total_Score],Cracow_result[[Category]:[Category]],"junior",Cracow_result[PH_Total_Score],"&lt;&gt;0")</f>
        <v>9.6375000000000011</v>
      </c>
      <c r="H55" s="12" cm="1">
        <f t="array" ref="H55">_xlfn.STDEV.S(_xlfn._xlws.FILTER(Cracow_result[PH_Total_Score],(Cracow_result[Category]="junior")*(Cracow_result[PH_Total_Score]&gt;0)))</f>
        <v>2.2044505602819169</v>
      </c>
      <c r="I55" s="12" cm="1">
        <f t="array" ref="I55">MAX(_xlfn._xlws.FILTER(Cracow_result[PH_Total_Score],Cracow_result[Category]="junior"))</f>
        <v>12.35</v>
      </c>
      <c r="J55" s="10" t="str" cm="1">
        <f t="array" ref="J55">IF(COUNTIFS(Cracow_result[PH_Total_Score],I55,Cracow_result[Category],"junior")&gt;1,_xlfn.XLOOKUP(I55,_xlfn._xlws.FILTER(Cracow_result[PH_Total_Score],Cracow_result[Category]="junior"),_xlfn._xlws.FILTER(Cracow_result[Name],Cracow_result[Category]="junior"),0)&amp;" and "&amp;(COUNTIFS(Cracow_result[PH_Total_Score],I55,Cracow_result[Category],"junior")-1)&amp;" more",_xlfn.XLOOKUP(I55,_xlfn._xlws.FILTER(Cracow_result[PH_Total_Score],Cracow_result[Category]="junior"),_xlfn._xlws.FILTER(Cracow_result[Name],Cracow_result[Category]="junior"),0))</f>
        <v>LEKHAC Tomasz</v>
      </c>
      <c r="AN55" t="s">
        <v>68</v>
      </c>
      <c r="AO55" t="s">
        <v>60</v>
      </c>
      <c r="AP55">
        <v>2004</v>
      </c>
      <c r="AQ55" t="s">
        <v>31</v>
      </c>
      <c r="AR55" t="s">
        <v>330</v>
      </c>
      <c r="AS55" t="s">
        <v>305</v>
      </c>
      <c r="AT55" t="s">
        <v>240</v>
      </c>
      <c r="AU55" t="s">
        <v>268</v>
      </c>
      <c r="AV55">
        <v>13.35</v>
      </c>
    </row>
    <row r="56" spans="1:48" ht="21" x14ac:dyDescent="0.35">
      <c r="A56" s="2" t="s">
        <v>26</v>
      </c>
      <c r="B56" s="10" t="s">
        <v>239</v>
      </c>
      <c r="C56" s="11">
        <f>AVERAGEIFS(Cracow_result[SR_Dscore],Cracow_result[[Category]:[Category]],"junior",Cracow_result[SR_Dscore],"&lt;&gt;0")</f>
        <v>2.6153846153846154</v>
      </c>
      <c r="D56" s="11" cm="1">
        <f t="array" ref="D56">_xlfn.STDEV.S(_xlfn._xlws.FILTER(Cracow_result[SR_Dscore],(Cracow_result[Category]="junior")*(Cracow_result[SR_Dscore]&gt;0)))</f>
        <v>0.69981682585058547</v>
      </c>
      <c r="E56" s="12">
        <f>AVERAGEIFS(Cracow_result[SR_Escore],Cracow_result[[Category]:[Category]],"junior",Cracow_result[SR_Escore],"&lt;&gt;0")</f>
        <v>7.4307692307692301</v>
      </c>
      <c r="F56" s="12" cm="1">
        <f t="array" ref="F56">_xlfn.STDEV.S(_xlfn._xlws.FILTER(Cracow_result[SR_Escore],(Cracow_result[Category]="junior")*(Cracow_result[SR_Escore]&gt;0)))</f>
        <v>0.59635645853887231</v>
      </c>
      <c r="G56" s="12">
        <f>AVERAGEIFS(Cracow_result[SR_Total_Score],Cracow_result[[Category]:[Category]],"junior",Cracow_result[SR_Total_Score],"&lt;&gt;0")</f>
        <v>10.046153846153848</v>
      </c>
      <c r="H56" s="12" cm="1">
        <f t="array" ref="H56">_xlfn.STDEV.S(_xlfn._xlws.FILTER(Cracow_result[SR_Total_Score],(Cracow_result[Category]="junior")*(Cracow_result[SR_Total_Score]&gt;0)))</f>
        <v>1.0235684186669241</v>
      </c>
      <c r="I56" s="12" cm="1">
        <f t="array" ref="I56">MAX(_xlfn._xlws.FILTER(Cracow_result[SR_Total_Score],Cracow_result[Category]="junior"))</f>
        <v>11.5</v>
      </c>
      <c r="J56" s="10" t="str" cm="1">
        <f t="array" ref="J56">IF(COUNTIFS(Cracow_result[SR_Total_Score],I56,Cracow_result[Category],"junior")&gt;1,_xlfn.XLOOKUP(I56,_xlfn._xlws.FILTER(Cracow_result[SR_Total_Score],Cracow_result[Category]="junior"),_xlfn._xlws.FILTER(Cracow_result[Name],Cracow_result[Category]="junior"),0)&amp;" and "&amp;(COUNTIFS(Cracow_result[SR_Total_Score],I56,Cracow_result[Category],"junior")-1)&amp;" more",_xlfn.XLOOKUP(I56,_xlfn._xlws.FILTER(Cracow_result[SR_Total_Score],Cracow_result[Category]="junior"),_xlfn._xlws.FILTER(Cracow_result[Name],Cracow_result[Category]="junior"),0))</f>
        <v>AZUMI Vincent</v>
      </c>
      <c r="AN56" t="s">
        <v>68</v>
      </c>
      <c r="AO56" t="s">
        <v>60</v>
      </c>
      <c r="AP56">
        <v>2004</v>
      </c>
      <c r="AQ56" t="s">
        <v>31</v>
      </c>
      <c r="AR56" t="s">
        <v>330</v>
      </c>
      <c r="AS56" t="s">
        <v>305</v>
      </c>
      <c r="AT56" t="s">
        <v>314</v>
      </c>
      <c r="AU56" t="s">
        <v>308</v>
      </c>
      <c r="AV56">
        <v>3.4</v>
      </c>
    </row>
    <row r="57" spans="1:48" ht="21" x14ac:dyDescent="0.35">
      <c r="A57" s="2" t="s">
        <v>26</v>
      </c>
      <c r="B57" s="10" t="s">
        <v>240</v>
      </c>
      <c r="C57" s="11">
        <f>AVERAGEIFS(Cracow_result[VT_Dscore],Cracow_result[[Category]:[Category]],"junior",Cracow_result[VT_Dscore],"&lt;&gt;0")</f>
        <v>2.5428571428571431</v>
      </c>
      <c r="D57" s="11" cm="1">
        <f t="array" ref="D57">_xlfn.STDEV.S(_xlfn._xlws.FILTER(Cracow_result[VT_Dscore],(Cracow_result[Category]="junior")*(Cracow_result[VT_Dscore]&gt;0)))</f>
        <v>0.70788339512867626</v>
      </c>
      <c r="E57" s="12">
        <f>AVERAGEIFS(Cracow_result[VT_Escore],Cracow_result[[Category]:[Category]],"junior",Cracow_result[VT_Escore],"&lt;&gt;0")</f>
        <v>8.7785714285714285</v>
      </c>
      <c r="F57" s="12" cm="1">
        <f t="array" ref="F57">_xlfn.STDEV.S(_xlfn._xlws.FILTER(Cracow_result[VT_Escore],(Cracow_result[Category]="junior")*(Cracow_result[VT_Escore]&gt;0)))</f>
        <v>0.43532228808722212</v>
      </c>
      <c r="G57" s="12">
        <f>AVERAGEIFS(Cracow_result[VT_total_score],Cracow_result[[Category]:[Category]],"junior",Cracow_result[VT_total_score],"&lt;&gt;0")</f>
        <v>11.321428571428573</v>
      </c>
      <c r="H57" s="12" cm="1">
        <f t="array" ref="H57">_xlfn.STDEV.S(_xlfn._xlws.FILTER(Cracow_result[VT_total_score],(Cracow_result[Category]="junior")*(Cracow_result[VT_total_score]&gt;0)))</f>
        <v>0.75465587820243929</v>
      </c>
      <c r="I57" s="12" cm="1">
        <f t="array" ref="I57">MAX(_xlfn._xlws.FILTER(Cracow_result[VT_total_score],Cracow_result[Category]="junior"))</f>
        <v>12.8</v>
      </c>
      <c r="J57" s="10" t="str" cm="1">
        <f t="array" ref="J57">IF(COUNTIFS(Cracow_result[VT_total_score],I57,Cracow_result[Category],"junior")&gt;1,_xlfn.XLOOKUP(I57,_xlfn._xlws.FILTER(Cracow_result[VT_total_score],Cracow_result[Category]="junior"),_xlfn._xlws.FILTER(Cracow_result[Name],Cracow_result[Category]="junior"),0)&amp;" and "&amp;(COUNTIFS(Cracow_result[VT_total_score],I57,Cracow_result[Category],"junior")-1)&amp;" more",_xlfn.XLOOKUP(I57,_xlfn._xlws.FILTER(Cracow_result[VT_total_score],Cracow_result[Category]="junior"),_xlfn._xlws.FILTER(Cracow_result[Name],Cracow_result[Category]="junior"),0))</f>
        <v>KOPERSKI Filip</v>
      </c>
      <c r="AN57" t="s">
        <v>68</v>
      </c>
      <c r="AO57" t="s">
        <v>60</v>
      </c>
      <c r="AP57">
        <v>2004</v>
      </c>
      <c r="AQ57" t="s">
        <v>31</v>
      </c>
      <c r="AR57" t="s">
        <v>330</v>
      </c>
      <c r="AS57" t="s">
        <v>305</v>
      </c>
      <c r="AT57" t="s">
        <v>314</v>
      </c>
      <c r="AU57" t="s">
        <v>309</v>
      </c>
      <c r="AV57">
        <v>8.75</v>
      </c>
    </row>
    <row r="58" spans="1:48" ht="21" x14ac:dyDescent="0.35">
      <c r="AN58" t="s">
        <v>68</v>
      </c>
      <c r="AO58" t="s">
        <v>60</v>
      </c>
      <c r="AP58">
        <v>2004</v>
      </c>
      <c r="AQ58" t="s">
        <v>31</v>
      </c>
      <c r="AR58" t="s">
        <v>330</v>
      </c>
      <c r="AS58" t="s">
        <v>305</v>
      </c>
      <c r="AT58" t="s">
        <v>314</v>
      </c>
      <c r="AU58" t="s">
        <v>268</v>
      </c>
      <c r="AV58">
        <v>12.15</v>
      </c>
    </row>
    <row r="59" spans="1:48" ht="21" x14ac:dyDescent="0.35">
      <c r="AN59" t="s">
        <v>68</v>
      </c>
      <c r="AO59" t="s">
        <v>60</v>
      </c>
      <c r="AP59">
        <v>2004</v>
      </c>
      <c r="AQ59" t="s">
        <v>31</v>
      </c>
      <c r="AR59" t="s">
        <v>330</v>
      </c>
      <c r="AS59" t="s">
        <v>305</v>
      </c>
      <c r="AT59" t="s">
        <v>242</v>
      </c>
      <c r="AU59" t="s">
        <v>308</v>
      </c>
      <c r="AV59">
        <v>2.6</v>
      </c>
    </row>
    <row r="60" spans="1:48" ht="21" x14ac:dyDescent="0.35">
      <c r="AN60" t="s">
        <v>68</v>
      </c>
      <c r="AO60" t="s">
        <v>60</v>
      </c>
      <c r="AP60">
        <v>2004</v>
      </c>
      <c r="AQ60" t="s">
        <v>31</v>
      </c>
      <c r="AR60" t="s">
        <v>330</v>
      </c>
      <c r="AS60" t="s">
        <v>305</v>
      </c>
      <c r="AT60" t="s">
        <v>242</v>
      </c>
      <c r="AU60" t="s">
        <v>309</v>
      </c>
      <c r="AV60">
        <v>8.9</v>
      </c>
    </row>
    <row r="61" spans="1:48" ht="21" x14ac:dyDescent="0.35">
      <c r="AN61" t="s">
        <v>68</v>
      </c>
      <c r="AO61" t="s">
        <v>60</v>
      </c>
      <c r="AP61">
        <v>2004</v>
      </c>
      <c r="AQ61" t="s">
        <v>31</v>
      </c>
      <c r="AR61" t="s">
        <v>330</v>
      </c>
      <c r="AS61" t="s">
        <v>305</v>
      </c>
      <c r="AT61" t="s">
        <v>242</v>
      </c>
      <c r="AU61" t="s">
        <v>268</v>
      </c>
      <c r="AV61">
        <v>11.5</v>
      </c>
    </row>
    <row r="62" spans="1:48" ht="21" x14ac:dyDescent="0.35">
      <c r="AN62" t="s">
        <v>68</v>
      </c>
      <c r="AO62" t="s">
        <v>60</v>
      </c>
      <c r="AP62">
        <v>2004</v>
      </c>
      <c r="AQ62" t="s">
        <v>31</v>
      </c>
      <c r="AR62" t="s">
        <v>330</v>
      </c>
      <c r="AS62" t="s">
        <v>305</v>
      </c>
      <c r="AT62" t="s">
        <v>243</v>
      </c>
      <c r="AU62" t="s">
        <v>326</v>
      </c>
      <c r="AV62">
        <v>22.1</v>
      </c>
    </row>
    <row r="63" spans="1:48" ht="21" x14ac:dyDescent="0.35">
      <c r="AN63" t="s">
        <v>68</v>
      </c>
      <c r="AO63" t="s">
        <v>60</v>
      </c>
      <c r="AP63">
        <v>2004</v>
      </c>
      <c r="AQ63" t="s">
        <v>31</v>
      </c>
      <c r="AR63" t="s">
        <v>330</v>
      </c>
      <c r="AS63" t="s">
        <v>305</v>
      </c>
      <c r="AT63" t="s">
        <v>243</v>
      </c>
      <c r="AU63" t="s">
        <v>327</v>
      </c>
      <c r="AV63">
        <v>51.55</v>
      </c>
    </row>
    <row r="64" spans="1:48" ht="21" x14ac:dyDescent="0.35">
      <c r="AN64" t="s">
        <v>68</v>
      </c>
      <c r="AO64" t="s">
        <v>60</v>
      </c>
      <c r="AP64">
        <v>2004</v>
      </c>
      <c r="AQ64" t="s">
        <v>31</v>
      </c>
      <c r="AR64" t="s">
        <v>330</v>
      </c>
      <c r="AS64" t="s">
        <v>305</v>
      </c>
      <c r="AT64" t="s">
        <v>243</v>
      </c>
      <c r="AU64" t="s">
        <v>329</v>
      </c>
      <c r="AV64">
        <v>73.650000000000006</v>
      </c>
    </row>
    <row r="65" spans="40:48" ht="21" x14ac:dyDescent="0.35">
      <c r="AN65" t="s">
        <v>118</v>
      </c>
      <c r="AO65" t="s">
        <v>60</v>
      </c>
      <c r="AP65">
        <v>2000</v>
      </c>
      <c r="AQ65" t="s">
        <v>31</v>
      </c>
      <c r="AR65" t="s">
        <v>330</v>
      </c>
      <c r="AS65" t="s">
        <v>305</v>
      </c>
      <c r="AT65" t="s">
        <v>218</v>
      </c>
      <c r="AU65" t="s">
        <v>308</v>
      </c>
      <c r="AV65">
        <v>4.8</v>
      </c>
    </row>
    <row r="66" spans="40:48" ht="21" x14ac:dyDescent="0.35">
      <c r="AN66" t="s">
        <v>118</v>
      </c>
      <c r="AO66" t="s">
        <v>60</v>
      </c>
      <c r="AP66">
        <v>2000</v>
      </c>
      <c r="AQ66" t="s">
        <v>31</v>
      </c>
      <c r="AR66" t="s">
        <v>330</v>
      </c>
      <c r="AS66" t="s">
        <v>305</v>
      </c>
      <c r="AT66" t="s">
        <v>218</v>
      </c>
      <c r="AU66" t="s">
        <v>309</v>
      </c>
      <c r="AV66">
        <v>7.7</v>
      </c>
    </row>
    <row r="67" spans="40:48" ht="21" x14ac:dyDescent="0.35">
      <c r="AN67" t="s">
        <v>118</v>
      </c>
      <c r="AO67" t="s">
        <v>60</v>
      </c>
      <c r="AP67">
        <v>2000</v>
      </c>
      <c r="AQ67" t="s">
        <v>31</v>
      </c>
      <c r="AR67" t="s">
        <v>330</v>
      </c>
      <c r="AS67" t="s">
        <v>305</v>
      </c>
      <c r="AT67" t="s">
        <v>218</v>
      </c>
      <c r="AU67" t="s">
        <v>268</v>
      </c>
      <c r="AV67">
        <v>12.5</v>
      </c>
    </row>
    <row r="68" spans="40:48" ht="21" x14ac:dyDescent="0.35">
      <c r="AN68" t="s">
        <v>118</v>
      </c>
      <c r="AO68" t="s">
        <v>60</v>
      </c>
      <c r="AP68">
        <v>2000</v>
      </c>
      <c r="AQ68" t="s">
        <v>31</v>
      </c>
      <c r="AR68" t="s">
        <v>330</v>
      </c>
      <c r="AS68" t="s">
        <v>305</v>
      </c>
      <c r="AT68" t="s">
        <v>238</v>
      </c>
      <c r="AU68" t="s">
        <v>308</v>
      </c>
      <c r="AV68">
        <v>4.5999999999999996</v>
      </c>
    </row>
    <row r="69" spans="40:48" ht="21" x14ac:dyDescent="0.35">
      <c r="AN69" t="s">
        <v>118</v>
      </c>
      <c r="AO69" t="s">
        <v>60</v>
      </c>
      <c r="AP69">
        <v>2000</v>
      </c>
      <c r="AQ69" t="s">
        <v>31</v>
      </c>
      <c r="AR69" t="s">
        <v>330</v>
      </c>
      <c r="AS69" t="s">
        <v>305</v>
      </c>
      <c r="AT69" t="s">
        <v>238</v>
      </c>
      <c r="AU69" t="s">
        <v>309</v>
      </c>
      <c r="AV69">
        <v>7.7</v>
      </c>
    </row>
    <row r="70" spans="40:48" ht="21" x14ac:dyDescent="0.35">
      <c r="AN70" t="s">
        <v>118</v>
      </c>
      <c r="AO70" t="s">
        <v>60</v>
      </c>
      <c r="AP70">
        <v>2000</v>
      </c>
      <c r="AQ70" t="s">
        <v>31</v>
      </c>
      <c r="AR70" t="s">
        <v>330</v>
      </c>
      <c r="AS70" t="s">
        <v>305</v>
      </c>
      <c r="AT70" t="s">
        <v>238</v>
      </c>
      <c r="AU70" t="s">
        <v>268</v>
      </c>
      <c r="AV70">
        <v>12.3</v>
      </c>
    </row>
    <row r="71" spans="40:48" ht="21" x14ac:dyDescent="0.35">
      <c r="AN71" t="s">
        <v>118</v>
      </c>
      <c r="AO71" t="s">
        <v>60</v>
      </c>
      <c r="AP71">
        <v>2000</v>
      </c>
      <c r="AQ71" t="s">
        <v>31</v>
      </c>
      <c r="AR71" t="s">
        <v>330</v>
      </c>
      <c r="AS71" t="s">
        <v>305</v>
      </c>
      <c r="AT71" t="s">
        <v>239</v>
      </c>
      <c r="AU71" t="s">
        <v>308</v>
      </c>
      <c r="AV71">
        <v>4</v>
      </c>
    </row>
    <row r="72" spans="40:48" ht="21" x14ac:dyDescent="0.35">
      <c r="AN72" t="s">
        <v>118</v>
      </c>
      <c r="AO72" t="s">
        <v>60</v>
      </c>
      <c r="AP72">
        <v>2000</v>
      </c>
      <c r="AQ72" t="s">
        <v>31</v>
      </c>
      <c r="AR72" t="s">
        <v>330</v>
      </c>
      <c r="AS72" t="s">
        <v>305</v>
      </c>
      <c r="AT72" t="s">
        <v>239</v>
      </c>
      <c r="AU72" t="s">
        <v>309</v>
      </c>
      <c r="AV72">
        <v>7.65</v>
      </c>
    </row>
    <row r="73" spans="40:48" ht="21" x14ac:dyDescent="0.35">
      <c r="AN73" t="s">
        <v>118</v>
      </c>
      <c r="AO73" t="s">
        <v>60</v>
      </c>
      <c r="AP73">
        <v>2000</v>
      </c>
      <c r="AQ73" t="s">
        <v>31</v>
      </c>
      <c r="AR73" t="s">
        <v>330</v>
      </c>
      <c r="AS73" t="s">
        <v>305</v>
      </c>
      <c r="AT73" t="s">
        <v>239</v>
      </c>
      <c r="AU73" t="s">
        <v>268</v>
      </c>
      <c r="AV73">
        <v>11.65</v>
      </c>
    </row>
    <row r="74" spans="40:48" ht="21" x14ac:dyDescent="0.35">
      <c r="AN74" t="s">
        <v>118</v>
      </c>
      <c r="AO74" t="s">
        <v>60</v>
      </c>
      <c r="AP74">
        <v>2000</v>
      </c>
      <c r="AQ74" t="s">
        <v>31</v>
      </c>
      <c r="AR74" t="s">
        <v>330</v>
      </c>
      <c r="AS74" t="s">
        <v>305</v>
      </c>
      <c r="AT74" t="s">
        <v>240</v>
      </c>
      <c r="AU74" t="s">
        <v>308</v>
      </c>
      <c r="AV74">
        <v>4</v>
      </c>
    </row>
    <row r="75" spans="40:48" ht="21" x14ac:dyDescent="0.35">
      <c r="AN75" t="s">
        <v>118</v>
      </c>
      <c r="AO75" t="s">
        <v>60</v>
      </c>
      <c r="AP75">
        <v>2000</v>
      </c>
      <c r="AQ75" t="s">
        <v>31</v>
      </c>
      <c r="AR75" t="s">
        <v>330</v>
      </c>
      <c r="AS75" t="s">
        <v>305</v>
      </c>
      <c r="AT75" t="s">
        <v>240</v>
      </c>
      <c r="AU75" t="s">
        <v>309</v>
      </c>
      <c r="AV75">
        <v>9.3000000000000007</v>
      </c>
    </row>
    <row r="76" spans="40:48" ht="21" x14ac:dyDescent="0.35">
      <c r="AN76" t="s">
        <v>118</v>
      </c>
      <c r="AO76" t="s">
        <v>60</v>
      </c>
      <c r="AP76">
        <v>2000</v>
      </c>
      <c r="AQ76" t="s">
        <v>31</v>
      </c>
      <c r="AR76" t="s">
        <v>330</v>
      </c>
      <c r="AS76" t="s">
        <v>305</v>
      </c>
      <c r="AT76" t="s">
        <v>240</v>
      </c>
      <c r="AU76" t="s">
        <v>268</v>
      </c>
      <c r="AV76">
        <v>13.3</v>
      </c>
    </row>
    <row r="77" spans="40:48" ht="21" x14ac:dyDescent="0.35">
      <c r="AN77" t="s">
        <v>118</v>
      </c>
      <c r="AO77" t="s">
        <v>60</v>
      </c>
      <c r="AP77">
        <v>2000</v>
      </c>
      <c r="AQ77" t="s">
        <v>31</v>
      </c>
      <c r="AR77" t="s">
        <v>330</v>
      </c>
      <c r="AS77" t="s">
        <v>305</v>
      </c>
      <c r="AT77" t="s">
        <v>314</v>
      </c>
      <c r="AU77" t="s">
        <v>308</v>
      </c>
      <c r="AV77">
        <v>4.3</v>
      </c>
    </row>
    <row r="78" spans="40:48" ht="21" x14ac:dyDescent="0.35">
      <c r="AN78" t="s">
        <v>118</v>
      </c>
      <c r="AO78" t="s">
        <v>60</v>
      </c>
      <c r="AP78">
        <v>2000</v>
      </c>
      <c r="AQ78" t="s">
        <v>31</v>
      </c>
      <c r="AR78" t="s">
        <v>330</v>
      </c>
      <c r="AS78" t="s">
        <v>305</v>
      </c>
      <c r="AT78" t="s">
        <v>314</v>
      </c>
      <c r="AU78" t="s">
        <v>309</v>
      </c>
      <c r="AV78">
        <v>7.1</v>
      </c>
    </row>
    <row r="79" spans="40:48" ht="21" x14ac:dyDescent="0.35">
      <c r="AN79" t="s">
        <v>118</v>
      </c>
      <c r="AO79" t="s">
        <v>60</v>
      </c>
      <c r="AP79">
        <v>2000</v>
      </c>
      <c r="AQ79" t="s">
        <v>31</v>
      </c>
      <c r="AR79" t="s">
        <v>330</v>
      </c>
      <c r="AS79" t="s">
        <v>305</v>
      </c>
      <c r="AT79" t="s">
        <v>314</v>
      </c>
      <c r="AU79" t="s">
        <v>268</v>
      </c>
      <c r="AV79">
        <v>11.4</v>
      </c>
    </row>
    <row r="80" spans="40:48" ht="21" x14ac:dyDescent="0.35">
      <c r="AN80" t="s">
        <v>118</v>
      </c>
      <c r="AO80" t="s">
        <v>60</v>
      </c>
      <c r="AP80">
        <v>2000</v>
      </c>
      <c r="AQ80" t="s">
        <v>31</v>
      </c>
      <c r="AR80" t="s">
        <v>330</v>
      </c>
      <c r="AS80" t="s">
        <v>305</v>
      </c>
      <c r="AT80" t="s">
        <v>242</v>
      </c>
      <c r="AU80" t="s">
        <v>308</v>
      </c>
      <c r="AV80">
        <v>3.7</v>
      </c>
    </row>
    <row r="81" spans="40:48" ht="21" x14ac:dyDescent="0.35">
      <c r="AN81" t="s">
        <v>118</v>
      </c>
      <c r="AO81" t="s">
        <v>60</v>
      </c>
      <c r="AP81">
        <v>2000</v>
      </c>
      <c r="AQ81" t="s">
        <v>31</v>
      </c>
      <c r="AR81" t="s">
        <v>330</v>
      </c>
      <c r="AS81" t="s">
        <v>305</v>
      </c>
      <c r="AT81" t="s">
        <v>242</v>
      </c>
      <c r="AU81" t="s">
        <v>309</v>
      </c>
      <c r="AV81">
        <v>8.15</v>
      </c>
    </row>
    <row r="82" spans="40:48" ht="21" x14ac:dyDescent="0.35">
      <c r="AN82" t="s">
        <v>118</v>
      </c>
      <c r="AO82" t="s">
        <v>60</v>
      </c>
      <c r="AP82">
        <v>2000</v>
      </c>
      <c r="AQ82" t="s">
        <v>31</v>
      </c>
      <c r="AR82" t="s">
        <v>330</v>
      </c>
      <c r="AS82" t="s">
        <v>305</v>
      </c>
      <c r="AT82" t="s">
        <v>242</v>
      </c>
      <c r="AU82" t="s">
        <v>268</v>
      </c>
      <c r="AV82">
        <v>11.85</v>
      </c>
    </row>
    <row r="83" spans="40:48" ht="21" x14ac:dyDescent="0.35">
      <c r="AN83" t="s">
        <v>118</v>
      </c>
      <c r="AO83" t="s">
        <v>60</v>
      </c>
      <c r="AP83">
        <v>2000</v>
      </c>
      <c r="AQ83" t="s">
        <v>31</v>
      </c>
      <c r="AR83" t="s">
        <v>330</v>
      </c>
      <c r="AS83" t="s">
        <v>305</v>
      </c>
      <c r="AT83" t="s">
        <v>243</v>
      </c>
      <c r="AU83" t="s">
        <v>326</v>
      </c>
      <c r="AV83">
        <v>25.4</v>
      </c>
    </row>
    <row r="84" spans="40:48" ht="21" x14ac:dyDescent="0.35">
      <c r="AN84" t="s">
        <v>118</v>
      </c>
      <c r="AO84" t="s">
        <v>60</v>
      </c>
      <c r="AP84">
        <v>2000</v>
      </c>
      <c r="AQ84" t="s">
        <v>31</v>
      </c>
      <c r="AR84" t="s">
        <v>330</v>
      </c>
      <c r="AS84" t="s">
        <v>305</v>
      </c>
      <c r="AT84" t="s">
        <v>243</v>
      </c>
      <c r="AU84" t="s">
        <v>327</v>
      </c>
      <c r="AV84">
        <v>47.6</v>
      </c>
    </row>
    <row r="85" spans="40:48" ht="21" x14ac:dyDescent="0.35">
      <c r="AN85" t="s">
        <v>118</v>
      </c>
      <c r="AO85" t="s">
        <v>60</v>
      </c>
      <c r="AP85">
        <v>2000</v>
      </c>
      <c r="AQ85" t="s">
        <v>31</v>
      </c>
      <c r="AR85" t="s">
        <v>330</v>
      </c>
      <c r="AS85" t="s">
        <v>305</v>
      </c>
      <c r="AT85" t="s">
        <v>243</v>
      </c>
      <c r="AU85" t="s">
        <v>329</v>
      </c>
      <c r="AV85">
        <v>73</v>
      </c>
    </row>
    <row r="86" spans="40:48" ht="21" x14ac:dyDescent="0.35">
      <c r="AN86" t="s">
        <v>116</v>
      </c>
      <c r="AO86" t="s">
        <v>60</v>
      </c>
      <c r="AP86">
        <v>1996</v>
      </c>
      <c r="AQ86" t="s">
        <v>62</v>
      </c>
      <c r="AR86" t="s">
        <v>330</v>
      </c>
      <c r="AS86" t="s">
        <v>305</v>
      </c>
      <c r="AT86" t="s">
        <v>218</v>
      </c>
      <c r="AU86" t="s">
        <v>308</v>
      </c>
      <c r="AV86">
        <v>5.4</v>
      </c>
    </row>
    <row r="87" spans="40:48" ht="21" x14ac:dyDescent="0.35">
      <c r="AN87" t="s">
        <v>116</v>
      </c>
      <c r="AO87" t="s">
        <v>60</v>
      </c>
      <c r="AP87">
        <v>1996</v>
      </c>
      <c r="AQ87" t="s">
        <v>62</v>
      </c>
      <c r="AR87" t="s">
        <v>330</v>
      </c>
      <c r="AS87" t="s">
        <v>305</v>
      </c>
      <c r="AT87" t="s">
        <v>218</v>
      </c>
      <c r="AU87" t="s">
        <v>309</v>
      </c>
      <c r="AV87">
        <v>8.25</v>
      </c>
    </row>
    <row r="88" spans="40:48" ht="21" x14ac:dyDescent="0.35">
      <c r="AN88" t="s">
        <v>116</v>
      </c>
      <c r="AO88" t="s">
        <v>60</v>
      </c>
      <c r="AP88">
        <v>1996</v>
      </c>
      <c r="AQ88" t="s">
        <v>62</v>
      </c>
      <c r="AR88" t="s">
        <v>330</v>
      </c>
      <c r="AS88" t="s">
        <v>305</v>
      </c>
      <c r="AT88" t="s">
        <v>218</v>
      </c>
      <c r="AU88" t="s">
        <v>268</v>
      </c>
      <c r="AV88">
        <v>13.65</v>
      </c>
    </row>
    <row r="89" spans="40:48" ht="21" x14ac:dyDescent="0.35">
      <c r="AN89" t="s">
        <v>116</v>
      </c>
      <c r="AO89" t="s">
        <v>60</v>
      </c>
      <c r="AP89">
        <v>1996</v>
      </c>
      <c r="AQ89" t="s">
        <v>62</v>
      </c>
      <c r="AR89" t="s">
        <v>330</v>
      </c>
      <c r="AS89" t="s">
        <v>305</v>
      </c>
      <c r="AT89" t="s">
        <v>238</v>
      </c>
      <c r="AU89" t="s">
        <v>308</v>
      </c>
      <c r="AV89">
        <v>4.2</v>
      </c>
    </row>
    <row r="90" spans="40:48" ht="21" x14ac:dyDescent="0.35">
      <c r="AN90" t="s">
        <v>116</v>
      </c>
      <c r="AO90" t="s">
        <v>60</v>
      </c>
      <c r="AP90">
        <v>1996</v>
      </c>
      <c r="AQ90" t="s">
        <v>62</v>
      </c>
      <c r="AR90" t="s">
        <v>330</v>
      </c>
      <c r="AS90" t="s">
        <v>305</v>
      </c>
      <c r="AT90" t="s">
        <v>238</v>
      </c>
      <c r="AU90" t="s">
        <v>309</v>
      </c>
      <c r="AV90">
        <v>6.5</v>
      </c>
    </row>
    <row r="91" spans="40:48" ht="21" x14ac:dyDescent="0.35">
      <c r="AN91" t="s">
        <v>116</v>
      </c>
      <c r="AO91" t="s">
        <v>60</v>
      </c>
      <c r="AP91">
        <v>1996</v>
      </c>
      <c r="AQ91" t="s">
        <v>62</v>
      </c>
      <c r="AR91" t="s">
        <v>330</v>
      </c>
      <c r="AS91" t="s">
        <v>305</v>
      </c>
      <c r="AT91" t="s">
        <v>238</v>
      </c>
      <c r="AU91" t="s">
        <v>268</v>
      </c>
      <c r="AV91">
        <v>10.7</v>
      </c>
    </row>
    <row r="92" spans="40:48" ht="21" x14ac:dyDescent="0.35">
      <c r="AN92" t="s">
        <v>116</v>
      </c>
      <c r="AO92" t="s">
        <v>60</v>
      </c>
      <c r="AP92">
        <v>1996</v>
      </c>
      <c r="AQ92" t="s">
        <v>62</v>
      </c>
      <c r="AR92" t="s">
        <v>330</v>
      </c>
      <c r="AS92" t="s">
        <v>305</v>
      </c>
      <c r="AT92" t="s">
        <v>239</v>
      </c>
      <c r="AU92" t="s">
        <v>308</v>
      </c>
      <c r="AV92">
        <v>5</v>
      </c>
    </row>
    <row r="93" spans="40:48" ht="21" x14ac:dyDescent="0.35">
      <c r="AN93" t="s">
        <v>116</v>
      </c>
      <c r="AO93" t="s">
        <v>60</v>
      </c>
      <c r="AP93">
        <v>1996</v>
      </c>
      <c r="AQ93" t="s">
        <v>62</v>
      </c>
      <c r="AR93" t="s">
        <v>330</v>
      </c>
      <c r="AS93" t="s">
        <v>305</v>
      </c>
      <c r="AT93" t="s">
        <v>239</v>
      </c>
      <c r="AU93" t="s">
        <v>309</v>
      </c>
      <c r="AV93">
        <v>8.1</v>
      </c>
    </row>
    <row r="94" spans="40:48" ht="21" x14ac:dyDescent="0.35">
      <c r="AN94" t="s">
        <v>116</v>
      </c>
      <c r="AO94" t="s">
        <v>60</v>
      </c>
      <c r="AP94">
        <v>1996</v>
      </c>
      <c r="AQ94" t="s">
        <v>62</v>
      </c>
      <c r="AR94" t="s">
        <v>330</v>
      </c>
      <c r="AS94" t="s">
        <v>305</v>
      </c>
      <c r="AT94" t="s">
        <v>239</v>
      </c>
      <c r="AU94" t="s">
        <v>268</v>
      </c>
      <c r="AV94">
        <v>13.1</v>
      </c>
    </row>
    <row r="95" spans="40:48" ht="21" x14ac:dyDescent="0.35">
      <c r="AN95" t="s">
        <v>116</v>
      </c>
      <c r="AO95" t="s">
        <v>60</v>
      </c>
      <c r="AP95">
        <v>1996</v>
      </c>
      <c r="AQ95" t="s">
        <v>62</v>
      </c>
      <c r="AR95" t="s">
        <v>330</v>
      </c>
      <c r="AS95" t="s">
        <v>305</v>
      </c>
      <c r="AT95" t="s">
        <v>240</v>
      </c>
      <c r="AU95" t="s">
        <v>308</v>
      </c>
      <c r="AV95">
        <v>5.2</v>
      </c>
    </row>
    <row r="96" spans="40:48" ht="21" x14ac:dyDescent="0.35">
      <c r="AN96" t="s">
        <v>116</v>
      </c>
      <c r="AO96" t="s">
        <v>60</v>
      </c>
      <c r="AP96">
        <v>1996</v>
      </c>
      <c r="AQ96" t="s">
        <v>62</v>
      </c>
      <c r="AR96" t="s">
        <v>330</v>
      </c>
      <c r="AS96" t="s">
        <v>305</v>
      </c>
      <c r="AT96" t="s">
        <v>240</v>
      </c>
      <c r="AU96" t="s">
        <v>309</v>
      </c>
      <c r="AV96">
        <v>8.1</v>
      </c>
    </row>
    <row r="97" spans="40:48" ht="21" x14ac:dyDescent="0.35">
      <c r="AN97" t="s">
        <v>116</v>
      </c>
      <c r="AO97" t="s">
        <v>60</v>
      </c>
      <c r="AP97">
        <v>1996</v>
      </c>
      <c r="AQ97" t="s">
        <v>62</v>
      </c>
      <c r="AR97" t="s">
        <v>330</v>
      </c>
      <c r="AS97" t="s">
        <v>305</v>
      </c>
      <c r="AT97" t="s">
        <v>240</v>
      </c>
      <c r="AU97" t="s">
        <v>268</v>
      </c>
      <c r="AV97">
        <v>13.3</v>
      </c>
    </row>
    <row r="98" spans="40:48" ht="21" x14ac:dyDescent="0.35">
      <c r="AN98" t="s">
        <v>116</v>
      </c>
      <c r="AO98" t="s">
        <v>60</v>
      </c>
      <c r="AP98">
        <v>1996</v>
      </c>
      <c r="AQ98" t="s">
        <v>62</v>
      </c>
      <c r="AR98" t="s">
        <v>330</v>
      </c>
      <c r="AS98" t="s">
        <v>305</v>
      </c>
      <c r="AT98" t="s">
        <v>314</v>
      </c>
      <c r="AU98" t="s">
        <v>308</v>
      </c>
      <c r="AV98">
        <v>4.5</v>
      </c>
    </row>
    <row r="99" spans="40:48" ht="21" x14ac:dyDescent="0.35">
      <c r="AN99" t="s">
        <v>116</v>
      </c>
      <c r="AO99" t="s">
        <v>60</v>
      </c>
      <c r="AP99">
        <v>1996</v>
      </c>
      <c r="AQ99" t="s">
        <v>62</v>
      </c>
      <c r="AR99" t="s">
        <v>330</v>
      </c>
      <c r="AS99" t="s">
        <v>305</v>
      </c>
      <c r="AT99" t="s">
        <v>314</v>
      </c>
      <c r="AU99" t="s">
        <v>309</v>
      </c>
      <c r="AV99">
        <v>6.45</v>
      </c>
    </row>
    <row r="100" spans="40:48" ht="21" x14ac:dyDescent="0.35">
      <c r="AN100" t="s">
        <v>116</v>
      </c>
      <c r="AO100" t="s">
        <v>60</v>
      </c>
      <c r="AP100">
        <v>1996</v>
      </c>
      <c r="AQ100" t="s">
        <v>62</v>
      </c>
      <c r="AR100" t="s">
        <v>330</v>
      </c>
      <c r="AS100" t="s">
        <v>305</v>
      </c>
      <c r="AT100" t="s">
        <v>314</v>
      </c>
      <c r="AU100" t="s">
        <v>268</v>
      </c>
      <c r="AV100">
        <v>10.95</v>
      </c>
    </row>
    <row r="101" spans="40:48" ht="21" x14ac:dyDescent="0.35">
      <c r="AN101" t="s">
        <v>116</v>
      </c>
      <c r="AO101" t="s">
        <v>60</v>
      </c>
      <c r="AP101">
        <v>1996</v>
      </c>
      <c r="AQ101" t="s">
        <v>62</v>
      </c>
      <c r="AR101" t="s">
        <v>330</v>
      </c>
      <c r="AS101" t="s">
        <v>305</v>
      </c>
      <c r="AT101" t="s">
        <v>242</v>
      </c>
      <c r="AU101" t="s">
        <v>308</v>
      </c>
      <c r="AV101">
        <v>4.5999999999999996</v>
      </c>
    </row>
    <row r="102" spans="40:48" ht="21" x14ac:dyDescent="0.35">
      <c r="AN102" t="s">
        <v>116</v>
      </c>
      <c r="AO102" t="s">
        <v>60</v>
      </c>
      <c r="AP102">
        <v>1996</v>
      </c>
      <c r="AQ102" t="s">
        <v>62</v>
      </c>
      <c r="AR102" t="s">
        <v>330</v>
      </c>
      <c r="AS102" t="s">
        <v>305</v>
      </c>
      <c r="AT102" t="s">
        <v>242</v>
      </c>
      <c r="AU102" t="s">
        <v>309</v>
      </c>
      <c r="AV102">
        <v>6.65</v>
      </c>
    </row>
    <row r="103" spans="40:48" ht="21" x14ac:dyDescent="0.35">
      <c r="AN103" t="s">
        <v>116</v>
      </c>
      <c r="AO103" t="s">
        <v>60</v>
      </c>
      <c r="AP103">
        <v>1996</v>
      </c>
      <c r="AQ103" t="s">
        <v>62</v>
      </c>
      <c r="AR103" t="s">
        <v>330</v>
      </c>
      <c r="AS103" t="s">
        <v>305</v>
      </c>
      <c r="AT103" t="s">
        <v>242</v>
      </c>
      <c r="AU103" t="s">
        <v>268</v>
      </c>
      <c r="AV103">
        <v>11.25</v>
      </c>
    </row>
    <row r="104" spans="40:48" ht="21" x14ac:dyDescent="0.35">
      <c r="AN104" t="s">
        <v>116</v>
      </c>
      <c r="AO104" t="s">
        <v>60</v>
      </c>
      <c r="AP104">
        <v>1996</v>
      </c>
      <c r="AQ104" t="s">
        <v>62</v>
      </c>
      <c r="AR104" t="s">
        <v>330</v>
      </c>
      <c r="AS104" t="s">
        <v>305</v>
      </c>
      <c r="AT104" t="s">
        <v>243</v>
      </c>
      <c r="AU104" t="s">
        <v>326</v>
      </c>
      <c r="AV104">
        <v>28.9</v>
      </c>
    </row>
    <row r="105" spans="40:48" ht="21" x14ac:dyDescent="0.35">
      <c r="AN105" t="s">
        <v>116</v>
      </c>
      <c r="AO105" t="s">
        <v>60</v>
      </c>
      <c r="AP105">
        <v>1996</v>
      </c>
      <c r="AQ105" t="s">
        <v>62</v>
      </c>
      <c r="AR105" t="s">
        <v>330</v>
      </c>
      <c r="AS105" t="s">
        <v>305</v>
      </c>
      <c r="AT105" t="s">
        <v>243</v>
      </c>
      <c r="AU105" t="s">
        <v>327</v>
      </c>
      <c r="AV105">
        <v>44.050000000000004</v>
      </c>
    </row>
    <row r="106" spans="40:48" ht="21" x14ac:dyDescent="0.35">
      <c r="AN106" t="s">
        <v>116</v>
      </c>
      <c r="AO106" t="s">
        <v>60</v>
      </c>
      <c r="AP106">
        <v>1996</v>
      </c>
      <c r="AQ106" t="s">
        <v>62</v>
      </c>
      <c r="AR106" t="s">
        <v>330</v>
      </c>
      <c r="AS106" t="s">
        <v>305</v>
      </c>
      <c r="AT106" t="s">
        <v>243</v>
      </c>
      <c r="AU106" t="s">
        <v>329</v>
      </c>
      <c r="AV106">
        <v>72.95</v>
      </c>
    </row>
    <row r="107" spans="40:48" ht="21" x14ac:dyDescent="0.35">
      <c r="AN107" t="s">
        <v>127</v>
      </c>
      <c r="AO107" t="s">
        <v>60</v>
      </c>
      <c r="AP107">
        <v>2000</v>
      </c>
      <c r="AQ107" t="s">
        <v>72</v>
      </c>
      <c r="AR107" t="s">
        <v>330</v>
      </c>
      <c r="AS107" t="s">
        <v>305</v>
      </c>
      <c r="AT107" t="s">
        <v>218</v>
      </c>
      <c r="AU107" t="s">
        <v>308</v>
      </c>
      <c r="AV107">
        <v>3.7</v>
      </c>
    </row>
    <row r="108" spans="40:48" ht="21" x14ac:dyDescent="0.35">
      <c r="AN108" t="s">
        <v>127</v>
      </c>
      <c r="AO108" t="s">
        <v>60</v>
      </c>
      <c r="AP108">
        <v>2000</v>
      </c>
      <c r="AQ108" t="s">
        <v>72</v>
      </c>
      <c r="AR108" t="s">
        <v>330</v>
      </c>
      <c r="AS108" t="s">
        <v>305</v>
      </c>
      <c r="AT108" t="s">
        <v>218</v>
      </c>
      <c r="AU108" t="s">
        <v>309</v>
      </c>
      <c r="AV108">
        <v>7.1</v>
      </c>
    </row>
    <row r="109" spans="40:48" ht="21" x14ac:dyDescent="0.35">
      <c r="AN109" t="s">
        <v>127</v>
      </c>
      <c r="AO109" t="s">
        <v>60</v>
      </c>
      <c r="AP109">
        <v>2000</v>
      </c>
      <c r="AQ109" t="s">
        <v>72</v>
      </c>
      <c r="AR109" t="s">
        <v>330</v>
      </c>
      <c r="AS109" t="s">
        <v>305</v>
      </c>
      <c r="AT109" t="s">
        <v>218</v>
      </c>
      <c r="AU109" t="s">
        <v>268</v>
      </c>
      <c r="AV109">
        <v>10.8</v>
      </c>
    </row>
    <row r="110" spans="40:48" ht="21" x14ac:dyDescent="0.35">
      <c r="AN110" t="s">
        <v>127</v>
      </c>
      <c r="AO110" t="s">
        <v>60</v>
      </c>
      <c r="AP110">
        <v>2000</v>
      </c>
      <c r="AQ110" t="s">
        <v>72</v>
      </c>
      <c r="AR110" t="s">
        <v>330</v>
      </c>
      <c r="AS110" t="s">
        <v>305</v>
      </c>
      <c r="AT110" t="s">
        <v>238</v>
      </c>
      <c r="AU110" t="s">
        <v>308</v>
      </c>
      <c r="AV110">
        <v>4.4000000000000004</v>
      </c>
    </row>
    <row r="111" spans="40:48" ht="21" x14ac:dyDescent="0.35">
      <c r="AN111" t="s">
        <v>127</v>
      </c>
      <c r="AO111" t="s">
        <v>60</v>
      </c>
      <c r="AP111">
        <v>2000</v>
      </c>
      <c r="AQ111" t="s">
        <v>72</v>
      </c>
      <c r="AR111" t="s">
        <v>330</v>
      </c>
      <c r="AS111" t="s">
        <v>305</v>
      </c>
      <c r="AT111" t="s">
        <v>238</v>
      </c>
      <c r="AU111" t="s">
        <v>309</v>
      </c>
      <c r="AV111">
        <v>7.2</v>
      </c>
    </row>
    <row r="112" spans="40:48" ht="21" x14ac:dyDescent="0.35">
      <c r="AN112" t="s">
        <v>127</v>
      </c>
      <c r="AO112" t="s">
        <v>60</v>
      </c>
      <c r="AP112">
        <v>2000</v>
      </c>
      <c r="AQ112" t="s">
        <v>72</v>
      </c>
      <c r="AR112" t="s">
        <v>330</v>
      </c>
      <c r="AS112" t="s">
        <v>305</v>
      </c>
      <c r="AT112" t="s">
        <v>238</v>
      </c>
      <c r="AU112" t="s">
        <v>268</v>
      </c>
      <c r="AV112">
        <v>11.6</v>
      </c>
    </row>
    <row r="113" spans="40:48" ht="21" x14ac:dyDescent="0.35">
      <c r="AN113" t="s">
        <v>127</v>
      </c>
      <c r="AO113" t="s">
        <v>60</v>
      </c>
      <c r="AP113">
        <v>2000</v>
      </c>
      <c r="AQ113" t="s">
        <v>72</v>
      </c>
      <c r="AR113" t="s">
        <v>330</v>
      </c>
      <c r="AS113" t="s">
        <v>305</v>
      </c>
      <c r="AT113" t="s">
        <v>239</v>
      </c>
      <c r="AU113" t="s">
        <v>308</v>
      </c>
      <c r="AV113">
        <v>3.8</v>
      </c>
    </row>
    <row r="114" spans="40:48" ht="21" x14ac:dyDescent="0.35">
      <c r="AN114" t="s">
        <v>127</v>
      </c>
      <c r="AO114" t="s">
        <v>60</v>
      </c>
      <c r="AP114">
        <v>2000</v>
      </c>
      <c r="AQ114" t="s">
        <v>72</v>
      </c>
      <c r="AR114" t="s">
        <v>330</v>
      </c>
      <c r="AS114" t="s">
        <v>305</v>
      </c>
      <c r="AT114" t="s">
        <v>239</v>
      </c>
      <c r="AU114" t="s">
        <v>309</v>
      </c>
      <c r="AV114">
        <v>8.35</v>
      </c>
    </row>
    <row r="115" spans="40:48" ht="21" x14ac:dyDescent="0.35">
      <c r="AN115" t="s">
        <v>127</v>
      </c>
      <c r="AO115" t="s">
        <v>60</v>
      </c>
      <c r="AP115">
        <v>2000</v>
      </c>
      <c r="AQ115" t="s">
        <v>72</v>
      </c>
      <c r="AR115" t="s">
        <v>330</v>
      </c>
      <c r="AS115" t="s">
        <v>305</v>
      </c>
      <c r="AT115" t="s">
        <v>239</v>
      </c>
      <c r="AU115" t="s">
        <v>268</v>
      </c>
      <c r="AV115">
        <v>12.15</v>
      </c>
    </row>
    <row r="116" spans="40:48" ht="21" x14ac:dyDescent="0.35">
      <c r="AN116" t="s">
        <v>127</v>
      </c>
      <c r="AO116" t="s">
        <v>60</v>
      </c>
      <c r="AP116">
        <v>2000</v>
      </c>
      <c r="AQ116" t="s">
        <v>72</v>
      </c>
      <c r="AR116" t="s">
        <v>330</v>
      </c>
      <c r="AS116" t="s">
        <v>305</v>
      </c>
      <c r="AT116" t="s">
        <v>240</v>
      </c>
      <c r="AU116" t="s">
        <v>308</v>
      </c>
      <c r="AV116">
        <v>4</v>
      </c>
    </row>
    <row r="117" spans="40:48" ht="21" x14ac:dyDescent="0.35">
      <c r="AN117" t="s">
        <v>127</v>
      </c>
      <c r="AO117" t="s">
        <v>60</v>
      </c>
      <c r="AP117">
        <v>2000</v>
      </c>
      <c r="AQ117" t="s">
        <v>72</v>
      </c>
      <c r="AR117" t="s">
        <v>330</v>
      </c>
      <c r="AS117" t="s">
        <v>305</v>
      </c>
      <c r="AT117" t="s">
        <v>240</v>
      </c>
      <c r="AU117" t="s">
        <v>309</v>
      </c>
      <c r="AV117">
        <v>9.15</v>
      </c>
    </row>
    <row r="118" spans="40:48" ht="21" x14ac:dyDescent="0.35">
      <c r="AN118" t="s">
        <v>127</v>
      </c>
      <c r="AO118" t="s">
        <v>60</v>
      </c>
      <c r="AP118">
        <v>2000</v>
      </c>
      <c r="AQ118" t="s">
        <v>72</v>
      </c>
      <c r="AR118" t="s">
        <v>330</v>
      </c>
      <c r="AS118" t="s">
        <v>305</v>
      </c>
      <c r="AT118" t="s">
        <v>240</v>
      </c>
      <c r="AU118" t="s">
        <v>268</v>
      </c>
      <c r="AV118">
        <v>13.15</v>
      </c>
    </row>
    <row r="119" spans="40:48" ht="21" x14ac:dyDescent="0.35">
      <c r="AN119" t="s">
        <v>127</v>
      </c>
      <c r="AO119" t="s">
        <v>60</v>
      </c>
      <c r="AP119">
        <v>2000</v>
      </c>
      <c r="AQ119" t="s">
        <v>72</v>
      </c>
      <c r="AR119" t="s">
        <v>330</v>
      </c>
      <c r="AS119" t="s">
        <v>305</v>
      </c>
      <c r="AT119" t="s">
        <v>314</v>
      </c>
      <c r="AU119" t="s">
        <v>308</v>
      </c>
      <c r="AV119">
        <v>4</v>
      </c>
    </row>
    <row r="120" spans="40:48" ht="21" x14ac:dyDescent="0.35">
      <c r="AN120" t="s">
        <v>127</v>
      </c>
      <c r="AO120" t="s">
        <v>60</v>
      </c>
      <c r="AP120">
        <v>2000</v>
      </c>
      <c r="AQ120" t="s">
        <v>72</v>
      </c>
      <c r="AR120" t="s">
        <v>330</v>
      </c>
      <c r="AS120" t="s">
        <v>305</v>
      </c>
      <c r="AT120" t="s">
        <v>314</v>
      </c>
      <c r="AU120" t="s">
        <v>309</v>
      </c>
      <c r="AV120">
        <v>8.3000000000000007</v>
      </c>
    </row>
    <row r="121" spans="40:48" ht="21" x14ac:dyDescent="0.35">
      <c r="AN121" t="s">
        <v>127</v>
      </c>
      <c r="AO121" t="s">
        <v>60</v>
      </c>
      <c r="AP121">
        <v>2000</v>
      </c>
      <c r="AQ121" t="s">
        <v>72</v>
      </c>
      <c r="AR121" t="s">
        <v>330</v>
      </c>
      <c r="AS121" t="s">
        <v>305</v>
      </c>
      <c r="AT121" t="s">
        <v>314</v>
      </c>
      <c r="AU121" t="s">
        <v>268</v>
      </c>
      <c r="AV121">
        <v>12.3</v>
      </c>
    </row>
    <row r="122" spans="40:48" ht="21" x14ac:dyDescent="0.35">
      <c r="AN122" t="s">
        <v>127</v>
      </c>
      <c r="AO122" t="s">
        <v>60</v>
      </c>
      <c r="AP122">
        <v>2000</v>
      </c>
      <c r="AQ122" t="s">
        <v>72</v>
      </c>
      <c r="AR122" t="s">
        <v>330</v>
      </c>
      <c r="AS122" t="s">
        <v>305</v>
      </c>
      <c r="AT122" t="s">
        <v>242</v>
      </c>
      <c r="AU122" t="s">
        <v>308</v>
      </c>
      <c r="AV122">
        <v>4</v>
      </c>
    </row>
    <row r="123" spans="40:48" ht="21" x14ac:dyDescent="0.35">
      <c r="AN123" t="s">
        <v>127</v>
      </c>
      <c r="AO123" t="s">
        <v>60</v>
      </c>
      <c r="AP123">
        <v>2000</v>
      </c>
      <c r="AQ123" t="s">
        <v>72</v>
      </c>
      <c r="AR123" t="s">
        <v>330</v>
      </c>
      <c r="AS123" t="s">
        <v>305</v>
      </c>
      <c r="AT123" t="s">
        <v>242</v>
      </c>
      <c r="AU123" t="s">
        <v>309</v>
      </c>
      <c r="AV123">
        <v>8.0500000000000007</v>
      </c>
    </row>
    <row r="124" spans="40:48" ht="21" x14ac:dyDescent="0.35">
      <c r="AN124" t="s">
        <v>127</v>
      </c>
      <c r="AO124" t="s">
        <v>60</v>
      </c>
      <c r="AP124">
        <v>2000</v>
      </c>
      <c r="AQ124" t="s">
        <v>72</v>
      </c>
      <c r="AR124" t="s">
        <v>330</v>
      </c>
      <c r="AS124" t="s">
        <v>305</v>
      </c>
      <c r="AT124" t="s">
        <v>242</v>
      </c>
      <c r="AU124" t="s">
        <v>268</v>
      </c>
      <c r="AV124">
        <v>12.05</v>
      </c>
    </row>
    <row r="125" spans="40:48" ht="21" x14ac:dyDescent="0.35">
      <c r="AN125" t="s">
        <v>127</v>
      </c>
      <c r="AO125" t="s">
        <v>60</v>
      </c>
      <c r="AP125">
        <v>2000</v>
      </c>
      <c r="AQ125" t="s">
        <v>72</v>
      </c>
      <c r="AR125" t="s">
        <v>330</v>
      </c>
      <c r="AS125" t="s">
        <v>305</v>
      </c>
      <c r="AT125" t="s">
        <v>243</v>
      </c>
      <c r="AU125" t="s">
        <v>326</v>
      </c>
      <c r="AV125">
        <v>23.900000000000002</v>
      </c>
    </row>
    <row r="126" spans="40:48" ht="21" x14ac:dyDescent="0.35">
      <c r="AN126" t="s">
        <v>127</v>
      </c>
      <c r="AO126" t="s">
        <v>60</v>
      </c>
      <c r="AP126">
        <v>2000</v>
      </c>
      <c r="AQ126" t="s">
        <v>72</v>
      </c>
      <c r="AR126" t="s">
        <v>330</v>
      </c>
      <c r="AS126" t="s">
        <v>305</v>
      </c>
      <c r="AT126" t="s">
        <v>243</v>
      </c>
      <c r="AU126" t="s">
        <v>327</v>
      </c>
      <c r="AV126">
        <v>48.149999999999991</v>
      </c>
    </row>
    <row r="127" spans="40:48" ht="21" x14ac:dyDescent="0.35">
      <c r="AN127" t="s">
        <v>127</v>
      </c>
      <c r="AO127" t="s">
        <v>60</v>
      </c>
      <c r="AP127">
        <v>2000</v>
      </c>
      <c r="AQ127" t="s">
        <v>72</v>
      </c>
      <c r="AR127" t="s">
        <v>330</v>
      </c>
      <c r="AS127" t="s">
        <v>305</v>
      </c>
      <c r="AT127" t="s">
        <v>243</v>
      </c>
      <c r="AU127" t="s">
        <v>329</v>
      </c>
      <c r="AV127">
        <v>72.05</v>
      </c>
    </row>
    <row r="128" spans="40:48" ht="21" x14ac:dyDescent="0.35">
      <c r="AN128" t="s">
        <v>75</v>
      </c>
      <c r="AO128" t="s">
        <v>60</v>
      </c>
      <c r="AP128">
        <v>2003</v>
      </c>
      <c r="AQ128" t="s">
        <v>28</v>
      </c>
      <c r="AR128" t="s">
        <v>330</v>
      </c>
      <c r="AS128" t="s">
        <v>305</v>
      </c>
      <c r="AT128" t="s">
        <v>218</v>
      </c>
      <c r="AU128" t="s">
        <v>308</v>
      </c>
      <c r="AV128">
        <v>3.9</v>
      </c>
    </row>
    <row r="129" spans="40:48" ht="21" x14ac:dyDescent="0.35">
      <c r="AN129" t="s">
        <v>75</v>
      </c>
      <c r="AO129" t="s">
        <v>60</v>
      </c>
      <c r="AP129">
        <v>2003</v>
      </c>
      <c r="AQ129" t="s">
        <v>28</v>
      </c>
      <c r="AR129" t="s">
        <v>330</v>
      </c>
      <c r="AS129" t="s">
        <v>305</v>
      </c>
      <c r="AT129" t="s">
        <v>218</v>
      </c>
      <c r="AU129" t="s">
        <v>309</v>
      </c>
      <c r="AV129">
        <v>7.9</v>
      </c>
    </row>
    <row r="130" spans="40:48" ht="21" x14ac:dyDescent="0.35">
      <c r="AN130" t="s">
        <v>75</v>
      </c>
      <c r="AO130" t="s">
        <v>60</v>
      </c>
      <c r="AP130">
        <v>2003</v>
      </c>
      <c r="AQ130" t="s">
        <v>28</v>
      </c>
      <c r="AR130" t="s">
        <v>330</v>
      </c>
      <c r="AS130" t="s">
        <v>305</v>
      </c>
      <c r="AT130" t="s">
        <v>218</v>
      </c>
      <c r="AU130" t="s">
        <v>268</v>
      </c>
      <c r="AV130">
        <v>11.8</v>
      </c>
    </row>
    <row r="131" spans="40:48" ht="21" x14ac:dyDescent="0.35">
      <c r="AN131" t="s">
        <v>75</v>
      </c>
      <c r="AO131" t="s">
        <v>60</v>
      </c>
      <c r="AP131">
        <v>2003</v>
      </c>
      <c r="AQ131" t="s">
        <v>28</v>
      </c>
      <c r="AR131" t="s">
        <v>330</v>
      </c>
      <c r="AS131" t="s">
        <v>305</v>
      </c>
      <c r="AT131" t="s">
        <v>238</v>
      </c>
      <c r="AU131" t="s">
        <v>308</v>
      </c>
      <c r="AV131">
        <v>4.2</v>
      </c>
    </row>
    <row r="132" spans="40:48" ht="21" x14ac:dyDescent="0.35">
      <c r="AN132" t="s">
        <v>75</v>
      </c>
      <c r="AO132" t="s">
        <v>60</v>
      </c>
      <c r="AP132">
        <v>2003</v>
      </c>
      <c r="AQ132" t="s">
        <v>28</v>
      </c>
      <c r="AR132" t="s">
        <v>330</v>
      </c>
      <c r="AS132" t="s">
        <v>305</v>
      </c>
      <c r="AT132" t="s">
        <v>238</v>
      </c>
      <c r="AU132" t="s">
        <v>309</v>
      </c>
      <c r="AV132">
        <v>8.5</v>
      </c>
    </row>
    <row r="133" spans="40:48" ht="21" x14ac:dyDescent="0.35">
      <c r="AN133" t="s">
        <v>75</v>
      </c>
      <c r="AO133" t="s">
        <v>60</v>
      </c>
      <c r="AP133">
        <v>2003</v>
      </c>
      <c r="AQ133" t="s">
        <v>28</v>
      </c>
      <c r="AR133" t="s">
        <v>330</v>
      </c>
      <c r="AS133" t="s">
        <v>305</v>
      </c>
      <c r="AT133" t="s">
        <v>238</v>
      </c>
      <c r="AU133" t="s">
        <v>268</v>
      </c>
      <c r="AV133">
        <v>12.7</v>
      </c>
    </row>
    <row r="134" spans="40:48" ht="21" x14ac:dyDescent="0.35">
      <c r="AN134" t="s">
        <v>75</v>
      </c>
      <c r="AO134" t="s">
        <v>60</v>
      </c>
      <c r="AP134">
        <v>2003</v>
      </c>
      <c r="AQ134" t="s">
        <v>28</v>
      </c>
      <c r="AR134" t="s">
        <v>330</v>
      </c>
      <c r="AS134" t="s">
        <v>305</v>
      </c>
      <c r="AT134" t="s">
        <v>239</v>
      </c>
      <c r="AU134" t="s">
        <v>308</v>
      </c>
      <c r="AV134">
        <v>3.4</v>
      </c>
    </row>
    <row r="135" spans="40:48" ht="21" x14ac:dyDescent="0.35">
      <c r="AN135" t="s">
        <v>75</v>
      </c>
      <c r="AO135" t="s">
        <v>60</v>
      </c>
      <c r="AP135">
        <v>2003</v>
      </c>
      <c r="AQ135" t="s">
        <v>28</v>
      </c>
      <c r="AR135" t="s">
        <v>330</v>
      </c>
      <c r="AS135" t="s">
        <v>305</v>
      </c>
      <c r="AT135" t="s">
        <v>239</v>
      </c>
      <c r="AU135" t="s">
        <v>309</v>
      </c>
      <c r="AV135">
        <v>7.7</v>
      </c>
    </row>
    <row r="136" spans="40:48" ht="21" x14ac:dyDescent="0.35">
      <c r="AN136" t="s">
        <v>75</v>
      </c>
      <c r="AO136" t="s">
        <v>60</v>
      </c>
      <c r="AP136">
        <v>2003</v>
      </c>
      <c r="AQ136" t="s">
        <v>28</v>
      </c>
      <c r="AR136" t="s">
        <v>330</v>
      </c>
      <c r="AS136" t="s">
        <v>305</v>
      </c>
      <c r="AT136" t="s">
        <v>239</v>
      </c>
      <c r="AU136" t="s">
        <v>268</v>
      </c>
      <c r="AV136">
        <v>11.1</v>
      </c>
    </row>
    <row r="137" spans="40:48" ht="21" x14ac:dyDescent="0.35">
      <c r="AN137" t="s">
        <v>75</v>
      </c>
      <c r="AO137" t="s">
        <v>60</v>
      </c>
      <c r="AP137">
        <v>2003</v>
      </c>
      <c r="AQ137" t="s">
        <v>28</v>
      </c>
      <c r="AR137" t="s">
        <v>330</v>
      </c>
      <c r="AS137" t="s">
        <v>305</v>
      </c>
      <c r="AT137" t="s">
        <v>240</v>
      </c>
      <c r="AU137" t="s">
        <v>308</v>
      </c>
      <c r="AV137">
        <v>3.2</v>
      </c>
    </row>
    <row r="138" spans="40:48" ht="21" x14ac:dyDescent="0.35">
      <c r="AN138" t="s">
        <v>75</v>
      </c>
      <c r="AO138" t="s">
        <v>60</v>
      </c>
      <c r="AP138">
        <v>2003</v>
      </c>
      <c r="AQ138" t="s">
        <v>28</v>
      </c>
      <c r="AR138" t="s">
        <v>330</v>
      </c>
      <c r="AS138" t="s">
        <v>305</v>
      </c>
      <c r="AT138" t="s">
        <v>240</v>
      </c>
      <c r="AU138" t="s">
        <v>309</v>
      </c>
      <c r="AV138">
        <v>9.0500000000000007</v>
      </c>
    </row>
    <row r="139" spans="40:48" ht="21" x14ac:dyDescent="0.35">
      <c r="AN139" t="s">
        <v>75</v>
      </c>
      <c r="AO139" t="s">
        <v>60</v>
      </c>
      <c r="AP139">
        <v>2003</v>
      </c>
      <c r="AQ139" t="s">
        <v>28</v>
      </c>
      <c r="AR139" t="s">
        <v>330</v>
      </c>
      <c r="AS139" t="s">
        <v>305</v>
      </c>
      <c r="AT139" t="s">
        <v>240</v>
      </c>
      <c r="AU139" t="s">
        <v>268</v>
      </c>
      <c r="AV139">
        <v>12.25</v>
      </c>
    </row>
    <row r="140" spans="40:48" ht="21" x14ac:dyDescent="0.35">
      <c r="AN140" t="s">
        <v>75</v>
      </c>
      <c r="AO140" t="s">
        <v>60</v>
      </c>
      <c r="AP140">
        <v>2003</v>
      </c>
      <c r="AQ140" t="s">
        <v>28</v>
      </c>
      <c r="AR140" t="s">
        <v>330</v>
      </c>
      <c r="AS140" t="s">
        <v>305</v>
      </c>
      <c r="AT140" t="s">
        <v>314</v>
      </c>
      <c r="AU140" t="s">
        <v>308</v>
      </c>
      <c r="AV140">
        <v>3.5</v>
      </c>
    </row>
    <row r="141" spans="40:48" ht="21" x14ac:dyDescent="0.35">
      <c r="AN141" t="s">
        <v>75</v>
      </c>
      <c r="AO141" t="s">
        <v>60</v>
      </c>
      <c r="AP141">
        <v>2003</v>
      </c>
      <c r="AQ141" t="s">
        <v>28</v>
      </c>
      <c r="AR141" t="s">
        <v>330</v>
      </c>
      <c r="AS141" t="s">
        <v>305</v>
      </c>
      <c r="AT141" t="s">
        <v>314</v>
      </c>
      <c r="AU141" t="s">
        <v>309</v>
      </c>
      <c r="AV141">
        <v>9.1</v>
      </c>
    </row>
    <row r="142" spans="40:48" ht="21" x14ac:dyDescent="0.35">
      <c r="AN142" t="s">
        <v>75</v>
      </c>
      <c r="AO142" t="s">
        <v>60</v>
      </c>
      <c r="AP142">
        <v>2003</v>
      </c>
      <c r="AQ142" t="s">
        <v>28</v>
      </c>
      <c r="AR142" t="s">
        <v>330</v>
      </c>
      <c r="AS142" t="s">
        <v>305</v>
      </c>
      <c r="AT142" t="s">
        <v>314</v>
      </c>
      <c r="AU142" t="s">
        <v>268</v>
      </c>
      <c r="AV142">
        <v>12.6</v>
      </c>
    </row>
    <row r="143" spans="40:48" ht="21" x14ac:dyDescent="0.35">
      <c r="AN143" t="s">
        <v>75</v>
      </c>
      <c r="AO143" t="s">
        <v>60</v>
      </c>
      <c r="AP143">
        <v>2003</v>
      </c>
      <c r="AQ143" t="s">
        <v>28</v>
      </c>
      <c r="AR143" t="s">
        <v>330</v>
      </c>
      <c r="AS143" t="s">
        <v>305</v>
      </c>
      <c r="AT143" t="s">
        <v>242</v>
      </c>
      <c r="AU143" t="s">
        <v>308</v>
      </c>
      <c r="AV143">
        <v>2.5</v>
      </c>
    </row>
    <row r="144" spans="40:48" ht="21" x14ac:dyDescent="0.35">
      <c r="AN144" t="s">
        <v>75</v>
      </c>
      <c r="AO144" t="s">
        <v>60</v>
      </c>
      <c r="AP144">
        <v>2003</v>
      </c>
      <c r="AQ144" t="s">
        <v>28</v>
      </c>
      <c r="AR144" t="s">
        <v>330</v>
      </c>
      <c r="AS144" t="s">
        <v>305</v>
      </c>
      <c r="AT144" t="s">
        <v>242</v>
      </c>
      <c r="AU144" t="s">
        <v>309</v>
      </c>
      <c r="AV144">
        <v>8.15</v>
      </c>
    </row>
    <row r="145" spans="40:48" ht="21" x14ac:dyDescent="0.35">
      <c r="AN145" t="s">
        <v>75</v>
      </c>
      <c r="AO145" t="s">
        <v>60</v>
      </c>
      <c r="AP145">
        <v>2003</v>
      </c>
      <c r="AQ145" t="s">
        <v>28</v>
      </c>
      <c r="AR145" t="s">
        <v>330</v>
      </c>
      <c r="AS145" t="s">
        <v>305</v>
      </c>
      <c r="AT145" t="s">
        <v>242</v>
      </c>
      <c r="AU145" t="s">
        <v>268</v>
      </c>
      <c r="AV145">
        <v>10.65</v>
      </c>
    </row>
    <row r="146" spans="40:48" ht="21" x14ac:dyDescent="0.35">
      <c r="AN146" t="s">
        <v>75</v>
      </c>
      <c r="AO146" t="s">
        <v>60</v>
      </c>
      <c r="AP146">
        <v>2003</v>
      </c>
      <c r="AQ146" t="s">
        <v>28</v>
      </c>
      <c r="AR146" t="s">
        <v>330</v>
      </c>
      <c r="AS146" t="s">
        <v>305</v>
      </c>
      <c r="AT146" t="s">
        <v>243</v>
      </c>
      <c r="AU146" t="s">
        <v>326</v>
      </c>
      <c r="AV146">
        <v>20.7</v>
      </c>
    </row>
    <row r="147" spans="40:48" ht="21" x14ac:dyDescent="0.35">
      <c r="AN147" t="s">
        <v>75</v>
      </c>
      <c r="AO147" t="s">
        <v>60</v>
      </c>
      <c r="AP147">
        <v>2003</v>
      </c>
      <c r="AQ147" t="s">
        <v>28</v>
      </c>
      <c r="AR147" t="s">
        <v>330</v>
      </c>
      <c r="AS147" t="s">
        <v>305</v>
      </c>
      <c r="AT147" t="s">
        <v>243</v>
      </c>
      <c r="AU147" t="s">
        <v>327</v>
      </c>
      <c r="AV147">
        <v>50.4</v>
      </c>
    </row>
    <row r="148" spans="40:48" ht="21" x14ac:dyDescent="0.35">
      <c r="AN148" t="s">
        <v>75</v>
      </c>
      <c r="AO148" t="s">
        <v>60</v>
      </c>
      <c r="AP148">
        <v>2003</v>
      </c>
      <c r="AQ148" t="s">
        <v>28</v>
      </c>
      <c r="AR148" t="s">
        <v>330</v>
      </c>
      <c r="AS148" t="s">
        <v>305</v>
      </c>
      <c r="AT148" t="s">
        <v>243</v>
      </c>
      <c r="AU148" t="s">
        <v>329</v>
      </c>
      <c r="AV148">
        <v>71.099999999999994</v>
      </c>
    </row>
    <row r="149" spans="40:48" ht="21" x14ac:dyDescent="0.35">
      <c r="AN149" t="s">
        <v>80</v>
      </c>
      <c r="AO149" t="s">
        <v>60</v>
      </c>
      <c r="AP149">
        <v>2004</v>
      </c>
      <c r="AQ149" t="s">
        <v>62</v>
      </c>
      <c r="AR149" t="s">
        <v>330</v>
      </c>
      <c r="AS149" t="s">
        <v>305</v>
      </c>
      <c r="AT149" t="s">
        <v>218</v>
      </c>
      <c r="AU149" t="s">
        <v>308</v>
      </c>
      <c r="AV149">
        <v>3.6</v>
      </c>
    </row>
    <row r="150" spans="40:48" ht="21" x14ac:dyDescent="0.35">
      <c r="AN150" t="s">
        <v>80</v>
      </c>
      <c r="AO150" t="s">
        <v>60</v>
      </c>
      <c r="AP150">
        <v>2004</v>
      </c>
      <c r="AQ150" t="s">
        <v>62</v>
      </c>
      <c r="AR150" t="s">
        <v>330</v>
      </c>
      <c r="AS150" t="s">
        <v>305</v>
      </c>
      <c r="AT150" t="s">
        <v>218</v>
      </c>
      <c r="AU150" t="s">
        <v>309</v>
      </c>
      <c r="AV150">
        <v>8.4</v>
      </c>
    </row>
    <row r="151" spans="40:48" ht="21" x14ac:dyDescent="0.35">
      <c r="AN151" t="s">
        <v>80</v>
      </c>
      <c r="AO151" t="s">
        <v>60</v>
      </c>
      <c r="AP151">
        <v>2004</v>
      </c>
      <c r="AQ151" t="s">
        <v>62</v>
      </c>
      <c r="AR151" t="s">
        <v>330</v>
      </c>
      <c r="AS151" t="s">
        <v>305</v>
      </c>
      <c r="AT151" t="s">
        <v>218</v>
      </c>
      <c r="AU151" t="s">
        <v>268</v>
      </c>
      <c r="AV151">
        <v>12</v>
      </c>
    </row>
    <row r="152" spans="40:48" ht="21" x14ac:dyDescent="0.35">
      <c r="AN152" t="s">
        <v>80</v>
      </c>
      <c r="AO152" t="s">
        <v>60</v>
      </c>
      <c r="AP152">
        <v>2004</v>
      </c>
      <c r="AQ152" t="s">
        <v>62</v>
      </c>
      <c r="AR152" t="s">
        <v>330</v>
      </c>
      <c r="AS152" t="s">
        <v>305</v>
      </c>
      <c r="AT152" t="s">
        <v>238</v>
      </c>
      <c r="AU152" t="s">
        <v>308</v>
      </c>
      <c r="AV152">
        <v>3.6</v>
      </c>
    </row>
    <row r="153" spans="40:48" ht="21" x14ac:dyDescent="0.35">
      <c r="AN153" t="s">
        <v>80</v>
      </c>
      <c r="AO153" t="s">
        <v>60</v>
      </c>
      <c r="AP153">
        <v>2004</v>
      </c>
      <c r="AQ153" t="s">
        <v>62</v>
      </c>
      <c r="AR153" t="s">
        <v>330</v>
      </c>
      <c r="AS153" t="s">
        <v>305</v>
      </c>
      <c r="AT153" t="s">
        <v>238</v>
      </c>
      <c r="AU153" t="s">
        <v>309</v>
      </c>
      <c r="AV153">
        <v>8</v>
      </c>
    </row>
    <row r="154" spans="40:48" ht="21" x14ac:dyDescent="0.35">
      <c r="AN154" t="s">
        <v>80</v>
      </c>
      <c r="AO154" t="s">
        <v>60</v>
      </c>
      <c r="AP154">
        <v>2004</v>
      </c>
      <c r="AQ154" t="s">
        <v>62</v>
      </c>
      <c r="AR154" t="s">
        <v>330</v>
      </c>
      <c r="AS154" t="s">
        <v>305</v>
      </c>
      <c r="AT154" t="s">
        <v>238</v>
      </c>
      <c r="AU154" t="s">
        <v>268</v>
      </c>
      <c r="AV154">
        <v>11.6</v>
      </c>
    </row>
    <row r="155" spans="40:48" ht="21" x14ac:dyDescent="0.35">
      <c r="AN155" t="s">
        <v>80</v>
      </c>
      <c r="AO155" t="s">
        <v>60</v>
      </c>
      <c r="AP155">
        <v>2004</v>
      </c>
      <c r="AQ155" t="s">
        <v>62</v>
      </c>
      <c r="AR155" t="s">
        <v>330</v>
      </c>
      <c r="AS155" t="s">
        <v>305</v>
      </c>
      <c r="AT155" t="s">
        <v>239</v>
      </c>
      <c r="AU155" t="s">
        <v>308</v>
      </c>
      <c r="AV155">
        <v>3.9</v>
      </c>
    </row>
    <row r="156" spans="40:48" ht="21" x14ac:dyDescent="0.35">
      <c r="AN156" t="s">
        <v>80</v>
      </c>
      <c r="AO156" t="s">
        <v>60</v>
      </c>
      <c r="AP156">
        <v>2004</v>
      </c>
      <c r="AQ156" t="s">
        <v>62</v>
      </c>
      <c r="AR156" t="s">
        <v>330</v>
      </c>
      <c r="AS156" t="s">
        <v>305</v>
      </c>
      <c r="AT156" t="s">
        <v>239</v>
      </c>
      <c r="AU156" t="s">
        <v>309</v>
      </c>
      <c r="AV156">
        <v>8.1999999999999993</v>
      </c>
    </row>
    <row r="157" spans="40:48" ht="21" x14ac:dyDescent="0.35">
      <c r="AN157" t="s">
        <v>80</v>
      </c>
      <c r="AO157" t="s">
        <v>60</v>
      </c>
      <c r="AP157">
        <v>2004</v>
      </c>
      <c r="AQ157" t="s">
        <v>62</v>
      </c>
      <c r="AR157" t="s">
        <v>330</v>
      </c>
      <c r="AS157" t="s">
        <v>305</v>
      </c>
      <c r="AT157" t="s">
        <v>239</v>
      </c>
      <c r="AU157" t="s">
        <v>268</v>
      </c>
      <c r="AV157">
        <v>12.1</v>
      </c>
    </row>
    <row r="158" spans="40:48" ht="21" x14ac:dyDescent="0.35">
      <c r="AN158" t="s">
        <v>80</v>
      </c>
      <c r="AO158" t="s">
        <v>60</v>
      </c>
      <c r="AP158">
        <v>2004</v>
      </c>
      <c r="AQ158" t="s">
        <v>62</v>
      </c>
      <c r="AR158" t="s">
        <v>330</v>
      </c>
      <c r="AS158" t="s">
        <v>305</v>
      </c>
      <c r="AT158" t="s">
        <v>240</v>
      </c>
      <c r="AU158" t="s">
        <v>308</v>
      </c>
      <c r="AV158">
        <v>4</v>
      </c>
    </row>
    <row r="159" spans="40:48" ht="21" x14ac:dyDescent="0.35">
      <c r="AN159" t="s">
        <v>80</v>
      </c>
      <c r="AO159" t="s">
        <v>60</v>
      </c>
      <c r="AP159">
        <v>2004</v>
      </c>
      <c r="AQ159" t="s">
        <v>62</v>
      </c>
      <c r="AR159" t="s">
        <v>330</v>
      </c>
      <c r="AS159" t="s">
        <v>305</v>
      </c>
      <c r="AT159" t="s">
        <v>240</v>
      </c>
      <c r="AU159" t="s">
        <v>309</v>
      </c>
      <c r="AV159">
        <v>8.65</v>
      </c>
    </row>
    <row r="160" spans="40:48" ht="21" x14ac:dyDescent="0.35">
      <c r="AN160" t="s">
        <v>80</v>
      </c>
      <c r="AO160" t="s">
        <v>60</v>
      </c>
      <c r="AP160">
        <v>2004</v>
      </c>
      <c r="AQ160" t="s">
        <v>62</v>
      </c>
      <c r="AR160" t="s">
        <v>330</v>
      </c>
      <c r="AS160" t="s">
        <v>305</v>
      </c>
      <c r="AT160" t="s">
        <v>240</v>
      </c>
      <c r="AU160" t="s">
        <v>268</v>
      </c>
      <c r="AV160">
        <v>12.65</v>
      </c>
    </row>
    <row r="161" spans="40:48" ht="21" x14ac:dyDescent="0.35">
      <c r="AN161" t="s">
        <v>80</v>
      </c>
      <c r="AO161" t="s">
        <v>60</v>
      </c>
      <c r="AP161">
        <v>2004</v>
      </c>
      <c r="AQ161" t="s">
        <v>62</v>
      </c>
      <c r="AR161" t="s">
        <v>330</v>
      </c>
      <c r="AS161" t="s">
        <v>305</v>
      </c>
      <c r="AT161" t="s">
        <v>314</v>
      </c>
      <c r="AU161" t="s">
        <v>308</v>
      </c>
      <c r="AV161">
        <v>4</v>
      </c>
    </row>
    <row r="162" spans="40:48" ht="21" x14ac:dyDescent="0.35">
      <c r="AN162" t="s">
        <v>80</v>
      </c>
      <c r="AO162" t="s">
        <v>60</v>
      </c>
      <c r="AP162">
        <v>2004</v>
      </c>
      <c r="AQ162" t="s">
        <v>62</v>
      </c>
      <c r="AR162" t="s">
        <v>330</v>
      </c>
      <c r="AS162" t="s">
        <v>305</v>
      </c>
      <c r="AT162" t="s">
        <v>314</v>
      </c>
      <c r="AU162" t="s">
        <v>309</v>
      </c>
      <c r="AV162">
        <v>8.85</v>
      </c>
    </row>
    <row r="163" spans="40:48" ht="21" x14ac:dyDescent="0.35">
      <c r="AN163" t="s">
        <v>80</v>
      </c>
      <c r="AO163" t="s">
        <v>60</v>
      </c>
      <c r="AP163">
        <v>2004</v>
      </c>
      <c r="AQ163" t="s">
        <v>62</v>
      </c>
      <c r="AR163" t="s">
        <v>330</v>
      </c>
      <c r="AS163" t="s">
        <v>305</v>
      </c>
      <c r="AT163" t="s">
        <v>314</v>
      </c>
      <c r="AU163" t="s">
        <v>268</v>
      </c>
      <c r="AV163">
        <v>12.85</v>
      </c>
    </row>
    <row r="164" spans="40:48" ht="21" x14ac:dyDescent="0.35">
      <c r="AN164" t="s">
        <v>80</v>
      </c>
      <c r="AO164" t="s">
        <v>60</v>
      </c>
      <c r="AP164">
        <v>2004</v>
      </c>
      <c r="AQ164" t="s">
        <v>62</v>
      </c>
      <c r="AR164" t="s">
        <v>330</v>
      </c>
      <c r="AS164" t="s">
        <v>305</v>
      </c>
      <c r="AT164" t="s">
        <v>242</v>
      </c>
      <c r="AU164" t="s">
        <v>308</v>
      </c>
      <c r="AV164">
        <v>2.5</v>
      </c>
    </row>
    <row r="165" spans="40:48" ht="21" x14ac:dyDescent="0.35">
      <c r="AN165" t="s">
        <v>80</v>
      </c>
      <c r="AO165" t="s">
        <v>60</v>
      </c>
      <c r="AP165">
        <v>2004</v>
      </c>
      <c r="AQ165" t="s">
        <v>62</v>
      </c>
      <c r="AR165" t="s">
        <v>330</v>
      </c>
      <c r="AS165" t="s">
        <v>305</v>
      </c>
      <c r="AT165" t="s">
        <v>242</v>
      </c>
      <c r="AU165" t="s">
        <v>309</v>
      </c>
      <c r="AV165">
        <v>7.2</v>
      </c>
    </row>
    <row r="166" spans="40:48" ht="21" x14ac:dyDescent="0.35">
      <c r="AN166" t="s">
        <v>80</v>
      </c>
      <c r="AO166" t="s">
        <v>60</v>
      </c>
      <c r="AP166">
        <v>2004</v>
      </c>
      <c r="AQ166" t="s">
        <v>62</v>
      </c>
      <c r="AR166" t="s">
        <v>330</v>
      </c>
      <c r="AS166" t="s">
        <v>305</v>
      </c>
      <c r="AT166" t="s">
        <v>242</v>
      </c>
      <c r="AU166" t="s">
        <v>268</v>
      </c>
      <c r="AV166">
        <v>9.6999999999999993</v>
      </c>
    </row>
    <row r="167" spans="40:48" ht="21" x14ac:dyDescent="0.35">
      <c r="AN167" t="s">
        <v>80</v>
      </c>
      <c r="AO167" t="s">
        <v>60</v>
      </c>
      <c r="AP167">
        <v>2004</v>
      </c>
      <c r="AQ167" t="s">
        <v>62</v>
      </c>
      <c r="AR167" t="s">
        <v>330</v>
      </c>
      <c r="AS167" t="s">
        <v>305</v>
      </c>
      <c r="AT167" t="s">
        <v>243</v>
      </c>
      <c r="AU167" t="s">
        <v>326</v>
      </c>
      <c r="AV167">
        <v>21.6</v>
      </c>
    </row>
    <row r="168" spans="40:48" ht="21" x14ac:dyDescent="0.35">
      <c r="AN168" t="s">
        <v>80</v>
      </c>
      <c r="AO168" t="s">
        <v>60</v>
      </c>
      <c r="AP168">
        <v>2004</v>
      </c>
      <c r="AQ168" t="s">
        <v>62</v>
      </c>
      <c r="AR168" t="s">
        <v>330</v>
      </c>
      <c r="AS168" t="s">
        <v>305</v>
      </c>
      <c r="AT168" t="s">
        <v>243</v>
      </c>
      <c r="AU168" t="s">
        <v>327</v>
      </c>
      <c r="AV168">
        <v>49.300000000000004</v>
      </c>
    </row>
    <row r="169" spans="40:48" ht="21" x14ac:dyDescent="0.35">
      <c r="AN169" t="s">
        <v>80</v>
      </c>
      <c r="AO169" t="s">
        <v>60</v>
      </c>
      <c r="AP169">
        <v>2004</v>
      </c>
      <c r="AQ169" t="s">
        <v>62</v>
      </c>
      <c r="AR169" t="s">
        <v>330</v>
      </c>
      <c r="AS169" t="s">
        <v>305</v>
      </c>
      <c r="AT169" t="s">
        <v>243</v>
      </c>
      <c r="AU169" t="s">
        <v>329</v>
      </c>
      <c r="AV169">
        <v>70.900000000000006</v>
      </c>
    </row>
    <row r="170" spans="40:48" ht="21" x14ac:dyDescent="0.35">
      <c r="AN170" t="s">
        <v>77</v>
      </c>
      <c r="AO170" t="s">
        <v>60</v>
      </c>
      <c r="AP170">
        <v>2002</v>
      </c>
      <c r="AQ170" t="s">
        <v>79</v>
      </c>
      <c r="AR170" t="s">
        <v>330</v>
      </c>
      <c r="AS170" t="s">
        <v>305</v>
      </c>
      <c r="AT170" t="s">
        <v>218</v>
      </c>
      <c r="AU170" t="s">
        <v>308</v>
      </c>
      <c r="AV170">
        <v>3.9</v>
      </c>
    </row>
    <row r="171" spans="40:48" ht="21" x14ac:dyDescent="0.35">
      <c r="AN171" t="s">
        <v>77</v>
      </c>
      <c r="AO171" t="s">
        <v>60</v>
      </c>
      <c r="AP171">
        <v>2002</v>
      </c>
      <c r="AQ171" t="s">
        <v>79</v>
      </c>
      <c r="AR171" t="s">
        <v>330</v>
      </c>
      <c r="AS171" t="s">
        <v>305</v>
      </c>
      <c r="AT171" t="s">
        <v>218</v>
      </c>
      <c r="AU171" t="s">
        <v>309</v>
      </c>
      <c r="AV171">
        <v>8</v>
      </c>
    </row>
    <row r="172" spans="40:48" ht="21" x14ac:dyDescent="0.35">
      <c r="AN172" t="s">
        <v>77</v>
      </c>
      <c r="AO172" t="s">
        <v>60</v>
      </c>
      <c r="AP172">
        <v>2002</v>
      </c>
      <c r="AQ172" t="s">
        <v>79</v>
      </c>
      <c r="AR172" t="s">
        <v>330</v>
      </c>
      <c r="AS172" t="s">
        <v>305</v>
      </c>
      <c r="AT172" t="s">
        <v>218</v>
      </c>
      <c r="AU172" t="s">
        <v>268</v>
      </c>
      <c r="AV172">
        <v>11.9</v>
      </c>
    </row>
    <row r="173" spans="40:48" ht="21" x14ac:dyDescent="0.35">
      <c r="AN173" t="s">
        <v>77</v>
      </c>
      <c r="AO173" t="s">
        <v>60</v>
      </c>
      <c r="AP173">
        <v>2002</v>
      </c>
      <c r="AQ173" t="s">
        <v>79</v>
      </c>
      <c r="AR173" t="s">
        <v>330</v>
      </c>
      <c r="AS173" t="s">
        <v>305</v>
      </c>
      <c r="AT173" t="s">
        <v>238</v>
      </c>
      <c r="AU173" t="s">
        <v>308</v>
      </c>
      <c r="AV173">
        <v>3.7</v>
      </c>
    </row>
    <row r="174" spans="40:48" ht="21" x14ac:dyDescent="0.35">
      <c r="AN174" t="s">
        <v>77</v>
      </c>
      <c r="AO174" t="s">
        <v>60</v>
      </c>
      <c r="AP174">
        <v>2002</v>
      </c>
      <c r="AQ174" t="s">
        <v>79</v>
      </c>
      <c r="AR174" t="s">
        <v>330</v>
      </c>
      <c r="AS174" t="s">
        <v>305</v>
      </c>
      <c r="AT174" t="s">
        <v>238</v>
      </c>
      <c r="AU174" t="s">
        <v>309</v>
      </c>
      <c r="AV174">
        <v>7</v>
      </c>
    </row>
    <row r="175" spans="40:48" ht="21" x14ac:dyDescent="0.35">
      <c r="AN175" t="s">
        <v>77</v>
      </c>
      <c r="AO175" t="s">
        <v>60</v>
      </c>
      <c r="AP175">
        <v>2002</v>
      </c>
      <c r="AQ175" t="s">
        <v>79</v>
      </c>
      <c r="AR175" t="s">
        <v>330</v>
      </c>
      <c r="AS175" t="s">
        <v>305</v>
      </c>
      <c r="AT175" t="s">
        <v>238</v>
      </c>
      <c r="AU175" t="s">
        <v>268</v>
      </c>
      <c r="AV175">
        <v>10.7</v>
      </c>
    </row>
    <row r="176" spans="40:48" ht="21" x14ac:dyDescent="0.35">
      <c r="AN176" t="s">
        <v>77</v>
      </c>
      <c r="AO176" t="s">
        <v>60</v>
      </c>
      <c r="AP176">
        <v>2002</v>
      </c>
      <c r="AQ176" t="s">
        <v>79</v>
      </c>
      <c r="AR176" t="s">
        <v>330</v>
      </c>
      <c r="AS176" t="s">
        <v>305</v>
      </c>
      <c r="AT176" t="s">
        <v>239</v>
      </c>
      <c r="AU176" t="s">
        <v>308</v>
      </c>
      <c r="AV176">
        <v>3.8</v>
      </c>
    </row>
    <row r="177" spans="40:48" ht="21" x14ac:dyDescent="0.35">
      <c r="AN177" t="s">
        <v>77</v>
      </c>
      <c r="AO177" t="s">
        <v>60</v>
      </c>
      <c r="AP177">
        <v>2002</v>
      </c>
      <c r="AQ177" t="s">
        <v>79</v>
      </c>
      <c r="AR177" t="s">
        <v>330</v>
      </c>
      <c r="AS177" t="s">
        <v>305</v>
      </c>
      <c r="AT177" t="s">
        <v>239</v>
      </c>
      <c r="AU177" t="s">
        <v>309</v>
      </c>
      <c r="AV177">
        <v>8.0500000000000007</v>
      </c>
    </row>
    <row r="178" spans="40:48" ht="21" x14ac:dyDescent="0.35">
      <c r="AN178" t="s">
        <v>77</v>
      </c>
      <c r="AO178" t="s">
        <v>60</v>
      </c>
      <c r="AP178">
        <v>2002</v>
      </c>
      <c r="AQ178" t="s">
        <v>79</v>
      </c>
      <c r="AR178" t="s">
        <v>330</v>
      </c>
      <c r="AS178" t="s">
        <v>305</v>
      </c>
      <c r="AT178" t="s">
        <v>239</v>
      </c>
      <c r="AU178" t="s">
        <v>268</v>
      </c>
      <c r="AV178">
        <v>11.85</v>
      </c>
    </row>
    <row r="179" spans="40:48" ht="21" x14ac:dyDescent="0.35">
      <c r="AN179" t="s">
        <v>77</v>
      </c>
      <c r="AO179" t="s">
        <v>60</v>
      </c>
      <c r="AP179">
        <v>2002</v>
      </c>
      <c r="AQ179" t="s">
        <v>79</v>
      </c>
      <c r="AR179" t="s">
        <v>330</v>
      </c>
      <c r="AS179" t="s">
        <v>305</v>
      </c>
      <c r="AT179" t="s">
        <v>240</v>
      </c>
      <c r="AU179" t="s">
        <v>308</v>
      </c>
      <c r="AV179">
        <v>3.2</v>
      </c>
    </row>
    <row r="180" spans="40:48" ht="21" x14ac:dyDescent="0.35">
      <c r="AN180" t="s">
        <v>77</v>
      </c>
      <c r="AO180" t="s">
        <v>60</v>
      </c>
      <c r="AP180">
        <v>2002</v>
      </c>
      <c r="AQ180" t="s">
        <v>79</v>
      </c>
      <c r="AR180" t="s">
        <v>330</v>
      </c>
      <c r="AS180" t="s">
        <v>305</v>
      </c>
      <c r="AT180" t="s">
        <v>240</v>
      </c>
      <c r="AU180" t="s">
        <v>309</v>
      </c>
      <c r="AV180">
        <v>9.0500000000000007</v>
      </c>
    </row>
    <row r="181" spans="40:48" ht="21" x14ac:dyDescent="0.35">
      <c r="AN181" t="s">
        <v>77</v>
      </c>
      <c r="AO181" t="s">
        <v>60</v>
      </c>
      <c r="AP181">
        <v>2002</v>
      </c>
      <c r="AQ181" t="s">
        <v>79</v>
      </c>
      <c r="AR181" t="s">
        <v>330</v>
      </c>
      <c r="AS181" t="s">
        <v>305</v>
      </c>
      <c r="AT181" t="s">
        <v>240</v>
      </c>
      <c r="AU181" t="s">
        <v>268</v>
      </c>
      <c r="AV181">
        <v>12.25</v>
      </c>
    </row>
    <row r="182" spans="40:48" ht="21" x14ac:dyDescent="0.35">
      <c r="AN182" t="s">
        <v>77</v>
      </c>
      <c r="AO182" t="s">
        <v>60</v>
      </c>
      <c r="AP182">
        <v>2002</v>
      </c>
      <c r="AQ182" t="s">
        <v>79</v>
      </c>
      <c r="AR182" t="s">
        <v>330</v>
      </c>
      <c r="AS182" t="s">
        <v>305</v>
      </c>
      <c r="AT182" t="s">
        <v>314</v>
      </c>
      <c r="AU182" t="s">
        <v>308</v>
      </c>
      <c r="AV182">
        <v>3.8</v>
      </c>
    </row>
    <row r="183" spans="40:48" ht="21" x14ac:dyDescent="0.35">
      <c r="AN183" t="s">
        <v>77</v>
      </c>
      <c r="AO183" t="s">
        <v>60</v>
      </c>
      <c r="AP183">
        <v>2002</v>
      </c>
      <c r="AQ183" t="s">
        <v>79</v>
      </c>
      <c r="AR183" t="s">
        <v>330</v>
      </c>
      <c r="AS183" t="s">
        <v>305</v>
      </c>
      <c r="AT183" t="s">
        <v>314</v>
      </c>
      <c r="AU183" t="s">
        <v>309</v>
      </c>
      <c r="AV183">
        <v>8.5</v>
      </c>
    </row>
    <row r="184" spans="40:48" ht="21" x14ac:dyDescent="0.35">
      <c r="AN184" t="s">
        <v>77</v>
      </c>
      <c r="AO184" t="s">
        <v>60</v>
      </c>
      <c r="AP184">
        <v>2002</v>
      </c>
      <c r="AQ184" t="s">
        <v>79</v>
      </c>
      <c r="AR184" t="s">
        <v>330</v>
      </c>
      <c r="AS184" t="s">
        <v>305</v>
      </c>
      <c r="AT184" t="s">
        <v>314</v>
      </c>
      <c r="AU184" t="s">
        <v>268</v>
      </c>
      <c r="AV184">
        <v>12.3</v>
      </c>
    </row>
    <row r="185" spans="40:48" ht="21" x14ac:dyDescent="0.35">
      <c r="AN185" t="s">
        <v>77</v>
      </c>
      <c r="AO185" t="s">
        <v>60</v>
      </c>
      <c r="AP185">
        <v>2002</v>
      </c>
      <c r="AQ185" t="s">
        <v>79</v>
      </c>
      <c r="AR185" t="s">
        <v>330</v>
      </c>
      <c r="AS185" t="s">
        <v>305</v>
      </c>
      <c r="AT185" t="s">
        <v>242</v>
      </c>
      <c r="AU185" t="s">
        <v>308</v>
      </c>
      <c r="AV185">
        <v>3</v>
      </c>
    </row>
    <row r="186" spans="40:48" ht="21" x14ac:dyDescent="0.35">
      <c r="AN186" t="s">
        <v>77</v>
      </c>
      <c r="AO186" t="s">
        <v>60</v>
      </c>
      <c r="AP186">
        <v>2002</v>
      </c>
      <c r="AQ186" t="s">
        <v>79</v>
      </c>
      <c r="AR186" t="s">
        <v>330</v>
      </c>
      <c r="AS186" t="s">
        <v>305</v>
      </c>
      <c r="AT186" t="s">
        <v>242</v>
      </c>
      <c r="AU186" t="s">
        <v>309</v>
      </c>
      <c r="AV186">
        <v>8.1</v>
      </c>
    </row>
    <row r="187" spans="40:48" ht="21" x14ac:dyDescent="0.35">
      <c r="AN187" t="s">
        <v>77</v>
      </c>
      <c r="AO187" t="s">
        <v>60</v>
      </c>
      <c r="AP187">
        <v>2002</v>
      </c>
      <c r="AQ187" t="s">
        <v>79</v>
      </c>
      <c r="AR187" t="s">
        <v>330</v>
      </c>
      <c r="AS187" t="s">
        <v>305</v>
      </c>
      <c r="AT187" t="s">
        <v>242</v>
      </c>
      <c r="AU187" t="s">
        <v>268</v>
      </c>
      <c r="AV187">
        <v>11.1</v>
      </c>
    </row>
    <row r="188" spans="40:48" ht="21" x14ac:dyDescent="0.35">
      <c r="AN188" t="s">
        <v>77</v>
      </c>
      <c r="AO188" t="s">
        <v>60</v>
      </c>
      <c r="AP188">
        <v>2002</v>
      </c>
      <c r="AQ188" t="s">
        <v>79</v>
      </c>
      <c r="AR188" t="s">
        <v>330</v>
      </c>
      <c r="AS188" t="s">
        <v>305</v>
      </c>
      <c r="AT188" t="s">
        <v>243</v>
      </c>
      <c r="AU188" t="s">
        <v>326</v>
      </c>
      <c r="AV188">
        <v>21.4</v>
      </c>
    </row>
    <row r="189" spans="40:48" ht="21" x14ac:dyDescent="0.35">
      <c r="AN189" t="s">
        <v>77</v>
      </c>
      <c r="AO189" t="s">
        <v>60</v>
      </c>
      <c r="AP189">
        <v>2002</v>
      </c>
      <c r="AQ189" t="s">
        <v>79</v>
      </c>
      <c r="AR189" t="s">
        <v>330</v>
      </c>
      <c r="AS189" t="s">
        <v>305</v>
      </c>
      <c r="AT189" t="s">
        <v>243</v>
      </c>
      <c r="AU189" t="s">
        <v>327</v>
      </c>
      <c r="AV189">
        <v>48.7</v>
      </c>
    </row>
    <row r="190" spans="40:48" ht="21" x14ac:dyDescent="0.35">
      <c r="AN190" t="s">
        <v>77</v>
      </c>
      <c r="AO190" t="s">
        <v>60</v>
      </c>
      <c r="AP190">
        <v>2002</v>
      </c>
      <c r="AQ190" t="s">
        <v>79</v>
      </c>
      <c r="AR190" t="s">
        <v>330</v>
      </c>
      <c r="AS190" t="s">
        <v>305</v>
      </c>
      <c r="AT190" t="s">
        <v>243</v>
      </c>
      <c r="AU190" t="s">
        <v>329</v>
      </c>
      <c r="AV190">
        <v>70.099999999999994</v>
      </c>
    </row>
    <row r="191" spans="40:48" ht="21" x14ac:dyDescent="0.35">
      <c r="AN191" t="s">
        <v>73</v>
      </c>
      <c r="AO191" t="s">
        <v>60</v>
      </c>
      <c r="AP191">
        <v>2001</v>
      </c>
      <c r="AQ191" t="s">
        <v>62</v>
      </c>
      <c r="AR191" t="s">
        <v>330</v>
      </c>
      <c r="AS191" t="s">
        <v>305</v>
      </c>
      <c r="AT191" t="s">
        <v>218</v>
      </c>
      <c r="AU191" t="s">
        <v>308</v>
      </c>
      <c r="AV191">
        <v>4.5</v>
      </c>
    </row>
    <row r="192" spans="40:48" ht="21" x14ac:dyDescent="0.35">
      <c r="AN192" t="s">
        <v>73</v>
      </c>
      <c r="AO192" t="s">
        <v>60</v>
      </c>
      <c r="AP192">
        <v>2001</v>
      </c>
      <c r="AQ192" t="s">
        <v>62</v>
      </c>
      <c r="AR192" t="s">
        <v>330</v>
      </c>
      <c r="AS192" t="s">
        <v>305</v>
      </c>
      <c r="AT192" t="s">
        <v>218</v>
      </c>
      <c r="AU192" t="s">
        <v>309</v>
      </c>
      <c r="AV192">
        <v>8.15</v>
      </c>
    </row>
    <row r="193" spans="40:48" ht="21" x14ac:dyDescent="0.35">
      <c r="AN193" t="s">
        <v>73</v>
      </c>
      <c r="AO193" t="s">
        <v>60</v>
      </c>
      <c r="AP193">
        <v>2001</v>
      </c>
      <c r="AQ193" t="s">
        <v>62</v>
      </c>
      <c r="AR193" t="s">
        <v>330</v>
      </c>
      <c r="AS193" t="s">
        <v>305</v>
      </c>
      <c r="AT193" t="s">
        <v>218</v>
      </c>
      <c r="AU193" t="s">
        <v>268</v>
      </c>
      <c r="AV193">
        <v>12.65</v>
      </c>
    </row>
    <row r="194" spans="40:48" ht="21" x14ac:dyDescent="0.35">
      <c r="AN194" t="s">
        <v>73</v>
      </c>
      <c r="AO194" t="s">
        <v>60</v>
      </c>
      <c r="AP194">
        <v>2001</v>
      </c>
      <c r="AQ194" t="s">
        <v>62</v>
      </c>
      <c r="AR194" t="s">
        <v>330</v>
      </c>
      <c r="AS194" t="s">
        <v>305</v>
      </c>
      <c r="AT194" t="s">
        <v>238</v>
      </c>
      <c r="AU194" t="s">
        <v>308</v>
      </c>
      <c r="AV194">
        <v>3.1</v>
      </c>
    </row>
    <row r="195" spans="40:48" ht="21" x14ac:dyDescent="0.35">
      <c r="AN195" t="s">
        <v>73</v>
      </c>
      <c r="AO195" t="s">
        <v>60</v>
      </c>
      <c r="AP195">
        <v>2001</v>
      </c>
      <c r="AQ195" t="s">
        <v>62</v>
      </c>
      <c r="AR195" t="s">
        <v>330</v>
      </c>
      <c r="AS195" t="s">
        <v>305</v>
      </c>
      <c r="AT195" t="s">
        <v>238</v>
      </c>
      <c r="AU195" t="s">
        <v>309</v>
      </c>
      <c r="AV195">
        <v>3.05</v>
      </c>
    </row>
    <row r="196" spans="40:48" ht="21" x14ac:dyDescent="0.35">
      <c r="AN196" t="s">
        <v>73</v>
      </c>
      <c r="AO196" t="s">
        <v>60</v>
      </c>
      <c r="AP196">
        <v>2001</v>
      </c>
      <c r="AQ196" t="s">
        <v>62</v>
      </c>
      <c r="AR196" t="s">
        <v>330</v>
      </c>
      <c r="AS196" t="s">
        <v>305</v>
      </c>
      <c r="AT196" t="s">
        <v>238</v>
      </c>
      <c r="AU196" t="s">
        <v>268</v>
      </c>
      <c r="AV196">
        <v>6.15</v>
      </c>
    </row>
    <row r="197" spans="40:48" ht="21" x14ac:dyDescent="0.35">
      <c r="AN197" t="s">
        <v>73</v>
      </c>
      <c r="AO197" t="s">
        <v>60</v>
      </c>
      <c r="AP197">
        <v>2001</v>
      </c>
      <c r="AQ197" t="s">
        <v>62</v>
      </c>
      <c r="AR197" t="s">
        <v>330</v>
      </c>
      <c r="AS197" t="s">
        <v>305</v>
      </c>
      <c r="AT197" t="s">
        <v>239</v>
      </c>
      <c r="AU197" t="s">
        <v>308</v>
      </c>
      <c r="AV197">
        <v>2.8</v>
      </c>
    </row>
    <row r="198" spans="40:48" ht="21" x14ac:dyDescent="0.35">
      <c r="AN198" t="s">
        <v>73</v>
      </c>
      <c r="AO198" t="s">
        <v>60</v>
      </c>
      <c r="AP198">
        <v>2001</v>
      </c>
      <c r="AQ198" t="s">
        <v>62</v>
      </c>
      <c r="AR198" t="s">
        <v>330</v>
      </c>
      <c r="AS198" t="s">
        <v>305</v>
      </c>
      <c r="AT198" t="s">
        <v>239</v>
      </c>
      <c r="AU198" t="s">
        <v>309</v>
      </c>
      <c r="AV198">
        <v>7.1</v>
      </c>
    </row>
    <row r="199" spans="40:48" ht="21" x14ac:dyDescent="0.35">
      <c r="AN199" t="s">
        <v>73</v>
      </c>
      <c r="AO199" t="s">
        <v>60</v>
      </c>
      <c r="AP199">
        <v>2001</v>
      </c>
      <c r="AQ199" t="s">
        <v>62</v>
      </c>
      <c r="AR199" t="s">
        <v>330</v>
      </c>
      <c r="AS199" t="s">
        <v>305</v>
      </c>
      <c r="AT199" t="s">
        <v>239</v>
      </c>
      <c r="AU199" t="s">
        <v>268</v>
      </c>
      <c r="AV199">
        <v>9.9</v>
      </c>
    </row>
    <row r="200" spans="40:48" ht="21" x14ac:dyDescent="0.35">
      <c r="AN200" t="s">
        <v>73</v>
      </c>
      <c r="AO200" t="s">
        <v>60</v>
      </c>
      <c r="AP200">
        <v>2001</v>
      </c>
      <c r="AQ200" t="s">
        <v>62</v>
      </c>
      <c r="AR200" t="s">
        <v>330</v>
      </c>
      <c r="AS200" t="s">
        <v>305</v>
      </c>
      <c r="AT200" t="s">
        <v>240</v>
      </c>
      <c r="AU200" t="s">
        <v>308</v>
      </c>
      <c r="AV200">
        <v>4</v>
      </c>
    </row>
    <row r="201" spans="40:48" ht="21" x14ac:dyDescent="0.35">
      <c r="AN201" t="s">
        <v>73</v>
      </c>
      <c r="AO201" t="s">
        <v>60</v>
      </c>
      <c r="AP201">
        <v>2001</v>
      </c>
      <c r="AQ201" t="s">
        <v>62</v>
      </c>
      <c r="AR201" t="s">
        <v>330</v>
      </c>
      <c r="AS201" t="s">
        <v>305</v>
      </c>
      <c r="AT201" t="s">
        <v>240</v>
      </c>
      <c r="AU201" t="s">
        <v>309</v>
      </c>
      <c r="AV201">
        <v>9.35</v>
      </c>
    </row>
    <row r="202" spans="40:48" ht="21" x14ac:dyDescent="0.35">
      <c r="AN202" t="s">
        <v>73</v>
      </c>
      <c r="AO202" t="s">
        <v>60</v>
      </c>
      <c r="AP202">
        <v>2001</v>
      </c>
      <c r="AQ202" t="s">
        <v>62</v>
      </c>
      <c r="AR202" t="s">
        <v>330</v>
      </c>
      <c r="AS202" t="s">
        <v>305</v>
      </c>
      <c r="AT202" t="s">
        <v>240</v>
      </c>
      <c r="AU202" t="s">
        <v>268</v>
      </c>
      <c r="AV202">
        <v>13.35</v>
      </c>
    </row>
    <row r="203" spans="40:48" ht="21" x14ac:dyDescent="0.35">
      <c r="AN203" t="s">
        <v>73</v>
      </c>
      <c r="AO203" t="s">
        <v>60</v>
      </c>
      <c r="AP203">
        <v>2001</v>
      </c>
      <c r="AQ203" t="s">
        <v>62</v>
      </c>
      <c r="AR203" t="s">
        <v>330</v>
      </c>
      <c r="AS203" t="s">
        <v>305</v>
      </c>
      <c r="AT203" t="s">
        <v>314</v>
      </c>
      <c r="AU203" t="s">
        <v>308</v>
      </c>
      <c r="AV203">
        <v>3.7</v>
      </c>
    </row>
    <row r="204" spans="40:48" ht="21" x14ac:dyDescent="0.35">
      <c r="AN204" t="s">
        <v>73</v>
      </c>
      <c r="AO204" t="s">
        <v>60</v>
      </c>
      <c r="AP204">
        <v>2001</v>
      </c>
      <c r="AQ204" t="s">
        <v>62</v>
      </c>
      <c r="AR204" t="s">
        <v>330</v>
      </c>
      <c r="AS204" t="s">
        <v>305</v>
      </c>
      <c r="AT204" t="s">
        <v>314</v>
      </c>
      <c r="AU204" t="s">
        <v>309</v>
      </c>
      <c r="AV204">
        <v>6.85</v>
      </c>
    </row>
    <row r="205" spans="40:48" ht="21" x14ac:dyDescent="0.35">
      <c r="AN205" t="s">
        <v>73</v>
      </c>
      <c r="AO205" t="s">
        <v>60</v>
      </c>
      <c r="AP205">
        <v>2001</v>
      </c>
      <c r="AQ205" t="s">
        <v>62</v>
      </c>
      <c r="AR205" t="s">
        <v>330</v>
      </c>
      <c r="AS205" t="s">
        <v>305</v>
      </c>
      <c r="AT205" t="s">
        <v>314</v>
      </c>
      <c r="AU205" t="s">
        <v>268</v>
      </c>
      <c r="AV205">
        <v>10.55</v>
      </c>
    </row>
    <row r="206" spans="40:48" ht="21" x14ac:dyDescent="0.35">
      <c r="AN206" t="s">
        <v>73</v>
      </c>
      <c r="AO206" t="s">
        <v>60</v>
      </c>
      <c r="AP206">
        <v>2001</v>
      </c>
      <c r="AQ206" t="s">
        <v>62</v>
      </c>
      <c r="AR206" t="s">
        <v>330</v>
      </c>
      <c r="AS206" t="s">
        <v>305</v>
      </c>
      <c r="AT206" t="s">
        <v>242</v>
      </c>
      <c r="AU206" t="s">
        <v>308</v>
      </c>
      <c r="AV206">
        <v>2.7</v>
      </c>
    </row>
    <row r="207" spans="40:48" ht="21" x14ac:dyDescent="0.35">
      <c r="AN207" t="s">
        <v>73</v>
      </c>
      <c r="AO207" t="s">
        <v>60</v>
      </c>
      <c r="AP207">
        <v>2001</v>
      </c>
      <c r="AQ207" t="s">
        <v>62</v>
      </c>
      <c r="AR207" t="s">
        <v>330</v>
      </c>
      <c r="AS207" t="s">
        <v>305</v>
      </c>
      <c r="AT207" t="s">
        <v>242</v>
      </c>
      <c r="AU207" t="s">
        <v>309</v>
      </c>
      <c r="AV207">
        <v>8.1999999999999993</v>
      </c>
    </row>
    <row r="208" spans="40:48" ht="21" x14ac:dyDescent="0.35">
      <c r="AN208" t="s">
        <v>73</v>
      </c>
      <c r="AO208" t="s">
        <v>60</v>
      </c>
      <c r="AP208">
        <v>2001</v>
      </c>
      <c r="AQ208" t="s">
        <v>62</v>
      </c>
      <c r="AR208" t="s">
        <v>330</v>
      </c>
      <c r="AS208" t="s">
        <v>305</v>
      </c>
      <c r="AT208" t="s">
        <v>242</v>
      </c>
      <c r="AU208" t="s">
        <v>268</v>
      </c>
      <c r="AV208">
        <v>10.9</v>
      </c>
    </row>
    <row r="209" spans="40:48" ht="21" x14ac:dyDescent="0.35">
      <c r="AN209" t="s">
        <v>73</v>
      </c>
      <c r="AO209" t="s">
        <v>60</v>
      </c>
      <c r="AP209">
        <v>2001</v>
      </c>
      <c r="AQ209" t="s">
        <v>62</v>
      </c>
      <c r="AR209" t="s">
        <v>330</v>
      </c>
      <c r="AS209" t="s">
        <v>305</v>
      </c>
      <c r="AT209" t="s">
        <v>243</v>
      </c>
      <c r="AU209" t="s">
        <v>326</v>
      </c>
      <c r="AV209">
        <v>20.799999999999997</v>
      </c>
    </row>
    <row r="210" spans="40:48" ht="21" x14ac:dyDescent="0.35">
      <c r="AN210" t="s">
        <v>73</v>
      </c>
      <c r="AO210" t="s">
        <v>60</v>
      </c>
      <c r="AP210">
        <v>2001</v>
      </c>
      <c r="AQ210" t="s">
        <v>62</v>
      </c>
      <c r="AR210" t="s">
        <v>330</v>
      </c>
      <c r="AS210" t="s">
        <v>305</v>
      </c>
      <c r="AT210" t="s">
        <v>243</v>
      </c>
      <c r="AU210" t="s">
        <v>327</v>
      </c>
      <c r="AV210">
        <v>42.7</v>
      </c>
    </row>
    <row r="211" spans="40:48" ht="21" x14ac:dyDescent="0.35">
      <c r="AN211" t="s">
        <v>73</v>
      </c>
      <c r="AO211" t="s">
        <v>60</v>
      </c>
      <c r="AP211">
        <v>2001</v>
      </c>
      <c r="AQ211" t="s">
        <v>62</v>
      </c>
      <c r="AR211" t="s">
        <v>330</v>
      </c>
      <c r="AS211" t="s">
        <v>305</v>
      </c>
      <c r="AT211" t="s">
        <v>243</v>
      </c>
      <c r="AU211" t="s">
        <v>329</v>
      </c>
      <c r="AV211">
        <v>63.5</v>
      </c>
    </row>
    <row r="212" spans="40:48" ht="21" x14ac:dyDescent="0.35">
      <c r="AN212" t="s">
        <v>84</v>
      </c>
      <c r="AO212" t="s">
        <v>60</v>
      </c>
      <c r="AP212">
        <v>2004</v>
      </c>
      <c r="AQ212" t="s">
        <v>39</v>
      </c>
      <c r="AR212" t="s">
        <v>330</v>
      </c>
      <c r="AS212" t="s">
        <v>305</v>
      </c>
      <c r="AT212" t="s">
        <v>218</v>
      </c>
      <c r="AU212" t="s">
        <v>308</v>
      </c>
      <c r="AV212">
        <v>4.0999999999999996</v>
      </c>
    </row>
    <row r="213" spans="40:48" ht="21" x14ac:dyDescent="0.35">
      <c r="AN213" t="s">
        <v>84</v>
      </c>
      <c r="AO213" t="s">
        <v>60</v>
      </c>
      <c r="AP213">
        <v>2004</v>
      </c>
      <c r="AQ213" t="s">
        <v>39</v>
      </c>
      <c r="AR213" t="s">
        <v>330</v>
      </c>
      <c r="AS213" t="s">
        <v>305</v>
      </c>
      <c r="AT213" t="s">
        <v>218</v>
      </c>
      <c r="AU213" t="s">
        <v>309</v>
      </c>
      <c r="AV213">
        <v>8.4</v>
      </c>
    </row>
    <row r="214" spans="40:48" ht="21" x14ac:dyDescent="0.35">
      <c r="AN214" t="s">
        <v>84</v>
      </c>
      <c r="AO214" t="s">
        <v>60</v>
      </c>
      <c r="AP214">
        <v>2004</v>
      </c>
      <c r="AQ214" t="s">
        <v>39</v>
      </c>
      <c r="AR214" t="s">
        <v>330</v>
      </c>
      <c r="AS214" t="s">
        <v>305</v>
      </c>
      <c r="AT214" t="s">
        <v>218</v>
      </c>
      <c r="AU214" t="s">
        <v>268</v>
      </c>
      <c r="AV214">
        <v>12.5</v>
      </c>
    </row>
    <row r="215" spans="40:48" ht="21" x14ac:dyDescent="0.35">
      <c r="AN215" t="s">
        <v>84</v>
      </c>
      <c r="AO215" t="s">
        <v>60</v>
      </c>
      <c r="AP215">
        <v>2004</v>
      </c>
      <c r="AQ215" t="s">
        <v>39</v>
      </c>
      <c r="AR215" t="s">
        <v>330</v>
      </c>
      <c r="AS215" t="s">
        <v>305</v>
      </c>
      <c r="AT215" t="s">
        <v>238</v>
      </c>
      <c r="AU215" t="s">
        <v>308</v>
      </c>
      <c r="AV215">
        <v>3.2</v>
      </c>
    </row>
    <row r="216" spans="40:48" ht="21" x14ac:dyDescent="0.35">
      <c r="AN216" t="s">
        <v>84</v>
      </c>
      <c r="AO216" t="s">
        <v>60</v>
      </c>
      <c r="AP216">
        <v>2004</v>
      </c>
      <c r="AQ216" t="s">
        <v>39</v>
      </c>
      <c r="AR216" t="s">
        <v>330</v>
      </c>
      <c r="AS216" t="s">
        <v>305</v>
      </c>
      <c r="AT216" t="s">
        <v>238</v>
      </c>
      <c r="AU216" t="s">
        <v>309</v>
      </c>
      <c r="AV216">
        <v>4.5999999999999996</v>
      </c>
    </row>
    <row r="217" spans="40:48" ht="21" x14ac:dyDescent="0.35">
      <c r="AN217" t="s">
        <v>84</v>
      </c>
      <c r="AO217" t="s">
        <v>60</v>
      </c>
      <c r="AP217">
        <v>2004</v>
      </c>
      <c r="AQ217" t="s">
        <v>39</v>
      </c>
      <c r="AR217" t="s">
        <v>330</v>
      </c>
      <c r="AS217" t="s">
        <v>305</v>
      </c>
      <c r="AT217" t="s">
        <v>238</v>
      </c>
      <c r="AU217" t="s">
        <v>268</v>
      </c>
      <c r="AV217">
        <v>7.8</v>
      </c>
    </row>
    <row r="218" spans="40:48" ht="21" x14ac:dyDescent="0.35">
      <c r="AN218" t="s">
        <v>84</v>
      </c>
      <c r="AO218" t="s">
        <v>60</v>
      </c>
      <c r="AP218">
        <v>2004</v>
      </c>
      <c r="AQ218" t="s">
        <v>39</v>
      </c>
      <c r="AR218" t="s">
        <v>330</v>
      </c>
      <c r="AS218" t="s">
        <v>305</v>
      </c>
      <c r="AT218" t="s">
        <v>239</v>
      </c>
      <c r="AU218" t="s">
        <v>308</v>
      </c>
      <c r="AV218">
        <v>2.9</v>
      </c>
    </row>
    <row r="219" spans="40:48" ht="21" x14ac:dyDescent="0.35">
      <c r="AN219" t="s">
        <v>84</v>
      </c>
      <c r="AO219" t="s">
        <v>60</v>
      </c>
      <c r="AP219">
        <v>2004</v>
      </c>
      <c r="AQ219" t="s">
        <v>39</v>
      </c>
      <c r="AR219" t="s">
        <v>330</v>
      </c>
      <c r="AS219" t="s">
        <v>305</v>
      </c>
      <c r="AT219" t="s">
        <v>239</v>
      </c>
      <c r="AU219" t="s">
        <v>309</v>
      </c>
      <c r="AV219">
        <v>6.15</v>
      </c>
    </row>
    <row r="220" spans="40:48" ht="21" x14ac:dyDescent="0.35">
      <c r="AN220" t="s">
        <v>84</v>
      </c>
      <c r="AO220" t="s">
        <v>60</v>
      </c>
      <c r="AP220">
        <v>2004</v>
      </c>
      <c r="AQ220" t="s">
        <v>39</v>
      </c>
      <c r="AR220" t="s">
        <v>330</v>
      </c>
      <c r="AS220" t="s">
        <v>305</v>
      </c>
      <c r="AT220" t="s">
        <v>239</v>
      </c>
      <c r="AU220" t="s">
        <v>268</v>
      </c>
      <c r="AV220">
        <v>9.0500000000000007</v>
      </c>
    </row>
    <row r="221" spans="40:48" ht="21" x14ac:dyDescent="0.35">
      <c r="AN221" t="s">
        <v>84</v>
      </c>
      <c r="AO221" t="s">
        <v>60</v>
      </c>
      <c r="AP221">
        <v>2004</v>
      </c>
      <c r="AQ221" t="s">
        <v>39</v>
      </c>
      <c r="AR221" t="s">
        <v>330</v>
      </c>
      <c r="AS221" t="s">
        <v>305</v>
      </c>
      <c r="AT221" t="s">
        <v>240</v>
      </c>
      <c r="AU221" t="s">
        <v>308</v>
      </c>
      <c r="AV221">
        <v>3.2</v>
      </c>
    </row>
    <row r="222" spans="40:48" ht="21" x14ac:dyDescent="0.35">
      <c r="AN222" t="s">
        <v>84</v>
      </c>
      <c r="AO222" t="s">
        <v>60</v>
      </c>
      <c r="AP222">
        <v>2004</v>
      </c>
      <c r="AQ222" t="s">
        <v>39</v>
      </c>
      <c r="AR222" t="s">
        <v>330</v>
      </c>
      <c r="AS222" t="s">
        <v>305</v>
      </c>
      <c r="AT222" t="s">
        <v>240</v>
      </c>
      <c r="AU222" t="s">
        <v>309</v>
      </c>
      <c r="AV222">
        <v>9.3000000000000007</v>
      </c>
    </row>
    <row r="223" spans="40:48" ht="21" x14ac:dyDescent="0.35">
      <c r="AN223" t="s">
        <v>84</v>
      </c>
      <c r="AO223" t="s">
        <v>60</v>
      </c>
      <c r="AP223">
        <v>2004</v>
      </c>
      <c r="AQ223" t="s">
        <v>39</v>
      </c>
      <c r="AR223" t="s">
        <v>330</v>
      </c>
      <c r="AS223" t="s">
        <v>305</v>
      </c>
      <c r="AT223" t="s">
        <v>240</v>
      </c>
      <c r="AU223" t="s">
        <v>268</v>
      </c>
      <c r="AV223">
        <v>12.5</v>
      </c>
    </row>
    <row r="224" spans="40:48" ht="21" x14ac:dyDescent="0.35">
      <c r="AN224" t="s">
        <v>84</v>
      </c>
      <c r="AO224" t="s">
        <v>60</v>
      </c>
      <c r="AP224">
        <v>2004</v>
      </c>
      <c r="AQ224" t="s">
        <v>39</v>
      </c>
      <c r="AR224" t="s">
        <v>330</v>
      </c>
      <c r="AS224" t="s">
        <v>305</v>
      </c>
      <c r="AT224" t="s">
        <v>314</v>
      </c>
      <c r="AU224" t="s">
        <v>308</v>
      </c>
      <c r="AV224">
        <v>3.6</v>
      </c>
    </row>
    <row r="225" spans="40:48" ht="21" x14ac:dyDescent="0.35">
      <c r="AN225" t="s">
        <v>84</v>
      </c>
      <c r="AO225" t="s">
        <v>60</v>
      </c>
      <c r="AP225">
        <v>2004</v>
      </c>
      <c r="AQ225" t="s">
        <v>39</v>
      </c>
      <c r="AR225" t="s">
        <v>330</v>
      </c>
      <c r="AS225" t="s">
        <v>305</v>
      </c>
      <c r="AT225" t="s">
        <v>314</v>
      </c>
      <c r="AU225" t="s">
        <v>309</v>
      </c>
      <c r="AV225">
        <v>7.9</v>
      </c>
    </row>
    <row r="226" spans="40:48" ht="21" x14ac:dyDescent="0.35">
      <c r="AN226" t="s">
        <v>84</v>
      </c>
      <c r="AO226" t="s">
        <v>60</v>
      </c>
      <c r="AP226">
        <v>2004</v>
      </c>
      <c r="AQ226" t="s">
        <v>39</v>
      </c>
      <c r="AR226" t="s">
        <v>330</v>
      </c>
      <c r="AS226" t="s">
        <v>305</v>
      </c>
      <c r="AT226" t="s">
        <v>314</v>
      </c>
      <c r="AU226" t="s">
        <v>268</v>
      </c>
      <c r="AV226">
        <v>11.5</v>
      </c>
    </row>
    <row r="227" spans="40:48" ht="21" x14ac:dyDescent="0.35">
      <c r="AN227" t="s">
        <v>84</v>
      </c>
      <c r="AO227" t="s">
        <v>60</v>
      </c>
      <c r="AP227">
        <v>2004</v>
      </c>
      <c r="AQ227" t="s">
        <v>39</v>
      </c>
      <c r="AR227" t="s">
        <v>330</v>
      </c>
      <c r="AS227" t="s">
        <v>305</v>
      </c>
      <c r="AT227" t="s">
        <v>242</v>
      </c>
      <c r="AU227" t="s">
        <v>308</v>
      </c>
      <c r="AV227">
        <v>2.9</v>
      </c>
    </row>
    <row r="228" spans="40:48" ht="21" x14ac:dyDescent="0.35">
      <c r="AN228" t="s">
        <v>84</v>
      </c>
      <c r="AO228" t="s">
        <v>60</v>
      </c>
      <c r="AP228">
        <v>2004</v>
      </c>
      <c r="AQ228" t="s">
        <v>39</v>
      </c>
      <c r="AR228" t="s">
        <v>330</v>
      </c>
      <c r="AS228" t="s">
        <v>305</v>
      </c>
      <c r="AT228" t="s">
        <v>242</v>
      </c>
      <c r="AU228" t="s">
        <v>309</v>
      </c>
      <c r="AV228">
        <v>7.25</v>
      </c>
    </row>
    <row r="229" spans="40:48" ht="21" x14ac:dyDescent="0.35">
      <c r="AN229" t="s">
        <v>84</v>
      </c>
      <c r="AO229" t="s">
        <v>60</v>
      </c>
      <c r="AP229">
        <v>2004</v>
      </c>
      <c r="AQ229" t="s">
        <v>39</v>
      </c>
      <c r="AR229" t="s">
        <v>330</v>
      </c>
      <c r="AS229" t="s">
        <v>305</v>
      </c>
      <c r="AT229" t="s">
        <v>242</v>
      </c>
      <c r="AU229" t="s">
        <v>268</v>
      </c>
      <c r="AV229">
        <v>10.15</v>
      </c>
    </row>
    <row r="230" spans="40:48" ht="21" x14ac:dyDescent="0.35">
      <c r="AN230" t="s">
        <v>84</v>
      </c>
      <c r="AO230" t="s">
        <v>60</v>
      </c>
      <c r="AP230">
        <v>2004</v>
      </c>
      <c r="AQ230" t="s">
        <v>39</v>
      </c>
      <c r="AR230" t="s">
        <v>330</v>
      </c>
      <c r="AS230" t="s">
        <v>305</v>
      </c>
      <c r="AT230" t="s">
        <v>243</v>
      </c>
      <c r="AU230" t="s">
        <v>326</v>
      </c>
      <c r="AV230">
        <v>19.899999999999999</v>
      </c>
    </row>
    <row r="231" spans="40:48" ht="21" x14ac:dyDescent="0.35">
      <c r="AN231" t="s">
        <v>84</v>
      </c>
      <c r="AO231" t="s">
        <v>60</v>
      </c>
      <c r="AP231">
        <v>2004</v>
      </c>
      <c r="AQ231" t="s">
        <v>39</v>
      </c>
      <c r="AR231" t="s">
        <v>330</v>
      </c>
      <c r="AS231" t="s">
        <v>305</v>
      </c>
      <c r="AT231" t="s">
        <v>243</v>
      </c>
      <c r="AU231" t="s">
        <v>327</v>
      </c>
      <c r="AV231">
        <v>43.6</v>
      </c>
    </row>
    <row r="232" spans="40:48" ht="21" x14ac:dyDescent="0.35">
      <c r="AN232" t="s">
        <v>84</v>
      </c>
      <c r="AO232" t="s">
        <v>60</v>
      </c>
      <c r="AP232">
        <v>2004</v>
      </c>
      <c r="AQ232" t="s">
        <v>39</v>
      </c>
      <c r="AR232" t="s">
        <v>330</v>
      </c>
      <c r="AS232" t="s">
        <v>305</v>
      </c>
      <c r="AT232" t="s">
        <v>243</v>
      </c>
      <c r="AU232" t="s">
        <v>329</v>
      </c>
      <c r="AV232">
        <v>63.5</v>
      </c>
    </row>
    <row r="233" spans="40:48" ht="21" x14ac:dyDescent="0.35">
      <c r="AN233" t="s">
        <v>70</v>
      </c>
      <c r="AO233" t="s">
        <v>60</v>
      </c>
      <c r="AP233">
        <v>2001</v>
      </c>
      <c r="AQ233" t="s">
        <v>72</v>
      </c>
      <c r="AR233" t="s">
        <v>330</v>
      </c>
      <c r="AS233" t="s">
        <v>306</v>
      </c>
      <c r="AT233" t="s">
        <v>218</v>
      </c>
      <c r="AU233" t="s">
        <v>308</v>
      </c>
      <c r="AV233">
        <v>4.9000000000000004</v>
      </c>
    </row>
    <row r="234" spans="40:48" ht="21" x14ac:dyDescent="0.35">
      <c r="AN234" t="s">
        <v>70</v>
      </c>
      <c r="AO234" t="s">
        <v>60</v>
      </c>
      <c r="AP234">
        <v>2001</v>
      </c>
      <c r="AQ234" t="s">
        <v>72</v>
      </c>
      <c r="AR234" t="s">
        <v>330</v>
      </c>
      <c r="AS234" t="s">
        <v>306</v>
      </c>
      <c r="AT234" t="s">
        <v>218</v>
      </c>
      <c r="AU234" t="s">
        <v>309</v>
      </c>
      <c r="AV234">
        <v>7.6</v>
      </c>
    </row>
    <row r="235" spans="40:48" ht="21" x14ac:dyDescent="0.35">
      <c r="AN235" t="s">
        <v>70</v>
      </c>
      <c r="AO235" t="s">
        <v>60</v>
      </c>
      <c r="AP235">
        <v>2001</v>
      </c>
      <c r="AQ235" t="s">
        <v>72</v>
      </c>
      <c r="AR235" t="s">
        <v>330</v>
      </c>
      <c r="AS235" t="s">
        <v>306</v>
      </c>
      <c r="AT235" t="s">
        <v>218</v>
      </c>
      <c r="AU235" t="s">
        <v>268</v>
      </c>
      <c r="AV235">
        <v>12.5</v>
      </c>
    </row>
    <row r="236" spans="40:48" ht="21" x14ac:dyDescent="0.35">
      <c r="AN236" t="s">
        <v>70</v>
      </c>
      <c r="AO236" t="s">
        <v>60</v>
      </c>
      <c r="AP236">
        <v>2001</v>
      </c>
      <c r="AQ236" t="s">
        <v>72</v>
      </c>
      <c r="AR236" t="s">
        <v>330</v>
      </c>
      <c r="AS236" t="s">
        <v>306</v>
      </c>
      <c r="AT236" t="s">
        <v>238</v>
      </c>
      <c r="AU236" t="s">
        <v>308</v>
      </c>
      <c r="AV236">
        <v>3.6</v>
      </c>
    </row>
    <row r="237" spans="40:48" ht="21" x14ac:dyDescent="0.35">
      <c r="AN237" t="s">
        <v>70</v>
      </c>
      <c r="AO237" t="s">
        <v>60</v>
      </c>
      <c r="AP237">
        <v>2001</v>
      </c>
      <c r="AQ237" t="s">
        <v>72</v>
      </c>
      <c r="AR237" t="s">
        <v>330</v>
      </c>
      <c r="AS237" t="s">
        <v>306</v>
      </c>
      <c r="AT237" t="s">
        <v>238</v>
      </c>
      <c r="AU237" t="s">
        <v>309</v>
      </c>
      <c r="AV237">
        <v>6.7</v>
      </c>
    </row>
    <row r="238" spans="40:48" ht="21" x14ac:dyDescent="0.35">
      <c r="AN238" t="s">
        <v>70</v>
      </c>
      <c r="AO238" t="s">
        <v>60</v>
      </c>
      <c r="AP238">
        <v>2001</v>
      </c>
      <c r="AQ238" t="s">
        <v>72</v>
      </c>
      <c r="AR238" t="s">
        <v>330</v>
      </c>
      <c r="AS238" t="s">
        <v>306</v>
      </c>
      <c r="AT238" t="s">
        <v>238</v>
      </c>
      <c r="AU238" t="s">
        <v>268</v>
      </c>
      <c r="AV238">
        <v>10.3</v>
      </c>
    </row>
    <row r="239" spans="40:48" ht="21" x14ac:dyDescent="0.35">
      <c r="AN239" t="s">
        <v>70</v>
      </c>
      <c r="AO239" t="s">
        <v>60</v>
      </c>
      <c r="AP239">
        <v>2001</v>
      </c>
      <c r="AQ239" t="s">
        <v>72</v>
      </c>
      <c r="AR239" t="s">
        <v>330</v>
      </c>
      <c r="AS239" t="s">
        <v>306</v>
      </c>
      <c r="AT239" t="s">
        <v>239</v>
      </c>
      <c r="AU239" t="s">
        <v>308</v>
      </c>
      <c r="AV239">
        <v>4.0999999999999996</v>
      </c>
    </row>
    <row r="240" spans="40:48" ht="21" x14ac:dyDescent="0.35">
      <c r="AN240" t="s">
        <v>70</v>
      </c>
      <c r="AO240" t="s">
        <v>60</v>
      </c>
      <c r="AP240">
        <v>2001</v>
      </c>
      <c r="AQ240" t="s">
        <v>72</v>
      </c>
      <c r="AR240" t="s">
        <v>330</v>
      </c>
      <c r="AS240" t="s">
        <v>306</v>
      </c>
      <c r="AT240" t="s">
        <v>239</v>
      </c>
      <c r="AU240" t="s">
        <v>309</v>
      </c>
      <c r="AV240">
        <v>7.8</v>
      </c>
    </row>
    <row r="241" spans="40:48" ht="21" x14ac:dyDescent="0.35">
      <c r="AN241" t="s">
        <v>70</v>
      </c>
      <c r="AO241" t="s">
        <v>60</v>
      </c>
      <c r="AP241">
        <v>2001</v>
      </c>
      <c r="AQ241" t="s">
        <v>72</v>
      </c>
      <c r="AR241" t="s">
        <v>330</v>
      </c>
      <c r="AS241" t="s">
        <v>306</v>
      </c>
      <c r="AT241" t="s">
        <v>239</v>
      </c>
      <c r="AU241" t="s">
        <v>268</v>
      </c>
      <c r="AV241">
        <v>11.9</v>
      </c>
    </row>
    <row r="242" spans="40:48" ht="21" x14ac:dyDescent="0.35">
      <c r="AN242" t="s">
        <v>70</v>
      </c>
      <c r="AO242" t="s">
        <v>60</v>
      </c>
      <c r="AP242">
        <v>2001</v>
      </c>
      <c r="AQ242" t="s">
        <v>72</v>
      </c>
      <c r="AR242" t="s">
        <v>330</v>
      </c>
      <c r="AS242" t="s">
        <v>306</v>
      </c>
      <c r="AT242" t="s">
        <v>240</v>
      </c>
      <c r="AU242" t="s">
        <v>308</v>
      </c>
      <c r="AV242">
        <v>5.2</v>
      </c>
    </row>
    <row r="243" spans="40:48" ht="21" x14ac:dyDescent="0.35">
      <c r="AN243" t="s">
        <v>70</v>
      </c>
      <c r="AO243" t="s">
        <v>60</v>
      </c>
      <c r="AP243">
        <v>2001</v>
      </c>
      <c r="AQ243" t="s">
        <v>72</v>
      </c>
      <c r="AR243" t="s">
        <v>330</v>
      </c>
      <c r="AS243" t="s">
        <v>306</v>
      </c>
      <c r="AT243" t="s">
        <v>240</v>
      </c>
      <c r="AU243" t="s">
        <v>309</v>
      </c>
      <c r="AV243">
        <v>7.65</v>
      </c>
    </row>
    <row r="244" spans="40:48" ht="21" x14ac:dyDescent="0.35">
      <c r="AN244" t="s">
        <v>70</v>
      </c>
      <c r="AO244" t="s">
        <v>60</v>
      </c>
      <c r="AP244">
        <v>2001</v>
      </c>
      <c r="AQ244" t="s">
        <v>72</v>
      </c>
      <c r="AR244" t="s">
        <v>330</v>
      </c>
      <c r="AS244" t="s">
        <v>306</v>
      </c>
      <c r="AT244" t="s">
        <v>240</v>
      </c>
      <c r="AU244" t="s">
        <v>268</v>
      </c>
      <c r="AV244">
        <v>12.85</v>
      </c>
    </row>
    <row r="245" spans="40:48" ht="21" x14ac:dyDescent="0.35">
      <c r="AN245" t="s">
        <v>70</v>
      </c>
      <c r="AO245" t="s">
        <v>60</v>
      </c>
      <c r="AP245">
        <v>2001</v>
      </c>
      <c r="AQ245" t="s">
        <v>72</v>
      </c>
      <c r="AR245" t="s">
        <v>330</v>
      </c>
      <c r="AS245" t="s">
        <v>306</v>
      </c>
      <c r="AT245" t="s">
        <v>314</v>
      </c>
      <c r="AU245" t="s">
        <v>308</v>
      </c>
      <c r="AV245">
        <v>0</v>
      </c>
    </row>
    <row r="246" spans="40:48" ht="21" x14ac:dyDescent="0.35">
      <c r="AN246" t="s">
        <v>70</v>
      </c>
      <c r="AO246" t="s">
        <v>60</v>
      </c>
      <c r="AP246">
        <v>2001</v>
      </c>
      <c r="AQ246" t="s">
        <v>72</v>
      </c>
      <c r="AR246" t="s">
        <v>330</v>
      </c>
      <c r="AS246" t="s">
        <v>306</v>
      </c>
      <c r="AT246" t="s">
        <v>314</v>
      </c>
      <c r="AU246" t="s">
        <v>309</v>
      </c>
      <c r="AV246">
        <v>0</v>
      </c>
    </row>
    <row r="247" spans="40:48" ht="21" x14ac:dyDescent="0.35">
      <c r="AN247" t="s">
        <v>70</v>
      </c>
      <c r="AO247" t="s">
        <v>60</v>
      </c>
      <c r="AP247">
        <v>2001</v>
      </c>
      <c r="AQ247" t="s">
        <v>72</v>
      </c>
      <c r="AR247" t="s">
        <v>330</v>
      </c>
      <c r="AS247" t="s">
        <v>306</v>
      </c>
      <c r="AT247" t="s">
        <v>314</v>
      </c>
      <c r="AU247" t="s">
        <v>268</v>
      </c>
      <c r="AV247">
        <v>0</v>
      </c>
    </row>
    <row r="248" spans="40:48" ht="21" x14ac:dyDescent="0.35">
      <c r="AN248" t="s">
        <v>70</v>
      </c>
      <c r="AO248" t="s">
        <v>60</v>
      </c>
      <c r="AP248">
        <v>2001</v>
      </c>
      <c r="AQ248" t="s">
        <v>72</v>
      </c>
      <c r="AR248" t="s">
        <v>330</v>
      </c>
      <c r="AS248" t="s">
        <v>306</v>
      </c>
      <c r="AT248" t="s">
        <v>242</v>
      </c>
      <c r="AU248" t="s">
        <v>308</v>
      </c>
      <c r="AV248">
        <v>3.7</v>
      </c>
    </row>
    <row r="249" spans="40:48" ht="21" x14ac:dyDescent="0.35">
      <c r="AN249" t="s">
        <v>70</v>
      </c>
      <c r="AO249" t="s">
        <v>60</v>
      </c>
      <c r="AP249">
        <v>2001</v>
      </c>
      <c r="AQ249" t="s">
        <v>72</v>
      </c>
      <c r="AR249" t="s">
        <v>330</v>
      </c>
      <c r="AS249" t="s">
        <v>306</v>
      </c>
      <c r="AT249" t="s">
        <v>242</v>
      </c>
      <c r="AU249" t="s">
        <v>309</v>
      </c>
      <c r="AV249">
        <v>7.4</v>
      </c>
    </row>
    <row r="250" spans="40:48" ht="21" x14ac:dyDescent="0.35">
      <c r="AN250" t="s">
        <v>70</v>
      </c>
      <c r="AO250" t="s">
        <v>60</v>
      </c>
      <c r="AP250">
        <v>2001</v>
      </c>
      <c r="AQ250" t="s">
        <v>72</v>
      </c>
      <c r="AR250" t="s">
        <v>330</v>
      </c>
      <c r="AS250" t="s">
        <v>306</v>
      </c>
      <c r="AT250" t="s">
        <v>242</v>
      </c>
      <c r="AU250" t="s">
        <v>268</v>
      </c>
      <c r="AV250">
        <v>11.1</v>
      </c>
    </row>
    <row r="251" spans="40:48" ht="21" x14ac:dyDescent="0.35">
      <c r="AN251" t="s">
        <v>70</v>
      </c>
      <c r="AO251" t="s">
        <v>60</v>
      </c>
      <c r="AP251">
        <v>2001</v>
      </c>
      <c r="AQ251" t="s">
        <v>72</v>
      </c>
      <c r="AR251" t="s">
        <v>330</v>
      </c>
      <c r="AS251" t="s">
        <v>306</v>
      </c>
      <c r="AT251" t="s">
        <v>243</v>
      </c>
      <c r="AU251" t="s">
        <v>326</v>
      </c>
      <c r="AV251">
        <v>0</v>
      </c>
    </row>
    <row r="252" spans="40:48" ht="21" x14ac:dyDescent="0.35">
      <c r="AN252" t="s">
        <v>70</v>
      </c>
      <c r="AO252" t="s">
        <v>60</v>
      </c>
      <c r="AP252">
        <v>2001</v>
      </c>
      <c r="AQ252" t="s">
        <v>72</v>
      </c>
      <c r="AR252" t="s">
        <v>330</v>
      </c>
      <c r="AS252" t="s">
        <v>306</v>
      </c>
      <c r="AT252" t="s">
        <v>243</v>
      </c>
      <c r="AU252" t="s">
        <v>327</v>
      </c>
      <c r="AV252">
        <v>0</v>
      </c>
    </row>
    <row r="253" spans="40:48" ht="21" x14ac:dyDescent="0.35">
      <c r="AN253" t="s">
        <v>70</v>
      </c>
      <c r="AO253" t="s">
        <v>60</v>
      </c>
      <c r="AP253">
        <v>2001</v>
      </c>
      <c r="AQ253" t="s">
        <v>72</v>
      </c>
      <c r="AR253" t="s">
        <v>330</v>
      </c>
      <c r="AS253" t="s">
        <v>306</v>
      </c>
      <c r="AT253" t="s">
        <v>243</v>
      </c>
      <c r="AU253" t="s">
        <v>329</v>
      </c>
      <c r="AV253">
        <v>58.65</v>
      </c>
    </row>
    <row r="254" spans="40:48" ht="21" x14ac:dyDescent="0.35">
      <c r="AN254" t="s">
        <v>82</v>
      </c>
      <c r="AO254" t="s">
        <v>60</v>
      </c>
      <c r="AP254">
        <v>2003</v>
      </c>
      <c r="AQ254" t="s">
        <v>36</v>
      </c>
      <c r="AR254" t="s">
        <v>330</v>
      </c>
      <c r="AS254" t="s">
        <v>306</v>
      </c>
      <c r="AT254" t="s">
        <v>218</v>
      </c>
      <c r="AU254" t="s">
        <v>308</v>
      </c>
      <c r="AV254">
        <v>4.0999999999999996</v>
      </c>
    </row>
    <row r="255" spans="40:48" ht="21" x14ac:dyDescent="0.35">
      <c r="AN255" t="s">
        <v>82</v>
      </c>
      <c r="AO255" t="s">
        <v>60</v>
      </c>
      <c r="AP255">
        <v>2003</v>
      </c>
      <c r="AQ255" t="s">
        <v>36</v>
      </c>
      <c r="AR255" t="s">
        <v>330</v>
      </c>
      <c r="AS255" t="s">
        <v>306</v>
      </c>
      <c r="AT255" t="s">
        <v>218</v>
      </c>
      <c r="AU255" t="s">
        <v>309</v>
      </c>
      <c r="AV255">
        <v>6.7</v>
      </c>
    </row>
    <row r="256" spans="40:48" ht="21" x14ac:dyDescent="0.35">
      <c r="AN256" t="s">
        <v>82</v>
      </c>
      <c r="AO256" t="s">
        <v>60</v>
      </c>
      <c r="AP256">
        <v>2003</v>
      </c>
      <c r="AQ256" t="s">
        <v>36</v>
      </c>
      <c r="AR256" t="s">
        <v>330</v>
      </c>
      <c r="AS256" t="s">
        <v>306</v>
      </c>
      <c r="AT256" t="s">
        <v>218</v>
      </c>
      <c r="AU256" t="s">
        <v>268</v>
      </c>
      <c r="AV256">
        <v>10.8</v>
      </c>
    </row>
    <row r="257" spans="40:48" ht="21" x14ac:dyDescent="0.35">
      <c r="AN257" t="s">
        <v>82</v>
      </c>
      <c r="AO257" t="s">
        <v>60</v>
      </c>
      <c r="AP257">
        <v>2003</v>
      </c>
      <c r="AQ257" t="s">
        <v>36</v>
      </c>
      <c r="AR257" t="s">
        <v>330</v>
      </c>
      <c r="AS257" t="s">
        <v>306</v>
      </c>
      <c r="AT257" t="s">
        <v>238</v>
      </c>
      <c r="AU257" t="s">
        <v>308</v>
      </c>
      <c r="AV257">
        <v>0</v>
      </c>
    </row>
    <row r="258" spans="40:48" ht="21" x14ac:dyDescent="0.35">
      <c r="AN258" t="s">
        <v>82</v>
      </c>
      <c r="AO258" t="s">
        <v>60</v>
      </c>
      <c r="AP258">
        <v>2003</v>
      </c>
      <c r="AQ258" t="s">
        <v>36</v>
      </c>
      <c r="AR258" t="s">
        <v>330</v>
      </c>
      <c r="AS258" t="s">
        <v>306</v>
      </c>
      <c r="AT258" t="s">
        <v>238</v>
      </c>
      <c r="AU258" t="s">
        <v>309</v>
      </c>
      <c r="AV258">
        <v>0</v>
      </c>
    </row>
    <row r="259" spans="40:48" ht="21" x14ac:dyDescent="0.35">
      <c r="AN259" t="s">
        <v>82</v>
      </c>
      <c r="AO259" t="s">
        <v>60</v>
      </c>
      <c r="AP259">
        <v>2003</v>
      </c>
      <c r="AQ259" t="s">
        <v>36</v>
      </c>
      <c r="AR259" t="s">
        <v>330</v>
      </c>
      <c r="AS259" t="s">
        <v>306</v>
      </c>
      <c r="AT259" t="s">
        <v>238</v>
      </c>
      <c r="AU259" t="s">
        <v>268</v>
      </c>
      <c r="AV259">
        <v>0</v>
      </c>
    </row>
    <row r="260" spans="40:48" ht="21" x14ac:dyDescent="0.35">
      <c r="AN260" t="s">
        <v>82</v>
      </c>
      <c r="AO260" t="s">
        <v>60</v>
      </c>
      <c r="AP260">
        <v>2003</v>
      </c>
      <c r="AQ260" t="s">
        <v>36</v>
      </c>
      <c r="AR260" t="s">
        <v>330</v>
      </c>
      <c r="AS260" t="s">
        <v>306</v>
      </c>
      <c r="AT260" t="s">
        <v>239</v>
      </c>
      <c r="AU260" t="s">
        <v>308</v>
      </c>
      <c r="AV260">
        <v>3.8</v>
      </c>
    </row>
    <row r="261" spans="40:48" ht="21" x14ac:dyDescent="0.35">
      <c r="AN261" t="s">
        <v>82</v>
      </c>
      <c r="AO261" t="s">
        <v>60</v>
      </c>
      <c r="AP261">
        <v>2003</v>
      </c>
      <c r="AQ261" t="s">
        <v>36</v>
      </c>
      <c r="AR261" t="s">
        <v>330</v>
      </c>
      <c r="AS261" t="s">
        <v>306</v>
      </c>
      <c r="AT261" t="s">
        <v>239</v>
      </c>
      <c r="AU261" t="s">
        <v>309</v>
      </c>
      <c r="AV261">
        <v>7.7</v>
      </c>
    </row>
    <row r="262" spans="40:48" ht="21" x14ac:dyDescent="0.35">
      <c r="AN262" t="s">
        <v>82</v>
      </c>
      <c r="AO262" t="s">
        <v>60</v>
      </c>
      <c r="AP262">
        <v>2003</v>
      </c>
      <c r="AQ262" t="s">
        <v>36</v>
      </c>
      <c r="AR262" t="s">
        <v>330</v>
      </c>
      <c r="AS262" t="s">
        <v>306</v>
      </c>
      <c r="AT262" t="s">
        <v>239</v>
      </c>
      <c r="AU262" t="s">
        <v>268</v>
      </c>
      <c r="AV262">
        <v>11.5</v>
      </c>
    </row>
    <row r="263" spans="40:48" ht="21" x14ac:dyDescent="0.35">
      <c r="AN263" t="s">
        <v>82</v>
      </c>
      <c r="AO263" t="s">
        <v>60</v>
      </c>
      <c r="AP263">
        <v>2003</v>
      </c>
      <c r="AQ263" t="s">
        <v>36</v>
      </c>
      <c r="AR263" t="s">
        <v>330</v>
      </c>
      <c r="AS263" t="s">
        <v>306</v>
      </c>
      <c r="AT263" t="s">
        <v>240</v>
      </c>
      <c r="AU263" t="s">
        <v>308</v>
      </c>
      <c r="AV263">
        <v>4</v>
      </c>
    </row>
    <row r="264" spans="40:48" x14ac:dyDescent="0.25">
      <c r="AN264" t="s">
        <v>82</v>
      </c>
      <c r="AO264" t="s">
        <v>60</v>
      </c>
      <c r="AP264">
        <v>2003</v>
      </c>
      <c r="AQ264" t="s">
        <v>36</v>
      </c>
      <c r="AR264" t="s">
        <v>330</v>
      </c>
      <c r="AS264" t="s">
        <v>306</v>
      </c>
      <c r="AT264" t="s">
        <v>240</v>
      </c>
      <c r="AU264" t="s">
        <v>309</v>
      </c>
      <c r="AV264">
        <v>9.1</v>
      </c>
    </row>
    <row r="265" spans="40:48" x14ac:dyDescent="0.25">
      <c r="AN265" t="s">
        <v>82</v>
      </c>
      <c r="AO265" t="s">
        <v>60</v>
      </c>
      <c r="AP265">
        <v>2003</v>
      </c>
      <c r="AQ265" t="s">
        <v>36</v>
      </c>
      <c r="AR265" t="s">
        <v>330</v>
      </c>
      <c r="AS265" t="s">
        <v>306</v>
      </c>
      <c r="AT265" t="s">
        <v>240</v>
      </c>
      <c r="AU265" t="s">
        <v>268</v>
      </c>
      <c r="AV265">
        <v>13.1</v>
      </c>
    </row>
    <row r="266" spans="40:48" x14ac:dyDescent="0.25">
      <c r="AN266" t="s">
        <v>82</v>
      </c>
      <c r="AO266" t="s">
        <v>60</v>
      </c>
      <c r="AP266">
        <v>2003</v>
      </c>
      <c r="AQ266" t="s">
        <v>36</v>
      </c>
      <c r="AR266" t="s">
        <v>330</v>
      </c>
      <c r="AS266" t="s">
        <v>306</v>
      </c>
      <c r="AT266" t="s">
        <v>314</v>
      </c>
      <c r="AU266" t="s">
        <v>308</v>
      </c>
      <c r="AV266">
        <v>2.5</v>
      </c>
    </row>
    <row r="267" spans="40:48" x14ac:dyDescent="0.25">
      <c r="AN267" t="s">
        <v>82</v>
      </c>
      <c r="AO267" t="s">
        <v>60</v>
      </c>
      <c r="AP267">
        <v>2003</v>
      </c>
      <c r="AQ267" t="s">
        <v>36</v>
      </c>
      <c r="AR267" t="s">
        <v>330</v>
      </c>
      <c r="AS267" t="s">
        <v>306</v>
      </c>
      <c r="AT267" t="s">
        <v>314</v>
      </c>
      <c r="AU267" t="s">
        <v>309</v>
      </c>
      <c r="AV267">
        <v>7.15</v>
      </c>
    </row>
    <row r="268" spans="40:48" x14ac:dyDescent="0.25">
      <c r="AN268" t="s">
        <v>82</v>
      </c>
      <c r="AO268" t="s">
        <v>60</v>
      </c>
      <c r="AP268">
        <v>2003</v>
      </c>
      <c r="AQ268" t="s">
        <v>36</v>
      </c>
      <c r="AR268" t="s">
        <v>330</v>
      </c>
      <c r="AS268" t="s">
        <v>306</v>
      </c>
      <c r="AT268" t="s">
        <v>314</v>
      </c>
      <c r="AU268" t="s">
        <v>268</v>
      </c>
      <c r="AV268">
        <v>9.65</v>
      </c>
    </row>
    <row r="269" spans="40:48" x14ac:dyDescent="0.25">
      <c r="AN269" t="s">
        <v>82</v>
      </c>
      <c r="AO269" t="s">
        <v>60</v>
      </c>
      <c r="AP269">
        <v>2003</v>
      </c>
      <c r="AQ269" t="s">
        <v>36</v>
      </c>
      <c r="AR269" t="s">
        <v>330</v>
      </c>
      <c r="AS269" t="s">
        <v>306</v>
      </c>
      <c r="AT269" t="s">
        <v>242</v>
      </c>
      <c r="AU269" t="s">
        <v>308</v>
      </c>
      <c r="AV269">
        <v>4</v>
      </c>
    </row>
    <row r="270" spans="40:48" x14ac:dyDescent="0.25">
      <c r="AN270" t="s">
        <v>82</v>
      </c>
      <c r="AO270" t="s">
        <v>60</v>
      </c>
      <c r="AP270">
        <v>2003</v>
      </c>
      <c r="AQ270" t="s">
        <v>36</v>
      </c>
      <c r="AR270" t="s">
        <v>330</v>
      </c>
      <c r="AS270" t="s">
        <v>306</v>
      </c>
      <c r="AT270" t="s">
        <v>242</v>
      </c>
      <c r="AU270" t="s">
        <v>309</v>
      </c>
      <c r="AV270">
        <v>8.25</v>
      </c>
    </row>
    <row r="271" spans="40:48" x14ac:dyDescent="0.25">
      <c r="AN271" t="s">
        <v>82</v>
      </c>
      <c r="AO271" t="s">
        <v>60</v>
      </c>
      <c r="AP271">
        <v>2003</v>
      </c>
      <c r="AQ271" t="s">
        <v>36</v>
      </c>
      <c r="AR271" t="s">
        <v>330</v>
      </c>
      <c r="AS271" t="s">
        <v>306</v>
      </c>
      <c r="AT271" t="s">
        <v>242</v>
      </c>
      <c r="AU271" t="s">
        <v>268</v>
      </c>
      <c r="AV271">
        <v>12.25</v>
      </c>
    </row>
    <row r="272" spans="40:48" x14ac:dyDescent="0.25">
      <c r="AN272" t="s">
        <v>82</v>
      </c>
      <c r="AO272" t="s">
        <v>60</v>
      </c>
      <c r="AP272">
        <v>2003</v>
      </c>
      <c r="AQ272" t="s">
        <v>36</v>
      </c>
      <c r="AR272" t="s">
        <v>330</v>
      </c>
      <c r="AS272" t="s">
        <v>306</v>
      </c>
      <c r="AT272" t="s">
        <v>243</v>
      </c>
      <c r="AU272" t="s">
        <v>326</v>
      </c>
      <c r="AV272">
        <v>0</v>
      </c>
    </row>
    <row r="273" spans="40:48" x14ac:dyDescent="0.25">
      <c r="AN273" t="s">
        <v>82</v>
      </c>
      <c r="AO273" t="s">
        <v>60</v>
      </c>
      <c r="AP273">
        <v>2003</v>
      </c>
      <c r="AQ273" t="s">
        <v>36</v>
      </c>
      <c r="AR273" t="s">
        <v>330</v>
      </c>
      <c r="AS273" t="s">
        <v>306</v>
      </c>
      <c r="AT273" t="s">
        <v>243</v>
      </c>
      <c r="AU273" t="s">
        <v>327</v>
      </c>
      <c r="AV273">
        <v>0</v>
      </c>
    </row>
    <row r="274" spans="40:48" x14ac:dyDescent="0.25">
      <c r="AN274" t="s">
        <v>82</v>
      </c>
      <c r="AO274" t="s">
        <v>60</v>
      </c>
      <c r="AP274">
        <v>2003</v>
      </c>
      <c r="AQ274" t="s">
        <v>36</v>
      </c>
      <c r="AR274" t="s">
        <v>330</v>
      </c>
      <c r="AS274" t="s">
        <v>306</v>
      </c>
      <c r="AT274" t="s">
        <v>243</v>
      </c>
      <c r="AU274" t="s">
        <v>329</v>
      </c>
      <c r="AV274">
        <v>57.3</v>
      </c>
    </row>
    <row r="275" spans="40:48" x14ac:dyDescent="0.25">
      <c r="AN275" t="s">
        <v>90</v>
      </c>
      <c r="AO275" t="s">
        <v>60</v>
      </c>
      <c r="AP275">
        <v>2004</v>
      </c>
      <c r="AQ275" t="s">
        <v>36</v>
      </c>
      <c r="AR275" t="s">
        <v>330</v>
      </c>
      <c r="AS275" t="s">
        <v>306</v>
      </c>
      <c r="AT275" t="s">
        <v>218</v>
      </c>
      <c r="AU275" t="s">
        <v>308</v>
      </c>
      <c r="AV275">
        <v>4</v>
      </c>
    </row>
    <row r="276" spans="40:48" x14ac:dyDescent="0.25">
      <c r="AN276" t="s">
        <v>90</v>
      </c>
      <c r="AO276" t="s">
        <v>60</v>
      </c>
      <c r="AP276">
        <v>2004</v>
      </c>
      <c r="AQ276" t="s">
        <v>36</v>
      </c>
      <c r="AR276" t="s">
        <v>330</v>
      </c>
      <c r="AS276" t="s">
        <v>306</v>
      </c>
      <c r="AT276" t="s">
        <v>218</v>
      </c>
      <c r="AU276" t="s">
        <v>309</v>
      </c>
      <c r="AV276">
        <v>7.9</v>
      </c>
    </row>
    <row r="277" spans="40:48" x14ac:dyDescent="0.25">
      <c r="AN277" t="s">
        <v>90</v>
      </c>
      <c r="AO277" t="s">
        <v>60</v>
      </c>
      <c r="AP277">
        <v>2004</v>
      </c>
      <c r="AQ277" t="s">
        <v>36</v>
      </c>
      <c r="AR277" t="s">
        <v>330</v>
      </c>
      <c r="AS277" t="s">
        <v>306</v>
      </c>
      <c r="AT277" t="s">
        <v>218</v>
      </c>
      <c r="AU277" t="s">
        <v>268</v>
      </c>
      <c r="AV277">
        <v>11.9</v>
      </c>
    </row>
    <row r="278" spans="40:48" x14ac:dyDescent="0.25">
      <c r="AN278" t="s">
        <v>90</v>
      </c>
      <c r="AO278" t="s">
        <v>60</v>
      </c>
      <c r="AP278">
        <v>2004</v>
      </c>
      <c r="AQ278" t="s">
        <v>36</v>
      </c>
      <c r="AR278" t="s">
        <v>330</v>
      </c>
      <c r="AS278" t="s">
        <v>306</v>
      </c>
      <c r="AT278" t="s">
        <v>238</v>
      </c>
      <c r="AU278" t="s">
        <v>308</v>
      </c>
      <c r="AV278">
        <v>2.9</v>
      </c>
    </row>
    <row r="279" spans="40:48" x14ac:dyDescent="0.25">
      <c r="AN279" t="s">
        <v>90</v>
      </c>
      <c r="AO279" t="s">
        <v>60</v>
      </c>
      <c r="AP279">
        <v>2004</v>
      </c>
      <c r="AQ279" t="s">
        <v>36</v>
      </c>
      <c r="AR279" t="s">
        <v>330</v>
      </c>
      <c r="AS279" t="s">
        <v>306</v>
      </c>
      <c r="AT279" t="s">
        <v>238</v>
      </c>
      <c r="AU279" t="s">
        <v>309</v>
      </c>
      <c r="AV279">
        <v>5</v>
      </c>
    </row>
    <row r="280" spans="40:48" x14ac:dyDescent="0.25">
      <c r="AN280" t="s">
        <v>90</v>
      </c>
      <c r="AO280" t="s">
        <v>60</v>
      </c>
      <c r="AP280">
        <v>2004</v>
      </c>
      <c r="AQ280" t="s">
        <v>36</v>
      </c>
      <c r="AR280" t="s">
        <v>330</v>
      </c>
      <c r="AS280" t="s">
        <v>306</v>
      </c>
      <c r="AT280" t="s">
        <v>238</v>
      </c>
      <c r="AU280" t="s">
        <v>268</v>
      </c>
      <c r="AV280">
        <v>7.9</v>
      </c>
    </row>
    <row r="281" spans="40:48" x14ac:dyDescent="0.25">
      <c r="AN281" t="s">
        <v>90</v>
      </c>
      <c r="AO281" t="s">
        <v>60</v>
      </c>
      <c r="AP281">
        <v>2004</v>
      </c>
      <c r="AQ281" t="s">
        <v>36</v>
      </c>
      <c r="AR281" t="s">
        <v>330</v>
      </c>
      <c r="AS281" t="s">
        <v>306</v>
      </c>
      <c r="AT281" t="s">
        <v>239</v>
      </c>
      <c r="AU281" t="s">
        <v>308</v>
      </c>
      <c r="AV281">
        <v>3</v>
      </c>
    </row>
    <row r="282" spans="40:48" x14ac:dyDescent="0.25">
      <c r="AN282" t="s">
        <v>90</v>
      </c>
      <c r="AO282" t="s">
        <v>60</v>
      </c>
      <c r="AP282">
        <v>2004</v>
      </c>
      <c r="AQ282" t="s">
        <v>36</v>
      </c>
      <c r="AR282" t="s">
        <v>330</v>
      </c>
      <c r="AS282" t="s">
        <v>306</v>
      </c>
      <c r="AT282" t="s">
        <v>239</v>
      </c>
      <c r="AU282" t="s">
        <v>309</v>
      </c>
      <c r="AV282">
        <v>6.35</v>
      </c>
    </row>
    <row r="283" spans="40:48" x14ac:dyDescent="0.25">
      <c r="AN283" t="s">
        <v>90</v>
      </c>
      <c r="AO283" t="s">
        <v>60</v>
      </c>
      <c r="AP283">
        <v>2004</v>
      </c>
      <c r="AQ283" t="s">
        <v>36</v>
      </c>
      <c r="AR283" t="s">
        <v>330</v>
      </c>
      <c r="AS283" t="s">
        <v>306</v>
      </c>
      <c r="AT283" t="s">
        <v>239</v>
      </c>
      <c r="AU283" t="s">
        <v>268</v>
      </c>
      <c r="AV283">
        <v>9.35</v>
      </c>
    </row>
    <row r="284" spans="40:48" x14ac:dyDescent="0.25">
      <c r="AN284" t="s">
        <v>90</v>
      </c>
      <c r="AO284" t="s">
        <v>60</v>
      </c>
      <c r="AP284">
        <v>2004</v>
      </c>
      <c r="AQ284" t="s">
        <v>36</v>
      </c>
      <c r="AR284" t="s">
        <v>330</v>
      </c>
      <c r="AS284" t="s">
        <v>306</v>
      </c>
      <c r="AT284" t="s">
        <v>240</v>
      </c>
      <c r="AU284" t="s">
        <v>308</v>
      </c>
      <c r="AV284">
        <v>4</v>
      </c>
    </row>
    <row r="285" spans="40:48" x14ac:dyDescent="0.25">
      <c r="AN285" t="s">
        <v>90</v>
      </c>
      <c r="AO285" t="s">
        <v>60</v>
      </c>
      <c r="AP285">
        <v>2004</v>
      </c>
      <c r="AQ285" t="s">
        <v>36</v>
      </c>
      <c r="AR285" t="s">
        <v>330</v>
      </c>
      <c r="AS285" t="s">
        <v>306</v>
      </c>
      <c r="AT285" t="s">
        <v>240</v>
      </c>
      <c r="AU285" t="s">
        <v>309</v>
      </c>
      <c r="AV285">
        <v>9.25</v>
      </c>
    </row>
    <row r="286" spans="40:48" x14ac:dyDescent="0.25">
      <c r="AN286" t="s">
        <v>90</v>
      </c>
      <c r="AO286" t="s">
        <v>60</v>
      </c>
      <c r="AP286">
        <v>2004</v>
      </c>
      <c r="AQ286" t="s">
        <v>36</v>
      </c>
      <c r="AR286" t="s">
        <v>330</v>
      </c>
      <c r="AS286" t="s">
        <v>306</v>
      </c>
      <c r="AT286" t="s">
        <v>240</v>
      </c>
      <c r="AU286" t="s">
        <v>268</v>
      </c>
      <c r="AV286">
        <v>13.25</v>
      </c>
    </row>
    <row r="287" spans="40:48" x14ac:dyDescent="0.25">
      <c r="AN287" t="s">
        <v>90</v>
      </c>
      <c r="AO287" t="s">
        <v>60</v>
      </c>
      <c r="AP287">
        <v>2004</v>
      </c>
      <c r="AQ287" t="s">
        <v>36</v>
      </c>
      <c r="AR287" t="s">
        <v>330</v>
      </c>
      <c r="AS287" t="s">
        <v>306</v>
      </c>
      <c r="AT287" t="s">
        <v>314</v>
      </c>
      <c r="AU287" t="s">
        <v>308</v>
      </c>
      <c r="AV287">
        <v>2.9</v>
      </c>
    </row>
    <row r="288" spans="40:48" x14ac:dyDescent="0.25">
      <c r="AN288" t="s">
        <v>90</v>
      </c>
      <c r="AO288" t="s">
        <v>60</v>
      </c>
      <c r="AP288">
        <v>2004</v>
      </c>
      <c r="AQ288" t="s">
        <v>36</v>
      </c>
      <c r="AR288" t="s">
        <v>330</v>
      </c>
      <c r="AS288" t="s">
        <v>306</v>
      </c>
      <c r="AT288" t="s">
        <v>314</v>
      </c>
      <c r="AU288" t="s">
        <v>309</v>
      </c>
      <c r="AV288">
        <v>8.5</v>
      </c>
    </row>
    <row r="289" spans="40:48" x14ac:dyDescent="0.25">
      <c r="AN289" t="s">
        <v>90</v>
      </c>
      <c r="AO289" t="s">
        <v>60</v>
      </c>
      <c r="AP289">
        <v>2004</v>
      </c>
      <c r="AQ289" t="s">
        <v>36</v>
      </c>
      <c r="AR289" t="s">
        <v>330</v>
      </c>
      <c r="AS289" t="s">
        <v>306</v>
      </c>
      <c r="AT289" t="s">
        <v>314</v>
      </c>
      <c r="AU289" t="s">
        <v>268</v>
      </c>
      <c r="AV289">
        <v>11.4</v>
      </c>
    </row>
    <row r="290" spans="40:48" x14ac:dyDescent="0.25">
      <c r="AN290" t="s">
        <v>90</v>
      </c>
      <c r="AO290" t="s">
        <v>60</v>
      </c>
      <c r="AP290">
        <v>2004</v>
      </c>
      <c r="AQ290" t="s">
        <v>36</v>
      </c>
      <c r="AR290" t="s">
        <v>330</v>
      </c>
      <c r="AS290" t="s">
        <v>306</v>
      </c>
      <c r="AT290" t="s">
        <v>242</v>
      </c>
      <c r="AU290" t="s">
        <v>308</v>
      </c>
      <c r="AV290">
        <v>0</v>
      </c>
    </row>
    <row r="291" spans="40:48" x14ac:dyDescent="0.25">
      <c r="AN291" t="s">
        <v>90</v>
      </c>
      <c r="AO291" t="s">
        <v>60</v>
      </c>
      <c r="AP291">
        <v>2004</v>
      </c>
      <c r="AQ291" t="s">
        <v>36</v>
      </c>
      <c r="AR291" t="s">
        <v>330</v>
      </c>
      <c r="AS291" t="s">
        <v>306</v>
      </c>
      <c r="AT291" t="s">
        <v>242</v>
      </c>
      <c r="AU291" t="s">
        <v>309</v>
      </c>
      <c r="AV291">
        <v>0</v>
      </c>
    </row>
    <row r="292" spans="40:48" x14ac:dyDescent="0.25">
      <c r="AN292" t="s">
        <v>90</v>
      </c>
      <c r="AO292" t="s">
        <v>60</v>
      </c>
      <c r="AP292">
        <v>2004</v>
      </c>
      <c r="AQ292" t="s">
        <v>36</v>
      </c>
      <c r="AR292" t="s">
        <v>330</v>
      </c>
      <c r="AS292" t="s">
        <v>306</v>
      </c>
      <c r="AT292" t="s">
        <v>242</v>
      </c>
      <c r="AU292" t="s">
        <v>268</v>
      </c>
      <c r="AV292">
        <v>0</v>
      </c>
    </row>
    <row r="293" spans="40:48" x14ac:dyDescent="0.25">
      <c r="AN293" t="s">
        <v>90</v>
      </c>
      <c r="AO293" t="s">
        <v>60</v>
      </c>
      <c r="AP293">
        <v>2004</v>
      </c>
      <c r="AQ293" t="s">
        <v>36</v>
      </c>
      <c r="AR293" t="s">
        <v>330</v>
      </c>
      <c r="AS293" t="s">
        <v>306</v>
      </c>
      <c r="AT293" t="s">
        <v>243</v>
      </c>
      <c r="AU293" t="s">
        <v>326</v>
      </c>
      <c r="AV293">
        <v>0</v>
      </c>
    </row>
    <row r="294" spans="40:48" x14ac:dyDescent="0.25">
      <c r="AN294" t="s">
        <v>90</v>
      </c>
      <c r="AO294" t="s">
        <v>60</v>
      </c>
      <c r="AP294">
        <v>2004</v>
      </c>
      <c r="AQ294" t="s">
        <v>36</v>
      </c>
      <c r="AR294" t="s">
        <v>330</v>
      </c>
      <c r="AS294" t="s">
        <v>306</v>
      </c>
      <c r="AT294" t="s">
        <v>243</v>
      </c>
      <c r="AU294" t="s">
        <v>327</v>
      </c>
      <c r="AV294">
        <v>0</v>
      </c>
    </row>
    <row r="295" spans="40:48" x14ac:dyDescent="0.25">
      <c r="AN295" t="s">
        <v>90</v>
      </c>
      <c r="AO295" t="s">
        <v>60</v>
      </c>
      <c r="AP295">
        <v>2004</v>
      </c>
      <c r="AQ295" t="s">
        <v>36</v>
      </c>
      <c r="AR295" t="s">
        <v>330</v>
      </c>
      <c r="AS295" t="s">
        <v>306</v>
      </c>
      <c r="AT295" t="s">
        <v>243</v>
      </c>
      <c r="AU295" t="s">
        <v>329</v>
      </c>
      <c r="AV295">
        <v>53.8</v>
      </c>
    </row>
    <row r="296" spans="40:48" x14ac:dyDescent="0.25">
      <c r="AN296" t="s">
        <v>92</v>
      </c>
      <c r="AO296" t="s">
        <v>60</v>
      </c>
      <c r="AP296">
        <v>2004</v>
      </c>
      <c r="AQ296" t="s">
        <v>39</v>
      </c>
      <c r="AR296" t="s">
        <v>330</v>
      </c>
      <c r="AS296" t="s">
        <v>306</v>
      </c>
      <c r="AT296" t="s">
        <v>218</v>
      </c>
      <c r="AU296" t="s">
        <v>308</v>
      </c>
      <c r="AV296">
        <v>4.0999999999999996</v>
      </c>
    </row>
    <row r="297" spans="40:48" x14ac:dyDescent="0.25">
      <c r="AN297" t="s">
        <v>92</v>
      </c>
      <c r="AO297" t="s">
        <v>60</v>
      </c>
      <c r="AP297">
        <v>2004</v>
      </c>
      <c r="AQ297" t="s">
        <v>39</v>
      </c>
      <c r="AR297" t="s">
        <v>330</v>
      </c>
      <c r="AS297" t="s">
        <v>306</v>
      </c>
      <c r="AT297" t="s">
        <v>218</v>
      </c>
      <c r="AU297" t="s">
        <v>309</v>
      </c>
      <c r="AV297">
        <v>7.95</v>
      </c>
    </row>
    <row r="298" spans="40:48" x14ac:dyDescent="0.25">
      <c r="AN298" t="s">
        <v>92</v>
      </c>
      <c r="AO298" t="s">
        <v>60</v>
      </c>
      <c r="AP298">
        <v>2004</v>
      </c>
      <c r="AQ298" t="s">
        <v>39</v>
      </c>
      <c r="AR298" t="s">
        <v>330</v>
      </c>
      <c r="AS298" t="s">
        <v>306</v>
      </c>
      <c r="AT298" t="s">
        <v>218</v>
      </c>
      <c r="AU298" t="s">
        <v>268</v>
      </c>
      <c r="AV298">
        <v>12.05</v>
      </c>
    </row>
    <row r="299" spans="40:48" x14ac:dyDescent="0.25">
      <c r="AN299" t="s">
        <v>92</v>
      </c>
      <c r="AO299" t="s">
        <v>60</v>
      </c>
      <c r="AP299">
        <v>2004</v>
      </c>
      <c r="AQ299" t="s">
        <v>39</v>
      </c>
      <c r="AR299" t="s">
        <v>330</v>
      </c>
      <c r="AS299" t="s">
        <v>306</v>
      </c>
      <c r="AT299" t="s">
        <v>238</v>
      </c>
      <c r="AU299" t="s">
        <v>308</v>
      </c>
      <c r="AV299">
        <v>3.7</v>
      </c>
    </row>
    <row r="300" spans="40:48" x14ac:dyDescent="0.25">
      <c r="AN300" t="s">
        <v>92</v>
      </c>
      <c r="AO300" t="s">
        <v>60</v>
      </c>
      <c r="AP300">
        <v>2004</v>
      </c>
      <c r="AQ300" t="s">
        <v>39</v>
      </c>
      <c r="AR300" t="s">
        <v>330</v>
      </c>
      <c r="AS300" t="s">
        <v>306</v>
      </c>
      <c r="AT300" t="s">
        <v>238</v>
      </c>
      <c r="AU300" t="s">
        <v>309</v>
      </c>
      <c r="AV300">
        <v>8.85</v>
      </c>
    </row>
    <row r="301" spans="40:48" x14ac:dyDescent="0.25">
      <c r="AN301" t="s">
        <v>92</v>
      </c>
      <c r="AO301" t="s">
        <v>60</v>
      </c>
      <c r="AP301">
        <v>2004</v>
      </c>
      <c r="AQ301" t="s">
        <v>39</v>
      </c>
      <c r="AR301" t="s">
        <v>330</v>
      </c>
      <c r="AS301" t="s">
        <v>306</v>
      </c>
      <c r="AT301" t="s">
        <v>238</v>
      </c>
      <c r="AU301" t="s">
        <v>268</v>
      </c>
      <c r="AV301">
        <v>12.55</v>
      </c>
    </row>
    <row r="302" spans="40:48" x14ac:dyDescent="0.25">
      <c r="AN302" t="s">
        <v>92</v>
      </c>
      <c r="AO302" t="s">
        <v>60</v>
      </c>
      <c r="AP302">
        <v>2004</v>
      </c>
      <c r="AQ302" t="s">
        <v>39</v>
      </c>
      <c r="AR302" t="s">
        <v>330</v>
      </c>
      <c r="AS302" t="s">
        <v>306</v>
      </c>
      <c r="AT302" t="s">
        <v>239</v>
      </c>
      <c r="AU302" t="s">
        <v>308</v>
      </c>
      <c r="AV302">
        <v>0</v>
      </c>
    </row>
    <row r="303" spans="40:48" x14ac:dyDescent="0.25">
      <c r="AN303" t="s">
        <v>92</v>
      </c>
      <c r="AO303" t="s">
        <v>60</v>
      </c>
      <c r="AP303">
        <v>2004</v>
      </c>
      <c r="AQ303" t="s">
        <v>39</v>
      </c>
      <c r="AR303" t="s">
        <v>330</v>
      </c>
      <c r="AS303" t="s">
        <v>306</v>
      </c>
      <c r="AT303" t="s">
        <v>239</v>
      </c>
      <c r="AU303" t="s">
        <v>309</v>
      </c>
      <c r="AV303">
        <v>0</v>
      </c>
    </row>
    <row r="304" spans="40:48" x14ac:dyDescent="0.25">
      <c r="AN304" t="s">
        <v>92</v>
      </c>
      <c r="AO304" t="s">
        <v>60</v>
      </c>
      <c r="AP304">
        <v>2004</v>
      </c>
      <c r="AQ304" t="s">
        <v>39</v>
      </c>
      <c r="AR304" t="s">
        <v>330</v>
      </c>
      <c r="AS304" t="s">
        <v>306</v>
      </c>
      <c r="AT304" t="s">
        <v>239</v>
      </c>
      <c r="AU304" t="s">
        <v>268</v>
      </c>
      <c r="AV304">
        <v>0</v>
      </c>
    </row>
    <row r="305" spans="40:48" x14ac:dyDescent="0.25">
      <c r="AN305" t="s">
        <v>92</v>
      </c>
      <c r="AO305" t="s">
        <v>60</v>
      </c>
      <c r="AP305">
        <v>2004</v>
      </c>
      <c r="AQ305" t="s">
        <v>39</v>
      </c>
      <c r="AR305" t="s">
        <v>330</v>
      </c>
      <c r="AS305" t="s">
        <v>306</v>
      </c>
      <c r="AT305" t="s">
        <v>240</v>
      </c>
      <c r="AU305" t="s">
        <v>308</v>
      </c>
      <c r="AV305">
        <v>4.4000000000000004</v>
      </c>
    </row>
    <row r="306" spans="40:48" x14ac:dyDescent="0.25">
      <c r="AN306" t="s">
        <v>92</v>
      </c>
      <c r="AO306" t="s">
        <v>60</v>
      </c>
      <c r="AP306">
        <v>2004</v>
      </c>
      <c r="AQ306" t="s">
        <v>39</v>
      </c>
      <c r="AR306" t="s">
        <v>330</v>
      </c>
      <c r="AS306" t="s">
        <v>306</v>
      </c>
      <c r="AT306" t="s">
        <v>240</v>
      </c>
      <c r="AU306" t="s">
        <v>309</v>
      </c>
      <c r="AV306">
        <v>9.35</v>
      </c>
    </row>
    <row r="307" spans="40:48" x14ac:dyDescent="0.25">
      <c r="AN307" t="s">
        <v>92</v>
      </c>
      <c r="AO307" t="s">
        <v>60</v>
      </c>
      <c r="AP307">
        <v>2004</v>
      </c>
      <c r="AQ307" t="s">
        <v>39</v>
      </c>
      <c r="AR307" t="s">
        <v>330</v>
      </c>
      <c r="AS307" t="s">
        <v>306</v>
      </c>
      <c r="AT307" t="s">
        <v>240</v>
      </c>
      <c r="AU307" t="s">
        <v>268</v>
      </c>
      <c r="AV307">
        <v>13.75</v>
      </c>
    </row>
    <row r="308" spans="40:48" x14ac:dyDescent="0.25">
      <c r="AN308" t="s">
        <v>92</v>
      </c>
      <c r="AO308" t="s">
        <v>60</v>
      </c>
      <c r="AP308">
        <v>2004</v>
      </c>
      <c r="AQ308" t="s">
        <v>39</v>
      </c>
      <c r="AR308" t="s">
        <v>330</v>
      </c>
      <c r="AS308" t="s">
        <v>306</v>
      </c>
      <c r="AT308" t="s">
        <v>314</v>
      </c>
      <c r="AU308" t="s">
        <v>308</v>
      </c>
      <c r="AV308">
        <v>0</v>
      </c>
    </row>
    <row r="309" spans="40:48" x14ac:dyDescent="0.25">
      <c r="AN309" t="s">
        <v>92</v>
      </c>
      <c r="AO309" t="s">
        <v>60</v>
      </c>
      <c r="AP309">
        <v>2004</v>
      </c>
      <c r="AQ309" t="s">
        <v>39</v>
      </c>
      <c r="AR309" t="s">
        <v>330</v>
      </c>
      <c r="AS309" t="s">
        <v>306</v>
      </c>
      <c r="AT309" t="s">
        <v>314</v>
      </c>
      <c r="AU309" t="s">
        <v>309</v>
      </c>
      <c r="AV309">
        <v>0</v>
      </c>
    </row>
    <row r="310" spans="40:48" x14ac:dyDescent="0.25">
      <c r="AN310" t="s">
        <v>92</v>
      </c>
      <c r="AO310" t="s">
        <v>60</v>
      </c>
      <c r="AP310">
        <v>2004</v>
      </c>
      <c r="AQ310" t="s">
        <v>39</v>
      </c>
      <c r="AR310" t="s">
        <v>330</v>
      </c>
      <c r="AS310" t="s">
        <v>306</v>
      </c>
      <c r="AT310" t="s">
        <v>314</v>
      </c>
      <c r="AU310" t="s">
        <v>268</v>
      </c>
      <c r="AV310">
        <v>0</v>
      </c>
    </row>
    <row r="311" spans="40:48" x14ac:dyDescent="0.25">
      <c r="AN311" t="s">
        <v>92</v>
      </c>
      <c r="AO311" t="s">
        <v>60</v>
      </c>
      <c r="AP311">
        <v>2004</v>
      </c>
      <c r="AQ311" t="s">
        <v>39</v>
      </c>
      <c r="AR311" t="s">
        <v>330</v>
      </c>
      <c r="AS311" t="s">
        <v>306</v>
      </c>
      <c r="AT311" t="s">
        <v>242</v>
      </c>
      <c r="AU311" t="s">
        <v>308</v>
      </c>
      <c r="AV311">
        <v>0</v>
      </c>
    </row>
    <row r="312" spans="40:48" x14ac:dyDescent="0.25">
      <c r="AN312" t="s">
        <v>92</v>
      </c>
      <c r="AO312" t="s">
        <v>60</v>
      </c>
      <c r="AP312">
        <v>2004</v>
      </c>
      <c r="AQ312" t="s">
        <v>39</v>
      </c>
      <c r="AR312" t="s">
        <v>330</v>
      </c>
      <c r="AS312" t="s">
        <v>306</v>
      </c>
      <c r="AT312" t="s">
        <v>242</v>
      </c>
      <c r="AU312" t="s">
        <v>309</v>
      </c>
      <c r="AV312">
        <v>0</v>
      </c>
    </row>
    <row r="313" spans="40:48" x14ac:dyDescent="0.25">
      <c r="AN313" t="s">
        <v>92</v>
      </c>
      <c r="AO313" t="s">
        <v>60</v>
      </c>
      <c r="AP313">
        <v>2004</v>
      </c>
      <c r="AQ313" t="s">
        <v>39</v>
      </c>
      <c r="AR313" t="s">
        <v>330</v>
      </c>
      <c r="AS313" t="s">
        <v>306</v>
      </c>
      <c r="AT313" t="s">
        <v>242</v>
      </c>
      <c r="AU313" t="s">
        <v>268</v>
      </c>
      <c r="AV313">
        <v>0</v>
      </c>
    </row>
    <row r="314" spans="40:48" x14ac:dyDescent="0.25">
      <c r="AN314" t="s">
        <v>92</v>
      </c>
      <c r="AO314" t="s">
        <v>60</v>
      </c>
      <c r="AP314">
        <v>2004</v>
      </c>
      <c r="AQ314" t="s">
        <v>39</v>
      </c>
      <c r="AR314" t="s">
        <v>330</v>
      </c>
      <c r="AS314" t="s">
        <v>306</v>
      </c>
      <c r="AT314" t="s">
        <v>243</v>
      </c>
      <c r="AU314" t="s">
        <v>326</v>
      </c>
      <c r="AV314">
        <v>0</v>
      </c>
    </row>
    <row r="315" spans="40:48" x14ac:dyDescent="0.25">
      <c r="AN315" t="s">
        <v>92</v>
      </c>
      <c r="AO315" t="s">
        <v>60</v>
      </c>
      <c r="AP315">
        <v>2004</v>
      </c>
      <c r="AQ315" t="s">
        <v>39</v>
      </c>
      <c r="AR315" t="s">
        <v>330</v>
      </c>
      <c r="AS315" t="s">
        <v>306</v>
      </c>
      <c r="AT315" t="s">
        <v>243</v>
      </c>
      <c r="AU315" t="s">
        <v>327</v>
      </c>
      <c r="AV315">
        <v>0</v>
      </c>
    </row>
    <row r="316" spans="40:48" x14ac:dyDescent="0.25">
      <c r="AN316" t="s">
        <v>92</v>
      </c>
      <c r="AO316" t="s">
        <v>60</v>
      </c>
      <c r="AP316">
        <v>2004</v>
      </c>
      <c r="AQ316" t="s">
        <v>39</v>
      </c>
      <c r="AR316" t="s">
        <v>330</v>
      </c>
      <c r="AS316" t="s">
        <v>306</v>
      </c>
      <c r="AT316" t="s">
        <v>243</v>
      </c>
      <c r="AU316" t="s">
        <v>329</v>
      </c>
      <c r="AV316">
        <v>38.35</v>
      </c>
    </row>
    <row r="317" spans="40:48" x14ac:dyDescent="0.25">
      <c r="AN317" t="s">
        <v>98</v>
      </c>
      <c r="AO317" t="s">
        <v>60</v>
      </c>
      <c r="AP317">
        <v>2003</v>
      </c>
      <c r="AQ317" t="s">
        <v>72</v>
      </c>
      <c r="AR317" t="s">
        <v>330</v>
      </c>
      <c r="AS317" t="s">
        <v>306</v>
      </c>
      <c r="AT317" t="s">
        <v>218</v>
      </c>
      <c r="AU317" t="s">
        <v>308</v>
      </c>
      <c r="AV317">
        <v>0</v>
      </c>
    </row>
    <row r="318" spans="40:48" x14ac:dyDescent="0.25">
      <c r="AN318" t="s">
        <v>98</v>
      </c>
      <c r="AO318" t="s">
        <v>60</v>
      </c>
      <c r="AP318">
        <v>2003</v>
      </c>
      <c r="AQ318" t="s">
        <v>72</v>
      </c>
      <c r="AR318" t="s">
        <v>330</v>
      </c>
      <c r="AS318" t="s">
        <v>306</v>
      </c>
      <c r="AT318" t="s">
        <v>218</v>
      </c>
      <c r="AU318" t="s">
        <v>309</v>
      </c>
      <c r="AV318">
        <v>0</v>
      </c>
    </row>
    <row r="319" spans="40:48" x14ac:dyDescent="0.25">
      <c r="AN319" t="s">
        <v>98</v>
      </c>
      <c r="AO319" t="s">
        <v>60</v>
      </c>
      <c r="AP319">
        <v>2003</v>
      </c>
      <c r="AQ319" t="s">
        <v>72</v>
      </c>
      <c r="AR319" t="s">
        <v>330</v>
      </c>
      <c r="AS319" t="s">
        <v>306</v>
      </c>
      <c r="AT319" t="s">
        <v>218</v>
      </c>
      <c r="AU319" t="s">
        <v>268</v>
      </c>
      <c r="AV319">
        <v>0</v>
      </c>
    </row>
    <row r="320" spans="40:48" x14ac:dyDescent="0.25">
      <c r="AN320" t="s">
        <v>98</v>
      </c>
      <c r="AO320" t="s">
        <v>60</v>
      </c>
      <c r="AP320">
        <v>2003</v>
      </c>
      <c r="AQ320" t="s">
        <v>72</v>
      </c>
      <c r="AR320" t="s">
        <v>330</v>
      </c>
      <c r="AS320" t="s">
        <v>306</v>
      </c>
      <c r="AT320" t="s">
        <v>238</v>
      </c>
      <c r="AU320" t="s">
        <v>308</v>
      </c>
      <c r="AV320">
        <v>3.3</v>
      </c>
    </row>
    <row r="321" spans="40:48" x14ac:dyDescent="0.25">
      <c r="AN321" t="s">
        <v>98</v>
      </c>
      <c r="AO321" t="s">
        <v>60</v>
      </c>
      <c r="AP321">
        <v>2003</v>
      </c>
      <c r="AQ321" t="s">
        <v>72</v>
      </c>
      <c r="AR321" t="s">
        <v>330</v>
      </c>
      <c r="AS321" t="s">
        <v>306</v>
      </c>
      <c r="AT321" t="s">
        <v>238</v>
      </c>
      <c r="AU321" t="s">
        <v>309</v>
      </c>
      <c r="AV321">
        <v>4.1500000000000004</v>
      </c>
    </row>
    <row r="322" spans="40:48" x14ac:dyDescent="0.25">
      <c r="AN322" t="s">
        <v>98</v>
      </c>
      <c r="AO322" t="s">
        <v>60</v>
      </c>
      <c r="AP322">
        <v>2003</v>
      </c>
      <c r="AQ322" t="s">
        <v>72</v>
      </c>
      <c r="AR322" t="s">
        <v>330</v>
      </c>
      <c r="AS322" t="s">
        <v>306</v>
      </c>
      <c r="AT322" t="s">
        <v>238</v>
      </c>
      <c r="AU322" t="s">
        <v>268</v>
      </c>
      <c r="AV322">
        <v>7.45</v>
      </c>
    </row>
    <row r="323" spans="40:48" x14ac:dyDescent="0.25">
      <c r="AN323" t="s">
        <v>98</v>
      </c>
      <c r="AO323" t="s">
        <v>60</v>
      </c>
      <c r="AP323">
        <v>2003</v>
      </c>
      <c r="AQ323" t="s">
        <v>72</v>
      </c>
      <c r="AR323" t="s">
        <v>330</v>
      </c>
      <c r="AS323" t="s">
        <v>306</v>
      </c>
      <c r="AT323" t="s">
        <v>239</v>
      </c>
      <c r="AU323" t="s">
        <v>308</v>
      </c>
      <c r="AV323">
        <v>2.5</v>
      </c>
    </row>
    <row r="324" spans="40:48" x14ac:dyDescent="0.25">
      <c r="AN324" t="s">
        <v>98</v>
      </c>
      <c r="AO324" t="s">
        <v>60</v>
      </c>
      <c r="AP324">
        <v>2003</v>
      </c>
      <c r="AQ324" t="s">
        <v>72</v>
      </c>
      <c r="AR324" t="s">
        <v>330</v>
      </c>
      <c r="AS324" t="s">
        <v>306</v>
      </c>
      <c r="AT324" t="s">
        <v>239</v>
      </c>
      <c r="AU324" t="s">
        <v>309</v>
      </c>
      <c r="AV324">
        <v>6.55</v>
      </c>
    </row>
    <row r="325" spans="40:48" x14ac:dyDescent="0.25">
      <c r="AN325" t="s">
        <v>98</v>
      </c>
      <c r="AO325" t="s">
        <v>60</v>
      </c>
      <c r="AP325">
        <v>2003</v>
      </c>
      <c r="AQ325" t="s">
        <v>72</v>
      </c>
      <c r="AR325" t="s">
        <v>330</v>
      </c>
      <c r="AS325" t="s">
        <v>306</v>
      </c>
      <c r="AT325" t="s">
        <v>239</v>
      </c>
      <c r="AU325" t="s">
        <v>268</v>
      </c>
      <c r="AV325">
        <v>9.0500000000000007</v>
      </c>
    </row>
    <row r="326" spans="40:48" x14ac:dyDescent="0.25">
      <c r="AN326" t="s">
        <v>98</v>
      </c>
      <c r="AO326" t="s">
        <v>60</v>
      </c>
      <c r="AP326">
        <v>2003</v>
      </c>
      <c r="AQ326" t="s">
        <v>72</v>
      </c>
      <c r="AR326" t="s">
        <v>330</v>
      </c>
      <c r="AS326" t="s">
        <v>306</v>
      </c>
      <c r="AT326" t="s">
        <v>240</v>
      </c>
      <c r="AU326" t="s">
        <v>308</v>
      </c>
      <c r="AV326">
        <v>0</v>
      </c>
    </row>
    <row r="327" spans="40:48" x14ac:dyDescent="0.25">
      <c r="AN327" t="s">
        <v>98</v>
      </c>
      <c r="AO327" t="s">
        <v>60</v>
      </c>
      <c r="AP327">
        <v>2003</v>
      </c>
      <c r="AQ327" t="s">
        <v>72</v>
      </c>
      <c r="AR327" t="s">
        <v>330</v>
      </c>
      <c r="AS327" t="s">
        <v>306</v>
      </c>
      <c r="AT327" t="s">
        <v>240</v>
      </c>
      <c r="AU327" t="s">
        <v>309</v>
      </c>
      <c r="AV327">
        <v>0</v>
      </c>
    </row>
    <row r="328" spans="40:48" x14ac:dyDescent="0.25">
      <c r="AN328" t="s">
        <v>98</v>
      </c>
      <c r="AO328" t="s">
        <v>60</v>
      </c>
      <c r="AP328">
        <v>2003</v>
      </c>
      <c r="AQ328" t="s">
        <v>72</v>
      </c>
      <c r="AR328" t="s">
        <v>330</v>
      </c>
      <c r="AS328" t="s">
        <v>306</v>
      </c>
      <c r="AT328" t="s">
        <v>240</v>
      </c>
      <c r="AU328" t="s">
        <v>268</v>
      </c>
      <c r="AV328">
        <v>0</v>
      </c>
    </row>
    <row r="329" spans="40:48" x14ac:dyDescent="0.25">
      <c r="AN329" t="s">
        <v>98</v>
      </c>
      <c r="AO329" t="s">
        <v>60</v>
      </c>
      <c r="AP329">
        <v>2003</v>
      </c>
      <c r="AQ329" t="s">
        <v>72</v>
      </c>
      <c r="AR329" t="s">
        <v>330</v>
      </c>
      <c r="AS329" t="s">
        <v>306</v>
      </c>
      <c r="AT329" t="s">
        <v>314</v>
      </c>
      <c r="AU329" t="s">
        <v>308</v>
      </c>
      <c r="AV329">
        <v>2.5</v>
      </c>
    </row>
    <row r="330" spans="40:48" x14ac:dyDescent="0.25">
      <c r="AN330" t="s">
        <v>98</v>
      </c>
      <c r="AO330" t="s">
        <v>60</v>
      </c>
      <c r="AP330">
        <v>2003</v>
      </c>
      <c r="AQ330" t="s">
        <v>72</v>
      </c>
      <c r="AR330" t="s">
        <v>330</v>
      </c>
      <c r="AS330" t="s">
        <v>306</v>
      </c>
      <c r="AT330" t="s">
        <v>314</v>
      </c>
      <c r="AU330" t="s">
        <v>309</v>
      </c>
      <c r="AV330">
        <v>8.6999999999999993</v>
      </c>
    </row>
    <row r="331" spans="40:48" x14ac:dyDescent="0.25">
      <c r="AN331" t="s">
        <v>98</v>
      </c>
      <c r="AO331" t="s">
        <v>60</v>
      </c>
      <c r="AP331">
        <v>2003</v>
      </c>
      <c r="AQ331" t="s">
        <v>72</v>
      </c>
      <c r="AR331" t="s">
        <v>330</v>
      </c>
      <c r="AS331" t="s">
        <v>306</v>
      </c>
      <c r="AT331" t="s">
        <v>314</v>
      </c>
      <c r="AU331" t="s">
        <v>268</v>
      </c>
      <c r="AV331">
        <v>11.2</v>
      </c>
    </row>
    <row r="332" spans="40:48" x14ac:dyDescent="0.25">
      <c r="AN332" t="s">
        <v>98</v>
      </c>
      <c r="AO332" t="s">
        <v>60</v>
      </c>
      <c r="AP332">
        <v>2003</v>
      </c>
      <c r="AQ332" t="s">
        <v>72</v>
      </c>
      <c r="AR332" t="s">
        <v>330</v>
      </c>
      <c r="AS332" t="s">
        <v>306</v>
      </c>
      <c r="AT332" t="s">
        <v>242</v>
      </c>
      <c r="AU332" t="s">
        <v>308</v>
      </c>
      <c r="AV332">
        <v>2.6</v>
      </c>
    </row>
    <row r="333" spans="40:48" x14ac:dyDescent="0.25">
      <c r="AN333" t="s">
        <v>98</v>
      </c>
      <c r="AO333" t="s">
        <v>60</v>
      </c>
      <c r="AP333">
        <v>2003</v>
      </c>
      <c r="AQ333" t="s">
        <v>72</v>
      </c>
      <c r="AR333" t="s">
        <v>330</v>
      </c>
      <c r="AS333" t="s">
        <v>306</v>
      </c>
      <c r="AT333" t="s">
        <v>242</v>
      </c>
      <c r="AU333" t="s">
        <v>309</v>
      </c>
      <c r="AV333">
        <v>6.95</v>
      </c>
    </row>
    <row r="334" spans="40:48" x14ac:dyDescent="0.25">
      <c r="AN334" t="s">
        <v>98</v>
      </c>
      <c r="AO334" t="s">
        <v>60</v>
      </c>
      <c r="AP334">
        <v>2003</v>
      </c>
      <c r="AQ334" t="s">
        <v>72</v>
      </c>
      <c r="AR334" t="s">
        <v>330</v>
      </c>
      <c r="AS334" t="s">
        <v>306</v>
      </c>
      <c r="AT334" t="s">
        <v>242</v>
      </c>
      <c r="AU334" t="s">
        <v>268</v>
      </c>
      <c r="AV334">
        <v>9.5500000000000007</v>
      </c>
    </row>
    <row r="335" spans="40:48" x14ac:dyDescent="0.25">
      <c r="AN335" t="s">
        <v>98</v>
      </c>
      <c r="AO335" t="s">
        <v>60</v>
      </c>
      <c r="AP335">
        <v>2003</v>
      </c>
      <c r="AQ335" t="s">
        <v>72</v>
      </c>
      <c r="AR335" t="s">
        <v>330</v>
      </c>
      <c r="AS335" t="s">
        <v>306</v>
      </c>
      <c r="AT335" t="s">
        <v>243</v>
      </c>
      <c r="AU335" t="s">
        <v>326</v>
      </c>
      <c r="AV335">
        <v>0</v>
      </c>
    </row>
    <row r="336" spans="40:48" x14ac:dyDescent="0.25">
      <c r="AN336" t="s">
        <v>98</v>
      </c>
      <c r="AO336" t="s">
        <v>60</v>
      </c>
      <c r="AP336">
        <v>2003</v>
      </c>
      <c r="AQ336" t="s">
        <v>72</v>
      </c>
      <c r="AR336" t="s">
        <v>330</v>
      </c>
      <c r="AS336" t="s">
        <v>306</v>
      </c>
      <c r="AT336" t="s">
        <v>243</v>
      </c>
      <c r="AU336" t="s">
        <v>327</v>
      </c>
      <c r="AV336">
        <v>0</v>
      </c>
    </row>
    <row r="337" spans="40:48" x14ac:dyDescent="0.25">
      <c r="AN337" t="s">
        <v>98</v>
      </c>
      <c r="AO337" t="s">
        <v>60</v>
      </c>
      <c r="AP337">
        <v>2003</v>
      </c>
      <c r="AQ337" t="s">
        <v>72</v>
      </c>
      <c r="AR337" t="s">
        <v>330</v>
      </c>
      <c r="AS337" t="s">
        <v>306</v>
      </c>
      <c r="AT337" t="s">
        <v>243</v>
      </c>
      <c r="AU337" t="s">
        <v>329</v>
      </c>
      <c r="AV337">
        <v>37.25</v>
      </c>
    </row>
    <row r="338" spans="40:48" x14ac:dyDescent="0.25">
      <c r="AN338" t="s">
        <v>96</v>
      </c>
      <c r="AO338" t="s">
        <v>60</v>
      </c>
      <c r="AP338">
        <v>2002</v>
      </c>
      <c r="AQ338" t="s">
        <v>62</v>
      </c>
      <c r="AR338" t="s">
        <v>330</v>
      </c>
      <c r="AS338" t="s">
        <v>306</v>
      </c>
      <c r="AT338" t="s">
        <v>218</v>
      </c>
      <c r="AU338" t="s">
        <v>308</v>
      </c>
      <c r="AV338">
        <v>0</v>
      </c>
    </row>
    <row r="339" spans="40:48" x14ac:dyDescent="0.25">
      <c r="AN339" t="s">
        <v>96</v>
      </c>
      <c r="AO339" t="s">
        <v>60</v>
      </c>
      <c r="AP339">
        <v>2002</v>
      </c>
      <c r="AQ339" t="s">
        <v>62</v>
      </c>
      <c r="AR339" t="s">
        <v>330</v>
      </c>
      <c r="AS339" t="s">
        <v>306</v>
      </c>
      <c r="AT339" t="s">
        <v>218</v>
      </c>
      <c r="AU339" t="s">
        <v>309</v>
      </c>
      <c r="AV339">
        <v>0</v>
      </c>
    </row>
    <row r="340" spans="40:48" x14ac:dyDescent="0.25">
      <c r="AN340" t="s">
        <v>96</v>
      </c>
      <c r="AO340" t="s">
        <v>60</v>
      </c>
      <c r="AP340">
        <v>2002</v>
      </c>
      <c r="AQ340" t="s">
        <v>62</v>
      </c>
      <c r="AR340" t="s">
        <v>330</v>
      </c>
      <c r="AS340" t="s">
        <v>306</v>
      </c>
      <c r="AT340" t="s">
        <v>218</v>
      </c>
      <c r="AU340" t="s">
        <v>268</v>
      </c>
      <c r="AV340">
        <v>0</v>
      </c>
    </row>
    <row r="341" spans="40:48" x14ac:dyDescent="0.25">
      <c r="AN341" t="s">
        <v>96</v>
      </c>
      <c r="AO341" t="s">
        <v>60</v>
      </c>
      <c r="AP341">
        <v>2002</v>
      </c>
      <c r="AQ341" t="s">
        <v>62</v>
      </c>
      <c r="AR341" t="s">
        <v>330</v>
      </c>
      <c r="AS341" t="s">
        <v>306</v>
      </c>
      <c r="AT341" t="s">
        <v>238</v>
      </c>
      <c r="AU341" t="s">
        <v>308</v>
      </c>
      <c r="AV341">
        <v>4.7</v>
      </c>
    </row>
    <row r="342" spans="40:48" x14ac:dyDescent="0.25">
      <c r="AN342" t="s">
        <v>96</v>
      </c>
      <c r="AO342" t="s">
        <v>60</v>
      </c>
      <c r="AP342">
        <v>2002</v>
      </c>
      <c r="AQ342" t="s">
        <v>62</v>
      </c>
      <c r="AR342" t="s">
        <v>330</v>
      </c>
      <c r="AS342" t="s">
        <v>306</v>
      </c>
      <c r="AT342" t="s">
        <v>238</v>
      </c>
      <c r="AU342" t="s">
        <v>309</v>
      </c>
      <c r="AV342">
        <v>6.8</v>
      </c>
    </row>
    <row r="343" spans="40:48" x14ac:dyDescent="0.25">
      <c r="AN343" t="s">
        <v>96</v>
      </c>
      <c r="AO343" t="s">
        <v>60</v>
      </c>
      <c r="AP343">
        <v>2002</v>
      </c>
      <c r="AQ343" t="s">
        <v>62</v>
      </c>
      <c r="AR343" t="s">
        <v>330</v>
      </c>
      <c r="AS343" t="s">
        <v>306</v>
      </c>
      <c r="AT343" t="s">
        <v>238</v>
      </c>
      <c r="AU343" t="s">
        <v>268</v>
      </c>
      <c r="AV343">
        <v>11.5</v>
      </c>
    </row>
    <row r="344" spans="40:48" x14ac:dyDescent="0.25">
      <c r="AN344" t="s">
        <v>96</v>
      </c>
      <c r="AO344" t="s">
        <v>60</v>
      </c>
      <c r="AP344">
        <v>2002</v>
      </c>
      <c r="AQ344" t="s">
        <v>62</v>
      </c>
      <c r="AR344" t="s">
        <v>330</v>
      </c>
      <c r="AS344" t="s">
        <v>306</v>
      </c>
      <c r="AT344" t="s">
        <v>239</v>
      </c>
      <c r="AU344" t="s">
        <v>308</v>
      </c>
      <c r="AV344">
        <v>4.2</v>
      </c>
    </row>
    <row r="345" spans="40:48" x14ac:dyDescent="0.25">
      <c r="AN345" t="s">
        <v>96</v>
      </c>
      <c r="AO345" t="s">
        <v>60</v>
      </c>
      <c r="AP345">
        <v>2002</v>
      </c>
      <c r="AQ345" t="s">
        <v>62</v>
      </c>
      <c r="AR345" t="s">
        <v>330</v>
      </c>
      <c r="AS345" t="s">
        <v>306</v>
      </c>
      <c r="AT345" t="s">
        <v>239</v>
      </c>
      <c r="AU345" t="s">
        <v>309</v>
      </c>
      <c r="AV345">
        <v>8.5</v>
      </c>
    </row>
    <row r="346" spans="40:48" x14ac:dyDescent="0.25">
      <c r="AN346" t="s">
        <v>96</v>
      </c>
      <c r="AO346" t="s">
        <v>60</v>
      </c>
      <c r="AP346">
        <v>2002</v>
      </c>
      <c r="AQ346" t="s">
        <v>62</v>
      </c>
      <c r="AR346" t="s">
        <v>330</v>
      </c>
      <c r="AS346" t="s">
        <v>306</v>
      </c>
      <c r="AT346" t="s">
        <v>239</v>
      </c>
      <c r="AU346" t="s">
        <v>268</v>
      </c>
      <c r="AV346">
        <v>12.7</v>
      </c>
    </row>
    <row r="347" spans="40:48" x14ac:dyDescent="0.25">
      <c r="AN347" t="s">
        <v>96</v>
      </c>
      <c r="AO347" t="s">
        <v>60</v>
      </c>
      <c r="AP347">
        <v>2002</v>
      </c>
      <c r="AQ347" t="s">
        <v>62</v>
      </c>
      <c r="AR347" t="s">
        <v>330</v>
      </c>
      <c r="AS347" t="s">
        <v>306</v>
      </c>
      <c r="AT347" t="s">
        <v>240</v>
      </c>
      <c r="AU347" t="s">
        <v>308</v>
      </c>
      <c r="AV347">
        <v>0</v>
      </c>
    </row>
    <row r="348" spans="40:48" x14ac:dyDescent="0.25">
      <c r="AN348" t="s">
        <v>96</v>
      </c>
      <c r="AO348" t="s">
        <v>60</v>
      </c>
      <c r="AP348">
        <v>2002</v>
      </c>
      <c r="AQ348" t="s">
        <v>62</v>
      </c>
      <c r="AR348" t="s">
        <v>330</v>
      </c>
      <c r="AS348" t="s">
        <v>306</v>
      </c>
      <c r="AT348" t="s">
        <v>240</v>
      </c>
      <c r="AU348" t="s">
        <v>309</v>
      </c>
      <c r="AV348">
        <v>0</v>
      </c>
    </row>
    <row r="349" spans="40:48" x14ac:dyDescent="0.25">
      <c r="AN349" t="s">
        <v>96</v>
      </c>
      <c r="AO349" t="s">
        <v>60</v>
      </c>
      <c r="AP349">
        <v>2002</v>
      </c>
      <c r="AQ349" t="s">
        <v>62</v>
      </c>
      <c r="AR349" t="s">
        <v>330</v>
      </c>
      <c r="AS349" t="s">
        <v>306</v>
      </c>
      <c r="AT349" t="s">
        <v>240</v>
      </c>
      <c r="AU349" t="s">
        <v>268</v>
      </c>
      <c r="AV349">
        <v>0</v>
      </c>
    </row>
    <row r="350" spans="40:48" x14ac:dyDescent="0.25">
      <c r="AN350" t="s">
        <v>96</v>
      </c>
      <c r="AO350" t="s">
        <v>60</v>
      </c>
      <c r="AP350">
        <v>2002</v>
      </c>
      <c r="AQ350" t="s">
        <v>62</v>
      </c>
      <c r="AR350" t="s">
        <v>330</v>
      </c>
      <c r="AS350" t="s">
        <v>306</v>
      </c>
      <c r="AT350" t="s">
        <v>314</v>
      </c>
      <c r="AU350" t="s">
        <v>308</v>
      </c>
      <c r="AV350">
        <v>3.8</v>
      </c>
    </row>
    <row r="351" spans="40:48" x14ac:dyDescent="0.25">
      <c r="AN351" t="s">
        <v>96</v>
      </c>
      <c r="AO351" t="s">
        <v>60</v>
      </c>
      <c r="AP351">
        <v>2002</v>
      </c>
      <c r="AQ351" t="s">
        <v>62</v>
      </c>
      <c r="AR351" t="s">
        <v>330</v>
      </c>
      <c r="AS351" t="s">
        <v>306</v>
      </c>
      <c r="AT351" t="s">
        <v>314</v>
      </c>
      <c r="AU351" t="s">
        <v>309</v>
      </c>
      <c r="AV351">
        <v>7.2</v>
      </c>
    </row>
    <row r="352" spans="40:48" x14ac:dyDescent="0.25">
      <c r="AN352" t="s">
        <v>96</v>
      </c>
      <c r="AO352" t="s">
        <v>60</v>
      </c>
      <c r="AP352">
        <v>2002</v>
      </c>
      <c r="AQ352" t="s">
        <v>62</v>
      </c>
      <c r="AR352" t="s">
        <v>330</v>
      </c>
      <c r="AS352" t="s">
        <v>306</v>
      </c>
      <c r="AT352" t="s">
        <v>314</v>
      </c>
      <c r="AU352" t="s">
        <v>268</v>
      </c>
      <c r="AV352">
        <v>11</v>
      </c>
    </row>
    <row r="353" spans="40:48" x14ac:dyDescent="0.25">
      <c r="AN353" t="s">
        <v>96</v>
      </c>
      <c r="AO353" t="s">
        <v>60</v>
      </c>
      <c r="AP353">
        <v>2002</v>
      </c>
      <c r="AQ353" t="s">
        <v>62</v>
      </c>
      <c r="AR353" t="s">
        <v>330</v>
      </c>
      <c r="AS353" t="s">
        <v>306</v>
      </c>
      <c r="AT353" t="s">
        <v>242</v>
      </c>
      <c r="AU353" t="s">
        <v>308</v>
      </c>
      <c r="AV353">
        <v>0</v>
      </c>
    </row>
    <row r="354" spans="40:48" x14ac:dyDescent="0.25">
      <c r="AN354" t="s">
        <v>96</v>
      </c>
      <c r="AO354" t="s">
        <v>60</v>
      </c>
      <c r="AP354">
        <v>2002</v>
      </c>
      <c r="AQ354" t="s">
        <v>62</v>
      </c>
      <c r="AR354" t="s">
        <v>330</v>
      </c>
      <c r="AS354" t="s">
        <v>306</v>
      </c>
      <c r="AT354" t="s">
        <v>242</v>
      </c>
      <c r="AU354" t="s">
        <v>309</v>
      </c>
      <c r="AV354">
        <v>0</v>
      </c>
    </row>
    <row r="355" spans="40:48" x14ac:dyDescent="0.25">
      <c r="AN355" t="s">
        <v>96</v>
      </c>
      <c r="AO355" t="s">
        <v>60</v>
      </c>
      <c r="AP355">
        <v>2002</v>
      </c>
      <c r="AQ355" t="s">
        <v>62</v>
      </c>
      <c r="AR355" t="s">
        <v>330</v>
      </c>
      <c r="AS355" t="s">
        <v>306</v>
      </c>
      <c r="AT355" t="s">
        <v>242</v>
      </c>
      <c r="AU355" t="s">
        <v>268</v>
      </c>
      <c r="AV355">
        <v>0</v>
      </c>
    </row>
    <row r="356" spans="40:48" x14ac:dyDescent="0.25">
      <c r="AN356" t="s">
        <v>96</v>
      </c>
      <c r="AO356" t="s">
        <v>60</v>
      </c>
      <c r="AP356">
        <v>2002</v>
      </c>
      <c r="AQ356" t="s">
        <v>62</v>
      </c>
      <c r="AR356" t="s">
        <v>330</v>
      </c>
      <c r="AS356" t="s">
        <v>306</v>
      </c>
      <c r="AT356" t="s">
        <v>243</v>
      </c>
      <c r="AU356" t="s">
        <v>326</v>
      </c>
      <c r="AV356">
        <v>0</v>
      </c>
    </row>
    <row r="357" spans="40:48" x14ac:dyDescent="0.25">
      <c r="AN357" t="s">
        <v>96</v>
      </c>
      <c r="AO357" t="s">
        <v>60</v>
      </c>
      <c r="AP357">
        <v>2002</v>
      </c>
      <c r="AQ357" t="s">
        <v>62</v>
      </c>
      <c r="AR357" t="s">
        <v>330</v>
      </c>
      <c r="AS357" t="s">
        <v>306</v>
      </c>
      <c r="AT357" t="s">
        <v>243</v>
      </c>
      <c r="AU357" t="s">
        <v>327</v>
      </c>
      <c r="AV357">
        <v>0</v>
      </c>
    </row>
    <row r="358" spans="40:48" x14ac:dyDescent="0.25">
      <c r="AN358" t="s">
        <v>96</v>
      </c>
      <c r="AO358" t="s">
        <v>60</v>
      </c>
      <c r="AP358">
        <v>2002</v>
      </c>
      <c r="AQ358" t="s">
        <v>62</v>
      </c>
      <c r="AR358" t="s">
        <v>330</v>
      </c>
      <c r="AS358" t="s">
        <v>306</v>
      </c>
      <c r="AT358" t="s">
        <v>243</v>
      </c>
      <c r="AU358" t="s">
        <v>329</v>
      </c>
      <c r="AV358">
        <v>35.200000000000003</v>
      </c>
    </row>
    <row r="359" spans="40:48" x14ac:dyDescent="0.25">
      <c r="AN359" t="s">
        <v>94</v>
      </c>
      <c r="AO359" t="s">
        <v>60</v>
      </c>
      <c r="AP359">
        <v>2002</v>
      </c>
      <c r="AQ359" t="s">
        <v>72</v>
      </c>
      <c r="AR359" t="s">
        <v>330</v>
      </c>
      <c r="AS359" t="s">
        <v>306</v>
      </c>
      <c r="AT359" t="s">
        <v>218</v>
      </c>
      <c r="AU359" t="s">
        <v>308</v>
      </c>
      <c r="AV359">
        <v>0</v>
      </c>
    </row>
    <row r="360" spans="40:48" x14ac:dyDescent="0.25">
      <c r="AN360" t="s">
        <v>94</v>
      </c>
      <c r="AO360" t="s">
        <v>60</v>
      </c>
      <c r="AP360">
        <v>2002</v>
      </c>
      <c r="AQ360" t="s">
        <v>72</v>
      </c>
      <c r="AR360" t="s">
        <v>330</v>
      </c>
      <c r="AS360" t="s">
        <v>306</v>
      </c>
      <c r="AT360" t="s">
        <v>218</v>
      </c>
      <c r="AU360" t="s">
        <v>309</v>
      </c>
      <c r="AV360">
        <v>0</v>
      </c>
    </row>
    <row r="361" spans="40:48" x14ac:dyDescent="0.25">
      <c r="AN361" t="s">
        <v>94</v>
      </c>
      <c r="AO361" t="s">
        <v>60</v>
      </c>
      <c r="AP361">
        <v>2002</v>
      </c>
      <c r="AQ361" t="s">
        <v>72</v>
      </c>
      <c r="AR361" t="s">
        <v>330</v>
      </c>
      <c r="AS361" t="s">
        <v>306</v>
      </c>
      <c r="AT361" t="s">
        <v>218</v>
      </c>
      <c r="AU361" t="s">
        <v>268</v>
      </c>
      <c r="AV361">
        <v>0</v>
      </c>
    </row>
    <row r="362" spans="40:48" x14ac:dyDescent="0.25">
      <c r="AN362" t="s">
        <v>94</v>
      </c>
      <c r="AO362" t="s">
        <v>60</v>
      </c>
      <c r="AP362">
        <v>2002</v>
      </c>
      <c r="AQ362" t="s">
        <v>72</v>
      </c>
      <c r="AR362" t="s">
        <v>330</v>
      </c>
      <c r="AS362" t="s">
        <v>306</v>
      </c>
      <c r="AT362" t="s">
        <v>238</v>
      </c>
      <c r="AU362" t="s">
        <v>308</v>
      </c>
      <c r="AV362">
        <v>0</v>
      </c>
    </row>
    <row r="363" spans="40:48" x14ac:dyDescent="0.25">
      <c r="AN363" t="s">
        <v>94</v>
      </c>
      <c r="AO363" t="s">
        <v>60</v>
      </c>
      <c r="AP363">
        <v>2002</v>
      </c>
      <c r="AQ363" t="s">
        <v>72</v>
      </c>
      <c r="AR363" t="s">
        <v>330</v>
      </c>
      <c r="AS363" t="s">
        <v>306</v>
      </c>
      <c r="AT363" t="s">
        <v>238</v>
      </c>
      <c r="AU363" t="s">
        <v>309</v>
      </c>
      <c r="AV363">
        <v>0</v>
      </c>
    </row>
    <row r="364" spans="40:48" x14ac:dyDescent="0.25">
      <c r="AN364" t="s">
        <v>94</v>
      </c>
      <c r="AO364" t="s">
        <v>60</v>
      </c>
      <c r="AP364">
        <v>2002</v>
      </c>
      <c r="AQ364" t="s">
        <v>72</v>
      </c>
      <c r="AR364" t="s">
        <v>330</v>
      </c>
      <c r="AS364" t="s">
        <v>306</v>
      </c>
      <c r="AT364" t="s">
        <v>238</v>
      </c>
      <c r="AU364" t="s">
        <v>268</v>
      </c>
      <c r="AV364">
        <v>0</v>
      </c>
    </row>
    <row r="365" spans="40:48" x14ac:dyDescent="0.25">
      <c r="AN365" t="s">
        <v>94</v>
      </c>
      <c r="AO365" t="s">
        <v>60</v>
      </c>
      <c r="AP365">
        <v>2002</v>
      </c>
      <c r="AQ365" t="s">
        <v>72</v>
      </c>
      <c r="AR365" t="s">
        <v>330</v>
      </c>
      <c r="AS365" t="s">
        <v>306</v>
      </c>
      <c r="AT365" t="s">
        <v>239</v>
      </c>
      <c r="AU365" t="s">
        <v>308</v>
      </c>
      <c r="AV365">
        <v>4</v>
      </c>
    </row>
    <row r="366" spans="40:48" x14ac:dyDescent="0.25">
      <c r="AN366" t="s">
        <v>94</v>
      </c>
      <c r="AO366" t="s">
        <v>60</v>
      </c>
      <c r="AP366">
        <v>2002</v>
      </c>
      <c r="AQ366" t="s">
        <v>72</v>
      </c>
      <c r="AR366" t="s">
        <v>330</v>
      </c>
      <c r="AS366" t="s">
        <v>306</v>
      </c>
      <c r="AT366" t="s">
        <v>239</v>
      </c>
      <c r="AU366" t="s">
        <v>309</v>
      </c>
      <c r="AV366">
        <v>7.65</v>
      </c>
    </row>
    <row r="367" spans="40:48" x14ac:dyDescent="0.25">
      <c r="AN367" t="s">
        <v>94</v>
      </c>
      <c r="AO367" t="s">
        <v>60</v>
      </c>
      <c r="AP367">
        <v>2002</v>
      </c>
      <c r="AQ367" t="s">
        <v>72</v>
      </c>
      <c r="AR367" t="s">
        <v>330</v>
      </c>
      <c r="AS367" t="s">
        <v>306</v>
      </c>
      <c r="AT367" t="s">
        <v>239</v>
      </c>
      <c r="AU367" t="s">
        <v>268</v>
      </c>
      <c r="AV367">
        <v>11.65</v>
      </c>
    </row>
    <row r="368" spans="40:48" x14ac:dyDescent="0.25">
      <c r="AN368" t="s">
        <v>94</v>
      </c>
      <c r="AO368" t="s">
        <v>60</v>
      </c>
      <c r="AP368">
        <v>2002</v>
      </c>
      <c r="AQ368" t="s">
        <v>72</v>
      </c>
      <c r="AR368" t="s">
        <v>330</v>
      </c>
      <c r="AS368" t="s">
        <v>306</v>
      </c>
      <c r="AT368" t="s">
        <v>240</v>
      </c>
      <c r="AU368" t="s">
        <v>308</v>
      </c>
      <c r="AV368">
        <v>2.8</v>
      </c>
    </row>
    <row r="369" spans="40:48" x14ac:dyDescent="0.25">
      <c r="AN369" t="s">
        <v>94</v>
      </c>
      <c r="AO369" t="s">
        <v>60</v>
      </c>
      <c r="AP369">
        <v>2002</v>
      </c>
      <c r="AQ369" t="s">
        <v>72</v>
      </c>
      <c r="AR369" t="s">
        <v>330</v>
      </c>
      <c r="AS369" t="s">
        <v>306</v>
      </c>
      <c r="AT369" t="s">
        <v>240</v>
      </c>
      <c r="AU369" t="s">
        <v>309</v>
      </c>
      <c r="AV369">
        <v>9.1</v>
      </c>
    </row>
    <row r="370" spans="40:48" x14ac:dyDescent="0.25">
      <c r="AN370" t="s">
        <v>94</v>
      </c>
      <c r="AO370" t="s">
        <v>60</v>
      </c>
      <c r="AP370">
        <v>2002</v>
      </c>
      <c r="AQ370" t="s">
        <v>72</v>
      </c>
      <c r="AR370" t="s">
        <v>330</v>
      </c>
      <c r="AS370" t="s">
        <v>306</v>
      </c>
      <c r="AT370" t="s">
        <v>240</v>
      </c>
      <c r="AU370" t="s">
        <v>268</v>
      </c>
      <c r="AV370">
        <v>11.9</v>
      </c>
    </row>
    <row r="371" spans="40:48" x14ac:dyDescent="0.25">
      <c r="AN371" t="s">
        <v>94</v>
      </c>
      <c r="AO371" t="s">
        <v>60</v>
      </c>
      <c r="AP371">
        <v>2002</v>
      </c>
      <c r="AQ371" t="s">
        <v>72</v>
      </c>
      <c r="AR371" t="s">
        <v>330</v>
      </c>
      <c r="AS371" t="s">
        <v>306</v>
      </c>
      <c r="AT371" t="s">
        <v>314</v>
      </c>
      <c r="AU371" t="s">
        <v>308</v>
      </c>
      <c r="AV371">
        <v>3.2</v>
      </c>
    </row>
    <row r="372" spans="40:48" x14ac:dyDescent="0.25">
      <c r="AN372" t="s">
        <v>94</v>
      </c>
      <c r="AO372" t="s">
        <v>60</v>
      </c>
      <c r="AP372">
        <v>2002</v>
      </c>
      <c r="AQ372" t="s">
        <v>72</v>
      </c>
      <c r="AR372" t="s">
        <v>330</v>
      </c>
      <c r="AS372" t="s">
        <v>306</v>
      </c>
      <c r="AT372" t="s">
        <v>314</v>
      </c>
      <c r="AU372" t="s">
        <v>309</v>
      </c>
      <c r="AV372">
        <v>8.35</v>
      </c>
    </row>
    <row r="373" spans="40:48" x14ac:dyDescent="0.25">
      <c r="AN373" t="s">
        <v>94</v>
      </c>
      <c r="AO373" t="s">
        <v>60</v>
      </c>
      <c r="AP373">
        <v>2002</v>
      </c>
      <c r="AQ373" t="s">
        <v>72</v>
      </c>
      <c r="AR373" t="s">
        <v>330</v>
      </c>
      <c r="AS373" t="s">
        <v>306</v>
      </c>
      <c r="AT373" t="s">
        <v>314</v>
      </c>
      <c r="AU373" t="s">
        <v>268</v>
      </c>
      <c r="AV373">
        <v>11.55</v>
      </c>
    </row>
    <row r="374" spans="40:48" x14ac:dyDescent="0.25">
      <c r="AN374" t="s">
        <v>94</v>
      </c>
      <c r="AO374" t="s">
        <v>60</v>
      </c>
      <c r="AP374">
        <v>2002</v>
      </c>
      <c r="AQ374" t="s">
        <v>72</v>
      </c>
      <c r="AR374" t="s">
        <v>330</v>
      </c>
      <c r="AS374" t="s">
        <v>306</v>
      </c>
      <c r="AT374" t="s">
        <v>242</v>
      </c>
      <c r="AU374" t="s">
        <v>308</v>
      </c>
      <c r="AV374">
        <v>0</v>
      </c>
    </row>
    <row r="375" spans="40:48" x14ac:dyDescent="0.25">
      <c r="AN375" t="s">
        <v>94</v>
      </c>
      <c r="AO375" t="s">
        <v>60</v>
      </c>
      <c r="AP375">
        <v>2002</v>
      </c>
      <c r="AQ375" t="s">
        <v>72</v>
      </c>
      <c r="AR375" t="s">
        <v>330</v>
      </c>
      <c r="AS375" t="s">
        <v>306</v>
      </c>
      <c r="AT375" t="s">
        <v>242</v>
      </c>
      <c r="AU375" t="s">
        <v>309</v>
      </c>
      <c r="AV375">
        <v>0</v>
      </c>
    </row>
    <row r="376" spans="40:48" x14ac:dyDescent="0.25">
      <c r="AN376" t="s">
        <v>94</v>
      </c>
      <c r="AO376" t="s">
        <v>60</v>
      </c>
      <c r="AP376">
        <v>2002</v>
      </c>
      <c r="AQ376" t="s">
        <v>72</v>
      </c>
      <c r="AR376" t="s">
        <v>330</v>
      </c>
      <c r="AS376" t="s">
        <v>306</v>
      </c>
      <c r="AT376" t="s">
        <v>242</v>
      </c>
      <c r="AU376" t="s">
        <v>268</v>
      </c>
      <c r="AV376">
        <v>0</v>
      </c>
    </row>
    <row r="377" spans="40:48" x14ac:dyDescent="0.25">
      <c r="AN377" t="s">
        <v>94</v>
      </c>
      <c r="AO377" t="s">
        <v>60</v>
      </c>
      <c r="AP377">
        <v>2002</v>
      </c>
      <c r="AQ377" t="s">
        <v>72</v>
      </c>
      <c r="AR377" t="s">
        <v>330</v>
      </c>
      <c r="AS377" t="s">
        <v>306</v>
      </c>
      <c r="AT377" t="s">
        <v>243</v>
      </c>
      <c r="AU377" t="s">
        <v>326</v>
      </c>
      <c r="AV377">
        <v>0</v>
      </c>
    </row>
    <row r="378" spans="40:48" x14ac:dyDescent="0.25">
      <c r="AN378" t="s">
        <v>94</v>
      </c>
      <c r="AO378" t="s">
        <v>60</v>
      </c>
      <c r="AP378">
        <v>2002</v>
      </c>
      <c r="AQ378" t="s">
        <v>72</v>
      </c>
      <c r="AR378" t="s">
        <v>330</v>
      </c>
      <c r="AS378" t="s">
        <v>306</v>
      </c>
      <c r="AT378" t="s">
        <v>243</v>
      </c>
      <c r="AU378" t="s">
        <v>327</v>
      </c>
      <c r="AV378">
        <v>0</v>
      </c>
    </row>
    <row r="379" spans="40:48" x14ac:dyDescent="0.25">
      <c r="AN379" t="s">
        <v>94</v>
      </c>
      <c r="AO379" t="s">
        <v>60</v>
      </c>
      <c r="AP379">
        <v>2002</v>
      </c>
      <c r="AQ379" t="s">
        <v>72</v>
      </c>
      <c r="AR379" t="s">
        <v>330</v>
      </c>
      <c r="AS379" t="s">
        <v>306</v>
      </c>
      <c r="AT379" t="s">
        <v>243</v>
      </c>
      <c r="AU379" t="s">
        <v>329</v>
      </c>
      <c r="AV379">
        <v>35.1</v>
      </c>
    </row>
    <row r="380" spans="40:48" x14ac:dyDescent="0.25">
      <c r="AN380" t="s">
        <v>129</v>
      </c>
      <c r="AO380" t="s">
        <v>60</v>
      </c>
      <c r="AP380">
        <v>1999</v>
      </c>
      <c r="AQ380" t="s">
        <v>72</v>
      </c>
      <c r="AR380" t="s">
        <v>330</v>
      </c>
      <c r="AS380" t="s">
        <v>306</v>
      </c>
      <c r="AT380" t="s">
        <v>218</v>
      </c>
      <c r="AU380" t="s">
        <v>308</v>
      </c>
      <c r="AV380">
        <v>4.4000000000000004</v>
      </c>
    </row>
    <row r="381" spans="40:48" x14ac:dyDescent="0.25">
      <c r="AN381" t="s">
        <v>129</v>
      </c>
      <c r="AO381" t="s">
        <v>60</v>
      </c>
      <c r="AP381">
        <v>1999</v>
      </c>
      <c r="AQ381" t="s">
        <v>72</v>
      </c>
      <c r="AR381" t="s">
        <v>330</v>
      </c>
      <c r="AS381" t="s">
        <v>306</v>
      </c>
      <c r="AT381" t="s">
        <v>218</v>
      </c>
      <c r="AU381" t="s">
        <v>309</v>
      </c>
      <c r="AV381">
        <v>7.05</v>
      </c>
    </row>
    <row r="382" spans="40:48" x14ac:dyDescent="0.25">
      <c r="AN382" t="s">
        <v>129</v>
      </c>
      <c r="AO382" t="s">
        <v>60</v>
      </c>
      <c r="AP382">
        <v>1999</v>
      </c>
      <c r="AQ382" t="s">
        <v>72</v>
      </c>
      <c r="AR382" t="s">
        <v>330</v>
      </c>
      <c r="AS382" t="s">
        <v>306</v>
      </c>
      <c r="AT382" t="s">
        <v>218</v>
      </c>
      <c r="AU382" t="s">
        <v>268</v>
      </c>
      <c r="AV382">
        <v>11.45</v>
      </c>
    </row>
    <row r="383" spans="40:48" x14ac:dyDescent="0.25">
      <c r="AN383" t="s">
        <v>129</v>
      </c>
      <c r="AO383" t="s">
        <v>60</v>
      </c>
      <c r="AP383">
        <v>1999</v>
      </c>
      <c r="AQ383" t="s">
        <v>72</v>
      </c>
      <c r="AR383" t="s">
        <v>330</v>
      </c>
      <c r="AS383" t="s">
        <v>306</v>
      </c>
      <c r="AT383" t="s">
        <v>238</v>
      </c>
      <c r="AU383" t="s">
        <v>308</v>
      </c>
      <c r="AV383">
        <v>0</v>
      </c>
    </row>
    <row r="384" spans="40:48" x14ac:dyDescent="0.25">
      <c r="AN384" t="s">
        <v>129</v>
      </c>
      <c r="AO384" t="s">
        <v>60</v>
      </c>
      <c r="AP384">
        <v>1999</v>
      </c>
      <c r="AQ384" t="s">
        <v>72</v>
      </c>
      <c r="AR384" t="s">
        <v>330</v>
      </c>
      <c r="AS384" t="s">
        <v>306</v>
      </c>
      <c r="AT384" t="s">
        <v>238</v>
      </c>
      <c r="AU384" t="s">
        <v>309</v>
      </c>
      <c r="AV384">
        <v>0</v>
      </c>
    </row>
    <row r="385" spans="40:48" x14ac:dyDescent="0.25">
      <c r="AN385" t="s">
        <v>129</v>
      </c>
      <c r="AO385" t="s">
        <v>60</v>
      </c>
      <c r="AP385">
        <v>1999</v>
      </c>
      <c r="AQ385" t="s">
        <v>72</v>
      </c>
      <c r="AR385" t="s">
        <v>330</v>
      </c>
      <c r="AS385" t="s">
        <v>306</v>
      </c>
      <c r="AT385" t="s">
        <v>238</v>
      </c>
      <c r="AU385" t="s">
        <v>268</v>
      </c>
      <c r="AV385">
        <v>0</v>
      </c>
    </row>
    <row r="386" spans="40:48" x14ac:dyDescent="0.25">
      <c r="AN386" t="s">
        <v>129</v>
      </c>
      <c r="AO386" t="s">
        <v>60</v>
      </c>
      <c r="AP386">
        <v>1999</v>
      </c>
      <c r="AQ386" t="s">
        <v>72</v>
      </c>
      <c r="AR386" t="s">
        <v>330</v>
      </c>
      <c r="AS386" t="s">
        <v>306</v>
      </c>
      <c r="AT386" t="s">
        <v>239</v>
      </c>
      <c r="AU386" t="s">
        <v>308</v>
      </c>
      <c r="AV386">
        <v>0</v>
      </c>
    </row>
    <row r="387" spans="40:48" x14ac:dyDescent="0.25">
      <c r="AN387" t="s">
        <v>129</v>
      </c>
      <c r="AO387" t="s">
        <v>60</v>
      </c>
      <c r="AP387">
        <v>1999</v>
      </c>
      <c r="AQ387" t="s">
        <v>72</v>
      </c>
      <c r="AR387" t="s">
        <v>330</v>
      </c>
      <c r="AS387" t="s">
        <v>306</v>
      </c>
      <c r="AT387" t="s">
        <v>239</v>
      </c>
      <c r="AU387" t="s">
        <v>309</v>
      </c>
      <c r="AV387">
        <v>0</v>
      </c>
    </row>
    <row r="388" spans="40:48" x14ac:dyDescent="0.25">
      <c r="AN388" t="s">
        <v>129</v>
      </c>
      <c r="AO388" t="s">
        <v>60</v>
      </c>
      <c r="AP388">
        <v>1999</v>
      </c>
      <c r="AQ388" t="s">
        <v>72</v>
      </c>
      <c r="AR388" t="s">
        <v>330</v>
      </c>
      <c r="AS388" t="s">
        <v>306</v>
      </c>
      <c r="AT388" t="s">
        <v>239</v>
      </c>
      <c r="AU388" t="s">
        <v>268</v>
      </c>
      <c r="AV388">
        <v>0</v>
      </c>
    </row>
    <row r="389" spans="40:48" x14ac:dyDescent="0.25">
      <c r="AN389" t="s">
        <v>129</v>
      </c>
      <c r="AO389" t="s">
        <v>60</v>
      </c>
      <c r="AP389">
        <v>1999</v>
      </c>
      <c r="AQ389" t="s">
        <v>72</v>
      </c>
      <c r="AR389" t="s">
        <v>330</v>
      </c>
      <c r="AS389" t="s">
        <v>306</v>
      </c>
      <c r="AT389" t="s">
        <v>240</v>
      </c>
      <c r="AU389" t="s">
        <v>308</v>
      </c>
      <c r="AV389">
        <v>2.8</v>
      </c>
    </row>
    <row r="390" spans="40:48" x14ac:dyDescent="0.25">
      <c r="AN390" t="s">
        <v>129</v>
      </c>
      <c r="AO390" t="s">
        <v>60</v>
      </c>
      <c r="AP390">
        <v>1999</v>
      </c>
      <c r="AQ390" t="s">
        <v>72</v>
      </c>
      <c r="AR390" t="s">
        <v>330</v>
      </c>
      <c r="AS390" t="s">
        <v>306</v>
      </c>
      <c r="AT390" t="s">
        <v>240</v>
      </c>
      <c r="AU390" t="s">
        <v>309</v>
      </c>
      <c r="AV390">
        <v>8.5500000000000007</v>
      </c>
    </row>
    <row r="391" spans="40:48" x14ac:dyDescent="0.25">
      <c r="AN391" t="s">
        <v>129</v>
      </c>
      <c r="AO391" t="s">
        <v>60</v>
      </c>
      <c r="AP391">
        <v>1999</v>
      </c>
      <c r="AQ391" t="s">
        <v>72</v>
      </c>
      <c r="AR391" t="s">
        <v>330</v>
      </c>
      <c r="AS391" t="s">
        <v>306</v>
      </c>
      <c r="AT391" t="s">
        <v>240</v>
      </c>
      <c r="AU391" t="s">
        <v>268</v>
      </c>
      <c r="AV391">
        <v>11.35</v>
      </c>
    </row>
    <row r="392" spans="40:48" x14ac:dyDescent="0.25">
      <c r="AN392" t="s">
        <v>129</v>
      </c>
      <c r="AO392" t="s">
        <v>60</v>
      </c>
      <c r="AP392">
        <v>1999</v>
      </c>
      <c r="AQ392" t="s">
        <v>72</v>
      </c>
      <c r="AR392" t="s">
        <v>330</v>
      </c>
      <c r="AS392" t="s">
        <v>306</v>
      </c>
      <c r="AT392" t="s">
        <v>314</v>
      </c>
      <c r="AU392" t="s">
        <v>308</v>
      </c>
      <c r="AV392">
        <v>2.7</v>
      </c>
    </row>
    <row r="393" spans="40:48" x14ac:dyDescent="0.25">
      <c r="AN393" t="s">
        <v>129</v>
      </c>
      <c r="AO393" t="s">
        <v>60</v>
      </c>
      <c r="AP393">
        <v>1999</v>
      </c>
      <c r="AQ393" t="s">
        <v>72</v>
      </c>
      <c r="AR393" t="s">
        <v>330</v>
      </c>
      <c r="AS393" t="s">
        <v>306</v>
      </c>
      <c r="AT393" t="s">
        <v>314</v>
      </c>
      <c r="AU393" t="s">
        <v>309</v>
      </c>
      <c r="AV393">
        <v>8.5500000000000007</v>
      </c>
    </row>
    <row r="394" spans="40:48" x14ac:dyDescent="0.25">
      <c r="AN394" t="s">
        <v>129</v>
      </c>
      <c r="AO394" t="s">
        <v>60</v>
      </c>
      <c r="AP394">
        <v>1999</v>
      </c>
      <c r="AQ394" t="s">
        <v>72</v>
      </c>
      <c r="AR394" t="s">
        <v>330</v>
      </c>
      <c r="AS394" t="s">
        <v>306</v>
      </c>
      <c r="AT394" t="s">
        <v>314</v>
      </c>
      <c r="AU394" t="s">
        <v>268</v>
      </c>
      <c r="AV394">
        <v>11.25</v>
      </c>
    </row>
    <row r="395" spans="40:48" x14ac:dyDescent="0.25">
      <c r="AN395" t="s">
        <v>129</v>
      </c>
      <c r="AO395" t="s">
        <v>60</v>
      </c>
      <c r="AP395">
        <v>1999</v>
      </c>
      <c r="AQ395" t="s">
        <v>72</v>
      </c>
      <c r="AR395" t="s">
        <v>330</v>
      </c>
      <c r="AS395" t="s">
        <v>306</v>
      </c>
      <c r="AT395" t="s">
        <v>242</v>
      </c>
      <c r="AU395" t="s">
        <v>308</v>
      </c>
      <c r="AV395">
        <v>0</v>
      </c>
    </row>
    <row r="396" spans="40:48" x14ac:dyDescent="0.25">
      <c r="AN396" t="s">
        <v>129</v>
      </c>
      <c r="AO396" t="s">
        <v>60</v>
      </c>
      <c r="AP396">
        <v>1999</v>
      </c>
      <c r="AQ396" t="s">
        <v>72</v>
      </c>
      <c r="AR396" t="s">
        <v>330</v>
      </c>
      <c r="AS396" t="s">
        <v>306</v>
      </c>
      <c r="AT396" t="s">
        <v>242</v>
      </c>
      <c r="AU396" t="s">
        <v>309</v>
      </c>
      <c r="AV396">
        <v>0</v>
      </c>
    </row>
    <row r="397" spans="40:48" x14ac:dyDescent="0.25">
      <c r="AN397" t="s">
        <v>129</v>
      </c>
      <c r="AO397" t="s">
        <v>60</v>
      </c>
      <c r="AP397">
        <v>1999</v>
      </c>
      <c r="AQ397" t="s">
        <v>72</v>
      </c>
      <c r="AR397" t="s">
        <v>330</v>
      </c>
      <c r="AS397" t="s">
        <v>306</v>
      </c>
      <c r="AT397" t="s">
        <v>242</v>
      </c>
      <c r="AU397" t="s">
        <v>268</v>
      </c>
      <c r="AV397">
        <v>0</v>
      </c>
    </row>
    <row r="398" spans="40:48" x14ac:dyDescent="0.25">
      <c r="AN398" t="s">
        <v>129</v>
      </c>
      <c r="AO398" t="s">
        <v>60</v>
      </c>
      <c r="AP398">
        <v>1999</v>
      </c>
      <c r="AQ398" t="s">
        <v>72</v>
      </c>
      <c r="AR398" t="s">
        <v>330</v>
      </c>
      <c r="AS398" t="s">
        <v>306</v>
      </c>
      <c r="AT398" t="s">
        <v>243</v>
      </c>
      <c r="AU398" t="s">
        <v>326</v>
      </c>
      <c r="AV398">
        <v>0</v>
      </c>
    </row>
    <row r="399" spans="40:48" x14ac:dyDescent="0.25">
      <c r="AN399" t="s">
        <v>129</v>
      </c>
      <c r="AO399" t="s">
        <v>60</v>
      </c>
      <c r="AP399">
        <v>1999</v>
      </c>
      <c r="AQ399" t="s">
        <v>72</v>
      </c>
      <c r="AR399" t="s">
        <v>330</v>
      </c>
      <c r="AS399" t="s">
        <v>306</v>
      </c>
      <c r="AT399" t="s">
        <v>243</v>
      </c>
      <c r="AU399" t="s">
        <v>327</v>
      </c>
      <c r="AV399">
        <v>0</v>
      </c>
    </row>
    <row r="400" spans="40:48" x14ac:dyDescent="0.25">
      <c r="AN400" t="s">
        <v>129</v>
      </c>
      <c r="AO400" t="s">
        <v>60</v>
      </c>
      <c r="AP400">
        <v>1999</v>
      </c>
      <c r="AQ400" t="s">
        <v>72</v>
      </c>
      <c r="AR400" t="s">
        <v>330</v>
      </c>
      <c r="AS400" t="s">
        <v>306</v>
      </c>
      <c r="AT400" t="s">
        <v>243</v>
      </c>
      <c r="AU400" t="s">
        <v>329</v>
      </c>
      <c r="AV400">
        <v>34.049999999999997</v>
      </c>
    </row>
    <row r="401" spans="40:48" x14ac:dyDescent="0.25">
      <c r="AN401" t="s">
        <v>86</v>
      </c>
      <c r="AO401" t="s">
        <v>60</v>
      </c>
      <c r="AP401">
        <v>2003</v>
      </c>
      <c r="AQ401" t="s">
        <v>72</v>
      </c>
      <c r="AR401" t="s">
        <v>330</v>
      </c>
      <c r="AS401" t="s">
        <v>306</v>
      </c>
      <c r="AT401" t="s">
        <v>218</v>
      </c>
      <c r="AU401" t="s">
        <v>308</v>
      </c>
      <c r="AV401">
        <v>4.2</v>
      </c>
    </row>
    <row r="402" spans="40:48" x14ac:dyDescent="0.25">
      <c r="AN402" t="s">
        <v>86</v>
      </c>
      <c r="AO402" t="s">
        <v>60</v>
      </c>
      <c r="AP402">
        <v>2003</v>
      </c>
      <c r="AQ402" t="s">
        <v>72</v>
      </c>
      <c r="AR402" t="s">
        <v>330</v>
      </c>
      <c r="AS402" t="s">
        <v>306</v>
      </c>
      <c r="AT402" t="s">
        <v>218</v>
      </c>
      <c r="AU402" t="s">
        <v>309</v>
      </c>
      <c r="AV402">
        <v>7.55</v>
      </c>
    </row>
    <row r="403" spans="40:48" x14ac:dyDescent="0.25">
      <c r="AN403" t="s">
        <v>86</v>
      </c>
      <c r="AO403" t="s">
        <v>60</v>
      </c>
      <c r="AP403">
        <v>2003</v>
      </c>
      <c r="AQ403" t="s">
        <v>72</v>
      </c>
      <c r="AR403" t="s">
        <v>330</v>
      </c>
      <c r="AS403" t="s">
        <v>306</v>
      </c>
      <c r="AT403" t="s">
        <v>218</v>
      </c>
      <c r="AU403" t="s">
        <v>268</v>
      </c>
      <c r="AV403">
        <v>11.75</v>
      </c>
    </row>
    <row r="404" spans="40:48" x14ac:dyDescent="0.25">
      <c r="AN404" t="s">
        <v>86</v>
      </c>
      <c r="AO404" t="s">
        <v>60</v>
      </c>
      <c r="AP404">
        <v>2003</v>
      </c>
      <c r="AQ404" t="s">
        <v>72</v>
      </c>
      <c r="AR404" t="s">
        <v>330</v>
      </c>
      <c r="AS404" t="s">
        <v>306</v>
      </c>
      <c r="AT404" t="s">
        <v>238</v>
      </c>
      <c r="AU404" t="s">
        <v>308</v>
      </c>
      <c r="AV404">
        <v>4.2</v>
      </c>
    </row>
    <row r="405" spans="40:48" x14ac:dyDescent="0.25">
      <c r="AN405" t="s">
        <v>86</v>
      </c>
      <c r="AO405" t="s">
        <v>60</v>
      </c>
      <c r="AP405">
        <v>2003</v>
      </c>
      <c r="AQ405" t="s">
        <v>72</v>
      </c>
      <c r="AR405" t="s">
        <v>330</v>
      </c>
      <c r="AS405" t="s">
        <v>306</v>
      </c>
      <c r="AT405" t="s">
        <v>238</v>
      </c>
      <c r="AU405" t="s">
        <v>309</v>
      </c>
      <c r="AV405">
        <v>8</v>
      </c>
    </row>
    <row r="406" spans="40:48" x14ac:dyDescent="0.25">
      <c r="AN406" t="s">
        <v>86</v>
      </c>
      <c r="AO406" t="s">
        <v>60</v>
      </c>
      <c r="AP406">
        <v>2003</v>
      </c>
      <c r="AQ406" t="s">
        <v>72</v>
      </c>
      <c r="AR406" t="s">
        <v>330</v>
      </c>
      <c r="AS406" t="s">
        <v>306</v>
      </c>
      <c r="AT406" t="s">
        <v>238</v>
      </c>
      <c r="AU406" t="s">
        <v>268</v>
      </c>
      <c r="AV406">
        <v>12.2</v>
      </c>
    </row>
    <row r="407" spans="40:48" x14ac:dyDescent="0.25">
      <c r="AN407" t="s">
        <v>86</v>
      </c>
      <c r="AO407" t="s">
        <v>60</v>
      </c>
      <c r="AP407">
        <v>2003</v>
      </c>
      <c r="AQ407" t="s">
        <v>72</v>
      </c>
      <c r="AR407" t="s">
        <v>330</v>
      </c>
      <c r="AS407" t="s">
        <v>306</v>
      </c>
      <c r="AT407" t="s">
        <v>239</v>
      </c>
      <c r="AU407" t="s">
        <v>308</v>
      </c>
      <c r="AV407">
        <v>0</v>
      </c>
    </row>
    <row r="408" spans="40:48" x14ac:dyDescent="0.25">
      <c r="AN408" t="s">
        <v>86</v>
      </c>
      <c r="AO408" t="s">
        <v>60</v>
      </c>
      <c r="AP408">
        <v>2003</v>
      </c>
      <c r="AQ408" t="s">
        <v>72</v>
      </c>
      <c r="AR408" t="s">
        <v>330</v>
      </c>
      <c r="AS408" t="s">
        <v>306</v>
      </c>
      <c r="AT408" t="s">
        <v>239</v>
      </c>
      <c r="AU408" t="s">
        <v>309</v>
      </c>
      <c r="AV408">
        <v>0</v>
      </c>
    </row>
    <row r="409" spans="40:48" x14ac:dyDescent="0.25">
      <c r="AN409" t="s">
        <v>86</v>
      </c>
      <c r="AO409" t="s">
        <v>60</v>
      </c>
      <c r="AP409">
        <v>2003</v>
      </c>
      <c r="AQ409" t="s">
        <v>72</v>
      </c>
      <c r="AR409" t="s">
        <v>330</v>
      </c>
      <c r="AS409" t="s">
        <v>306</v>
      </c>
      <c r="AT409" t="s">
        <v>239</v>
      </c>
      <c r="AU409" t="s">
        <v>268</v>
      </c>
      <c r="AV409">
        <v>0</v>
      </c>
    </row>
    <row r="410" spans="40:48" x14ac:dyDescent="0.25">
      <c r="AN410" t="s">
        <v>86</v>
      </c>
      <c r="AO410" t="s">
        <v>60</v>
      </c>
      <c r="AP410">
        <v>2003</v>
      </c>
      <c r="AQ410" t="s">
        <v>72</v>
      </c>
      <c r="AR410" t="s">
        <v>330</v>
      </c>
      <c r="AS410" t="s">
        <v>306</v>
      </c>
      <c r="AT410" t="s">
        <v>240</v>
      </c>
      <c r="AU410" t="s">
        <v>308</v>
      </c>
      <c r="AV410">
        <v>0</v>
      </c>
    </row>
    <row r="411" spans="40:48" x14ac:dyDescent="0.25">
      <c r="AN411" t="s">
        <v>86</v>
      </c>
      <c r="AO411" t="s">
        <v>60</v>
      </c>
      <c r="AP411">
        <v>2003</v>
      </c>
      <c r="AQ411" t="s">
        <v>72</v>
      </c>
      <c r="AR411" t="s">
        <v>330</v>
      </c>
      <c r="AS411" t="s">
        <v>306</v>
      </c>
      <c r="AT411" t="s">
        <v>240</v>
      </c>
      <c r="AU411" t="s">
        <v>309</v>
      </c>
      <c r="AV411">
        <v>0</v>
      </c>
    </row>
    <row r="412" spans="40:48" x14ac:dyDescent="0.25">
      <c r="AN412" t="s">
        <v>86</v>
      </c>
      <c r="AO412" t="s">
        <v>60</v>
      </c>
      <c r="AP412">
        <v>2003</v>
      </c>
      <c r="AQ412" t="s">
        <v>72</v>
      </c>
      <c r="AR412" t="s">
        <v>330</v>
      </c>
      <c r="AS412" t="s">
        <v>306</v>
      </c>
      <c r="AT412" t="s">
        <v>240</v>
      </c>
      <c r="AU412" t="s">
        <v>268</v>
      </c>
      <c r="AV412">
        <v>0</v>
      </c>
    </row>
    <row r="413" spans="40:48" x14ac:dyDescent="0.25">
      <c r="AN413" t="s">
        <v>86</v>
      </c>
      <c r="AO413" t="s">
        <v>60</v>
      </c>
      <c r="AP413">
        <v>2003</v>
      </c>
      <c r="AQ413" t="s">
        <v>72</v>
      </c>
      <c r="AR413" t="s">
        <v>330</v>
      </c>
      <c r="AS413" t="s">
        <v>306</v>
      </c>
      <c r="AT413" t="s">
        <v>314</v>
      </c>
      <c r="AU413" t="s">
        <v>308</v>
      </c>
      <c r="AV413">
        <v>2.9</v>
      </c>
    </row>
    <row r="414" spans="40:48" x14ac:dyDescent="0.25">
      <c r="AN414" t="s">
        <v>86</v>
      </c>
      <c r="AO414" t="s">
        <v>60</v>
      </c>
      <c r="AP414">
        <v>2003</v>
      </c>
      <c r="AQ414" t="s">
        <v>72</v>
      </c>
      <c r="AR414" t="s">
        <v>330</v>
      </c>
      <c r="AS414" t="s">
        <v>306</v>
      </c>
      <c r="AT414" t="s">
        <v>314</v>
      </c>
      <c r="AU414" t="s">
        <v>309</v>
      </c>
      <c r="AV414">
        <v>7.2</v>
      </c>
    </row>
    <row r="415" spans="40:48" x14ac:dyDescent="0.25">
      <c r="AN415" t="s">
        <v>86</v>
      </c>
      <c r="AO415" t="s">
        <v>60</v>
      </c>
      <c r="AP415">
        <v>2003</v>
      </c>
      <c r="AQ415" t="s">
        <v>72</v>
      </c>
      <c r="AR415" t="s">
        <v>330</v>
      </c>
      <c r="AS415" t="s">
        <v>306</v>
      </c>
      <c r="AT415" t="s">
        <v>314</v>
      </c>
      <c r="AU415" t="s">
        <v>268</v>
      </c>
      <c r="AV415">
        <v>10.1</v>
      </c>
    </row>
    <row r="416" spans="40:48" x14ac:dyDescent="0.25">
      <c r="AN416" t="s">
        <v>86</v>
      </c>
      <c r="AO416" t="s">
        <v>60</v>
      </c>
      <c r="AP416">
        <v>2003</v>
      </c>
      <c r="AQ416" t="s">
        <v>72</v>
      </c>
      <c r="AR416" t="s">
        <v>330</v>
      </c>
      <c r="AS416" t="s">
        <v>306</v>
      </c>
      <c r="AT416" t="s">
        <v>242</v>
      </c>
      <c r="AU416" t="s">
        <v>308</v>
      </c>
      <c r="AV416">
        <v>0</v>
      </c>
    </row>
    <row r="417" spans="40:48" x14ac:dyDescent="0.25">
      <c r="AN417" t="s">
        <v>86</v>
      </c>
      <c r="AO417" t="s">
        <v>60</v>
      </c>
      <c r="AP417">
        <v>2003</v>
      </c>
      <c r="AQ417" t="s">
        <v>72</v>
      </c>
      <c r="AR417" t="s">
        <v>330</v>
      </c>
      <c r="AS417" t="s">
        <v>306</v>
      </c>
      <c r="AT417" t="s">
        <v>242</v>
      </c>
      <c r="AU417" t="s">
        <v>309</v>
      </c>
      <c r="AV417">
        <v>0</v>
      </c>
    </row>
    <row r="418" spans="40:48" x14ac:dyDescent="0.25">
      <c r="AN418" t="s">
        <v>86</v>
      </c>
      <c r="AO418" t="s">
        <v>60</v>
      </c>
      <c r="AP418">
        <v>2003</v>
      </c>
      <c r="AQ418" t="s">
        <v>72</v>
      </c>
      <c r="AR418" t="s">
        <v>330</v>
      </c>
      <c r="AS418" t="s">
        <v>306</v>
      </c>
      <c r="AT418" t="s">
        <v>242</v>
      </c>
      <c r="AU418" t="s">
        <v>268</v>
      </c>
      <c r="AV418">
        <v>0</v>
      </c>
    </row>
    <row r="419" spans="40:48" x14ac:dyDescent="0.25">
      <c r="AN419" t="s">
        <v>86</v>
      </c>
      <c r="AO419" t="s">
        <v>60</v>
      </c>
      <c r="AP419">
        <v>2003</v>
      </c>
      <c r="AQ419" t="s">
        <v>72</v>
      </c>
      <c r="AR419" t="s">
        <v>330</v>
      </c>
      <c r="AS419" t="s">
        <v>306</v>
      </c>
      <c r="AT419" t="s">
        <v>243</v>
      </c>
      <c r="AU419" t="s">
        <v>326</v>
      </c>
      <c r="AV419">
        <v>0</v>
      </c>
    </row>
    <row r="420" spans="40:48" x14ac:dyDescent="0.25">
      <c r="AN420" t="s">
        <v>86</v>
      </c>
      <c r="AO420" t="s">
        <v>60</v>
      </c>
      <c r="AP420">
        <v>2003</v>
      </c>
      <c r="AQ420" t="s">
        <v>72</v>
      </c>
      <c r="AR420" t="s">
        <v>330</v>
      </c>
      <c r="AS420" t="s">
        <v>306</v>
      </c>
      <c r="AT420" t="s">
        <v>243</v>
      </c>
      <c r="AU420" t="s">
        <v>327</v>
      </c>
      <c r="AV420">
        <v>0</v>
      </c>
    </row>
    <row r="421" spans="40:48" x14ac:dyDescent="0.25">
      <c r="AN421" t="s">
        <v>86</v>
      </c>
      <c r="AO421" t="s">
        <v>60</v>
      </c>
      <c r="AP421">
        <v>2003</v>
      </c>
      <c r="AQ421" t="s">
        <v>72</v>
      </c>
      <c r="AR421" t="s">
        <v>330</v>
      </c>
      <c r="AS421" t="s">
        <v>306</v>
      </c>
      <c r="AT421" t="s">
        <v>243</v>
      </c>
      <c r="AU421" t="s">
        <v>329</v>
      </c>
      <c r="AV421">
        <v>34.049999999999997</v>
      </c>
    </row>
    <row r="422" spans="40:48" x14ac:dyDescent="0.25">
      <c r="AN422" t="s">
        <v>100</v>
      </c>
      <c r="AO422" t="s">
        <v>60</v>
      </c>
      <c r="AP422">
        <v>2004</v>
      </c>
      <c r="AQ422" t="s">
        <v>31</v>
      </c>
      <c r="AR422" t="s">
        <v>330</v>
      </c>
      <c r="AS422" t="s">
        <v>306</v>
      </c>
      <c r="AT422" t="s">
        <v>218</v>
      </c>
      <c r="AU422" t="s">
        <v>308</v>
      </c>
      <c r="AV422">
        <v>4.4000000000000004</v>
      </c>
    </row>
    <row r="423" spans="40:48" x14ac:dyDescent="0.25">
      <c r="AN423" t="s">
        <v>100</v>
      </c>
      <c r="AO423" t="s">
        <v>60</v>
      </c>
      <c r="AP423">
        <v>2004</v>
      </c>
      <c r="AQ423" t="s">
        <v>31</v>
      </c>
      <c r="AR423" t="s">
        <v>330</v>
      </c>
      <c r="AS423" t="s">
        <v>306</v>
      </c>
      <c r="AT423" t="s">
        <v>218</v>
      </c>
      <c r="AU423" t="s">
        <v>309</v>
      </c>
      <c r="AV423">
        <v>7.55</v>
      </c>
    </row>
    <row r="424" spans="40:48" x14ac:dyDescent="0.25">
      <c r="AN424" t="s">
        <v>100</v>
      </c>
      <c r="AO424" t="s">
        <v>60</v>
      </c>
      <c r="AP424">
        <v>2004</v>
      </c>
      <c r="AQ424" t="s">
        <v>31</v>
      </c>
      <c r="AR424" t="s">
        <v>330</v>
      </c>
      <c r="AS424" t="s">
        <v>306</v>
      </c>
      <c r="AT424" t="s">
        <v>218</v>
      </c>
      <c r="AU424" t="s">
        <v>268</v>
      </c>
      <c r="AV424">
        <v>11.95</v>
      </c>
    </row>
    <row r="425" spans="40:48" x14ac:dyDescent="0.25">
      <c r="AN425" t="s">
        <v>100</v>
      </c>
      <c r="AO425" t="s">
        <v>60</v>
      </c>
      <c r="AP425">
        <v>2004</v>
      </c>
      <c r="AQ425" t="s">
        <v>31</v>
      </c>
      <c r="AR425" t="s">
        <v>330</v>
      </c>
      <c r="AS425" t="s">
        <v>306</v>
      </c>
      <c r="AT425" t="s">
        <v>238</v>
      </c>
      <c r="AU425" t="s">
        <v>308</v>
      </c>
      <c r="AV425">
        <v>0</v>
      </c>
    </row>
    <row r="426" spans="40:48" x14ac:dyDescent="0.25">
      <c r="AN426" t="s">
        <v>100</v>
      </c>
      <c r="AO426" t="s">
        <v>60</v>
      </c>
      <c r="AP426">
        <v>2004</v>
      </c>
      <c r="AQ426" t="s">
        <v>31</v>
      </c>
      <c r="AR426" t="s">
        <v>330</v>
      </c>
      <c r="AS426" t="s">
        <v>306</v>
      </c>
      <c r="AT426" t="s">
        <v>238</v>
      </c>
      <c r="AU426" t="s">
        <v>309</v>
      </c>
      <c r="AV426">
        <v>0</v>
      </c>
    </row>
    <row r="427" spans="40:48" x14ac:dyDescent="0.25">
      <c r="AN427" t="s">
        <v>100</v>
      </c>
      <c r="AO427" t="s">
        <v>60</v>
      </c>
      <c r="AP427">
        <v>2004</v>
      </c>
      <c r="AQ427" t="s">
        <v>31</v>
      </c>
      <c r="AR427" t="s">
        <v>330</v>
      </c>
      <c r="AS427" t="s">
        <v>306</v>
      </c>
      <c r="AT427" t="s">
        <v>238</v>
      </c>
      <c r="AU427" t="s">
        <v>268</v>
      </c>
      <c r="AV427">
        <v>0</v>
      </c>
    </row>
    <row r="428" spans="40:48" x14ac:dyDescent="0.25">
      <c r="AN428" t="s">
        <v>100</v>
      </c>
      <c r="AO428" t="s">
        <v>60</v>
      </c>
      <c r="AP428">
        <v>2004</v>
      </c>
      <c r="AQ428" t="s">
        <v>31</v>
      </c>
      <c r="AR428" t="s">
        <v>330</v>
      </c>
      <c r="AS428" t="s">
        <v>306</v>
      </c>
      <c r="AT428" t="s">
        <v>239</v>
      </c>
      <c r="AU428" t="s">
        <v>308</v>
      </c>
      <c r="AV428">
        <v>0</v>
      </c>
    </row>
    <row r="429" spans="40:48" x14ac:dyDescent="0.25">
      <c r="AN429" t="s">
        <v>100</v>
      </c>
      <c r="AO429" t="s">
        <v>60</v>
      </c>
      <c r="AP429">
        <v>2004</v>
      </c>
      <c r="AQ429" t="s">
        <v>31</v>
      </c>
      <c r="AR429" t="s">
        <v>330</v>
      </c>
      <c r="AS429" t="s">
        <v>306</v>
      </c>
      <c r="AT429" t="s">
        <v>239</v>
      </c>
      <c r="AU429" t="s">
        <v>309</v>
      </c>
      <c r="AV429">
        <v>0</v>
      </c>
    </row>
    <row r="430" spans="40:48" x14ac:dyDescent="0.25">
      <c r="AN430" t="s">
        <v>100</v>
      </c>
      <c r="AO430" t="s">
        <v>60</v>
      </c>
      <c r="AP430">
        <v>2004</v>
      </c>
      <c r="AQ430" t="s">
        <v>31</v>
      </c>
      <c r="AR430" t="s">
        <v>330</v>
      </c>
      <c r="AS430" t="s">
        <v>306</v>
      </c>
      <c r="AT430" t="s">
        <v>239</v>
      </c>
      <c r="AU430" t="s">
        <v>268</v>
      </c>
      <c r="AV430">
        <v>0</v>
      </c>
    </row>
    <row r="431" spans="40:48" x14ac:dyDescent="0.25">
      <c r="AN431" t="s">
        <v>100</v>
      </c>
      <c r="AO431" t="s">
        <v>60</v>
      </c>
      <c r="AP431">
        <v>2004</v>
      </c>
      <c r="AQ431" t="s">
        <v>31</v>
      </c>
      <c r="AR431" t="s">
        <v>330</v>
      </c>
      <c r="AS431" t="s">
        <v>306</v>
      </c>
      <c r="AT431" t="s">
        <v>240</v>
      </c>
      <c r="AU431" t="s">
        <v>308</v>
      </c>
      <c r="AV431">
        <v>0</v>
      </c>
    </row>
    <row r="432" spans="40:48" x14ac:dyDescent="0.25">
      <c r="AN432" t="s">
        <v>100</v>
      </c>
      <c r="AO432" t="s">
        <v>60</v>
      </c>
      <c r="AP432">
        <v>2004</v>
      </c>
      <c r="AQ432" t="s">
        <v>31</v>
      </c>
      <c r="AR432" t="s">
        <v>330</v>
      </c>
      <c r="AS432" t="s">
        <v>306</v>
      </c>
      <c r="AT432" t="s">
        <v>240</v>
      </c>
      <c r="AU432" t="s">
        <v>309</v>
      </c>
      <c r="AV432">
        <v>0</v>
      </c>
    </row>
    <row r="433" spans="40:48" x14ac:dyDescent="0.25">
      <c r="AN433" t="s">
        <v>100</v>
      </c>
      <c r="AO433" t="s">
        <v>60</v>
      </c>
      <c r="AP433">
        <v>2004</v>
      </c>
      <c r="AQ433" t="s">
        <v>31</v>
      </c>
      <c r="AR433" t="s">
        <v>330</v>
      </c>
      <c r="AS433" t="s">
        <v>306</v>
      </c>
      <c r="AT433" t="s">
        <v>240</v>
      </c>
      <c r="AU433" t="s">
        <v>268</v>
      </c>
      <c r="AV433">
        <v>0</v>
      </c>
    </row>
    <row r="434" spans="40:48" x14ac:dyDescent="0.25">
      <c r="AN434" t="s">
        <v>100</v>
      </c>
      <c r="AO434" t="s">
        <v>60</v>
      </c>
      <c r="AP434">
        <v>2004</v>
      </c>
      <c r="AQ434" t="s">
        <v>31</v>
      </c>
      <c r="AR434" t="s">
        <v>330</v>
      </c>
      <c r="AS434" t="s">
        <v>306</v>
      </c>
      <c r="AT434" t="s">
        <v>314</v>
      </c>
      <c r="AU434" t="s">
        <v>308</v>
      </c>
      <c r="AV434">
        <v>0</v>
      </c>
    </row>
    <row r="435" spans="40:48" x14ac:dyDescent="0.25">
      <c r="AN435" t="s">
        <v>100</v>
      </c>
      <c r="AO435" t="s">
        <v>60</v>
      </c>
      <c r="AP435">
        <v>2004</v>
      </c>
      <c r="AQ435" t="s">
        <v>31</v>
      </c>
      <c r="AR435" t="s">
        <v>330</v>
      </c>
      <c r="AS435" t="s">
        <v>306</v>
      </c>
      <c r="AT435" t="s">
        <v>314</v>
      </c>
      <c r="AU435" t="s">
        <v>309</v>
      </c>
      <c r="AV435">
        <v>0</v>
      </c>
    </row>
    <row r="436" spans="40:48" x14ac:dyDescent="0.25">
      <c r="AN436" t="s">
        <v>100</v>
      </c>
      <c r="AO436" t="s">
        <v>60</v>
      </c>
      <c r="AP436">
        <v>2004</v>
      </c>
      <c r="AQ436" t="s">
        <v>31</v>
      </c>
      <c r="AR436" t="s">
        <v>330</v>
      </c>
      <c r="AS436" t="s">
        <v>306</v>
      </c>
      <c r="AT436" t="s">
        <v>314</v>
      </c>
      <c r="AU436" t="s">
        <v>268</v>
      </c>
      <c r="AV436">
        <v>0</v>
      </c>
    </row>
    <row r="437" spans="40:48" x14ac:dyDescent="0.25">
      <c r="AN437" t="s">
        <v>100</v>
      </c>
      <c r="AO437" t="s">
        <v>60</v>
      </c>
      <c r="AP437">
        <v>2004</v>
      </c>
      <c r="AQ437" t="s">
        <v>31</v>
      </c>
      <c r="AR437" t="s">
        <v>330</v>
      </c>
      <c r="AS437" t="s">
        <v>306</v>
      </c>
      <c r="AT437" t="s">
        <v>242</v>
      </c>
      <c r="AU437" t="s">
        <v>308</v>
      </c>
      <c r="AV437">
        <v>2.1</v>
      </c>
    </row>
    <row r="438" spans="40:48" x14ac:dyDescent="0.25">
      <c r="AN438" t="s">
        <v>100</v>
      </c>
      <c r="AO438" t="s">
        <v>60</v>
      </c>
      <c r="AP438">
        <v>2004</v>
      </c>
      <c r="AQ438" t="s">
        <v>31</v>
      </c>
      <c r="AR438" t="s">
        <v>330</v>
      </c>
      <c r="AS438" t="s">
        <v>306</v>
      </c>
      <c r="AT438" t="s">
        <v>242</v>
      </c>
      <c r="AU438" t="s">
        <v>309</v>
      </c>
      <c r="AV438">
        <v>8.5</v>
      </c>
    </row>
    <row r="439" spans="40:48" x14ac:dyDescent="0.25">
      <c r="AN439" t="s">
        <v>100</v>
      </c>
      <c r="AO439" t="s">
        <v>60</v>
      </c>
      <c r="AP439">
        <v>2004</v>
      </c>
      <c r="AQ439" t="s">
        <v>31</v>
      </c>
      <c r="AR439" t="s">
        <v>330</v>
      </c>
      <c r="AS439" t="s">
        <v>306</v>
      </c>
      <c r="AT439" t="s">
        <v>242</v>
      </c>
      <c r="AU439" t="s">
        <v>268</v>
      </c>
      <c r="AV439">
        <v>10.6</v>
      </c>
    </row>
    <row r="440" spans="40:48" x14ac:dyDescent="0.25">
      <c r="AN440" t="s">
        <v>100</v>
      </c>
      <c r="AO440" t="s">
        <v>60</v>
      </c>
      <c r="AP440">
        <v>2004</v>
      </c>
      <c r="AQ440" t="s">
        <v>31</v>
      </c>
      <c r="AR440" t="s">
        <v>330</v>
      </c>
      <c r="AS440" t="s">
        <v>306</v>
      </c>
      <c r="AT440" t="s">
        <v>243</v>
      </c>
      <c r="AU440" t="s">
        <v>326</v>
      </c>
      <c r="AV440">
        <v>0</v>
      </c>
    </row>
    <row r="441" spans="40:48" x14ac:dyDescent="0.25">
      <c r="AN441" t="s">
        <v>100</v>
      </c>
      <c r="AO441" t="s">
        <v>60</v>
      </c>
      <c r="AP441">
        <v>2004</v>
      </c>
      <c r="AQ441" t="s">
        <v>31</v>
      </c>
      <c r="AR441" t="s">
        <v>330</v>
      </c>
      <c r="AS441" t="s">
        <v>306</v>
      </c>
      <c r="AT441" t="s">
        <v>243</v>
      </c>
      <c r="AU441" t="s">
        <v>327</v>
      </c>
      <c r="AV441">
        <v>0</v>
      </c>
    </row>
    <row r="442" spans="40:48" x14ac:dyDescent="0.25">
      <c r="AN442" t="s">
        <v>100</v>
      </c>
      <c r="AO442" t="s">
        <v>60</v>
      </c>
      <c r="AP442">
        <v>2004</v>
      </c>
      <c r="AQ442" t="s">
        <v>31</v>
      </c>
      <c r="AR442" t="s">
        <v>330</v>
      </c>
      <c r="AS442" t="s">
        <v>306</v>
      </c>
      <c r="AT442" t="s">
        <v>243</v>
      </c>
      <c r="AU442" t="s">
        <v>329</v>
      </c>
      <c r="AV442">
        <v>22.55</v>
      </c>
    </row>
    <row r="443" spans="40:48" x14ac:dyDescent="0.25">
      <c r="AN443" t="s">
        <v>106</v>
      </c>
      <c r="AO443" t="s">
        <v>60</v>
      </c>
      <c r="AP443">
        <v>2004</v>
      </c>
      <c r="AQ443" t="s">
        <v>31</v>
      </c>
      <c r="AR443" t="s">
        <v>330</v>
      </c>
      <c r="AS443" t="s">
        <v>306</v>
      </c>
      <c r="AT443" t="s">
        <v>218</v>
      </c>
      <c r="AU443" t="s">
        <v>308</v>
      </c>
      <c r="AV443">
        <v>3.8</v>
      </c>
    </row>
    <row r="444" spans="40:48" x14ac:dyDescent="0.25">
      <c r="AN444" t="s">
        <v>106</v>
      </c>
      <c r="AO444" t="s">
        <v>60</v>
      </c>
      <c r="AP444">
        <v>2004</v>
      </c>
      <c r="AQ444" t="s">
        <v>31</v>
      </c>
      <c r="AR444" t="s">
        <v>330</v>
      </c>
      <c r="AS444" t="s">
        <v>306</v>
      </c>
      <c r="AT444" t="s">
        <v>218</v>
      </c>
      <c r="AU444" t="s">
        <v>309</v>
      </c>
      <c r="AV444">
        <v>7.45</v>
      </c>
    </row>
    <row r="445" spans="40:48" x14ac:dyDescent="0.25">
      <c r="AN445" t="s">
        <v>106</v>
      </c>
      <c r="AO445" t="s">
        <v>60</v>
      </c>
      <c r="AP445">
        <v>2004</v>
      </c>
      <c r="AQ445" t="s">
        <v>31</v>
      </c>
      <c r="AR445" t="s">
        <v>330</v>
      </c>
      <c r="AS445" t="s">
        <v>306</v>
      </c>
      <c r="AT445" t="s">
        <v>218</v>
      </c>
      <c r="AU445" t="s">
        <v>268</v>
      </c>
      <c r="AV445">
        <v>11.25</v>
      </c>
    </row>
    <row r="446" spans="40:48" x14ac:dyDescent="0.25">
      <c r="AN446" t="s">
        <v>106</v>
      </c>
      <c r="AO446" t="s">
        <v>60</v>
      </c>
      <c r="AP446">
        <v>2004</v>
      </c>
      <c r="AQ446" t="s">
        <v>31</v>
      </c>
      <c r="AR446" t="s">
        <v>330</v>
      </c>
      <c r="AS446" t="s">
        <v>306</v>
      </c>
      <c r="AT446" t="s">
        <v>238</v>
      </c>
      <c r="AU446" t="s">
        <v>308</v>
      </c>
      <c r="AV446">
        <v>0</v>
      </c>
    </row>
    <row r="447" spans="40:48" x14ac:dyDescent="0.25">
      <c r="AN447" t="s">
        <v>106</v>
      </c>
      <c r="AO447" t="s">
        <v>60</v>
      </c>
      <c r="AP447">
        <v>2004</v>
      </c>
      <c r="AQ447" t="s">
        <v>31</v>
      </c>
      <c r="AR447" t="s">
        <v>330</v>
      </c>
      <c r="AS447" t="s">
        <v>306</v>
      </c>
      <c r="AT447" t="s">
        <v>238</v>
      </c>
      <c r="AU447" t="s">
        <v>309</v>
      </c>
      <c r="AV447">
        <v>0</v>
      </c>
    </row>
    <row r="448" spans="40:48" x14ac:dyDescent="0.25">
      <c r="AN448" t="s">
        <v>106</v>
      </c>
      <c r="AO448" t="s">
        <v>60</v>
      </c>
      <c r="AP448">
        <v>2004</v>
      </c>
      <c r="AQ448" t="s">
        <v>31</v>
      </c>
      <c r="AR448" t="s">
        <v>330</v>
      </c>
      <c r="AS448" t="s">
        <v>306</v>
      </c>
      <c r="AT448" t="s">
        <v>238</v>
      </c>
      <c r="AU448" t="s">
        <v>268</v>
      </c>
      <c r="AV448">
        <v>0</v>
      </c>
    </row>
    <row r="449" spans="40:48" x14ac:dyDescent="0.25">
      <c r="AN449" t="s">
        <v>106</v>
      </c>
      <c r="AO449" t="s">
        <v>60</v>
      </c>
      <c r="AP449">
        <v>2004</v>
      </c>
      <c r="AQ449" t="s">
        <v>31</v>
      </c>
      <c r="AR449" t="s">
        <v>330</v>
      </c>
      <c r="AS449" t="s">
        <v>306</v>
      </c>
      <c r="AT449" t="s">
        <v>239</v>
      </c>
      <c r="AU449" t="s">
        <v>308</v>
      </c>
      <c r="AV449">
        <v>0</v>
      </c>
    </row>
    <row r="450" spans="40:48" x14ac:dyDescent="0.25">
      <c r="AN450" t="s">
        <v>106</v>
      </c>
      <c r="AO450" t="s">
        <v>60</v>
      </c>
      <c r="AP450">
        <v>2004</v>
      </c>
      <c r="AQ450" t="s">
        <v>31</v>
      </c>
      <c r="AR450" t="s">
        <v>330</v>
      </c>
      <c r="AS450" t="s">
        <v>306</v>
      </c>
      <c r="AT450" t="s">
        <v>239</v>
      </c>
      <c r="AU450" t="s">
        <v>309</v>
      </c>
      <c r="AV450">
        <v>0</v>
      </c>
    </row>
    <row r="451" spans="40:48" x14ac:dyDescent="0.25">
      <c r="AN451" t="s">
        <v>106</v>
      </c>
      <c r="AO451" t="s">
        <v>60</v>
      </c>
      <c r="AP451">
        <v>2004</v>
      </c>
      <c r="AQ451" t="s">
        <v>31</v>
      </c>
      <c r="AR451" t="s">
        <v>330</v>
      </c>
      <c r="AS451" t="s">
        <v>306</v>
      </c>
      <c r="AT451" t="s">
        <v>239</v>
      </c>
      <c r="AU451" t="s">
        <v>268</v>
      </c>
      <c r="AV451">
        <v>0</v>
      </c>
    </row>
    <row r="452" spans="40:48" x14ac:dyDescent="0.25">
      <c r="AN452" t="s">
        <v>106</v>
      </c>
      <c r="AO452" t="s">
        <v>60</v>
      </c>
      <c r="AP452">
        <v>2004</v>
      </c>
      <c r="AQ452" t="s">
        <v>31</v>
      </c>
      <c r="AR452" t="s">
        <v>330</v>
      </c>
      <c r="AS452" t="s">
        <v>306</v>
      </c>
      <c r="AT452" t="s">
        <v>240</v>
      </c>
      <c r="AU452" t="s">
        <v>308</v>
      </c>
      <c r="AV452">
        <v>3.2</v>
      </c>
    </row>
    <row r="453" spans="40:48" x14ac:dyDescent="0.25">
      <c r="AN453" t="s">
        <v>106</v>
      </c>
      <c r="AO453" t="s">
        <v>60</v>
      </c>
      <c r="AP453">
        <v>2004</v>
      </c>
      <c r="AQ453" t="s">
        <v>31</v>
      </c>
      <c r="AR453" t="s">
        <v>330</v>
      </c>
      <c r="AS453" t="s">
        <v>306</v>
      </c>
      <c r="AT453" t="s">
        <v>240</v>
      </c>
      <c r="AU453" t="s">
        <v>309</v>
      </c>
      <c r="AV453">
        <v>7.4</v>
      </c>
    </row>
    <row r="454" spans="40:48" x14ac:dyDescent="0.25">
      <c r="AN454" t="s">
        <v>106</v>
      </c>
      <c r="AO454" t="s">
        <v>60</v>
      </c>
      <c r="AP454">
        <v>2004</v>
      </c>
      <c r="AQ454" t="s">
        <v>31</v>
      </c>
      <c r="AR454" t="s">
        <v>330</v>
      </c>
      <c r="AS454" t="s">
        <v>306</v>
      </c>
      <c r="AT454" t="s">
        <v>240</v>
      </c>
      <c r="AU454" t="s">
        <v>268</v>
      </c>
      <c r="AV454">
        <v>10.6</v>
      </c>
    </row>
    <row r="455" spans="40:48" x14ac:dyDescent="0.25">
      <c r="AN455" t="s">
        <v>106</v>
      </c>
      <c r="AO455" t="s">
        <v>60</v>
      </c>
      <c r="AP455">
        <v>2004</v>
      </c>
      <c r="AQ455" t="s">
        <v>31</v>
      </c>
      <c r="AR455" t="s">
        <v>330</v>
      </c>
      <c r="AS455" t="s">
        <v>306</v>
      </c>
      <c r="AT455" t="s">
        <v>314</v>
      </c>
      <c r="AU455" t="s">
        <v>308</v>
      </c>
      <c r="AV455">
        <v>0</v>
      </c>
    </row>
    <row r="456" spans="40:48" x14ac:dyDescent="0.25">
      <c r="AN456" t="s">
        <v>106</v>
      </c>
      <c r="AO456" t="s">
        <v>60</v>
      </c>
      <c r="AP456">
        <v>2004</v>
      </c>
      <c r="AQ456" t="s">
        <v>31</v>
      </c>
      <c r="AR456" t="s">
        <v>330</v>
      </c>
      <c r="AS456" t="s">
        <v>306</v>
      </c>
      <c r="AT456" t="s">
        <v>314</v>
      </c>
      <c r="AU456" t="s">
        <v>309</v>
      </c>
      <c r="AV456">
        <v>0</v>
      </c>
    </row>
    <row r="457" spans="40:48" x14ac:dyDescent="0.25">
      <c r="AN457" t="s">
        <v>106</v>
      </c>
      <c r="AO457" t="s">
        <v>60</v>
      </c>
      <c r="AP457">
        <v>2004</v>
      </c>
      <c r="AQ457" t="s">
        <v>31</v>
      </c>
      <c r="AR457" t="s">
        <v>330</v>
      </c>
      <c r="AS457" t="s">
        <v>306</v>
      </c>
      <c r="AT457" t="s">
        <v>314</v>
      </c>
      <c r="AU457" t="s">
        <v>268</v>
      </c>
      <c r="AV457">
        <v>0</v>
      </c>
    </row>
    <row r="458" spans="40:48" x14ac:dyDescent="0.25">
      <c r="AN458" t="s">
        <v>106</v>
      </c>
      <c r="AO458" t="s">
        <v>60</v>
      </c>
      <c r="AP458">
        <v>2004</v>
      </c>
      <c r="AQ458" t="s">
        <v>31</v>
      </c>
      <c r="AR458" t="s">
        <v>330</v>
      </c>
      <c r="AS458" t="s">
        <v>306</v>
      </c>
      <c r="AT458" t="s">
        <v>242</v>
      </c>
      <c r="AU458" t="s">
        <v>308</v>
      </c>
      <c r="AV458">
        <v>0</v>
      </c>
    </row>
    <row r="459" spans="40:48" x14ac:dyDescent="0.25">
      <c r="AN459" t="s">
        <v>106</v>
      </c>
      <c r="AO459" t="s">
        <v>60</v>
      </c>
      <c r="AP459">
        <v>2004</v>
      </c>
      <c r="AQ459" t="s">
        <v>31</v>
      </c>
      <c r="AR459" t="s">
        <v>330</v>
      </c>
      <c r="AS459" t="s">
        <v>306</v>
      </c>
      <c r="AT459" t="s">
        <v>242</v>
      </c>
      <c r="AU459" t="s">
        <v>309</v>
      </c>
      <c r="AV459">
        <v>0</v>
      </c>
    </row>
    <row r="460" spans="40:48" x14ac:dyDescent="0.25">
      <c r="AN460" t="s">
        <v>106</v>
      </c>
      <c r="AO460" t="s">
        <v>60</v>
      </c>
      <c r="AP460">
        <v>2004</v>
      </c>
      <c r="AQ460" t="s">
        <v>31</v>
      </c>
      <c r="AR460" t="s">
        <v>330</v>
      </c>
      <c r="AS460" t="s">
        <v>306</v>
      </c>
      <c r="AT460" t="s">
        <v>242</v>
      </c>
      <c r="AU460" t="s">
        <v>268</v>
      </c>
      <c r="AV460">
        <v>0</v>
      </c>
    </row>
    <row r="461" spans="40:48" x14ac:dyDescent="0.25">
      <c r="AN461" t="s">
        <v>106</v>
      </c>
      <c r="AO461" t="s">
        <v>60</v>
      </c>
      <c r="AP461">
        <v>2004</v>
      </c>
      <c r="AQ461" t="s">
        <v>31</v>
      </c>
      <c r="AR461" t="s">
        <v>330</v>
      </c>
      <c r="AS461" t="s">
        <v>306</v>
      </c>
      <c r="AT461" t="s">
        <v>243</v>
      </c>
      <c r="AU461" t="s">
        <v>326</v>
      </c>
      <c r="AV461">
        <v>0</v>
      </c>
    </row>
    <row r="462" spans="40:48" x14ac:dyDescent="0.25">
      <c r="AN462" t="s">
        <v>106</v>
      </c>
      <c r="AO462" t="s">
        <v>60</v>
      </c>
      <c r="AP462">
        <v>2004</v>
      </c>
      <c r="AQ462" t="s">
        <v>31</v>
      </c>
      <c r="AR462" t="s">
        <v>330</v>
      </c>
      <c r="AS462" t="s">
        <v>306</v>
      </c>
      <c r="AT462" t="s">
        <v>243</v>
      </c>
      <c r="AU462" t="s">
        <v>327</v>
      </c>
      <c r="AV462">
        <v>0</v>
      </c>
    </row>
    <row r="463" spans="40:48" x14ac:dyDescent="0.25">
      <c r="AN463" t="s">
        <v>106</v>
      </c>
      <c r="AO463" t="s">
        <v>60</v>
      </c>
      <c r="AP463">
        <v>2004</v>
      </c>
      <c r="AQ463" t="s">
        <v>31</v>
      </c>
      <c r="AR463" t="s">
        <v>330</v>
      </c>
      <c r="AS463" t="s">
        <v>306</v>
      </c>
      <c r="AT463" t="s">
        <v>243</v>
      </c>
      <c r="AU463" t="s">
        <v>329</v>
      </c>
      <c r="AV463">
        <v>21.85</v>
      </c>
    </row>
    <row r="464" spans="40:48" x14ac:dyDescent="0.25">
      <c r="AN464" t="s">
        <v>108</v>
      </c>
      <c r="AO464" t="s">
        <v>60</v>
      </c>
      <c r="AP464">
        <v>2000</v>
      </c>
      <c r="AQ464" t="s">
        <v>62</v>
      </c>
      <c r="AR464" t="s">
        <v>330</v>
      </c>
      <c r="AS464" t="s">
        <v>306</v>
      </c>
      <c r="AT464" t="s">
        <v>218</v>
      </c>
      <c r="AU464" t="s">
        <v>308</v>
      </c>
      <c r="AV464">
        <v>3.5</v>
      </c>
    </row>
    <row r="465" spans="40:48" x14ac:dyDescent="0.25">
      <c r="AN465" t="s">
        <v>108</v>
      </c>
      <c r="AO465" t="s">
        <v>60</v>
      </c>
      <c r="AP465">
        <v>2000</v>
      </c>
      <c r="AQ465" t="s">
        <v>62</v>
      </c>
      <c r="AR465" t="s">
        <v>330</v>
      </c>
      <c r="AS465" t="s">
        <v>306</v>
      </c>
      <c r="AT465" t="s">
        <v>218</v>
      </c>
      <c r="AU465" t="s">
        <v>309</v>
      </c>
      <c r="AV465">
        <v>7.45</v>
      </c>
    </row>
    <row r="466" spans="40:48" x14ac:dyDescent="0.25">
      <c r="AN466" t="s">
        <v>108</v>
      </c>
      <c r="AO466" t="s">
        <v>60</v>
      </c>
      <c r="AP466">
        <v>2000</v>
      </c>
      <c r="AQ466" t="s">
        <v>62</v>
      </c>
      <c r="AR466" t="s">
        <v>330</v>
      </c>
      <c r="AS466" t="s">
        <v>306</v>
      </c>
      <c r="AT466" t="s">
        <v>218</v>
      </c>
      <c r="AU466" t="s">
        <v>268</v>
      </c>
      <c r="AV466">
        <v>10.95</v>
      </c>
    </row>
    <row r="467" spans="40:48" x14ac:dyDescent="0.25">
      <c r="AN467" t="s">
        <v>108</v>
      </c>
      <c r="AO467" t="s">
        <v>60</v>
      </c>
      <c r="AP467">
        <v>2000</v>
      </c>
      <c r="AQ467" t="s">
        <v>62</v>
      </c>
      <c r="AR467" t="s">
        <v>330</v>
      </c>
      <c r="AS467" t="s">
        <v>306</v>
      </c>
      <c r="AT467" t="s">
        <v>238</v>
      </c>
      <c r="AU467" t="s">
        <v>308</v>
      </c>
      <c r="AV467">
        <v>0</v>
      </c>
    </row>
    <row r="468" spans="40:48" x14ac:dyDescent="0.25">
      <c r="AN468" t="s">
        <v>108</v>
      </c>
      <c r="AO468" t="s">
        <v>60</v>
      </c>
      <c r="AP468">
        <v>2000</v>
      </c>
      <c r="AQ468" t="s">
        <v>62</v>
      </c>
      <c r="AR468" t="s">
        <v>330</v>
      </c>
      <c r="AS468" t="s">
        <v>306</v>
      </c>
      <c r="AT468" t="s">
        <v>238</v>
      </c>
      <c r="AU468" t="s">
        <v>309</v>
      </c>
      <c r="AV468">
        <v>0</v>
      </c>
    </row>
    <row r="469" spans="40:48" x14ac:dyDescent="0.25">
      <c r="AN469" t="s">
        <v>108</v>
      </c>
      <c r="AO469" t="s">
        <v>60</v>
      </c>
      <c r="AP469">
        <v>2000</v>
      </c>
      <c r="AQ469" t="s">
        <v>62</v>
      </c>
      <c r="AR469" t="s">
        <v>330</v>
      </c>
      <c r="AS469" t="s">
        <v>306</v>
      </c>
      <c r="AT469" t="s">
        <v>238</v>
      </c>
      <c r="AU469" t="s">
        <v>268</v>
      </c>
      <c r="AV469">
        <v>0</v>
      </c>
    </row>
    <row r="470" spans="40:48" x14ac:dyDescent="0.25">
      <c r="AN470" t="s">
        <v>108</v>
      </c>
      <c r="AO470" t="s">
        <v>60</v>
      </c>
      <c r="AP470">
        <v>2000</v>
      </c>
      <c r="AQ470" t="s">
        <v>62</v>
      </c>
      <c r="AR470" t="s">
        <v>330</v>
      </c>
      <c r="AS470" t="s">
        <v>306</v>
      </c>
      <c r="AT470" t="s">
        <v>239</v>
      </c>
      <c r="AU470" t="s">
        <v>308</v>
      </c>
      <c r="AV470">
        <v>2.9</v>
      </c>
    </row>
    <row r="471" spans="40:48" x14ac:dyDescent="0.25">
      <c r="AN471" t="s">
        <v>108</v>
      </c>
      <c r="AO471" t="s">
        <v>60</v>
      </c>
      <c r="AP471">
        <v>2000</v>
      </c>
      <c r="AQ471" t="s">
        <v>62</v>
      </c>
      <c r="AR471" t="s">
        <v>330</v>
      </c>
      <c r="AS471" t="s">
        <v>306</v>
      </c>
      <c r="AT471" t="s">
        <v>239</v>
      </c>
      <c r="AU471" t="s">
        <v>309</v>
      </c>
      <c r="AV471">
        <v>5.75</v>
      </c>
    </row>
    <row r="472" spans="40:48" x14ac:dyDescent="0.25">
      <c r="AN472" t="s">
        <v>108</v>
      </c>
      <c r="AO472" t="s">
        <v>60</v>
      </c>
      <c r="AP472">
        <v>2000</v>
      </c>
      <c r="AQ472" t="s">
        <v>62</v>
      </c>
      <c r="AR472" t="s">
        <v>330</v>
      </c>
      <c r="AS472" t="s">
        <v>306</v>
      </c>
      <c r="AT472" t="s">
        <v>239</v>
      </c>
      <c r="AU472" t="s">
        <v>268</v>
      </c>
      <c r="AV472">
        <v>8.65</v>
      </c>
    </row>
    <row r="473" spans="40:48" x14ac:dyDescent="0.25">
      <c r="AN473" t="s">
        <v>108</v>
      </c>
      <c r="AO473" t="s">
        <v>60</v>
      </c>
      <c r="AP473">
        <v>2000</v>
      </c>
      <c r="AQ473" t="s">
        <v>62</v>
      </c>
      <c r="AR473" t="s">
        <v>330</v>
      </c>
      <c r="AS473" t="s">
        <v>306</v>
      </c>
      <c r="AT473" t="s">
        <v>240</v>
      </c>
      <c r="AU473" t="s">
        <v>308</v>
      </c>
      <c r="AV473">
        <v>0</v>
      </c>
    </row>
    <row r="474" spans="40:48" x14ac:dyDescent="0.25">
      <c r="AN474" t="s">
        <v>108</v>
      </c>
      <c r="AO474" t="s">
        <v>60</v>
      </c>
      <c r="AP474">
        <v>2000</v>
      </c>
      <c r="AQ474" t="s">
        <v>62</v>
      </c>
      <c r="AR474" t="s">
        <v>330</v>
      </c>
      <c r="AS474" t="s">
        <v>306</v>
      </c>
      <c r="AT474" t="s">
        <v>240</v>
      </c>
      <c r="AU474" t="s">
        <v>309</v>
      </c>
      <c r="AV474">
        <v>0</v>
      </c>
    </row>
    <row r="475" spans="40:48" x14ac:dyDescent="0.25">
      <c r="AN475" t="s">
        <v>108</v>
      </c>
      <c r="AO475" t="s">
        <v>60</v>
      </c>
      <c r="AP475">
        <v>2000</v>
      </c>
      <c r="AQ475" t="s">
        <v>62</v>
      </c>
      <c r="AR475" t="s">
        <v>330</v>
      </c>
      <c r="AS475" t="s">
        <v>306</v>
      </c>
      <c r="AT475" t="s">
        <v>240</v>
      </c>
      <c r="AU475" t="s">
        <v>268</v>
      </c>
      <c r="AV475">
        <v>0</v>
      </c>
    </row>
    <row r="476" spans="40:48" x14ac:dyDescent="0.25">
      <c r="AN476" t="s">
        <v>108</v>
      </c>
      <c r="AO476" t="s">
        <v>60</v>
      </c>
      <c r="AP476">
        <v>2000</v>
      </c>
      <c r="AQ476" t="s">
        <v>62</v>
      </c>
      <c r="AR476" t="s">
        <v>330</v>
      </c>
      <c r="AS476" t="s">
        <v>306</v>
      </c>
      <c r="AT476" t="s">
        <v>314</v>
      </c>
      <c r="AU476" t="s">
        <v>308</v>
      </c>
      <c r="AV476">
        <v>0</v>
      </c>
    </row>
    <row r="477" spans="40:48" x14ac:dyDescent="0.25">
      <c r="AN477" t="s">
        <v>108</v>
      </c>
      <c r="AO477" t="s">
        <v>60</v>
      </c>
      <c r="AP477">
        <v>2000</v>
      </c>
      <c r="AQ477" t="s">
        <v>62</v>
      </c>
      <c r="AR477" t="s">
        <v>330</v>
      </c>
      <c r="AS477" t="s">
        <v>306</v>
      </c>
      <c r="AT477" t="s">
        <v>314</v>
      </c>
      <c r="AU477" t="s">
        <v>309</v>
      </c>
      <c r="AV477">
        <v>0</v>
      </c>
    </row>
    <row r="478" spans="40:48" x14ac:dyDescent="0.25">
      <c r="AN478" t="s">
        <v>108</v>
      </c>
      <c r="AO478" t="s">
        <v>60</v>
      </c>
      <c r="AP478">
        <v>2000</v>
      </c>
      <c r="AQ478" t="s">
        <v>62</v>
      </c>
      <c r="AR478" t="s">
        <v>330</v>
      </c>
      <c r="AS478" t="s">
        <v>306</v>
      </c>
      <c r="AT478" t="s">
        <v>314</v>
      </c>
      <c r="AU478" t="s">
        <v>268</v>
      </c>
      <c r="AV478">
        <v>0</v>
      </c>
    </row>
    <row r="479" spans="40:48" x14ac:dyDescent="0.25">
      <c r="AN479" t="s">
        <v>108</v>
      </c>
      <c r="AO479" t="s">
        <v>60</v>
      </c>
      <c r="AP479">
        <v>2000</v>
      </c>
      <c r="AQ479" t="s">
        <v>62</v>
      </c>
      <c r="AR479" t="s">
        <v>330</v>
      </c>
      <c r="AS479" t="s">
        <v>306</v>
      </c>
      <c r="AT479" t="s">
        <v>242</v>
      </c>
      <c r="AU479" t="s">
        <v>308</v>
      </c>
      <c r="AV479">
        <v>0</v>
      </c>
    </row>
    <row r="480" spans="40:48" x14ac:dyDescent="0.25">
      <c r="AN480" t="s">
        <v>108</v>
      </c>
      <c r="AO480" t="s">
        <v>60</v>
      </c>
      <c r="AP480">
        <v>2000</v>
      </c>
      <c r="AQ480" t="s">
        <v>62</v>
      </c>
      <c r="AR480" t="s">
        <v>330</v>
      </c>
      <c r="AS480" t="s">
        <v>306</v>
      </c>
      <c r="AT480" t="s">
        <v>242</v>
      </c>
      <c r="AU480" t="s">
        <v>309</v>
      </c>
      <c r="AV480">
        <v>0</v>
      </c>
    </row>
    <row r="481" spans="40:48" x14ac:dyDescent="0.25">
      <c r="AN481" t="s">
        <v>108</v>
      </c>
      <c r="AO481" t="s">
        <v>60</v>
      </c>
      <c r="AP481">
        <v>2000</v>
      </c>
      <c r="AQ481" t="s">
        <v>62</v>
      </c>
      <c r="AR481" t="s">
        <v>330</v>
      </c>
      <c r="AS481" t="s">
        <v>306</v>
      </c>
      <c r="AT481" t="s">
        <v>242</v>
      </c>
      <c r="AU481" t="s">
        <v>268</v>
      </c>
      <c r="AV481">
        <v>0</v>
      </c>
    </row>
    <row r="482" spans="40:48" x14ac:dyDescent="0.25">
      <c r="AN482" t="s">
        <v>108</v>
      </c>
      <c r="AO482" t="s">
        <v>60</v>
      </c>
      <c r="AP482">
        <v>2000</v>
      </c>
      <c r="AQ482" t="s">
        <v>62</v>
      </c>
      <c r="AR482" t="s">
        <v>330</v>
      </c>
      <c r="AS482" t="s">
        <v>306</v>
      </c>
      <c r="AT482" t="s">
        <v>243</v>
      </c>
      <c r="AU482" t="s">
        <v>326</v>
      </c>
      <c r="AV482">
        <v>0</v>
      </c>
    </row>
    <row r="483" spans="40:48" x14ac:dyDescent="0.25">
      <c r="AN483" t="s">
        <v>108</v>
      </c>
      <c r="AO483" t="s">
        <v>60</v>
      </c>
      <c r="AP483">
        <v>2000</v>
      </c>
      <c r="AQ483" t="s">
        <v>62</v>
      </c>
      <c r="AR483" t="s">
        <v>330</v>
      </c>
      <c r="AS483" t="s">
        <v>306</v>
      </c>
      <c r="AT483" t="s">
        <v>243</v>
      </c>
      <c r="AU483" t="s">
        <v>327</v>
      </c>
      <c r="AV483">
        <v>0</v>
      </c>
    </row>
    <row r="484" spans="40:48" x14ac:dyDescent="0.25">
      <c r="AN484" t="s">
        <v>108</v>
      </c>
      <c r="AO484" t="s">
        <v>60</v>
      </c>
      <c r="AP484">
        <v>2000</v>
      </c>
      <c r="AQ484" t="s">
        <v>62</v>
      </c>
      <c r="AR484" t="s">
        <v>330</v>
      </c>
      <c r="AS484" t="s">
        <v>306</v>
      </c>
      <c r="AT484" t="s">
        <v>243</v>
      </c>
      <c r="AU484" t="s">
        <v>329</v>
      </c>
      <c r="AV484">
        <v>19.600000000000001</v>
      </c>
    </row>
    <row r="485" spans="40:48" x14ac:dyDescent="0.25">
      <c r="AN485" t="s">
        <v>110</v>
      </c>
      <c r="AO485" t="s">
        <v>60</v>
      </c>
      <c r="AP485">
        <v>2004</v>
      </c>
      <c r="AQ485" t="s">
        <v>36</v>
      </c>
      <c r="AR485" t="s">
        <v>330</v>
      </c>
      <c r="AS485" t="s">
        <v>306</v>
      </c>
      <c r="AT485" t="s">
        <v>218</v>
      </c>
      <c r="AU485" t="s">
        <v>308</v>
      </c>
      <c r="AV485">
        <v>0</v>
      </c>
    </row>
    <row r="486" spans="40:48" x14ac:dyDescent="0.25">
      <c r="AN486" t="s">
        <v>110</v>
      </c>
      <c r="AO486" t="s">
        <v>60</v>
      </c>
      <c r="AP486">
        <v>2004</v>
      </c>
      <c r="AQ486" t="s">
        <v>36</v>
      </c>
      <c r="AR486" t="s">
        <v>330</v>
      </c>
      <c r="AS486" t="s">
        <v>306</v>
      </c>
      <c r="AT486" t="s">
        <v>218</v>
      </c>
      <c r="AU486" t="s">
        <v>309</v>
      </c>
      <c r="AV486">
        <v>0</v>
      </c>
    </row>
    <row r="487" spans="40:48" x14ac:dyDescent="0.25">
      <c r="AN487" t="s">
        <v>110</v>
      </c>
      <c r="AO487" t="s">
        <v>60</v>
      </c>
      <c r="AP487">
        <v>2004</v>
      </c>
      <c r="AQ487" t="s">
        <v>36</v>
      </c>
      <c r="AR487" t="s">
        <v>330</v>
      </c>
      <c r="AS487" t="s">
        <v>306</v>
      </c>
      <c r="AT487" t="s">
        <v>218</v>
      </c>
      <c r="AU487" t="s">
        <v>268</v>
      </c>
      <c r="AV487">
        <v>0</v>
      </c>
    </row>
    <row r="488" spans="40:48" x14ac:dyDescent="0.25">
      <c r="AN488" t="s">
        <v>110</v>
      </c>
      <c r="AO488" t="s">
        <v>60</v>
      </c>
      <c r="AP488">
        <v>2004</v>
      </c>
      <c r="AQ488" t="s">
        <v>36</v>
      </c>
      <c r="AR488" t="s">
        <v>330</v>
      </c>
      <c r="AS488" t="s">
        <v>306</v>
      </c>
      <c r="AT488" t="s">
        <v>238</v>
      </c>
      <c r="AU488" t="s">
        <v>308</v>
      </c>
      <c r="AV488">
        <v>3.5</v>
      </c>
    </row>
    <row r="489" spans="40:48" x14ac:dyDescent="0.25">
      <c r="AN489" t="s">
        <v>110</v>
      </c>
      <c r="AO489" t="s">
        <v>60</v>
      </c>
      <c r="AP489">
        <v>2004</v>
      </c>
      <c r="AQ489" t="s">
        <v>36</v>
      </c>
      <c r="AR489" t="s">
        <v>330</v>
      </c>
      <c r="AS489" t="s">
        <v>306</v>
      </c>
      <c r="AT489" t="s">
        <v>238</v>
      </c>
      <c r="AU489" t="s">
        <v>309</v>
      </c>
      <c r="AV489">
        <v>5.6</v>
      </c>
    </row>
    <row r="490" spans="40:48" x14ac:dyDescent="0.25">
      <c r="AN490" t="s">
        <v>110</v>
      </c>
      <c r="AO490" t="s">
        <v>60</v>
      </c>
      <c r="AP490">
        <v>2004</v>
      </c>
      <c r="AQ490" t="s">
        <v>36</v>
      </c>
      <c r="AR490" t="s">
        <v>330</v>
      </c>
      <c r="AS490" t="s">
        <v>306</v>
      </c>
      <c r="AT490" t="s">
        <v>238</v>
      </c>
      <c r="AU490" t="s">
        <v>268</v>
      </c>
      <c r="AV490">
        <v>9.1</v>
      </c>
    </row>
    <row r="491" spans="40:48" x14ac:dyDescent="0.25">
      <c r="AN491" t="s">
        <v>110</v>
      </c>
      <c r="AO491" t="s">
        <v>60</v>
      </c>
      <c r="AP491">
        <v>2004</v>
      </c>
      <c r="AQ491" t="s">
        <v>36</v>
      </c>
      <c r="AR491" t="s">
        <v>330</v>
      </c>
      <c r="AS491" t="s">
        <v>306</v>
      </c>
      <c r="AT491" t="s">
        <v>239</v>
      </c>
      <c r="AU491" t="s">
        <v>308</v>
      </c>
      <c r="AV491">
        <v>0</v>
      </c>
    </row>
    <row r="492" spans="40:48" x14ac:dyDescent="0.25">
      <c r="AN492" t="s">
        <v>110</v>
      </c>
      <c r="AO492" t="s">
        <v>60</v>
      </c>
      <c r="AP492">
        <v>2004</v>
      </c>
      <c r="AQ492" t="s">
        <v>36</v>
      </c>
      <c r="AR492" t="s">
        <v>330</v>
      </c>
      <c r="AS492" t="s">
        <v>306</v>
      </c>
      <c r="AT492" t="s">
        <v>239</v>
      </c>
      <c r="AU492" t="s">
        <v>309</v>
      </c>
      <c r="AV492">
        <v>0</v>
      </c>
    </row>
    <row r="493" spans="40:48" x14ac:dyDescent="0.25">
      <c r="AN493" t="s">
        <v>110</v>
      </c>
      <c r="AO493" t="s">
        <v>60</v>
      </c>
      <c r="AP493">
        <v>2004</v>
      </c>
      <c r="AQ493" t="s">
        <v>36</v>
      </c>
      <c r="AR493" t="s">
        <v>330</v>
      </c>
      <c r="AS493" t="s">
        <v>306</v>
      </c>
      <c r="AT493" t="s">
        <v>239</v>
      </c>
      <c r="AU493" t="s">
        <v>268</v>
      </c>
      <c r="AV493">
        <v>0</v>
      </c>
    </row>
    <row r="494" spans="40:48" x14ac:dyDescent="0.25">
      <c r="AN494" t="s">
        <v>110</v>
      </c>
      <c r="AO494" t="s">
        <v>60</v>
      </c>
      <c r="AP494">
        <v>2004</v>
      </c>
      <c r="AQ494" t="s">
        <v>36</v>
      </c>
      <c r="AR494" t="s">
        <v>330</v>
      </c>
      <c r="AS494" t="s">
        <v>306</v>
      </c>
      <c r="AT494" t="s">
        <v>240</v>
      </c>
      <c r="AU494" t="s">
        <v>308</v>
      </c>
      <c r="AV494">
        <v>0</v>
      </c>
    </row>
    <row r="495" spans="40:48" x14ac:dyDescent="0.25">
      <c r="AN495" t="s">
        <v>110</v>
      </c>
      <c r="AO495" t="s">
        <v>60</v>
      </c>
      <c r="AP495">
        <v>2004</v>
      </c>
      <c r="AQ495" t="s">
        <v>36</v>
      </c>
      <c r="AR495" t="s">
        <v>330</v>
      </c>
      <c r="AS495" t="s">
        <v>306</v>
      </c>
      <c r="AT495" t="s">
        <v>240</v>
      </c>
      <c r="AU495" t="s">
        <v>309</v>
      </c>
      <c r="AV495">
        <v>0</v>
      </c>
    </row>
    <row r="496" spans="40:48" x14ac:dyDescent="0.25">
      <c r="AN496" t="s">
        <v>110</v>
      </c>
      <c r="AO496" t="s">
        <v>60</v>
      </c>
      <c r="AP496">
        <v>2004</v>
      </c>
      <c r="AQ496" t="s">
        <v>36</v>
      </c>
      <c r="AR496" t="s">
        <v>330</v>
      </c>
      <c r="AS496" t="s">
        <v>306</v>
      </c>
      <c r="AT496" t="s">
        <v>240</v>
      </c>
      <c r="AU496" t="s">
        <v>268</v>
      </c>
      <c r="AV496">
        <v>0</v>
      </c>
    </row>
    <row r="497" spans="40:48" x14ac:dyDescent="0.25">
      <c r="AN497" t="s">
        <v>110</v>
      </c>
      <c r="AO497" t="s">
        <v>60</v>
      </c>
      <c r="AP497">
        <v>2004</v>
      </c>
      <c r="AQ497" t="s">
        <v>36</v>
      </c>
      <c r="AR497" t="s">
        <v>330</v>
      </c>
      <c r="AS497" t="s">
        <v>306</v>
      </c>
      <c r="AT497" t="s">
        <v>314</v>
      </c>
      <c r="AU497" t="s">
        <v>308</v>
      </c>
      <c r="AV497">
        <v>0</v>
      </c>
    </row>
    <row r="498" spans="40:48" x14ac:dyDescent="0.25">
      <c r="AN498" t="s">
        <v>110</v>
      </c>
      <c r="AO498" t="s">
        <v>60</v>
      </c>
      <c r="AP498">
        <v>2004</v>
      </c>
      <c r="AQ498" t="s">
        <v>36</v>
      </c>
      <c r="AR498" t="s">
        <v>330</v>
      </c>
      <c r="AS498" t="s">
        <v>306</v>
      </c>
      <c r="AT498" t="s">
        <v>314</v>
      </c>
      <c r="AU498" t="s">
        <v>309</v>
      </c>
      <c r="AV498">
        <v>0</v>
      </c>
    </row>
    <row r="499" spans="40:48" x14ac:dyDescent="0.25">
      <c r="AN499" t="s">
        <v>110</v>
      </c>
      <c r="AO499" t="s">
        <v>60</v>
      </c>
      <c r="AP499">
        <v>2004</v>
      </c>
      <c r="AQ499" t="s">
        <v>36</v>
      </c>
      <c r="AR499" t="s">
        <v>330</v>
      </c>
      <c r="AS499" t="s">
        <v>306</v>
      </c>
      <c r="AT499" t="s">
        <v>314</v>
      </c>
      <c r="AU499" t="s">
        <v>268</v>
      </c>
      <c r="AV499">
        <v>0</v>
      </c>
    </row>
    <row r="500" spans="40:48" x14ac:dyDescent="0.25">
      <c r="AN500" t="s">
        <v>110</v>
      </c>
      <c r="AO500" t="s">
        <v>60</v>
      </c>
      <c r="AP500">
        <v>2004</v>
      </c>
      <c r="AQ500" t="s">
        <v>36</v>
      </c>
      <c r="AR500" t="s">
        <v>330</v>
      </c>
      <c r="AS500" t="s">
        <v>306</v>
      </c>
      <c r="AT500" t="s">
        <v>242</v>
      </c>
      <c r="AU500" t="s">
        <v>308</v>
      </c>
      <c r="AV500">
        <v>0</v>
      </c>
    </row>
    <row r="501" spans="40:48" x14ac:dyDescent="0.25">
      <c r="AN501" t="s">
        <v>110</v>
      </c>
      <c r="AO501" t="s">
        <v>60</v>
      </c>
      <c r="AP501">
        <v>2004</v>
      </c>
      <c r="AQ501" t="s">
        <v>36</v>
      </c>
      <c r="AR501" t="s">
        <v>330</v>
      </c>
      <c r="AS501" t="s">
        <v>306</v>
      </c>
      <c r="AT501" t="s">
        <v>242</v>
      </c>
      <c r="AU501" t="s">
        <v>309</v>
      </c>
      <c r="AV501">
        <v>0</v>
      </c>
    </row>
    <row r="502" spans="40:48" x14ac:dyDescent="0.25">
      <c r="AN502" t="s">
        <v>110</v>
      </c>
      <c r="AO502" t="s">
        <v>60</v>
      </c>
      <c r="AP502">
        <v>2004</v>
      </c>
      <c r="AQ502" t="s">
        <v>36</v>
      </c>
      <c r="AR502" t="s">
        <v>330</v>
      </c>
      <c r="AS502" t="s">
        <v>306</v>
      </c>
      <c r="AT502" t="s">
        <v>242</v>
      </c>
      <c r="AU502" t="s">
        <v>268</v>
      </c>
      <c r="AV502">
        <v>0</v>
      </c>
    </row>
    <row r="503" spans="40:48" x14ac:dyDescent="0.25">
      <c r="AN503" t="s">
        <v>110</v>
      </c>
      <c r="AO503" t="s">
        <v>60</v>
      </c>
      <c r="AP503">
        <v>2004</v>
      </c>
      <c r="AQ503" t="s">
        <v>36</v>
      </c>
      <c r="AR503" t="s">
        <v>330</v>
      </c>
      <c r="AS503" t="s">
        <v>306</v>
      </c>
      <c r="AT503" t="s">
        <v>243</v>
      </c>
      <c r="AU503" t="s">
        <v>326</v>
      </c>
      <c r="AV503">
        <v>0</v>
      </c>
    </row>
    <row r="504" spans="40:48" x14ac:dyDescent="0.25">
      <c r="AN504" t="s">
        <v>110</v>
      </c>
      <c r="AO504" t="s">
        <v>60</v>
      </c>
      <c r="AP504">
        <v>2004</v>
      </c>
      <c r="AQ504" t="s">
        <v>36</v>
      </c>
      <c r="AR504" t="s">
        <v>330</v>
      </c>
      <c r="AS504" t="s">
        <v>306</v>
      </c>
      <c r="AT504" t="s">
        <v>243</v>
      </c>
      <c r="AU504" t="s">
        <v>327</v>
      </c>
      <c r="AV504">
        <v>0</v>
      </c>
    </row>
    <row r="505" spans="40:48" x14ac:dyDescent="0.25">
      <c r="AN505" t="s">
        <v>110</v>
      </c>
      <c r="AO505" t="s">
        <v>60</v>
      </c>
      <c r="AP505">
        <v>2004</v>
      </c>
      <c r="AQ505" t="s">
        <v>36</v>
      </c>
      <c r="AR505" t="s">
        <v>330</v>
      </c>
      <c r="AS505" t="s">
        <v>306</v>
      </c>
      <c r="AT505" t="s">
        <v>243</v>
      </c>
      <c r="AU505" t="s">
        <v>329</v>
      </c>
      <c r="AV505">
        <v>9.1</v>
      </c>
    </row>
    <row r="506" spans="40:48" x14ac:dyDescent="0.25">
      <c r="AN506" t="s">
        <v>25</v>
      </c>
      <c r="AO506" t="s">
        <v>26</v>
      </c>
      <c r="AP506">
        <v>2008</v>
      </c>
      <c r="AQ506" t="s">
        <v>28</v>
      </c>
      <c r="AR506" t="s">
        <v>330</v>
      </c>
      <c r="AS506" t="s">
        <v>305</v>
      </c>
      <c r="AT506" t="s">
        <v>218</v>
      </c>
      <c r="AU506" t="s">
        <v>308</v>
      </c>
      <c r="AV506">
        <v>4</v>
      </c>
    </row>
    <row r="507" spans="40:48" x14ac:dyDescent="0.25">
      <c r="AN507" t="s">
        <v>25</v>
      </c>
      <c r="AO507" t="s">
        <v>26</v>
      </c>
      <c r="AP507">
        <v>2008</v>
      </c>
      <c r="AQ507" t="s">
        <v>28</v>
      </c>
      <c r="AR507" t="s">
        <v>330</v>
      </c>
      <c r="AS507" t="s">
        <v>305</v>
      </c>
      <c r="AT507" t="s">
        <v>218</v>
      </c>
      <c r="AU507" t="s">
        <v>309</v>
      </c>
      <c r="AV507">
        <v>8.4499999999999993</v>
      </c>
    </row>
    <row r="508" spans="40:48" x14ac:dyDescent="0.25">
      <c r="AN508" t="s">
        <v>25</v>
      </c>
      <c r="AO508" t="s">
        <v>26</v>
      </c>
      <c r="AP508">
        <v>2008</v>
      </c>
      <c r="AQ508" t="s">
        <v>28</v>
      </c>
      <c r="AR508" t="s">
        <v>330</v>
      </c>
      <c r="AS508" t="s">
        <v>305</v>
      </c>
      <c r="AT508" t="s">
        <v>218</v>
      </c>
      <c r="AU508" t="s">
        <v>268</v>
      </c>
      <c r="AV508">
        <v>12.45</v>
      </c>
    </row>
    <row r="509" spans="40:48" x14ac:dyDescent="0.25">
      <c r="AN509" t="s">
        <v>25</v>
      </c>
      <c r="AO509" t="s">
        <v>26</v>
      </c>
      <c r="AP509">
        <v>2008</v>
      </c>
      <c r="AQ509" t="s">
        <v>28</v>
      </c>
      <c r="AR509" t="s">
        <v>330</v>
      </c>
      <c r="AS509" t="s">
        <v>305</v>
      </c>
      <c r="AT509" t="s">
        <v>238</v>
      </c>
      <c r="AU509" t="s">
        <v>308</v>
      </c>
      <c r="AV509">
        <v>3.8</v>
      </c>
    </row>
    <row r="510" spans="40:48" x14ac:dyDescent="0.25">
      <c r="AN510" t="s">
        <v>25</v>
      </c>
      <c r="AO510" t="s">
        <v>26</v>
      </c>
      <c r="AP510">
        <v>2008</v>
      </c>
      <c r="AQ510" t="s">
        <v>28</v>
      </c>
      <c r="AR510" t="s">
        <v>330</v>
      </c>
      <c r="AS510" t="s">
        <v>305</v>
      </c>
      <c r="AT510" t="s">
        <v>238</v>
      </c>
      <c r="AU510" t="s">
        <v>309</v>
      </c>
      <c r="AV510">
        <v>8.5500000000000007</v>
      </c>
    </row>
    <row r="511" spans="40:48" x14ac:dyDescent="0.25">
      <c r="AN511" t="s">
        <v>25</v>
      </c>
      <c r="AO511" t="s">
        <v>26</v>
      </c>
      <c r="AP511">
        <v>2008</v>
      </c>
      <c r="AQ511" t="s">
        <v>28</v>
      </c>
      <c r="AR511" t="s">
        <v>330</v>
      </c>
      <c r="AS511" t="s">
        <v>305</v>
      </c>
      <c r="AT511" t="s">
        <v>238</v>
      </c>
      <c r="AU511" t="s">
        <v>268</v>
      </c>
      <c r="AV511">
        <v>12.35</v>
      </c>
    </row>
    <row r="512" spans="40:48" x14ac:dyDescent="0.25">
      <c r="AN512" t="s">
        <v>25</v>
      </c>
      <c r="AO512" t="s">
        <v>26</v>
      </c>
      <c r="AP512">
        <v>2008</v>
      </c>
      <c r="AQ512" t="s">
        <v>28</v>
      </c>
      <c r="AR512" t="s">
        <v>330</v>
      </c>
      <c r="AS512" t="s">
        <v>305</v>
      </c>
      <c r="AT512" t="s">
        <v>239</v>
      </c>
      <c r="AU512" t="s">
        <v>308</v>
      </c>
      <c r="AV512">
        <v>2.8</v>
      </c>
    </row>
    <row r="513" spans="40:48" x14ac:dyDescent="0.25">
      <c r="AN513" t="s">
        <v>25</v>
      </c>
      <c r="AO513" t="s">
        <v>26</v>
      </c>
      <c r="AP513">
        <v>2008</v>
      </c>
      <c r="AQ513" t="s">
        <v>28</v>
      </c>
      <c r="AR513" t="s">
        <v>330</v>
      </c>
      <c r="AS513" t="s">
        <v>305</v>
      </c>
      <c r="AT513" t="s">
        <v>239</v>
      </c>
      <c r="AU513" t="s">
        <v>309</v>
      </c>
      <c r="AV513">
        <v>8.4</v>
      </c>
    </row>
    <row r="514" spans="40:48" x14ac:dyDescent="0.25">
      <c r="AN514" t="s">
        <v>25</v>
      </c>
      <c r="AO514" t="s">
        <v>26</v>
      </c>
      <c r="AP514">
        <v>2008</v>
      </c>
      <c r="AQ514" t="s">
        <v>28</v>
      </c>
      <c r="AR514" t="s">
        <v>330</v>
      </c>
      <c r="AS514" t="s">
        <v>305</v>
      </c>
      <c r="AT514" t="s">
        <v>239</v>
      </c>
      <c r="AU514" t="s">
        <v>268</v>
      </c>
      <c r="AV514">
        <v>11.2</v>
      </c>
    </row>
    <row r="515" spans="40:48" x14ac:dyDescent="0.25">
      <c r="AN515" t="s">
        <v>25</v>
      </c>
      <c r="AO515" t="s">
        <v>26</v>
      </c>
      <c r="AP515">
        <v>2008</v>
      </c>
      <c r="AQ515" t="s">
        <v>28</v>
      </c>
      <c r="AR515" t="s">
        <v>330</v>
      </c>
      <c r="AS515" t="s">
        <v>305</v>
      </c>
      <c r="AT515" t="s">
        <v>240</v>
      </c>
      <c r="AU515" t="s">
        <v>308</v>
      </c>
      <c r="AV515">
        <v>2.2000000000000002</v>
      </c>
    </row>
    <row r="516" spans="40:48" x14ac:dyDescent="0.25">
      <c r="AN516" t="s">
        <v>25</v>
      </c>
      <c r="AO516" t="s">
        <v>26</v>
      </c>
      <c r="AP516">
        <v>2008</v>
      </c>
      <c r="AQ516" t="s">
        <v>28</v>
      </c>
      <c r="AR516" t="s">
        <v>330</v>
      </c>
      <c r="AS516" t="s">
        <v>305</v>
      </c>
      <c r="AT516" t="s">
        <v>240</v>
      </c>
      <c r="AU516" t="s">
        <v>309</v>
      </c>
      <c r="AV516">
        <v>9.0500000000000007</v>
      </c>
    </row>
    <row r="517" spans="40:48" x14ac:dyDescent="0.25">
      <c r="AN517" t="s">
        <v>25</v>
      </c>
      <c r="AO517" t="s">
        <v>26</v>
      </c>
      <c r="AP517">
        <v>2008</v>
      </c>
      <c r="AQ517" t="s">
        <v>28</v>
      </c>
      <c r="AR517" t="s">
        <v>330</v>
      </c>
      <c r="AS517" t="s">
        <v>305</v>
      </c>
      <c r="AT517" t="s">
        <v>240</v>
      </c>
      <c r="AU517" t="s">
        <v>268</v>
      </c>
      <c r="AV517">
        <v>11.25</v>
      </c>
    </row>
    <row r="518" spans="40:48" x14ac:dyDescent="0.25">
      <c r="AN518" t="s">
        <v>25</v>
      </c>
      <c r="AO518" t="s">
        <v>26</v>
      </c>
      <c r="AP518">
        <v>2008</v>
      </c>
      <c r="AQ518" t="s">
        <v>28</v>
      </c>
      <c r="AR518" t="s">
        <v>330</v>
      </c>
      <c r="AS518" t="s">
        <v>305</v>
      </c>
      <c r="AT518" t="s">
        <v>314</v>
      </c>
      <c r="AU518" t="s">
        <v>308</v>
      </c>
      <c r="AV518">
        <v>4.2</v>
      </c>
    </row>
    <row r="519" spans="40:48" x14ac:dyDescent="0.25">
      <c r="AN519" t="s">
        <v>25</v>
      </c>
      <c r="AO519" t="s">
        <v>26</v>
      </c>
      <c r="AP519">
        <v>2008</v>
      </c>
      <c r="AQ519" t="s">
        <v>28</v>
      </c>
      <c r="AR519" t="s">
        <v>330</v>
      </c>
      <c r="AS519" t="s">
        <v>305</v>
      </c>
      <c r="AT519" t="s">
        <v>314</v>
      </c>
      <c r="AU519" t="s">
        <v>309</v>
      </c>
      <c r="AV519">
        <v>8.6</v>
      </c>
    </row>
    <row r="520" spans="40:48" x14ac:dyDescent="0.25">
      <c r="AN520" t="s">
        <v>25</v>
      </c>
      <c r="AO520" t="s">
        <v>26</v>
      </c>
      <c r="AP520">
        <v>2008</v>
      </c>
      <c r="AQ520" t="s">
        <v>28</v>
      </c>
      <c r="AR520" t="s">
        <v>330</v>
      </c>
      <c r="AS520" t="s">
        <v>305</v>
      </c>
      <c r="AT520" t="s">
        <v>314</v>
      </c>
      <c r="AU520" t="s">
        <v>268</v>
      </c>
      <c r="AV520">
        <v>12.8</v>
      </c>
    </row>
    <row r="521" spans="40:48" x14ac:dyDescent="0.25">
      <c r="AN521" t="s">
        <v>25</v>
      </c>
      <c r="AO521" t="s">
        <v>26</v>
      </c>
      <c r="AP521">
        <v>2008</v>
      </c>
      <c r="AQ521" t="s">
        <v>28</v>
      </c>
      <c r="AR521" t="s">
        <v>330</v>
      </c>
      <c r="AS521" t="s">
        <v>305</v>
      </c>
      <c r="AT521" t="s">
        <v>242</v>
      </c>
      <c r="AU521" t="s">
        <v>308</v>
      </c>
      <c r="AV521">
        <v>2.7</v>
      </c>
    </row>
    <row r="522" spans="40:48" x14ac:dyDescent="0.25">
      <c r="AN522" t="s">
        <v>25</v>
      </c>
      <c r="AO522" t="s">
        <v>26</v>
      </c>
      <c r="AP522">
        <v>2008</v>
      </c>
      <c r="AQ522" t="s">
        <v>28</v>
      </c>
      <c r="AR522" t="s">
        <v>330</v>
      </c>
      <c r="AS522" t="s">
        <v>305</v>
      </c>
      <c r="AT522" t="s">
        <v>242</v>
      </c>
      <c r="AU522" t="s">
        <v>309</v>
      </c>
      <c r="AV522">
        <v>9.4499999999999993</v>
      </c>
    </row>
    <row r="523" spans="40:48" x14ac:dyDescent="0.25">
      <c r="AN523" t="s">
        <v>25</v>
      </c>
      <c r="AO523" t="s">
        <v>26</v>
      </c>
      <c r="AP523">
        <v>2008</v>
      </c>
      <c r="AQ523" t="s">
        <v>28</v>
      </c>
      <c r="AR523" t="s">
        <v>330</v>
      </c>
      <c r="AS523" t="s">
        <v>305</v>
      </c>
      <c r="AT523" t="s">
        <v>242</v>
      </c>
      <c r="AU523" t="s">
        <v>268</v>
      </c>
      <c r="AV523">
        <v>12.15</v>
      </c>
    </row>
    <row r="524" spans="40:48" x14ac:dyDescent="0.25">
      <c r="AN524" t="s">
        <v>25</v>
      </c>
      <c r="AO524" t="s">
        <v>26</v>
      </c>
      <c r="AP524">
        <v>2008</v>
      </c>
      <c r="AQ524" t="s">
        <v>28</v>
      </c>
      <c r="AR524" t="s">
        <v>330</v>
      </c>
      <c r="AS524" t="s">
        <v>305</v>
      </c>
      <c r="AT524" t="s">
        <v>243</v>
      </c>
      <c r="AU524" t="s">
        <v>326</v>
      </c>
      <c r="AV524">
        <v>19.7</v>
      </c>
    </row>
    <row r="525" spans="40:48" x14ac:dyDescent="0.25">
      <c r="AN525" t="s">
        <v>25</v>
      </c>
      <c r="AO525" t="s">
        <v>26</v>
      </c>
      <c r="AP525">
        <v>2008</v>
      </c>
      <c r="AQ525" t="s">
        <v>28</v>
      </c>
      <c r="AR525" t="s">
        <v>330</v>
      </c>
      <c r="AS525" t="s">
        <v>305</v>
      </c>
      <c r="AT525" t="s">
        <v>243</v>
      </c>
      <c r="AU525" t="s">
        <v>327</v>
      </c>
      <c r="AV525">
        <v>52.5</v>
      </c>
    </row>
    <row r="526" spans="40:48" x14ac:dyDescent="0.25">
      <c r="AN526" t="s">
        <v>25</v>
      </c>
      <c r="AO526" t="s">
        <v>26</v>
      </c>
      <c r="AP526">
        <v>2008</v>
      </c>
      <c r="AQ526" t="s">
        <v>28</v>
      </c>
      <c r="AR526" t="s">
        <v>330</v>
      </c>
      <c r="AS526" t="s">
        <v>305</v>
      </c>
      <c r="AT526" t="s">
        <v>243</v>
      </c>
      <c r="AU526" t="s">
        <v>329</v>
      </c>
      <c r="AV526">
        <v>72.2</v>
      </c>
    </row>
    <row r="527" spans="40:48" x14ac:dyDescent="0.25">
      <c r="AN527" t="s">
        <v>34</v>
      </c>
      <c r="AO527" t="s">
        <v>26</v>
      </c>
      <c r="AP527">
        <v>2006</v>
      </c>
      <c r="AQ527" t="s">
        <v>36</v>
      </c>
      <c r="AR527" t="s">
        <v>330</v>
      </c>
      <c r="AS527" t="s">
        <v>305</v>
      </c>
      <c r="AT527" t="s">
        <v>218</v>
      </c>
      <c r="AU527" t="s">
        <v>308</v>
      </c>
      <c r="AV527">
        <v>3.6</v>
      </c>
    </row>
    <row r="528" spans="40:48" x14ac:dyDescent="0.25">
      <c r="AN528" t="s">
        <v>34</v>
      </c>
      <c r="AO528" t="s">
        <v>26</v>
      </c>
      <c r="AP528">
        <v>2006</v>
      </c>
      <c r="AQ528" t="s">
        <v>36</v>
      </c>
      <c r="AR528" t="s">
        <v>330</v>
      </c>
      <c r="AS528" t="s">
        <v>305</v>
      </c>
      <c r="AT528" t="s">
        <v>218</v>
      </c>
      <c r="AU528" t="s">
        <v>309</v>
      </c>
      <c r="AV528">
        <v>8.25</v>
      </c>
    </row>
    <row r="529" spans="40:48" x14ac:dyDescent="0.25">
      <c r="AN529" t="s">
        <v>34</v>
      </c>
      <c r="AO529" t="s">
        <v>26</v>
      </c>
      <c r="AP529">
        <v>2006</v>
      </c>
      <c r="AQ529" t="s">
        <v>36</v>
      </c>
      <c r="AR529" t="s">
        <v>330</v>
      </c>
      <c r="AS529" t="s">
        <v>305</v>
      </c>
      <c r="AT529" t="s">
        <v>218</v>
      </c>
      <c r="AU529" t="s">
        <v>268</v>
      </c>
      <c r="AV529">
        <v>11.85</v>
      </c>
    </row>
    <row r="530" spans="40:48" x14ac:dyDescent="0.25">
      <c r="AN530" t="s">
        <v>34</v>
      </c>
      <c r="AO530" t="s">
        <v>26</v>
      </c>
      <c r="AP530">
        <v>2006</v>
      </c>
      <c r="AQ530" t="s">
        <v>36</v>
      </c>
      <c r="AR530" t="s">
        <v>330</v>
      </c>
      <c r="AS530" t="s">
        <v>305</v>
      </c>
      <c r="AT530" t="s">
        <v>238</v>
      </c>
      <c r="AU530" t="s">
        <v>308</v>
      </c>
      <c r="AV530">
        <v>3.6</v>
      </c>
    </row>
    <row r="531" spans="40:48" x14ac:dyDescent="0.25">
      <c r="AN531" t="s">
        <v>34</v>
      </c>
      <c r="AO531" t="s">
        <v>26</v>
      </c>
      <c r="AP531">
        <v>2006</v>
      </c>
      <c r="AQ531" t="s">
        <v>36</v>
      </c>
      <c r="AR531" t="s">
        <v>330</v>
      </c>
      <c r="AS531" t="s">
        <v>305</v>
      </c>
      <c r="AT531" t="s">
        <v>238</v>
      </c>
      <c r="AU531" t="s">
        <v>309</v>
      </c>
      <c r="AV531">
        <v>8.4</v>
      </c>
    </row>
    <row r="532" spans="40:48" x14ac:dyDescent="0.25">
      <c r="AN532" t="s">
        <v>34</v>
      </c>
      <c r="AO532" t="s">
        <v>26</v>
      </c>
      <c r="AP532">
        <v>2006</v>
      </c>
      <c r="AQ532" t="s">
        <v>36</v>
      </c>
      <c r="AR532" t="s">
        <v>330</v>
      </c>
      <c r="AS532" t="s">
        <v>305</v>
      </c>
      <c r="AT532" t="s">
        <v>238</v>
      </c>
      <c r="AU532" t="s">
        <v>268</v>
      </c>
      <c r="AV532">
        <v>12</v>
      </c>
    </row>
    <row r="533" spans="40:48" x14ac:dyDescent="0.25">
      <c r="AN533" t="s">
        <v>34</v>
      </c>
      <c r="AO533" t="s">
        <v>26</v>
      </c>
      <c r="AP533">
        <v>2006</v>
      </c>
      <c r="AQ533" t="s">
        <v>36</v>
      </c>
      <c r="AR533" t="s">
        <v>330</v>
      </c>
      <c r="AS533" t="s">
        <v>305</v>
      </c>
      <c r="AT533" t="s">
        <v>239</v>
      </c>
      <c r="AU533" t="s">
        <v>308</v>
      </c>
      <c r="AV533">
        <v>3.7</v>
      </c>
    </row>
    <row r="534" spans="40:48" x14ac:dyDescent="0.25">
      <c r="AN534" t="s">
        <v>34</v>
      </c>
      <c r="AO534" t="s">
        <v>26</v>
      </c>
      <c r="AP534">
        <v>2006</v>
      </c>
      <c r="AQ534" t="s">
        <v>36</v>
      </c>
      <c r="AR534" t="s">
        <v>330</v>
      </c>
      <c r="AS534" t="s">
        <v>305</v>
      </c>
      <c r="AT534" t="s">
        <v>239</v>
      </c>
      <c r="AU534" t="s">
        <v>309</v>
      </c>
      <c r="AV534">
        <v>7.45</v>
      </c>
    </row>
    <row r="535" spans="40:48" x14ac:dyDescent="0.25">
      <c r="AN535" t="s">
        <v>34</v>
      </c>
      <c r="AO535" t="s">
        <v>26</v>
      </c>
      <c r="AP535">
        <v>2006</v>
      </c>
      <c r="AQ535" t="s">
        <v>36</v>
      </c>
      <c r="AR535" t="s">
        <v>330</v>
      </c>
      <c r="AS535" t="s">
        <v>305</v>
      </c>
      <c r="AT535" t="s">
        <v>239</v>
      </c>
      <c r="AU535" t="s">
        <v>268</v>
      </c>
      <c r="AV535">
        <v>11.15</v>
      </c>
    </row>
    <row r="536" spans="40:48" x14ac:dyDescent="0.25">
      <c r="AN536" t="s">
        <v>34</v>
      </c>
      <c r="AO536" t="s">
        <v>26</v>
      </c>
      <c r="AP536">
        <v>2006</v>
      </c>
      <c r="AQ536" t="s">
        <v>36</v>
      </c>
      <c r="AR536" t="s">
        <v>330</v>
      </c>
      <c r="AS536" t="s">
        <v>305</v>
      </c>
      <c r="AT536" t="s">
        <v>240</v>
      </c>
      <c r="AU536" t="s">
        <v>308</v>
      </c>
      <c r="AV536">
        <v>3.2</v>
      </c>
    </row>
    <row r="537" spans="40:48" x14ac:dyDescent="0.25">
      <c r="AN537" t="s">
        <v>34</v>
      </c>
      <c r="AO537" t="s">
        <v>26</v>
      </c>
      <c r="AP537">
        <v>2006</v>
      </c>
      <c r="AQ537" t="s">
        <v>36</v>
      </c>
      <c r="AR537" t="s">
        <v>330</v>
      </c>
      <c r="AS537" t="s">
        <v>305</v>
      </c>
      <c r="AT537" t="s">
        <v>240</v>
      </c>
      <c r="AU537" t="s">
        <v>309</v>
      </c>
      <c r="AV537">
        <v>8.6999999999999993</v>
      </c>
    </row>
    <row r="538" spans="40:48" x14ac:dyDescent="0.25">
      <c r="AN538" t="s">
        <v>34</v>
      </c>
      <c r="AO538" t="s">
        <v>26</v>
      </c>
      <c r="AP538">
        <v>2006</v>
      </c>
      <c r="AQ538" t="s">
        <v>36</v>
      </c>
      <c r="AR538" t="s">
        <v>330</v>
      </c>
      <c r="AS538" t="s">
        <v>305</v>
      </c>
      <c r="AT538" t="s">
        <v>240</v>
      </c>
      <c r="AU538" t="s">
        <v>268</v>
      </c>
      <c r="AV538">
        <v>11.9</v>
      </c>
    </row>
    <row r="539" spans="40:48" x14ac:dyDescent="0.25">
      <c r="AN539" t="s">
        <v>34</v>
      </c>
      <c r="AO539" t="s">
        <v>26</v>
      </c>
      <c r="AP539">
        <v>2006</v>
      </c>
      <c r="AQ539" t="s">
        <v>36</v>
      </c>
      <c r="AR539" t="s">
        <v>330</v>
      </c>
      <c r="AS539" t="s">
        <v>305</v>
      </c>
      <c r="AT539" t="s">
        <v>314</v>
      </c>
      <c r="AU539" t="s">
        <v>308</v>
      </c>
      <c r="AV539">
        <v>3.7</v>
      </c>
    </row>
    <row r="540" spans="40:48" x14ac:dyDescent="0.25">
      <c r="AN540" t="s">
        <v>34</v>
      </c>
      <c r="AO540" t="s">
        <v>26</v>
      </c>
      <c r="AP540">
        <v>2006</v>
      </c>
      <c r="AQ540" t="s">
        <v>36</v>
      </c>
      <c r="AR540" t="s">
        <v>330</v>
      </c>
      <c r="AS540" t="s">
        <v>305</v>
      </c>
      <c r="AT540" t="s">
        <v>314</v>
      </c>
      <c r="AU540" t="s">
        <v>309</v>
      </c>
      <c r="AV540">
        <v>8</v>
      </c>
    </row>
    <row r="541" spans="40:48" x14ac:dyDescent="0.25">
      <c r="AN541" t="s">
        <v>34</v>
      </c>
      <c r="AO541" t="s">
        <v>26</v>
      </c>
      <c r="AP541">
        <v>2006</v>
      </c>
      <c r="AQ541" t="s">
        <v>36</v>
      </c>
      <c r="AR541" t="s">
        <v>330</v>
      </c>
      <c r="AS541" t="s">
        <v>305</v>
      </c>
      <c r="AT541" t="s">
        <v>314</v>
      </c>
      <c r="AU541" t="s">
        <v>268</v>
      </c>
      <c r="AV541">
        <v>11.7</v>
      </c>
    </row>
    <row r="542" spans="40:48" x14ac:dyDescent="0.25">
      <c r="AN542" t="s">
        <v>34</v>
      </c>
      <c r="AO542" t="s">
        <v>26</v>
      </c>
      <c r="AP542">
        <v>2006</v>
      </c>
      <c r="AQ542" t="s">
        <v>36</v>
      </c>
      <c r="AR542" t="s">
        <v>330</v>
      </c>
      <c r="AS542" t="s">
        <v>305</v>
      </c>
      <c r="AT542" t="s">
        <v>242</v>
      </c>
      <c r="AU542" t="s">
        <v>308</v>
      </c>
      <c r="AV542">
        <v>3.4</v>
      </c>
    </row>
    <row r="543" spans="40:48" x14ac:dyDescent="0.25">
      <c r="AN543" t="s">
        <v>34</v>
      </c>
      <c r="AO543" t="s">
        <v>26</v>
      </c>
      <c r="AP543">
        <v>2006</v>
      </c>
      <c r="AQ543" t="s">
        <v>36</v>
      </c>
      <c r="AR543" t="s">
        <v>330</v>
      </c>
      <c r="AS543" t="s">
        <v>305</v>
      </c>
      <c r="AT543" t="s">
        <v>242</v>
      </c>
      <c r="AU543" t="s">
        <v>309</v>
      </c>
      <c r="AV543">
        <v>8.6</v>
      </c>
    </row>
    <row r="544" spans="40:48" x14ac:dyDescent="0.25">
      <c r="AN544" t="s">
        <v>34</v>
      </c>
      <c r="AO544" t="s">
        <v>26</v>
      </c>
      <c r="AP544">
        <v>2006</v>
      </c>
      <c r="AQ544" t="s">
        <v>36</v>
      </c>
      <c r="AR544" t="s">
        <v>330</v>
      </c>
      <c r="AS544" t="s">
        <v>305</v>
      </c>
      <c r="AT544" t="s">
        <v>242</v>
      </c>
      <c r="AU544" t="s">
        <v>268</v>
      </c>
      <c r="AV544">
        <v>12</v>
      </c>
    </row>
    <row r="545" spans="40:48" x14ac:dyDescent="0.25">
      <c r="AN545" t="s">
        <v>34</v>
      </c>
      <c r="AO545" t="s">
        <v>26</v>
      </c>
      <c r="AP545">
        <v>2006</v>
      </c>
      <c r="AQ545" t="s">
        <v>36</v>
      </c>
      <c r="AR545" t="s">
        <v>330</v>
      </c>
      <c r="AS545" t="s">
        <v>305</v>
      </c>
      <c r="AT545" t="s">
        <v>243</v>
      </c>
      <c r="AU545" t="s">
        <v>326</v>
      </c>
      <c r="AV545">
        <v>21.2</v>
      </c>
    </row>
    <row r="546" spans="40:48" x14ac:dyDescent="0.25">
      <c r="AN546" t="s">
        <v>34</v>
      </c>
      <c r="AO546" t="s">
        <v>26</v>
      </c>
      <c r="AP546">
        <v>2006</v>
      </c>
      <c r="AQ546" t="s">
        <v>36</v>
      </c>
      <c r="AR546" t="s">
        <v>330</v>
      </c>
      <c r="AS546" t="s">
        <v>305</v>
      </c>
      <c r="AT546" t="s">
        <v>243</v>
      </c>
      <c r="AU546" t="s">
        <v>327</v>
      </c>
      <c r="AV546">
        <v>49.4</v>
      </c>
    </row>
    <row r="547" spans="40:48" x14ac:dyDescent="0.25">
      <c r="AN547" t="s">
        <v>34</v>
      </c>
      <c r="AO547" t="s">
        <v>26</v>
      </c>
      <c r="AP547">
        <v>2006</v>
      </c>
      <c r="AQ547" t="s">
        <v>36</v>
      </c>
      <c r="AR547" t="s">
        <v>330</v>
      </c>
      <c r="AS547" t="s">
        <v>305</v>
      </c>
      <c r="AT547" t="s">
        <v>243</v>
      </c>
      <c r="AU547" t="s">
        <v>329</v>
      </c>
      <c r="AV547">
        <v>70.599999999999994</v>
      </c>
    </row>
    <row r="548" spans="40:48" x14ac:dyDescent="0.25">
      <c r="AN548" t="s">
        <v>40</v>
      </c>
      <c r="AO548" t="s">
        <v>26</v>
      </c>
      <c r="AP548">
        <v>2007</v>
      </c>
      <c r="AQ548" t="s">
        <v>39</v>
      </c>
      <c r="AR548" t="s">
        <v>330</v>
      </c>
      <c r="AS548" t="s">
        <v>305</v>
      </c>
      <c r="AT548" t="s">
        <v>218</v>
      </c>
      <c r="AU548" t="s">
        <v>308</v>
      </c>
      <c r="AV548">
        <v>3.4</v>
      </c>
    </row>
    <row r="549" spans="40:48" x14ac:dyDescent="0.25">
      <c r="AN549" t="s">
        <v>40</v>
      </c>
      <c r="AO549" t="s">
        <v>26</v>
      </c>
      <c r="AP549">
        <v>2007</v>
      </c>
      <c r="AQ549" t="s">
        <v>39</v>
      </c>
      <c r="AR549" t="s">
        <v>330</v>
      </c>
      <c r="AS549" t="s">
        <v>305</v>
      </c>
      <c r="AT549" t="s">
        <v>218</v>
      </c>
      <c r="AU549" t="s">
        <v>309</v>
      </c>
      <c r="AV549">
        <v>7.95</v>
      </c>
    </row>
    <row r="550" spans="40:48" x14ac:dyDescent="0.25">
      <c r="AN550" t="s">
        <v>40</v>
      </c>
      <c r="AO550" t="s">
        <v>26</v>
      </c>
      <c r="AP550">
        <v>2007</v>
      </c>
      <c r="AQ550" t="s">
        <v>39</v>
      </c>
      <c r="AR550" t="s">
        <v>330</v>
      </c>
      <c r="AS550" t="s">
        <v>305</v>
      </c>
      <c r="AT550" t="s">
        <v>218</v>
      </c>
      <c r="AU550" t="s">
        <v>268</v>
      </c>
      <c r="AV550">
        <v>11.35</v>
      </c>
    </row>
    <row r="551" spans="40:48" x14ac:dyDescent="0.25">
      <c r="AN551" t="s">
        <v>40</v>
      </c>
      <c r="AO551" t="s">
        <v>26</v>
      </c>
      <c r="AP551">
        <v>2007</v>
      </c>
      <c r="AQ551" t="s">
        <v>39</v>
      </c>
      <c r="AR551" t="s">
        <v>330</v>
      </c>
      <c r="AS551" t="s">
        <v>305</v>
      </c>
      <c r="AT551" t="s">
        <v>238</v>
      </c>
      <c r="AU551" t="s">
        <v>308</v>
      </c>
      <c r="AV551">
        <v>2.9</v>
      </c>
    </row>
    <row r="552" spans="40:48" x14ac:dyDescent="0.25">
      <c r="AN552" t="s">
        <v>40</v>
      </c>
      <c r="AO552" t="s">
        <v>26</v>
      </c>
      <c r="AP552">
        <v>2007</v>
      </c>
      <c r="AQ552" t="s">
        <v>39</v>
      </c>
      <c r="AR552" t="s">
        <v>330</v>
      </c>
      <c r="AS552" t="s">
        <v>305</v>
      </c>
      <c r="AT552" t="s">
        <v>238</v>
      </c>
      <c r="AU552" t="s">
        <v>309</v>
      </c>
      <c r="AV552">
        <v>8.15</v>
      </c>
    </row>
    <row r="553" spans="40:48" x14ac:dyDescent="0.25">
      <c r="AN553" t="s">
        <v>40</v>
      </c>
      <c r="AO553" t="s">
        <v>26</v>
      </c>
      <c r="AP553">
        <v>2007</v>
      </c>
      <c r="AQ553" t="s">
        <v>39</v>
      </c>
      <c r="AR553" t="s">
        <v>330</v>
      </c>
      <c r="AS553" t="s">
        <v>305</v>
      </c>
      <c r="AT553" t="s">
        <v>238</v>
      </c>
      <c r="AU553" t="s">
        <v>268</v>
      </c>
      <c r="AV553">
        <v>11.05</v>
      </c>
    </row>
    <row r="554" spans="40:48" x14ac:dyDescent="0.25">
      <c r="AN554" t="s">
        <v>40</v>
      </c>
      <c r="AO554" t="s">
        <v>26</v>
      </c>
      <c r="AP554">
        <v>2007</v>
      </c>
      <c r="AQ554" t="s">
        <v>39</v>
      </c>
      <c r="AR554" t="s">
        <v>330</v>
      </c>
      <c r="AS554" t="s">
        <v>305</v>
      </c>
      <c r="AT554" t="s">
        <v>239</v>
      </c>
      <c r="AU554" t="s">
        <v>308</v>
      </c>
      <c r="AV554">
        <v>3.4</v>
      </c>
    </row>
    <row r="555" spans="40:48" x14ac:dyDescent="0.25">
      <c r="AN555" t="s">
        <v>40</v>
      </c>
      <c r="AO555" t="s">
        <v>26</v>
      </c>
      <c r="AP555">
        <v>2007</v>
      </c>
      <c r="AQ555" t="s">
        <v>39</v>
      </c>
      <c r="AR555" t="s">
        <v>330</v>
      </c>
      <c r="AS555" t="s">
        <v>305</v>
      </c>
      <c r="AT555" t="s">
        <v>239</v>
      </c>
      <c r="AU555" t="s">
        <v>309</v>
      </c>
      <c r="AV555">
        <v>7.9</v>
      </c>
    </row>
    <row r="556" spans="40:48" x14ac:dyDescent="0.25">
      <c r="AN556" t="s">
        <v>40</v>
      </c>
      <c r="AO556" t="s">
        <v>26</v>
      </c>
      <c r="AP556">
        <v>2007</v>
      </c>
      <c r="AQ556" t="s">
        <v>39</v>
      </c>
      <c r="AR556" t="s">
        <v>330</v>
      </c>
      <c r="AS556" t="s">
        <v>305</v>
      </c>
      <c r="AT556" t="s">
        <v>239</v>
      </c>
      <c r="AU556" t="s">
        <v>268</v>
      </c>
      <c r="AV556">
        <v>11.3</v>
      </c>
    </row>
    <row r="557" spans="40:48" x14ac:dyDescent="0.25">
      <c r="AN557" t="s">
        <v>40</v>
      </c>
      <c r="AO557" t="s">
        <v>26</v>
      </c>
      <c r="AP557">
        <v>2007</v>
      </c>
      <c r="AQ557" t="s">
        <v>39</v>
      </c>
      <c r="AR557" t="s">
        <v>330</v>
      </c>
      <c r="AS557" t="s">
        <v>305</v>
      </c>
      <c r="AT557" t="s">
        <v>240</v>
      </c>
      <c r="AU557" t="s">
        <v>308</v>
      </c>
      <c r="AV557">
        <v>4</v>
      </c>
    </row>
    <row r="558" spans="40:48" x14ac:dyDescent="0.25">
      <c r="AN558" t="s">
        <v>40</v>
      </c>
      <c r="AO558" t="s">
        <v>26</v>
      </c>
      <c r="AP558">
        <v>2007</v>
      </c>
      <c r="AQ558" t="s">
        <v>39</v>
      </c>
      <c r="AR558" t="s">
        <v>330</v>
      </c>
      <c r="AS558" t="s">
        <v>305</v>
      </c>
      <c r="AT558" t="s">
        <v>240</v>
      </c>
      <c r="AU558" t="s">
        <v>309</v>
      </c>
      <c r="AV558">
        <v>8.8000000000000007</v>
      </c>
    </row>
    <row r="559" spans="40:48" x14ac:dyDescent="0.25">
      <c r="AN559" t="s">
        <v>40</v>
      </c>
      <c r="AO559" t="s">
        <v>26</v>
      </c>
      <c r="AP559">
        <v>2007</v>
      </c>
      <c r="AQ559" t="s">
        <v>39</v>
      </c>
      <c r="AR559" t="s">
        <v>330</v>
      </c>
      <c r="AS559" t="s">
        <v>305</v>
      </c>
      <c r="AT559" t="s">
        <v>240</v>
      </c>
      <c r="AU559" t="s">
        <v>268</v>
      </c>
      <c r="AV559">
        <v>12.8</v>
      </c>
    </row>
    <row r="560" spans="40:48" x14ac:dyDescent="0.25">
      <c r="AN560" t="s">
        <v>40</v>
      </c>
      <c r="AO560" t="s">
        <v>26</v>
      </c>
      <c r="AP560">
        <v>2007</v>
      </c>
      <c r="AQ560" t="s">
        <v>39</v>
      </c>
      <c r="AR560" t="s">
        <v>330</v>
      </c>
      <c r="AS560" t="s">
        <v>305</v>
      </c>
      <c r="AT560" t="s">
        <v>314</v>
      </c>
      <c r="AU560" t="s">
        <v>308</v>
      </c>
      <c r="AV560">
        <v>3</v>
      </c>
    </row>
    <row r="561" spans="40:48" x14ac:dyDescent="0.25">
      <c r="AN561" t="s">
        <v>40</v>
      </c>
      <c r="AO561" t="s">
        <v>26</v>
      </c>
      <c r="AP561">
        <v>2007</v>
      </c>
      <c r="AQ561" t="s">
        <v>39</v>
      </c>
      <c r="AR561" t="s">
        <v>330</v>
      </c>
      <c r="AS561" t="s">
        <v>305</v>
      </c>
      <c r="AT561" t="s">
        <v>314</v>
      </c>
      <c r="AU561" t="s">
        <v>309</v>
      </c>
      <c r="AV561">
        <v>8.1</v>
      </c>
    </row>
    <row r="562" spans="40:48" x14ac:dyDescent="0.25">
      <c r="AN562" t="s">
        <v>40</v>
      </c>
      <c r="AO562" t="s">
        <v>26</v>
      </c>
      <c r="AP562">
        <v>2007</v>
      </c>
      <c r="AQ562" t="s">
        <v>39</v>
      </c>
      <c r="AR562" t="s">
        <v>330</v>
      </c>
      <c r="AS562" t="s">
        <v>305</v>
      </c>
      <c r="AT562" t="s">
        <v>314</v>
      </c>
      <c r="AU562" t="s">
        <v>268</v>
      </c>
      <c r="AV562">
        <v>11.1</v>
      </c>
    </row>
    <row r="563" spans="40:48" x14ac:dyDescent="0.25">
      <c r="AN563" t="s">
        <v>40</v>
      </c>
      <c r="AO563" t="s">
        <v>26</v>
      </c>
      <c r="AP563">
        <v>2007</v>
      </c>
      <c r="AQ563" t="s">
        <v>39</v>
      </c>
      <c r="AR563" t="s">
        <v>330</v>
      </c>
      <c r="AS563" t="s">
        <v>305</v>
      </c>
      <c r="AT563" t="s">
        <v>242</v>
      </c>
      <c r="AU563" t="s">
        <v>308</v>
      </c>
      <c r="AV563">
        <v>2.6</v>
      </c>
    </row>
    <row r="564" spans="40:48" x14ac:dyDescent="0.25">
      <c r="AN564" t="s">
        <v>40</v>
      </c>
      <c r="AO564" t="s">
        <v>26</v>
      </c>
      <c r="AP564">
        <v>2007</v>
      </c>
      <c r="AQ564" t="s">
        <v>39</v>
      </c>
      <c r="AR564" t="s">
        <v>330</v>
      </c>
      <c r="AS564" t="s">
        <v>305</v>
      </c>
      <c r="AT564" t="s">
        <v>242</v>
      </c>
      <c r="AU564" t="s">
        <v>309</v>
      </c>
      <c r="AV564">
        <v>7.65</v>
      </c>
    </row>
    <row r="565" spans="40:48" x14ac:dyDescent="0.25">
      <c r="AN565" t="s">
        <v>40</v>
      </c>
      <c r="AO565" t="s">
        <v>26</v>
      </c>
      <c r="AP565">
        <v>2007</v>
      </c>
      <c r="AQ565" t="s">
        <v>39</v>
      </c>
      <c r="AR565" t="s">
        <v>330</v>
      </c>
      <c r="AS565" t="s">
        <v>305</v>
      </c>
      <c r="AT565" t="s">
        <v>242</v>
      </c>
      <c r="AU565" t="s">
        <v>268</v>
      </c>
      <c r="AV565">
        <v>10.25</v>
      </c>
    </row>
    <row r="566" spans="40:48" x14ac:dyDescent="0.25">
      <c r="AN566" t="s">
        <v>40</v>
      </c>
      <c r="AO566" t="s">
        <v>26</v>
      </c>
      <c r="AP566">
        <v>2007</v>
      </c>
      <c r="AQ566" t="s">
        <v>39</v>
      </c>
      <c r="AR566" t="s">
        <v>330</v>
      </c>
      <c r="AS566" t="s">
        <v>305</v>
      </c>
      <c r="AT566" t="s">
        <v>243</v>
      </c>
      <c r="AU566" t="s">
        <v>326</v>
      </c>
      <c r="AV566">
        <v>19.3</v>
      </c>
    </row>
    <row r="567" spans="40:48" x14ac:dyDescent="0.25">
      <c r="AN567" t="s">
        <v>40</v>
      </c>
      <c r="AO567" t="s">
        <v>26</v>
      </c>
      <c r="AP567">
        <v>2007</v>
      </c>
      <c r="AQ567" t="s">
        <v>39</v>
      </c>
      <c r="AR567" t="s">
        <v>330</v>
      </c>
      <c r="AS567" t="s">
        <v>305</v>
      </c>
      <c r="AT567" t="s">
        <v>243</v>
      </c>
      <c r="AU567" t="s">
        <v>327</v>
      </c>
      <c r="AV567">
        <v>48.55</v>
      </c>
    </row>
    <row r="568" spans="40:48" x14ac:dyDescent="0.25">
      <c r="AN568" t="s">
        <v>40</v>
      </c>
      <c r="AO568" t="s">
        <v>26</v>
      </c>
      <c r="AP568">
        <v>2007</v>
      </c>
      <c r="AQ568" t="s">
        <v>39</v>
      </c>
      <c r="AR568" t="s">
        <v>330</v>
      </c>
      <c r="AS568" t="s">
        <v>305</v>
      </c>
      <c r="AT568" t="s">
        <v>243</v>
      </c>
      <c r="AU568" t="s">
        <v>329</v>
      </c>
      <c r="AV568">
        <v>67.849999999999994</v>
      </c>
    </row>
    <row r="569" spans="40:48" x14ac:dyDescent="0.25">
      <c r="AN569" t="s">
        <v>32</v>
      </c>
      <c r="AO569" t="s">
        <v>26</v>
      </c>
      <c r="AP569">
        <v>2005</v>
      </c>
      <c r="AQ569" t="s">
        <v>31</v>
      </c>
      <c r="AR569" t="s">
        <v>330</v>
      </c>
      <c r="AS569" t="s">
        <v>305</v>
      </c>
      <c r="AT569" t="s">
        <v>218</v>
      </c>
      <c r="AU569" t="s">
        <v>308</v>
      </c>
      <c r="AV569">
        <v>4.2</v>
      </c>
    </row>
    <row r="570" spans="40:48" x14ac:dyDescent="0.25">
      <c r="AN570" t="s">
        <v>32</v>
      </c>
      <c r="AO570" t="s">
        <v>26</v>
      </c>
      <c r="AP570">
        <v>2005</v>
      </c>
      <c r="AQ570" t="s">
        <v>31</v>
      </c>
      <c r="AR570" t="s">
        <v>330</v>
      </c>
      <c r="AS570" t="s">
        <v>305</v>
      </c>
      <c r="AT570" t="s">
        <v>218</v>
      </c>
      <c r="AU570" t="s">
        <v>309</v>
      </c>
      <c r="AV570">
        <v>8.3000000000000007</v>
      </c>
    </row>
    <row r="571" spans="40:48" x14ac:dyDescent="0.25">
      <c r="AN571" t="s">
        <v>32</v>
      </c>
      <c r="AO571" t="s">
        <v>26</v>
      </c>
      <c r="AP571">
        <v>2005</v>
      </c>
      <c r="AQ571" t="s">
        <v>31</v>
      </c>
      <c r="AR571" t="s">
        <v>330</v>
      </c>
      <c r="AS571" t="s">
        <v>305</v>
      </c>
      <c r="AT571" t="s">
        <v>218</v>
      </c>
      <c r="AU571" t="s">
        <v>268</v>
      </c>
      <c r="AV571">
        <v>12.5</v>
      </c>
    </row>
    <row r="572" spans="40:48" x14ac:dyDescent="0.25">
      <c r="AN572" t="s">
        <v>32</v>
      </c>
      <c r="AO572" t="s">
        <v>26</v>
      </c>
      <c r="AP572">
        <v>2005</v>
      </c>
      <c r="AQ572" t="s">
        <v>31</v>
      </c>
      <c r="AR572" t="s">
        <v>330</v>
      </c>
      <c r="AS572" t="s">
        <v>305</v>
      </c>
      <c r="AT572" t="s">
        <v>238</v>
      </c>
      <c r="AU572" t="s">
        <v>308</v>
      </c>
      <c r="AV572">
        <v>3.4</v>
      </c>
    </row>
    <row r="573" spans="40:48" x14ac:dyDescent="0.25">
      <c r="AN573" t="s">
        <v>32</v>
      </c>
      <c r="AO573" t="s">
        <v>26</v>
      </c>
      <c r="AP573">
        <v>2005</v>
      </c>
      <c r="AQ573" t="s">
        <v>31</v>
      </c>
      <c r="AR573" t="s">
        <v>330</v>
      </c>
      <c r="AS573" t="s">
        <v>305</v>
      </c>
      <c r="AT573" t="s">
        <v>238</v>
      </c>
      <c r="AU573" t="s">
        <v>309</v>
      </c>
      <c r="AV573">
        <v>7.95</v>
      </c>
    </row>
    <row r="574" spans="40:48" x14ac:dyDescent="0.25">
      <c r="AN574" t="s">
        <v>32</v>
      </c>
      <c r="AO574" t="s">
        <v>26</v>
      </c>
      <c r="AP574">
        <v>2005</v>
      </c>
      <c r="AQ574" t="s">
        <v>31</v>
      </c>
      <c r="AR574" t="s">
        <v>330</v>
      </c>
      <c r="AS574" t="s">
        <v>305</v>
      </c>
      <c r="AT574" t="s">
        <v>238</v>
      </c>
      <c r="AU574" t="s">
        <v>268</v>
      </c>
      <c r="AV574">
        <v>11.35</v>
      </c>
    </row>
    <row r="575" spans="40:48" x14ac:dyDescent="0.25">
      <c r="AN575" t="s">
        <v>32</v>
      </c>
      <c r="AO575" t="s">
        <v>26</v>
      </c>
      <c r="AP575">
        <v>2005</v>
      </c>
      <c r="AQ575" t="s">
        <v>31</v>
      </c>
      <c r="AR575" t="s">
        <v>330</v>
      </c>
      <c r="AS575" t="s">
        <v>305</v>
      </c>
      <c r="AT575" t="s">
        <v>239</v>
      </c>
      <c r="AU575" t="s">
        <v>308</v>
      </c>
      <c r="AV575">
        <v>3.3</v>
      </c>
    </row>
    <row r="576" spans="40:48" x14ac:dyDescent="0.25">
      <c r="AN576" t="s">
        <v>32</v>
      </c>
      <c r="AO576" t="s">
        <v>26</v>
      </c>
      <c r="AP576">
        <v>2005</v>
      </c>
      <c r="AQ576" t="s">
        <v>31</v>
      </c>
      <c r="AR576" t="s">
        <v>330</v>
      </c>
      <c r="AS576" t="s">
        <v>305</v>
      </c>
      <c r="AT576" t="s">
        <v>239</v>
      </c>
      <c r="AU576" t="s">
        <v>309</v>
      </c>
      <c r="AV576">
        <v>6.95</v>
      </c>
    </row>
    <row r="577" spans="40:48" x14ac:dyDescent="0.25">
      <c r="AN577" t="s">
        <v>32</v>
      </c>
      <c r="AO577" t="s">
        <v>26</v>
      </c>
      <c r="AP577">
        <v>2005</v>
      </c>
      <c r="AQ577" t="s">
        <v>31</v>
      </c>
      <c r="AR577" t="s">
        <v>330</v>
      </c>
      <c r="AS577" t="s">
        <v>305</v>
      </c>
      <c r="AT577" t="s">
        <v>239</v>
      </c>
      <c r="AU577" t="s">
        <v>268</v>
      </c>
      <c r="AV577">
        <v>10.25</v>
      </c>
    </row>
    <row r="578" spans="40:48" x14ac:dyDescent="0.25">
      <c r="AN578" t="s">
        <v>32</v>
      </c>
      <c r="AO578" t="s">
        <v>26</v>
      </c>
      <c r="AP578">
        <v>2005</v>
      </c>
      <c r="AQ578" t="s">
        <v>31</v>
      </c>
      <c r="AR578" t="s">
        <v>330</v>
      </c>
      <c r="AS578" t="s">
        <v>305</v>
      </c>
      <c r="AT578" t="s">
        <v>240</v>
      </c>
      <c r="AU578" t="s">
        <v>308</v>
      </c>
      <c r="AV578">
        <v>3.2</v>
      </c>
    </row>
    <row r="579" spans="40:48" x14ac:dyDescent="0.25">
      <c r="AN579" t="s">
        <v>32</v>
      </c>
      <c r="AO579" t="s">
        <v>26</v>
      </c>
      <c r="AP579">
        <v>2005</v>
      </c>
      <c r="AQ579" t="s">
        <v>31</v>
      </c>
      <c r="AR579" t="s">
        <v>330</v>
      </c>
      <c r="AS579" t="s">
        <v>305</v>
      </c>
      <c r="AT579" t="s">
        <v>240</v>
      </c>
      <c r="AU579" t="s">
        <v>309</v>
      </c>
      <c r="AV579">
        <v>9.1999999999999993</v>
      </c>
    </row>
    <row r="580" spans="40:48" x14ac:dyDescent="0.25">
      <c r="AN580" t="s">
        <v>32</v>
      </c>
      <c r="AO580" t="s">
        <v>26</v>
      </c>
      <c r="AP580">
        <v>2005</v>
      </c>
      <c r="AQ580" t="s">
        <v>31</v>
      </c>
      <c r="AR580" t="s">
        <v>330</v>
      </c>
      <c r="AS580" t="s">
        <v>305</v>
      </c>
      <c r="AT580" t="s">
        <v>240</v>
      </c>
      <c r="AU580" t="s">
        <v>268</v>
      </c>
      <c r="AV580">
        <v>12.4</v>
      </c>
    </row>
    <row r="581" spans="40:48" x14ac:dyDescent="0.25">
      <c r="AN581" t="s">
        <v>32</v>
      </c>
      <c r="AO581" t="s">
        <v>26</v>
      </c>
      <c r="AP581">
        <v>2005</v>
      </c>
      <c r="AQ581" t="s">
        <v>31</v>
      </c>
      <c r="AR581" t="s">
        <v>330</v>
      </c>
      <c r="AS581" t="s">
        <v>305</v>
      </c>
      <c r="AT581" t="s">
        <v>314</v>
      </c>
      <c r="AU581" t="s">
        <v>308</v>
      </c>
      <c r="AV581">
        <v>3.2</v>
      </c>
    </row>
    <row r="582" spans="40:48" x14ac:dyDescent="0.25">
      <c r="AN582" t="s">
        <v>32</v>
      </c>
      <c r="AO582" t="s">
        <v>26</v>
      </c>
      <c r="AP582">
        <v>2005</v>
      </c>
      <c r="AQ582" t="s">
        <v>31</v>
      </c>
      <c r="AR582" t="s">
        <v>330</v>
      </c>
      <c r="AS582" t="s">
        <v>305</v>
      </c>
      <c r="AT582" t="s">
        <v>314</v>
      </c>
      <c r="AU582" t="s">
        <v>309</v>
      </c>
      <c r="AV582">
        <v>8.8000000000000007</v>
      </c>
    </row>
    <row r="583" spans="40:48" x14ac:dyDescent="0.25">
      <c r="AN583" t="s">
        <v>32</v>
      </c>
      <c r="AO583" t="s">
        <v>26</v>
      </c>
      <c r="AP583">
        <v>2005</v>
      </c>
      <c r="AQ583" t="s">
        <v>31</v>
      </c>
      <c r="AR583" t="s">
        <v>330</v>
      </c>
      <c r="AS583" t="s">
        <v>305</v>
      </c>
      <c r="AT583" t="s">
        <v>314</v>
      </c>
      <c r="AU583" t="s">
        <v>268</v>
      </c>
      <c r="AV583">
        <v>12</v>
      </c>
    </row>
    <row r="584" spans="40:48" x14ac:dyDescent="0.25">
      <c r="AN584" t="s">
        <v>32</v>
      </c>
      <c r="AO584" t="s">
        <v>26</v>
      </c>
      <c r="AP584">
        <v>2005</v>
      </c>
      <c r="AQ584" t="s">
        <v>31</v>
      </c>
      <c r="AR584" t="s">
        <v>330</v>
      </c>
      <c r="AS584" t="s">
        <v>305</v>
      </c>
      <c r="AT584" t="s">
        <v>242</v>
      </c>
      <c r="AU584" t="s">
        <v>308</v>
      </c>
      <c r="AV584">
        <v>3.1</v>
      </c>
    </row>
    <row r="585" spans="40:48" x14ac:dyDescent="0.25">
      <c r="AN585" t="s">
        <v>32</v>
      </c>
      <c r="AO585" t="s">
        <v>26</v>
      </c>
      <c r="AP585">
        <v>2005</v>
      </c>
      <c r="AQ585" t="s">
        <v>31</v>
      </c>
      <c r="AR585" t="s">
        <v>330</v>
      </c>
      <c r="AS585" t="s">
        <v>305</v>
      </c>
      <c r="AT585" t="s">
        <v>242</v>
      </c>
      <c r="AU585" t="s">
        <v>309</v>
      </c>
      <c r="AV585">
        <v>4.7</v>
      </c>
    </row>
    <row r="586" spans="40:48" x14ac:dyDescent="0.25">
      <c r="AN586" t="s">
        <v>32</v>
      </c>
      <c r="AO586" t="s">
        <v>26</v>
      </c>
      <c r="AP586">
        <v>2005</v>
      </c>
      <c r="AQ586" t="s">
        <v>31</v>
      </c>
      <c r="AR586" t="s">
        <v>330</v>
      </c>
      <c r="AS586" t="s">
        <v>305</v>
      </c>
      <c r="AT586" t="s">
        <v>242</v>
      </c>
      <c r="AU586" t="s">
        <v>268</v>
      </c>
      <c r="AV586">
        <v>7.8</v>
      </c>
    </row>
    <row r="587" spans="40:48" x14ac:dyDescent="0.25">
      <c r="AN587" t="s">
        <v>32</v>
      </c>
      <c r="AO587" t="s">
        <v>26</v>
      </c>
      <c r="AP587">
        <v>2005</v>
      </c>
      <c r="AQ587" t="s">
        <v>31</v>
      </c>
      <c r="AR587" t="s">
        <v>330</v>
      </c>
      <c r="AS587" t="s">
        <v>305</v>
      </c>
      <c r="AT587" t="s">
        <v>243</v>
      </c>
      <c r="AU587" t="s">
        <v>326</v>
      </c>
      <c r="AV587">
        <v>20.399999999999999</v>
      </c>
    </row>
    <row r="588" spans="40:48" x14ac:dyDescent="0.25">
      <c r="AN588" t="s">
        <v>32</v>
      </c>
      <c r="AO588" t="s">
        <v>26</v>
      </c>
      <c r="AP588">
        <v>2005</v>
      </c>
      <c r="AQ588" t="s">
        <v>31</v>
      </c>
      <c r="AR588" t="s">
        <v>330</v>
      </c>
      <c r="AS588" t="s">
        <v>305</v>
      </c>
      <c r="AT588" t="s">
        <v>243</v>
      </c>
      <c r="AU588" t="s">
        <v>327</v>
      </c>
      <c r="AV588">
        <v>45.900000000000006</v>
      </c>
    </row>
    <row r="589" spans="40:48" x14ac:dyDescent="0.25">
      <c r="AN589" t="s">
        <v>32</v>
      </c>
      <c r="AO589" t="s">
        <v>26</v>
      </c>
      <c r="AP589">
        <v>2005</v>
      </c>
      <c r="AQ589" t="s">
        <v>31</v>
      </c>
      <c r="AR589" t="s">
        <v>330</v>
      </c>
      <c r="AS589" t="s">
        <v>305</v>
      </c>
      <c r="AT589" t="s">
        <v>243</v>
      </c>
      <c r="AU589" t="s">
        <v>329</v>
      </c>
      <c r="AV589">
        <v>66.3</v>
      </c>
    </row>
    <row r="590" spans="40:48" x14ac:dyDescent="0.25">
      <c r="AN590" t="s">
        <v>44</v>
      </c>
      <c r="AO590" t="s">
        <v>26</v>
      </c>
      <c r="AP590">
        <v>2007</v>
      </c>
      <c r="AQ590" t="s">
        <v>39</v>
      </c>
      <c r="AR590" t="s">
        <v>330</v>
      </c>
      <c r="AS590" t="s">
        <v>305</v>
      </c>
      <c r="AT590" t="s">
        <v>218</v>
      </c>
      <c r="AU590" t="s">
        <v>308</v>
      </c>
      <c r="AV590">
        <v>3.4</v>
      </c>
    </row>
    <row r="591" spans="40:48" x14ac:dyDescent="0.25">
      <c r="AN591" t="s">
        <v>44</v>
      </c>
      <c r="AO591" t="s">
        <v>26</v>
      </c>
      <c r="AP591">
        <v>2007</v>
      </c>
      <c r="AQ591" t="s">
        <v>39</v>
      </c>
      <c r="AR591" t="s">
        <v>330</v>
      </c>
      <c r="AS591" t="s">
        <v>305</v>
      </c>
      <c r="AT591" t="s">
        <v>218</v>
      </c>
      <c r="AU591" t="s">
        <v>309</v>
      </c>
      <c r="AV591">
        <v>8.0500000000000007</v>
      </c>
    </row>
    <row r="592" spans="40:48" x14ac:dyDescent="0.25">
      <c r="AN592" t="s">
        <v>44</v>
      </c>
      <c r="AO592" t="s">
        <v>26</v>
      </c>
      <c r="AP592">
        <v>2007</v>
      </c>
      <c r="AQ592" t="s">
        <v>39</v>
      </c>
      <c r="AR592" t="s">
        <v>330</v>
      </c>
      <c r="AS592" t="s">
        <v>305</v>
      </c>
      <c r="AT592" t="s">
        <v>218</v>
      </c>
      <c r="AU592" t="s">
        <v>268</v>
      </c>
      <c r="AV592">
        <v>11.45</v>
      </c>
    </row>
    <row r="593" spans="40:48" x14ac:dyDescent="0.25">
      <c r="AN593" t="s">
        <v>44</v>
      </c>
      <c r="AO593" t="s">
        <v>26</v>
      </c>
      <c r="AP593">
        <v>2007</v>
      </c>
      <c r="AQ593" t="s">
        <v>39</v>
      </c>
      <c r="AR593" t="s">
        <v>330</v>
      </c>
      <c r="AS593" t="s">
        <v>305</v>
      </c>
      <c r="AT593" t="s">
        <v>238</v>
      </c>
      <c r="AU593" t="s">
        <v>308</v>
      </c>
      <c r="AV593">
        <v>3</v>
      </c>
    </row>
    <row r="594" spans="40:48" x14ac:dyDescent="0.25">
      <c r="AN594" t="s">
        <v>44</v>
      </c>
      <c r="AO594" t="s">
        <v>26</v>
      </c>
      <c r="AP594">
        <v>2007</v>
      </c>
      <c r="AQ594" t="s">
        <v>39</v>
      </c>
      <c r="AR594" t="s">
        <v>330</v>
      </c>
      <c r="AS594" t="s">
        <v>305</v>
      </c>
      <c r="AT594" t="s">
        <v>238</v>
      </c>
      <c r="AU594" t="s">
        <v>309</v>
      </c>
      <c r="AV594">
        <v>5.75</v>
      </c>
    </row>
    <row r="595" spans="40:48" x14ac:dyDescent="0.25">
      <c r="AN595" t="s">
        <v>44</v>
      </c>
      <c r="AO595" t="s">
        <v>26</v>
      </c>
      <c r="AP595">
        <v>2007</v>
      </c>
      <c r="AQ595" t="s">
        <v>39</v>
      </c>
      <c r="AR595" t="s">
        <v>330</v>
      </c>
      <c r="AS595" t="s">
        <v>305</v>
      </c>
      <c r="AT595" t="s">
        <v>238</v>
      </c>
      <c r="AU595" t="s">
        <v>268</v>
      </c>
      <c r="AV595">
        <v>8.75</v>
      </c>
    </row>
    <row r="596" spans="40:48" x14ac:dyDescent="0.25">
      <c r="AN596" t="s">
        <v>44</v>
      </c>
      <c r="AO596" t="s">
        <v>26</v>
      </c>
      <c r="AP596">
        <v>2007</v>
      </c>
      <c r="AQ596" t="s">
        <v>39</v>
      </c>
      <c r="AR596" t="s">
        <v>330</v>
      </c>
      <c r="AS596" t="s">
        <v>305</v>
      </c>
      <c r="AT596" t="s">
        <v>239</v>
      </c>
      <c r="AU596" t="s">
        <v>308</v>
      </c>
      <c r="AV596">
        <v>2.2999999999999998</v>
      </c>
    </row>
    <row r="597" spans="40:48" x14ac:dyDescent="0.25">
      <c r="AN597" t="s">
        <v>44</v>
      </c>
      <c r="AO597" t="s">
        <v>26</v>
      </c>
      <c r="AP597">
        <v>2007</v>
      </c>
      <c r="AQ597" t="s">
        <v>39</v>
      </c>
      <c r="AR597" t="s">
        <v>330</v>
      </c>
      <c r="AS597" t="s">
        <v>305</v>
      </c>
      <c r="AT597" t="s">
        <v>239</v>
      </c>
      <c r="AU597" t="s">
        <v>309</v>
      </c>
      <c r="AV597">
        <v>7.9</v>
      </c>
    </row>
    <row r="598" spans="40:48" x14ac:dyDescent="0.25">
      <c r="AN598" t="s">
        <v>44</v>
      </c>
      <c r="AO598" t="s">
        <v>26</v>
      </c>
      <c r="AP598">
        <v>2007</v>
      </c>
      <c r="AQ598" t="s">
        <v>39</v>
      </c>
      <c r="AR598" t="s">
        <v>330</v>
      </c>
      <c r="AS598" t="s">
        <v>305</v>
      </c>
      <c r="AT598" t="s">
        <v>239</v>
      </c>
      <c r="AU598" t="s">
        <v>268</v>
      </c>
      <c r="AV598">
        <v>10.199999999999999</v>
      </c>
    </row>
    <row r="599" spans="40:48" x14ac:dyDescent="0.25">
      <c r="AN599" t="s">
        <v>44</v>
      </c>
      <c r="AO599" t="s">
        <v>26</v>
      </c>
      <c r="AP599">
        <v>2007</v>
      </c>
      <c r="AQ599" t="s">
        <v>39</v>
      </c>
      <c r="AR599" t="s">
        <v>330</v>
      </c>
      <c r="AS599" t="s">
        <v>305</v>
      </c>
      <c r="AT599" t="s">
        <v>240</v>
      </c>
      <c r="AU599" t="s">
        <v>308</v>
      </c>
      <c r="AV599">
        <v>2.8</v>
      </c>
    </row>
    <row r="600" spans="40:48" x14ac:dyDescent="0.25">
      <c r="AN600" t="s">
        <v>44</v>
      </c>
      <c r="AO600" t="s">
        <v>26</v>
      </c>
      <c r="AP600">
        <v>2007</v>
      </c>
      <c r="AQ600" t="s">
        <v>39</v>
      </c>
      <c r="AR600" t="s">
        <v>330</v>
      </c>
      <c r="AS600" t="s">
        <v>305</v>
      </c>
      <c r="AT600" t="s">
        <v>240</v>
      </c>
      <c r="AU600" t="s">
        <v>309</v>
      </c>
      <c r="AV600">
        <v>8.75</v>
      </c>
    </row>
    <row r="601" spans="40:48" x14ac:dyDescent="0.25">
      <c r="AN601" t="s">
        <v>44</v>
      </c>
      <c r="AO601" t="s">
        <v>26</v>
      </c>
      <c r="AP601">
        <v>2007</v>
      </c>
      <c r="AQ601" t="s">
        <v>39</v>
      </c>
      <c r="AR601" t="s">
        <v>330</v>
      </c>
      <c r="AS601" t="s">
        <v>305</v>
      </c>
      <c r="AT601" t="s">
        <v>240</v>
      </c>
      <c r="AU601" t="s">
        <v>268</v>
      </c>
      <c r="AV601">
        <v>11.55</v>
      </c>
    </row>
    <row r="602" spans="40:48" x14ac:dyDescent="0.25">
      <c r="AN602" t="s">
        <v>44</v>
      </c>
      <c r="AO602" t="s">
        <v>26</v>
      </c>
      <c r="AP602">
        <v>2007</v>
      </c>
      <c r="AQ602" t="s">
        <v>39</v>
      </c>
      <c r="AR602" t="s">
        <v>330</v>
      </c>
      <c r="AS602" t="s">
        <v>305</v>
      </c>
      <c r="AT602" t="s">
        <v>314</v>
      </c>
      <c r="AU602" t="s">
        <v>308</v>
      </c>
      <c r="AV602">
        <v>3</v>
      </c>
    </row>
    <row r="603" spans="40:48" x14ac:dyDescent="0.25">
      <c r="AN603" t="s">
        <v>44</v>
      </c>
      <c r="AO603" t="s">
        <v>26</v>
      </c>
      <c r="AP603">
        <v>2007</v>
      </c>
      <c r="AQ603" t="s">
        <v>39</v>
      </c>
      <c r="AR603" t="s">
        <v>330</v>
      </c>
      <c r="AS603" t="s">
        <v>305</v>
      </c>
      <c r="AT603" t="s">
        <v>314</v>
      </c>
      <c r="AU603" t="s">
        <v>309</v>
      </c>
      <c r="AV603">
        <v>8.9</v>
      </c>
    </row>
    <row r="604" spans="40:48" x14ac:dyDescent="0.25">
      <c r="AN604" t="s">
        <v>44</v>
      </c>
      <c r="AO604" t="s">
        <v>26</v>
      </c>
      <c r="AP604">
        <v>2007</v>
      </c>
      <c r="AQ604" t="s">
        <v>39</v>
      </c>
      <c r="AR604" t="s">
        <v>330</v>
      </c>
      <c r="AS604" t="s">
        <v>305</v>
      </c>
      <c r="AT604" t="s">
        <v>314</v>
      </c>
      <c r="AU604" t="s">
        <v>268</v>
      </c>
      <c r="AV604">
        <v>11.9</v>
      </c>
    </row>
    <row r="605" spans="40:48" x14ac:dyDescent="0.25">
      <c r="AN605" t="s">
        <v>44</v>
      </c>
      <c r="AO605" t="s">
        <v>26</v>
      </c>
      <c r="AP605">
        <v>2007</v>
      </c>
      <c r="AQ605" t="s">
        <v>39</v>
      </c>
      <c r="AR605" t="s">
        <v>330</v>
      </c>
      <c r="AS605" t="s">
        <v>305</v>
      </c>
      <c r="AT605" t="s">
        <v>242</v>
      </c>
      <c r="AU605" t="s">
        <v>308</v>
      </c>
      <c r="AV605">
        <v>2.7</v>
      </c>
    </row>
    <row r="606" spans="40:48" x14ac:dyDescent="0.25">
      <c r="AN606" t="s">
        <v>44</v>
      </c>
      <c r="AO606" t="s">
        <v>26</v>
      </c>
      <c r="AP606">
        <v>2007</v>
      </c>
      <c r="AQ606" t="s">
        <v>39</v>
      </c>
      <c r="AR606" t="s">
        <v>330</v>
      </c>
      <c r="AS606" t="s">
        <v>305</v>
      </c>
      <c r="AT606" t="s">
        <v>242</v>
      </c>
      <c r="AU606" t="s">
        <v>309</v>
      </c>
      <c r="AV606">
        <v>8.15</v>
      </c>
    </row>
    <row r="607" spans="40:48" x14ac:dyDescent="0.25">
      <c r="AN607" t="s">
        <v>44</v>
      </c>
      <c r="AO607" t="s">
        <v>26</v>
      </c>
      <c r="AP607">
        <v>2007</v>
      </c>
      <c r="AQ607" t="s">
        <v>39</v>
      </c>
      <c r="AR607" t="s">
        <v>330</v>
      </c>
      <c r="AS607" t="s">
        <v>305</v>
      </c>
      <c r="AT607" t="s">
        <v>242</v>
      </c>
      <c r="AU607" t="s">
        <v>268</v>
      </c>
      <c r="AV607">
        <v>10.85</v>
      </c>
    </row>
    <row r="608" spans="40:48" x14ac:dyDescent="0.25">
      <c r="AN608" t="s">
        <v>44</v>
      </c>
      <c r="AO608" t="s">
        <v>26</v>
      </c>
      <c r="AP608">
        <v>2007</v>
      </c>
      <c r="AQ608" t="s">
        <v>39</v>
      </c>
      <c r="AR608" t="s">
        <v>330</v>
      </c>
      <c r="AS608" t="s">
        <v>305</v>
      </c>
      <c r="AT608" t="s">
        <v>243</v>
      </c>
      <c r="AU608" t="s">
        <v>326</v>
      </c>
      <c r="AV608">
        <v>17.2</v>
      </c>
    </row>
    <row r="609" spans="40:48" x14ac:dyDescent="0.25">
      <c r="AN609" t="s">
        <v>44</v>
      </c>
      <c r="AO609" t="s">
        <v>26</v>
      </c>
      <c r="AP609">
        <v>2007</v>
      </c>
      <c r="AQ609" t="s">
        <v>39</v>
      </c>
      <c r="AR609" t="s">
        <v>330</v>
      </c>
      <c r="AS609" t="s">
        <v>305</v>
      </c>
      <c r="AT609" t="s">
        <v>243</v>
      </c>
      <c r="AU609" t="s">
        <v>327</v>
      </c>
      <c r="AV609">
        <v>47.5</v>
      </c>
    </row>
    <row r="610" spans="40:48" x14ac:dyDescent="0.25">
      <c r="AN610" t="s">
        <v>44</v>
      </c>
      <c r="AO610" t="s">
        <v>26</v>
      </c>
      <c r="AP610">
        <v>2007</v>
      </c>
      <c r="AQ610" t="s">
        <v>39</v>
      </c>
      <c r="AR610" t="s">
        <v>330</v>
      </c>
      <c r="AS610" t="s">
        <v>305</v>
      </c>
      <c r="AT610" t="s">
        <v>243</v>
      </c>
      <c r="AU610" t="s">
        <v>329</v>
      </c>
      <c r="AV610">
        <v>64.7</v>
      </c>
    </row>
    <row r="611" spans="40:48" x14ac:dyDescent="0.25">
      <c r="AN611" t="s">
        <v>42</v>
      </c>
      <c r="AO611" t="s">
        <v>26</v>
      </c>
      <c r="AP611">
        <v>2007</v>
      </c>
      <c r="AQ611" t="s">
        <v>36</v>
      </c>
      <c r="AR611" t="s">
        <v>330</v>
      </c>
      <c r="AS611" t="s">
        <v>305</v>
      </c>
      <c r="AT611" t="s">
        <v>218</v>
      </c>
      <c r="AU611" t="s">
        <v>308</v>
      </c>
      <c r="AV611">
        <v>3.8</v>
      </c>
    </row>
    <row r="612" spans="40:48" x14ac:dyDescent="0.25">
      <c r="AN612" t="s">
        <v>42</v>
      </c>
      <c r="AO612" t="s">
        <v>26</v>
      </c>
      <c r="AP612">
        <v>2007</v>
      </c>
      <c r="AQ612" t="s">
        <v>36</v>
      </c>
      <c r="AR612" t="s">
        <v>330</v>
      </c>
      <c r="AS612" t="s">
        <v>305</v>
      </c>
      <c r="AT612" t="s">
        <v>218</v>
      </c>
      <c r="AU612" t="s">
        <v>309</v>
      </c>
      <c r="AV612">
        <v>7.1</v>
      </c>
    </row>
    <row r="613" spans="40:48" x14ac:dyDescent="0.25">
      <c r="AN613" t="s">
        <v>42</v>
      </c>
      <c r="AO613" t="s">
        <v>26</v>
      </c>
      <c r="AP613">
        <v>2007</v>
      </c>
      <c r="AQ613" t="s">
        <v>36</v>
      </c>
      <c r="AR613" t="s">
        <v>330</v>
      </c>
      <c r="AS613" t="s">
        <v>305</v>
      </c>
      <c r="AT613" t="s">
        <v>218</v>
      </c>
      <c r="AU613" t="s">
        <v>268</v>
      </c>
      <c r="AV613">
        <v>10.9</v>
      </c>
    </row>
    <row r="614" spans="40:48" x14ac:dyDescent="0.25">
      <c r="AN614" t="s">
        <v>42</v>
      </c>
      <c r="AO614" t="s">
        <v>26</v>
      </c>
      <c r="AP614">
        <v>2007</v>
      </c>
      <c r="AQ614" t="s">
        <v>36</v>
      </c>
      <c r="AR614" t="s">
        <v>330</v>
      </c>
      <c r="AS614" t="s">
        <v>305</v>
      </c>
      <c r="AT614" t="s">
        <v>238</v>
      </c>
      <c r="AU614" t="s">
        <v>308</v>
      </c>
      <c r="AV614">
        <v>2.6</v>
      </c>
    </row>
    <row r="615" spans="40:48" x14ac:dyDescent="0.25">
      <c r="AN615" t="s">
        <v>42</v>
      </c>
      <c r="AO615" t="s">
        <v>26</v>
      </c>
      <c r="AP615">
        <v>2007</v>
      </c>
      <c r="AQ615" t="s">
        <v>36</v>
      </c>
      <c r="AR615" t="s">
        <v>330</v>
      </c>
      <c r="AS615" t="s">
        <v>305</v>
      </c>
      <c r="AT615" t="s">
        <v>238</v>
      </c>
      <c r="AU615" t="s">
        <v>309</v>
      </c>
      <c r="AV615">
        <v>7.65</v>
      </c>
    </row>
    <row r="616" spans="40:48" x14ac:dyDescent="0.25">
      <c r="AN616" t="s">
        <v>42</v>
      </c>
      <c r="AO616" t="s">
        <v>26</v>
      </c>
      <c r="AP616">
        <v>2007</v>
      </c>
      <c r="AQ616" t="s">
        <v>36</v>
      </c>
      <c r="AR616" t="s">
        <v>330</v>
      </c>
      <c r="AS616" t="s">
        <v>305</v>
      </c>
      <c r="AT616" t="s">
        <v>238</v>
      </c>
      <c r="AU616" t="s">
        <v>268</v>
      </c>
      <c r="AV616">
        <v>10.25</v>
      </c>
    </row>
    <row r="617" spans="40:48" x14ac:dyDescent="0.25">
      <c r="AN617" t="s">
        <v>42</v>
      </c>
      <c r="AO617" t="s">
        <v>26</v>
      </c>
      <c r="AP617">
        <v>2007</v>
      </c>
      <c r="AQ617" t="s">
        <v>36</v>
      </c>
      <c r="AR617" t="s">
        <v>330</v>
      </c>
      <c r="AS617" t="s">
        <v>305</v>
      </c>
      <c r="AT617" t="s">
        <v>239</v>
      </c>
      <c r="AU617" t="s">
        <v>308</v>
      </c>
      <c r="AV617">
        <v>2.4</v>
      </c>
    </row>
    <row r="618" spans="40:48" x14ac:dyDescent="0.25">
      <c r="AN618" t="s">
        <v>42</v>
      </c>
      <c r="AO618" t="s">
        <v>26</v>
      </c>
      <c r="AP618">
        <v>2007</v>
      </c>
      <c r="AQ618" t="s">
        <v>36</v>
      </c>
      <c r="AR618" t="s">
        <v>330</v>
      </c>
      <c r="AS618" t="s">
        <v>305</v>
      </c>
      <c r="AT618" t="s">
        <v>239</v>
      </c>
      <c r="AU618" t="s">
        <v>309</v>
      </c>
      <c r="AV618">
        <v>8.0500000000000007</v>
      </c>
    </row>
    <row r="619" spans="40:48" x14ac:dyDescent="0.25">
      <c r="AN619" t="s">
        <v>42</v>
      </c>
      <c r="AO619" t="s">
        <v>26</v>
      </c>
      <c r="AP619">
        <v>2007</v>
      </c>
      <c r="AQ619" t="s">
        <v>36</v>
      </c>
      <c r="AR619" t="s">
        <v>330</v>
      </c>
      <c r="AS619" t="s">
        <v>305</v>
      </c>
      <c r="AT619" t="s">
        <v>239</v>
      </c>
      <c r="AU619" t="s">
        <v>268</v>
      </c>
      <c r="AV619">
        <v>10.45</v>
      </c>
    </row>
    <row r="620" spans="40:48" x14ac:dyDescent="0.25">
      <c r="AN620" t="s">
        <v>42</v>
      </c>
      <c r="AO620" t="s">
        <v>26</v>
      </c>
      <c r="AP620">
        <v>2007</v>
      </c>
      <c r="AQ620" t="s">
        <v>36</v>
      </c>
      <c r="AR620" t="s">
        <v>330</v>
      </c>
      <c r="AS620" t="s">
        <v>305</v>
      </c>
      <c r="AT620" t="s">
        <v>240</v>
      </c>
      <c r="AU620" t="s">
        <v>308</v>
      </c>
      <c r="AV620">
        <v>2.8</v>
      </c>
    </row>
    <row r="621" spans="40:48" x14ac:dyDescent="0.25">
      <c r="AN621" t="s">
        <v>42</v>
      </c>
      <c r="AO621" t="s">
        <v>26</v>
      </c>
      <c r="AP621">
        <v>2007</v>
      </c>
      <c r="AQ621" t="s">
        <v>36</v>
      </c>
      <c r="AR621" t="s">
        <v>330</v>
      </c>
      <c r="AS621" t="s">
        <v>305</v>
      </c>
      <c r="AT621" t="s">
        <v>240</v>
      </c>
      <c r="AU621" t="s">
        <v>309</v>
      </c>
      <c r="AV621">
        <v>9.1999999999999993</v>
      </c>
    </row>
    <row r="622" spans="40:48" x14ac:dyDescent="0.25">
      <c r="AN622" t="s">
        <v>42</v>
      </c>
      <c r="AO622" t="s">
        <v>26</v>
      </c>
      <c r="AP622">
        <v>2007</v>
      </c>
      <c r="AQ622" t="s">
        <v>36</v>
      </c>
      <c r="AR622" t="s">
        <v>330</v>
      </c>
      <c r="AS622" t="s">
        <v>305</v>
      </c>
      <c r="AT622" t="s">
        <v>240</v>
      </c>
      <c r="AU622" t="s">
        <v>268</v>
      </c>
      <c r="AV622">
        <v>12</v>
      </c>
    </row>
    <row r="623" spans="40:48" x14ac:dyDescent="0.25">
      <c r="AN623" t="s">
        <v>42</v>
      </c>
      <c r="AO623" t="s">
        <v>26</v>
      </c>
      <c r="AP623">
        <v>2007</v>
      </c>
      <c r="AQ623" t="s">
        <v>36</v>
      </c>
      <c r="AR623" t="s">
        <v>330</v>
      </c>
      <c r="AS623" t="s">
        <v>305</v>
      </c>
      <c r="AT623" t="s">
        <v>314</v>
      </c>
      <c r="AU623" t="s">
        <v>308</v>
      </c>
      <c r="AV623">
        <v>3.1</v>
      </c>
    </row>
    <row r="624" spans="40:48" x14ac:dyDescent="0.25">
      <c r="AN624" t="s">
        <v>42</v>
      </c>
      <c r="AO624" t="s">
        <v>26</v>
      </c>
      <c r="AP624">
        <v>2007</v>
      </c>
      <c r="AQ624" t="s">
        <v>36</v>
      </c>
      <c r="AR624" t="s">
        <v>330</v>
      </c>
      <c r="AS624" t="s">
        <v>305</v>
      </c>
      <c r="AT624" t="s">
        <v>314</v>
      </c>
      <c r="AU624" t="s">
        <v>309</v>
      </c>
      <c r="AV624">
        <v>7.1</v>
      </c>
    </row>
    <row r="625" spans="40:48" x14ac:dyDescent="0.25">
      <c r="AN625" t="s">
        <v>42</v>
      </c>
      <c r="AO625" t="s">
        <v>26</v>
      </c>
      <c r="AP625">
        <v>2007</v>
      </c>
      <c r="AQ625" t="s">
        <v>36</v>
      </c>
      <c r="AR625" t="s">
        <v>330</v>
      </c>
      <c r="AS625" t="s">
        <v>305</v>
      </c>
      <c r="AT625" t="s">
        <v>314</v>
      </c>
      <c r="AU625" t="s">
        <v>268</v>
      </c>
      <c r="AV625">
        <v>10.199999999999999</v>
      </c>
    </row>
    <row r="626" spans="40:48" x14ac:dyDescent="0.25">
      <c r="AN626" t="s">
        <v>42</v>
      </c>
      <c r="AO626" t="s">
        <v>26</v>
      </c>
      <c r="AP626">
        <v>2007</v>
      </c>
      <c r="AQ626" t="s">
        <v>36</v>
      </c>
      <c r="AR626" t="s">
        <v>330</v>
      </c>
      <c r="AS626" t="s">
        <v>305</v>
      </c>
      <c r="AT626" t="s">
        <v>242</v>
      </c>
      <c r="AU626" t="s">
        <v>308</v>
      </c>
      <c r="AV626">
        <v>1.8</v>
      </c>
    </row>
    <row r="627" spans="40:48" x14ac:dyDescent="0.25">
      <c r="AN627" t="s">
        <v>42</v>
      </c>
      <c r="AO627" t="s">
        <v>26</v>
      </c>
      <c r="AP627">
        <v>2007</v>
      </c>
      <c r="AQ627" t="s">
        <v>36</v>
      </c>
      <c r="AR627" t="s">
        <v>330</v>
      </c>
      <c r="AS627" t="s">
        <v>305</v>
      </c>
      <c r="AT627" t="s">
        <v>242</v>
      </c>
      <c r="AU627" t="s">
        <v>309</v>
      </c>
      <c r="AV627">
        <v>8.4</v>
      </c>
    </row>
    <row r="628" spans="40:48" x14ac:dyDescent="0.25">
      <c r="AN628" t="s">
        <v>42</v>
      </c>
      <c r="AO628" t="s">
        <v>26</v>
      </c>
      <c r="AP628">
        <v>2007</v>
      </c>
      <c r="AQ628" t="s">
        <v>36</v>
      </c>
      <c r="AR628" t="s">
        <v>330</v>
      </c>
      <c r="AS628" t="s">
        <v>305</v>
      </c>
      <c r="AT628" t="s">
        <v>242</v>
      </c>
      <c r="AU628" t="s">
        <v>268</v>
      </c>
      <c r="AV628">
        <v>10.199999999999999</v>
      </c>
    </row>
    <row r="629" spans="40:48" x14ac:dyDescent="0.25">
      <c r="AN629" t="s">
        <v>42</v>
      </c>
      <c r="AO629" t="s">
        <v>26</v>
      </c>
      <c r="AP629">
        <v>2007</v>
      </c>
      <c r="AQ629" t="s">
        <v>36</v>
      </c>
      <c r="AR629" t="s">
        <v>330</v>
      </c>
      <c r="AS629" t="s">
        <v>305</v>
      </c>
      <c r="AT629" t="s">
        <v>243</v>
      </c>
      <c r="AU629" t="s">
        <v>326</v>
      </c>
      <c r="AV629">
        <v>16.5</v>
      </c>
    </row>
    <row r="630" spans="40:48" x14ac:dyDescent="0.25">
      <c r="AN630" t="s">
        <v>42</v>
      </c>
      <c r="AO630" t="s">
        <v>26</v>
      </c>
      <c r="AP630">
        <v>2007</v>
      </c>
      <c r="AQ630" t="s">
        <v>36</v>
      </c>
      <c r="AR630" t="s">
        <v>330</v>
      </c>
      <c r="AS630" t="s">
        <v>305</v>
      </c>
      <c r="AT630" t="s">
        <v>243</v>
      </c>
      <c r="AU630" t="s">
        <v>327</v>
      </c>
      <c r="AV630">
        <v>47.5</v>
      </c>
    </row>
    <row r="631" spans="40:48" x14ac:dyDescent="0.25">
      <c r="AN631" t="s">
        <v>42</v>
      </c>
      <c r="AO631" t="s">
        <v>26</v>
      </c>
      <c r="AP631">
        <v>2007</v>
      </c>
      <c r="AQ631" t="s">
        <v>36</v>
      </c>
      <c r="AR631" t="s">
        <v>330</v>
      </c>
      <c r="AS631" t="s">
        <v>305</v>
      </c>
      <c r="AT631" t="s">
        <v>243</v>
      </c>
      <c r="AU631" t="s">
        <v>329</v>
      </c>
      <c r="AV631">
        <v>64</v>
      </c>
    </row>
    <row r="632" spans="40:48" x14ac:dyDescent="0.25">
      <c r="AN632" t="s">
        <v>37</v>
      </c>
      <c r="AO632" t="s">
        <v>26</v>
      </c>
      <c r="AP632">
        <v>2006</v>
      </c>
      <c r="AQ632" t="s">
        <v>39</v>
      </c>
      <c r="AR632" t="s">
        <v>330</v>
      </c>
      <c r="AS632" t="s">
        <v>305</v>
      </c>
      <c r="AT632" t="s">
        <v>218</v>
      </c>
      <c r="AU632" t="s">
        <v>308</v>
      </c>
      <c r="AV632">
        <v>3.3</v>
      </c>
    </row>
    <row r="633" spans="40:48" x14ac:dyDescent="0.25">
      <c r="AN633" t="s">
        <v>37</v>
      </c>
      <c r="AO633" t="s">
        <v>26</v>
      </c>
      <c r="AP633">
        <v>2006</v>
      </c>
      <c r="AQ633" t="s">
        <v>39</v>
      </c>
      <c r="AR633" t="s">
        <v>330</v>
      </c>
      <c r="AS633" t="s">
        <v>305</v>
      </c>
      <c r="AT633" t="s">
        <v>218</v>
      </c>
      <c r="AU633" t="s">
        <v>309</v>
      </c>
      <c r="AV633">
        <v>7.25</v>
      </c>
    </row>
    <row r="634" spans="40:48" x14ac:dyDescent="0.25">
      <c r="AN634" t="s">
        <v>37</v>
      </c>
      <c r="AO634" t="s">
        <v>26</v>
      </c>
      <c r="AP634">
        <v>2006</v>
      </c>
      <c r="AQ634" t="s">
        <v>39</v>
      </c>
      <c r="AR634" t="s">
        <v>330</v>
      </c>
      <c r="AS634" t="s">
        <v>305</v>
      </c>
      <c r="AT634" t="s">
        <v>218</v>
      </c>
      <c r="AU634" t="s">
        <v>268</v>
      </c>
      <c r="AV634">
        <v>10.55</v>
      </c>
    </row>
    <row r="635" spans="40:48" x14ac:dyDescent="0.25">
      <c r="AN635" t="s">
        <v>37</v>
      </c>
      <c r="AO635" t="s">
        <v>26</v>
      </c>
      <c r="AP635">
        <v>2006</v>
      </c>
      <c r="AQ635" t="s">
        <v>39</v>
      </c>
      <c r="AR635" t="s">
        <v>330</v>
      </c>
      <c r="AS635" t="s">
        <v>305</v>
      </c>
      <c r="AT635" t="s">
        <v>238</v>
      </c>
      <c r="AU635" t="s">
        <v>308</v>
      </c>
      <c r="AV635">
        <v>3.6</v>
      </c>
    </row>
    <row r="636" spans="40:48" x14ac:dyDescent="0.25">
      <c r="AN636" t="s">
        <v>37</v>
      </c>
      <c r="AO636" t="s">
        <v>26</v>
      </c>
      <c r="AP636">
        <v>2006</v>
      </c>
      <c r="AQ636" t="s">
        <v>39</v>
      </c>
      <c r="AR636" t="s">
        <v>330</v>
      </c>
      <c r="AS636" t="s">
        <v>305</v>
      </c>
      <c r="AT636" t="s">
        <v>238</v>
      </c>
      <c r="AU636" t="s">
        <v>309</v>
      </c>
      <c r="AV636">
        <v>7.45</v>
      </c>
    </row>
    <row r="637" spans="40:48" x14ac:dyDescent="0.25">
      <c r="AN637" t="s">
        <v>37</v>
      </c>
      <c r="AO637" t="s">
        <v>26</v>
      </c>
      <c r="AP637">
        <v>2006</v>
      </c>
      <c r="AQ637" t="s">
        <v>39</v>
      </c>
      <c r="AR637" t="s">
        <v>330</v>
      </c>
      <c r="AS637" t="s">
        <v>305</v>
      </c>
      <c r="AT637" t="s">
        <v>238</v>
      </c>
      <c r="AU637" t="s">
        <v>268</v>
      </c>
      <c r="AV637">
        <v>11.05</v>
      </c>
    </row>
    <row r="638" spans="40:48" x14ac:dyDescent="0.25">
      <c r="AN638" t="s">
        <v>37</v>
      </c>
      <c r="AO638" t="s">
        <v>26</v>
      </c>
      <c r="AP638">
        <v>2006</v>
      </c>
      <c r="AQ638" t="s">
        <v>39</v>
      </c>
      <c r="AR638" t="s">
        <v>330</v>
      </c>
      <c r="AS638" t="s">
        <v>305</v>
      </c>
      <c r="AT638" t="s">
        <v>239</v>
      </c>
      <c r="AU638" t="s">
        <v>308</v>
      </c>
      <c r="AV638">
        <v>2.2999999999999998</v>
      </c>
    </row>
    <row r="639" spans="40:48" x14ac:dyDescent="0.25">
      <c r="AN639" t="s">
        <v>37</v>
      </c>
      <c r="AO639" t="s">
        <v>26</v>
      </c>
      <c r="AP639">
        <v>2006</v>
      </c>
      <c r="AQ639" t="s">
        <v>39</v>
      </c>
      <c r="AR639" t="s">
        <v>330</v>
      </c>
      <c r="AS639" t="s">
        <v>305</v>
      </c>
      <c r="AT639" t="s">
        <v>239</v>
      </c>
      <c r="AU639" t="s">
        <v>309</v>
      </c>
      <c r="AV639">
        <v>6.85</v>
      </c>
    </row>
    <row r="640" spans="40:48" x14ac:dyDescent="0.25">
      <c r="AN640" t="s">
        <v>37</v>
      </c>
      <c r="AO640" t="s">
        <v>26</v>
      </c>
      <c r="AP640">
        <v>2006</v>
      </c>
      <c r="AQ640" t="s">
        <v>39</v>
      </c>
      <c r="AR640" t="s">
        <v>330</v>
      </c>
      <c r="AS640" t="s">
        <v>305</v>
      </c>
      <c r="AT640" t="s">
        <v>239</v>
      </c>
      <c r="AU640" t="s">
        <v>268</v>
      </c>
      <c r="AV640">
        <v>9.15</v>
      </c>
    </row>
    <row r="641" spans="40:48" x14ac:dyDescent="0.25">
      <c r="AN641" t="s">
        <v>37</v>
      </c>
      <c r="AO641" t="s">
        <v>26</v>
      </c>
      <c r="AP641">
        <v>2006</v>
      </c>
      <c r="AQ641" t="s">
        <v>39</v>
      </c>
      <c r="AR641" t="s">
        <v>330</v>
      </c>
      <c r="AS641" t="s">
        <v>305</v>
      </c>
      <c r="AT641" t="s">
        <v>240</v>
      </c>
      <c r="AU641" t="s">
        <v>308</v>
      </c>
      <c r="AV641">
        <v>2.4</v>
      </c>
    </row>
    <row r="642" spans="40:48" x14ac:dyDescent="0.25">
      <c r="AN642" t="s">
        <v>37</v>
      </c>
      <c r="AO642" t="s">
        <v>26</v>
      </c>
      <c r="AP642">
        <v>2006</v>
      </c>
      <c r="AQ642" t="s">
        <v>39</v>
      </c>
      <c r="AR642" t="s">
        <v>330</v>
      </c>
      <c r="AS642" t="s">
        <v>305</v>
      </c>
      <c r="AT642" t="s">
        <v>240</v>
      </c>
      <c r="AU642" t="s">
        <v>309</v>
      </c>
      <c r="AV642">
        <v>8.3000000000000007</v>
      </c>
    </row>
    <row r="643" spans="40:48" x14ac:dyDescent="0.25">
      <c r="AN643" t="s">
        <v>37</v>
      </c>
      <c r="AO643" t="s">
        <v>26</v>
      </c>
      <c r="AP643">
        <v>2006</v>
      </c>
      <c r="AQ643" t="s">
        <v>39</v>
      </c>
      <c r="AR643" t="s">
        <v>330</v>
      </c>
      <c r="AS643" t="s">
        <v>305</v>
      </c>
      <c r="AT643" t="s">
        <v>240</v>
      </c>
      <c r="AU643" t="s">
        <v>268</v>
      </c>
      <c r="AV643">
        <v>10.7</v>
      </c>
    </row>
    <row r="644" spans="40:48" x14ac:dyDescent="0.25">
      <c r="AN644" t="s">
        <v>37</v>
      </c>
      <c r="AO644" t="s">
        <v>26</v>
      </c>
      <c r="AP644">
        <v>2006</v>
      </c>
      <c r="AQ644" t="s">
        <v>39</v>
      </c>
      <c r="AR644" t="s">
        <v>330</v>
      </c>
      <c r="AS644" t="s">
        <v>305</v>
      </c>
      <c r="AT644" t="s">
        <v>314</v>
      </c>
      <c r="AU644" t="s">
        <v>308</v>
      </c>
      <c r="AV644">
        <v>3.1</v>
      </c>
    </row>
    <row r="645" spans="40:48" x14ac:dyDescent="0.25">
      <c r="AN645" t="s">
        <v>37</v>
      </c>
      <c r="AO645" t="s">
        <v>26</v>
      </c>
      <c r="AP645">
        <v>2006</v>
      </c>
      <c r="AQ645" t="s">
        <v>39</v>
      </c>
      <c r="AR645" t="s">
        <v>330</v>
      </c>
      <c r="AS645" t="s">
        <v>305</v>
      </c>
      <c r="AT645" t="s">
        <v>314</v>
      </c>
      <c r="AU645" t="s">
        <v>309</v>
      </c>
      <c r="AV645">
        <v>8.4</v>
      </c>
    </row>
    <row r="646" spans="40:48" x14ac:dyDescent="0.25">
      <c r="AN646" t="s">
        <v>37</v>
      </c>
      <c r="AO646" t="s">
        <v>26</v>
      </c>
      <c r="AP646">
        <v>2006</v>
      </c>
      <c r="AQ646" t="s">
        <v>39</v>
      </c>
      <c r="AR646" t="s">
        <v>330</v>
      </c>
      <c r="AS646" t="s">
        <v>305</v>
      </c>
      <c r="AT646" t="s">
        <v>314</v>
      </c>
      <c r="AU646" t="s">
        <v>268</v>
      </c>
      <c r="AV646">
        <v>11.5</v>
      </c>
    </row>
    <row r="647" spans="40:48" x14ac:dyDescent="0.25">
      <c r="AN647" t="s">
        <v>37</v>
      </c>
      <c r="AO647" t="s">
        <v>26</v>
      </c>
      <c r="AP647">
        <v>2006</v>
      </c>
      <c r="AQ647" t="s">
        <v>39</v>
      </c>
      <c r="AR647" t="s">
        <v>330</v>
      </c>
      <c r="AS647" t="s">
        <v>305</v>
      </c>
      <c r="AT647" t="s">
        <v>242</v>
      </c>
      <c r="AU647" t="s">
        <v>308</v>
      </c>
      <c r="AV647">
        <v>3.1</v>
      </c>
    </row>
    <row r="648" spans="40:48" x14ac:dyDescent="0.25">
      <c r="AN648" t="s">
        <v>37</v>
      </c>
      <c r="AO648" t="s">
        <v>26</v>
      </c>
      <c r="AP648">
        <v>2006</v>
      </c>
      <c r="AQ648" t="s">
        <v>39</v>
      </c>
      <c r="AR648" t="s">
        <v>330</v>
      </c>
      <c r="AS648" t="s">
        <v>305</v>
      </c>
      <c r="AT648" t="s">
        <v>242</v>
      </c>
      <c r="AU648" t="s">
        <v>309</v>
      </c>
      <c r="AV648">
        <v>7.65</v>
      </c>
    </row>
    <row r="649" spans="40:48" x14ac:dyDescent="0.25">
      <c r="AN649" t="s">
        <v>37</v>
      </c>
      <c r="AO649" t="s">
        <v>26</v>
      </c>
      <c r="AP649">
        <v>2006</v>
      </c>
      <c r="AQ649" t="s">
        <v>39</v>
      </c>
      <c r="AR649" t="s">
        <v>330</v>
      </c>
      <c r="AS649" t="s">
        <v>305</v>
      </c>
      <c r="AT649" t="s">
        <v>242</v>
      </c>
      <c r="AU649" t="s">
        <v>268</v>
      </c>
      <c r="AV649">
        <v>10.75</v>
      </c>
    </row>
    <row r="650" spans="40:48" x14ac:dyDescent="0.25">
      <c r="AN650" t="s">
        <v>37</v>
      </c>
      <c r="AO650" t="s">
        <v>26</v>
      </c>
      <c r="AP650">
        <v>2006</v>
      </c>
      <c r="AQ650" t="s">
        <v>39</v>
      </c>
      <c r="AR650" t="s">
        <v>330</v>
      </c>
      <c r="AS650" t="s">
        <v>305</v>
      </c>
      <c r="AT650" t="s">
        <v>243</v>
      </c>
      <c r="AU650" t="s">
        <v>326</v>
      </c>
      <c r="AV650">
        <v>17.8</v>
      </c>
    </row>
    <row r="651" spans="40:48" x14ac:dyDescent="0.25">
      <c r="AN651" t="s">
        <v>37</v>
      </c>
      <c r="AO651" t="s">
        <v>26</v>
      </c>
      <c r="AP651">
        <v>2006</v>
      </c>
      <c r="AQ651" t="s">
        <v>39</v>
      </c>
      <c r="AR651" t="s">
        <v>330</v>
      </c>
      <c r="AS651" t="s">
        <v>305</v>
      </c>
      <c r="AT651" t="s">
        <v>243</v>
      </c>
      <c r="AU651" t="s">
        <v>327</v>
      </c>
      <c r="AV651">
        <v>45.9</v>
      </c>
    </row>
    <row r="652" spans="40:48" x14ac:dyDescent="0.25">
      <c r="AN652" t="s">
        <v>37</v>
      </c>
      <c r="AO652" t="s">
        <v>26</v>
      </c>
      <c r="AP652">
        <v>2006</v>
      </c>
      <c r="AQ652" t="s">
        <v>39</v>
      </c>
      <c r="AR652" t="s">
        <v>330</v>
      </c>
      <c r="AS652" t="s">
        <v>305</v>
      </c>
      <c r="AT652" t="s">
        <v>243</v>
      </c>
      <c r="AU652" t="s">
        <v>329</v>
      </c>
      <c r="AV652">
        <v>63.7</v>
      </c>
    </row>
    <row r="653" spans="40:48" x14ac:dyDescent="0.25">
      <c r="AN653" t="s">
        <v>48</v>
      </c>
      <c r="AO653" t="s">
        <v>26</v>
      </c>
      <c r="AP653">
        <v>2006</v>
      </c>
      <c r="AQ653" t="s">
        <v>36</v>
      </c>
      <c r="AR653" t="s">
        <v>330</v>
      </c>
      <c r="AS653" t="s">
        <v>305</v>
      </c>
      <c r="AT653" t="s">
        <v>218</v>
      </c>
      <c r="AU653" t="s">
        <v>308</v>
      </c>
      <c r="AV653">
        <v>3.5</v>
      </c>
    </row>
    <row r="654" spans="40:48" x14ac:dyDescent="0.25">
      <c r="AN654" t="s">
        <v>48</v>
      </c>
      <c r="AO654" t="s">
        <v>26</v>
      </c>
      <c r="AP654">
        <v>2006</v>
      </c>
      <c r="AQ654" t="s">
        <v>36</v>
      </c>
      <c r="AR654" t="s">
        <v>330</v>
      </c>
      <c r="AS654" t="s">
        <v>305</v>
      </c>
      <c r="AT654" t="s">
        <v>218</v>
      </c>
      <c r="AU654" t="s">
        <v>309</v>
      </c>
      <c r="AV654">
        <v>7.65</v>
      </c>
    </row>
    <row r="655" spans="40:48" x14ac:dyDescent="0.25">
      <c r="AN655" t="s">
        <v>48</v>
      </c>
      <c r="AO655" t="s">
        <v>26</v>
      </c>
      <c r="AP655">
        <v>2006</v>
      </c>
      <c r="AQ655" t="s">
        <v>36</v>
      </c>
      <c r="AR655" t="s">
        <v>330</v>
      </c>
      <c r="AS655" t="s">
        <v>305</v>
      </c>
      <c r="AT655" t="s">
        <v>218</v>
      </c>
      <c r="AU655" t="s">
        <v>268</v>
      </c>
      <c r="AV655">
        <v>11.15</v>
      </c>
    </row>
    <row r="656" spans="40:48" x14ac:dyDescent="0.25">
      <c r="AN656" t="s">
        <v>48</v>
      </c>
      <c r="AO656" t="s">
        <v>26</v>
      </c>
      <c r="AP656">
        <v>2006</v>
      </c>
      <c r="AQ656" t="s">
        <v>36</v>
      </c>
      <c r="AR656" t="s">
        <v>330</v>
      </c>
      <c r="AS656" t="s">
        <v>305</v>
      </c>
      <c r="AT656" t="s">
        <v>238</v>
      </c>
      <c r="AU656" t="s">
        <v>308</v>
      </c>
      <c r="AV656">
        <v>2.2000000000000002</v>
      </c>
    </row>
    <row r="657" spans="40:48" x14ac:dyDescent="0.25">
      <c r="AN657" t="s">
        <v>48</v>
      </c>
      <c r="AO657" t="s">
        <v>26</v>
      </c>
      <c r="AP657">
        <v>2006</v>
      </c>
      <c r="AQ657" t="s">
        <v>36</v>
      </c>
      <c r="AR657" t="s">
        <v>330</v>
      </c>
      <c r="AS657" t="s">
        <v>305</v>
      </c>
      <c r="AT657" t="s">
        <v>238</v>
      </c>
      <c r="AU657" t="s">
        <v>309</v>
      </c>
      <c r="AV657">
        <v>4.95</v>
      </c>
    </row>
    <row r="658" spans="40:48" x14ac:dyDescent="0.25">
      <c r="AN658" t="s">
        <v>48</v>
      </c>
      <c r="AO658" t="s">
        <v>26</v>
      </c>
      <c r="AP658">
        <v>2006</v>
      </c>
      <c r="AQ658" t="s">
        <v>36</v>
      </c>
      <c r="AR658" t="s">
        <v>330</v>
      </c>
      <c r="AS658" t="s">
        <v>305</v>
      </c>
      <c r="AT658" t="s">
        <v>238</v>
      </c>
      <c r="AU658" t="s">
        <v>268</v>
      </c>
      <c r="AV658">
        <v>7.15</v>
      </c>
    </row>
    <row r="659" spans="40:48" x14ac:dyDescent="0.25">
      <c r="AN659" t="s">
        <v>48</v>
      </c>
      <c r="AO659" t="s">
        <v>26</v>
      </c>
      <c r="AP659">
        <v>2006</v>
      </c>
      <c r="AQ659" t="s">
        <v>36</v>
      </c>
      <c r="AR659" t="s">
        <v>330</v>
      </c>
      <c r="AS659" t="s">
        <v>305</v>
      </c>
      <c r="AT659" t="s">
        <v>239</v>
      </c>
      <c r="AU659" t="s">
        <v>308</v>
      </c>
      <c r="AV659">
        <v>2.5</v>
      </c>
    </row>
    <row r="660" spans="40:48" x14ac:dyDescent="0.25">
      <c r="AN660" t="s">
        <v>48</v>
      </c>
      <c r="AO660" t="s">
        <v>26</v>
      </c>
      <c r="AP660">
        <v>2006</v>
      </c>
      <c r="AQ660" t="s">
        <v>36</v>
      </c>
      <c r="AR660" t="s">
        <v>330</v>
      </c>
      <c r="AS660" t="s">
        <v>305</v>
      </c>
      <c r="AT660" t="s">
        <v>239</v>
      </c>
      <c r="AU660" t="s">
        <v>309</v>
      </c>
      <c r="AV660">
        <v>6.65</v>
      </c>
    </row>
    <row r="661" spans="40:48" x14ac:dyDescent="0.25">
      <c r="AN661" t="s">
        <v>48</v>
      </c>
      <c r="AO661" t="s">
        <v>26</v>
      </c>
      <c r="AP661">
        <v>2006</v>
      </c>
      <c r="AQ661" t="s">
        <v>36</v>
      </c>
      <c r="AR661" t="s">
        <v>330</v>
      </c>
      <c r="AS661" t="s">
        <v>305</v>
      </c>
      <c r="AT661" t="s">
        <v>239</v>
      </c>
      <c r="AU661" t="s">
        <v>268</v>
      </c>
      <c r="AV661">
        <v>9.15</v>
      </c>
    </row>
    <row r="662" spans="40:48" x14ac:dyDescent="0.25">
      <c r="AN662" t="s">
        <v>48</v>
      </c>
      <c r="AO662" t="s">
        <v>26</v>
      </c>
      <c r="AP662">
        <v>2006</v>
      </c>
      <c r="AQ662" t="s">
        <v>36</v>
      </c>
      <c r="AR662" t="s">
        <v>330</v>
      </c>
      <c r="AS662" t="s">
        <v>305</v>
      </c>
      <c r="AT662" t="s">
        <v>240</v>
      </c>
      <c r="AU662" t="s">
        <v>308</v>
      </c>
      <c r="AV662">
        <v>2.4</v>
      </c>
    </row>
    <row r="663" spans="40:48" x14ac:dyDescent="0.25">
      <c r="AN663" t="s">
        <v>48</v>
      </c>
      <c r="AO663" t="s">
        <v>26</v>
      </c>
      <c r="AP663">
        <v>2006</v>
      </c>
      <c r="AQ663" t="s">
        <v>36</v>
      </c>
      <c r="AR663" t="s">
        <v>330</v>
      </c>
      <c r="AS663" t="s">
        <v>305</v>
      </c>
      <c r="AT663" t="s">
        <v>240</v>
      </c>
      <c r="AU663" t="s">
        <v>309</v>
      </c>
      <c r="AV663">
        <v>8.85</v>
      </c>
    </row>
    <row r="664" spans="40:48" x14ac:dyDescent="0.25">
      <c r="AN664" t="s">
        <v>48</v>
      </c>
      <c r="AO664" t="s">
        <v>26</v>
      </c>
      <c r="AP664">
        <v>2006</v>
      </c>
      <c r="AQ664" t="s">
        <v>36</v>
      </c>
      <c r="AR664" t="s">
        <v>330</v>
      </c>
      <c r="AS664" t="s">
        <v>305</v>
      </c>
      <c r="AT664" t="s">
        <v>240</v>
      </c>
      <c r="AU664" t="s">
        <v>268</v>
      </c>
      <c r="AV664">
        <v>11.25</v>
      </c>
    </row>
    <row r="665" spans="40:48" x14ac:dyDescent="0.25">
      <c r="AN665" t="s">
        <v>48</v>
      </c>
      <c r="AO665" t="s">
        <v>26</v>
      </c>
      <c r="AP665">
        <v>2006</v>
      </c>
      <c r="AQ665" t="s">
        <v>36</v>
      </c>
      <c r="AR665" t="s">
        <v>330</v>
      </c>
      <c r="AS665" t="s">
        <v>305</v>
      </c>
      <c r="AT665" t="s">
        <v>314</v>
      </c>
      <c r="AU665" t="s">
        <v>308</v>
      </c>
      <c r="AV665">
        <v>3.1</v>
      </c>
    </row>
    <row r="666" spans="40:48" x14ac:dyDescent="0.25">
      <c r="AN666" t="s">
        <v>48</v>
      </c>
      <c r="AO666" t="s">
        <v>26</v>
      </c>
      <c r="AP666">
        <v>2006</v>
      </c>
      <c r="AQ666" t="s">
        <v>36</v>
      </c>
      <c r="AR666" t="s">
        <v>330</v>
      </c>
      <c r="AS666" t="s">
        <v>305</v>
      </c>
      <c r="AT666" t="s">
        <v>314</v>
      </c>
      <c r="AU666" t="s">
        <v>309</v>
      </c>
      <c r="AV666">
        <v>7.45</v>
      </c>
    </row>
    <row r="667" spans="40:48" x14ac:dyDescent="0.25">
      <c r="AN667" t="s">
        <v>48</v>
      </c>
      <c r="AO667" t="s">
        <v>26</v>
      </c>
      <c r="AP667">
        <v>2006</v>
      </c>
      <c r="AQ667" t="s">
        <v>36</v>
      </c>
      <c r="AR667" t="s">
        <v>330</v>
      </c>
      <c r="AS667" t="s">
        <v>305</v>
      </c>
      <c r="AT667" t="s">
        <v>314</v>
      </c>
      <c r="AU667" t="s">
        <v>268</v>
      </c>
      <c r="AV667">
        <v>10.55</v>
      </c>
    </row>
    <row r="668" spans="40:48" x14ac:dyDescent="0.25">
      <c r="AN668" t="s">
        <v>48</v>
      </c>
      <c r="AO668" t="s">
        <v>26</v>
      </c>
      <c r="AP668">
        <v>2006</v>
      </c>
      <c r="AQ668" t="s">
        <v>36</v>
      </c>
      <c r="AR668" t="s">
        <v>330</v>
      </c>
      <c r="AS668" t="s">
        <v>305</v>
      </c>
      <c r="AT668" t="s">
        <v>242</v>
      </c>
      <c r="AU668" t="s">
        <v>308</v>
      </c>
      <c r="AV668">
        <v>1.9</v>
      </c>
    </row>
    <row r="669" spans="40:48" x14ac:dyDescent="0.25">
      <c r="AN669" t="s">
        <v>48</v>
      </c>
      <c r="AO669" t="s">
        <v>26</v>
      </c>
      <c r="AP669">
        <v>2006</v>
      </c>
      <c r="AQ669" t="s">
        <v>36</v>
      </c>
      <c r="AR669" t="s">
        <v>330</v>
      </c>
      <c r="AS669" t="s">
        <v>305</v>
      </c>
      <c r="AT669" t="s">
        <v>242</v>
      </c>
      <c r="AU669" t="s">
        <v>309</v>
      </c>
      <c r="AV669">
        <v>8.6</v>
      </c>
    </row>
    <row r="670" spans="40:48" x14ac:dyDescent="0.25">
      <c r="AN670" t="s">
        <v>48</v>
      </c>
      <c r="AO670" t="s">
        <v>26</v>
      </c>
      <c r="AP670">
        <v>2006</v>
      </c>
      <c r="AQ670" t="s">
        <v>36</v>
      </c>
      <c r="AR670" t="s">
        <v>330</v>
      </c>
      <c r="AS670" t="s">
        <v>305</v>
      </c>
      <c r="AT670" t="s">
        <v>242</v>
      </c>
      <c r="AU670" t="s">
        <v>268</v>
      </c>
      <c r="AV670">
        <v>10.5</v>
      </c>
    </row>
    <row r="671" spans="40:48" x14ac:dyDescent="0.25">
      <c r="AN671" t="s">
        <v>48</v>
      </c>
      <c r="AO671" t="s">
        <v>26</v>
      </c>
      <c r="AP671">
        <v>2006</v>
      </c>
      <c r="AQ671" t="s">
        <v>36</v>
      </c>
      <c r="AR671" t="s">
        <v>330</v>
      </c>
      <c r="AS671" t="s">
        <v>305</v>
      </c>
      <c r="AT671" t="s">
        <v>243</v>
      </c>
      <c r="AU671" t="s">
        <v>326</v>
      </c>
      <c r="AV671">
        <v>15.6</v>
      </c>
    </row>
    <row r="672" spans="40:48" x14ac:dyDescent="0.25">
      <c r="AN672" t="s">
        <v>48</v>
      </c>
      <c r="AO672" t="s">
        <v>26</v>
      </c>
      <c r="AP672">
        <v>2006</v>
      </c>
      <c r="AQ672" t="s">
        <v>36</v>
      </c>
      <c r="AR672" t="s">
        <v>330</v>
      </c>
      <c r="AS672" t="s">
        <v>305</v>
      </c>
      <c r="AT672" t="s">
        <v>243</v>
      </c>
      <c r="AU672" t="s">
        <v>327</v>
      </c>
      <c r="AV672">
        <v>44.150000000000006</v>
      </c>
    </row>
    <row r="673" spans="40:48" x14ac:dyDescent="0.25">
      <c r="AN673" t="s">
        <v>48</v>
      </c>
      <c r="AO673" t="s">
        <v>26</v>
      </c>
      <c r="AP673">
        <v>2006</v>
      </c>
      <c r="AQ673" t="s">
        <v>36</v>
      </c>
      <c r="AR673" t="s">
        <v>330</v>
      </c>
      <c r="AS673" t="s">
        <v>305</v>
      </c>
      <c r="AT673" t="s">
        <v>243</v>
      </c>
      <c r="AU673" t="s">
        <v>329</v>
      </c>
      <c r="AV673">
        <v>59.75</v>
      </c>
    </row>
    <row r="674" spans="40:48" x14ac:dyDescent="0.25">
      <c r="AN674" t="s">
        <v>46</v>
      </c>
      <c r="AO674" t="s">
        <v>26</v>
      </c>
      <c r="AP674">
        <v>2006</v>
      </c>
      <c r="AQ674" t="s">
        <v>36</v>
      </c>
      <c r="AR674" t="s">
        <v>330</v>
      </c>
      <c r="AS674" t="s">
        <v>305</v>
      </c>
      <c r="AT674" t="s">
        <v>218</v>
      </c>
      <c r="AU674" t="s">
        <v>308</v>
      </c>
      <c r="AV674">
        <v>3.1</v>
      </c>
    </row>
    <row r="675" spans="40:48" x14ac:dyDescent="0.25">
      <c r="AN675" t="s">
        <v>46</v>
      </c>
      <c r="AO675" t="s">
        <v>26</v>
      </c>
      <c r="AP675">
        <v>2006</v>
      </c>
      <c r="AQ675" t="s">
        <v>36</v>
      </c>
      <c r="AR675" t="s">
        <v>330</v>
      </c>
      <c r="AS675" t="s">
        <v>305</v>
      </c>
      <c r="AT675" t="s">
        <v>218</v>
      </c>
      <c r="AU675" t="s">
        <v>309</v>
      </c>
      <c r="AV675">
        <v>7.7</v>
      </c>
    </row>
    <row r="676" spans="40:48" x14ac:dyDescent="0.25">
      <c r="AN676" t="s">
        <v>46</v>
      </c>
      <c r="AO676" t="s">
        <v>26</v>
      </c>
      <c r="AP676">
        <v>2006</v>
      </c>
      <c r="AQ676" t="s">
        <v>36</v>
      </c>
      <c r="AR676" t="s">
        <v>330</v>
      </c>
      <c r="AS676" t="s">
        <v>305</v>
      </c>
      <c r="AT676" t="s">
        <v>218</v>
      </c>
      <c r="AU676" t="s">
        <v>268</v>
      </c>
      <c r="AV676">
        <v>10.8</v>
      </c>
    </row>
    <row r="677" spans="40:48" x14ac:dyDescent="0.25">
      <c r="AN677" t="s">
        <v>46</v>
      </c>
      <c r="AO677" t="s">
        <v>26</v>
      </c>
      <c r="AP677">
        <v>2006</v>
      </c>
      <c r="AQ677" t="s">
        <v>36</v>
      </c>
      <c r="AR677" t="s">
        <v>330</v>
      </c>
      <c r="AS677" t="s">
        <v>305</v>
      </c>
      <c r="AT677" t="s">
        <v>238</v>
      </c>
      <c r="AU677" t="s">
        <v>308</v>
      </c>
      <c r="AV677">
        <v>2.2000000000000002</v>
      </c>
    </row>
    <row r="678" spans="40:48" x14ac:dyDescent="0.25">
      <c r="AN678" t="s">
        <v>46</v>
      </c>
      <c r="AO678" t="s">
        <v>26</v>
      </c>
      <c r="AP678">
        <v>2006</v>
      </c>
      <c r="AQ678" t="s">
        <v>36</v>
      </c>
      <c r="AR678" t="s">
        <v>330</v>
      </c>
      <c r="AS678" t="s">
        <v>305</v>
      </c>
      <c r="AT678" t="s">
        <v>238</v>
      </c>
      <c r="AU678" t="s">
        <v>309</v>
      </c>
      <c r="AV678">
        <v>2.75</v>
      </c>
    </row>
    <row r="679" spans="40:48" x14ac:dyDescent="0.25">
      <c r="AN679" t="s">
        <v>46</v>
      </c>
      <c r="AO679" t="s">
        <v>26</v>
      </c>
      <c r="AP679">
        <v>2006</v>
      </c>
      <c r="AQ679" t="s">
        <v>36</v>
      </c>
      <c r="AR679" t="s">
        <v>330</v>
      </c>
      <c r="AS679" t="s">
        <v>305</v>
      </c>
      <c r="AT679" t="s">
        <v>238</v>
      </c>
      <c r="AU679" t="s">
        <v>268</v>
      </c>
      <c r="AV679">
        <v>4.95</v>
      </c>
    </row>
    <row r="680" spans="40:48" x14ac:dyDescent="0.25">
      <c r="AN680" t="s">
        <v>46</v>
      </c>
      <c r="AO680" t="s">
        <v>26</v>
      </c>
      <c r="AP680">
        <v>2006</v>
      </c>
      <c r="AQ680" t="s">
        <v>36</v>
      </c>
      <c r="AR680" t="s">
        <v>330</v>
      </c>
      <c r="AS680" t="s">
        <v>305</v>
      </c>
      <c r="AT680" t="s">
        <v>239</v>
      </c>
      <c r="AU680" t="s">
        <v>308</v>
      </c>
      <c r="AV680">
        <v>2.1</v>
      </c>
    </row>
    <row r="681" spans="40:48" x14ac:dyDescent="0.25">
      <c r="AN681" t="s">
        <v>46</v>
      </c>
      <c r="AO681" t="s">
        <v>26</v>
      </c>
      <c r="AP681">
        <v>2006</v>
      </c>
      <c r="AQ681" t="s">
        <v>36</v>
      </c>
      <c r="AR681" t="s">
        <v>330</v>
      </c>
      <c r="AS681" t="s">
        <v>305</v>
      </c>
      <c r="AT681" t="s">
        <v>239</v>
      </c>
      <c r="AU681" t="s">
        <v>309</v>
      </c>
      <c r="AV681">
        <v>6.65</v>
      </c>
    </row>
    <row r="682" spans="40:48" x14ac:dyDescent="0.25">
      <c r="AN682" t="s">
        <v>46</v>
      </c>
      <c r="AO682" t="s">
        <v>26</v>
      </c>
      <c r="AP682">
        <v>2006</v>
      </c>
      <c r="AQ682" t="s">
        <v>36</v>
      </c>
      <c r="AR682" t="s">
        <v>330</v>
      </c>
      <c r="AS682" t="s">
        <v>305</v>
      </c>
      <c r="AT682" t="s">
        <v>239</v>
      </c>
      <c r="AU682" t="s">
        <v>268</v>
      </c>
      <c r="AV682">
        <v>8.75</v>
      </c>
    </row>
    <row r="683" spans="40:48" x14ac:dyDescent="0.25">
      <c r="AN683" t="s">
        <v>46</v>
      </c>
      <c r="AO683" t="s">
        <v>26</v>
      </c>
      <c r="AP683">
        <v>2006</v>
      </c>
      <c r="AQ683" t="s">
        <v>36</v>
      </c>
      <c r="AR683" t="s">
        <v>330</v>
      </c>
      <c r="AS683" t="s">
        <v>305</v>
      </c>
      <c r="AT683" t="s">
        <v>240</v>
      </c>
      <c r="AU683" t="s">
        <v>308</v>
      </c>
      <c r="AV683">
        <v>1.6</v>
      </c>
    </row>
    <row r="684" spans="40:48" x14ac:dyDescent="0.25">
      <c r="AN684" t="s">
        <v>46</v>
      </c>
      <c r="AO684" t="s">
        <v>26</v>
      </c>
      <c r="AP684">
        <v>2006</v>
      </c>
      <c r="AQ684" t="s">
        <v>36</v>
      </c>
      <c r="AR684" t="s">
        <v>330</v>
      </c>
      <c r="AS684" t="s">
        <v>305</v>
      </c>
      <c r="AT684" t="s">
        <v>240</v>
      </c>
      <c r="AU684" t="s">
        <v>309</v>
      </c>
      <c r="AV684">
        <v>9</v>
      </c>
    </row>
    <row r="685" spans="40:48" x14ac:dyDescent="0.25">
      <c r="AN685" t="s">
        <v>46</v>
      </c>
      <c r="AO685" t="s">
        <v>26</v>
      </c>
      <c r="AP685">
        <v>2006</v>
      </c>
      <c r="AQ685" t="s">
        <v>36</v>
      </c>
      <c r="AR685" t="s">
        <v>330</v>
      </c>
      <c r="AS685" t="s">
        <v>305</v>
      </c>
      <c r="AT685" t="s">
        <v>240</v>
      </c>
      <c r="AU685" t="s">
        <v>268</v>
      </c>
      <c r="AV685">
        <v>10.6</v>
      </c>
    </row>
    <row r="686" spans="40:48" x14ac:dyDescent="0.25">
      <c r="AN686" t="s">
        <v>46</v>
      </c>
      <c r="AO686" t="s">
        <v>26</v>
      </c>
      <c r="AP686">
        <v>2006</v>
      </c>
      <c r="AQ686" t="s">
        <v>36</v>
      </c>
      <c r="AR686" t="s">
        <v>330</v>
      </c>
      <c r="AS686" t="s">
        <v>305</v>
      </c>
      <c r="AT686" t="s">
        <v>314</v>
      </c>
      <c r="AU686" t="s">
        <v>308</v>
      </c>
      <c r="AV686">
        <v>3.1</v>
      </c>
    </row>
    <row r="687" spans="40:48" x14ac:dyDescent="0.25">
      <c r="AN687" t="s">
        <v>46</v>
      </c>
      <c r="AO687" t="s">
        <v>26</v>
      </c>
      <c r="AP687">
        <v>2006</v>
      </c>
      <c r="AQ687" t="s">
        <v>36</v>
      </c>
      <c r="AR687" t="s">
        <v>330</v>
      </c>
      <c r="AS687" t="s">
        <v>305</v>
      </c>
      <c r="AT687" t="s">
        <v>314</v>
      </c>
      <c r="AU687" t="s">
        <v>309</v>
      </c>
      <c r="AV687">
        <v>8.6</v>
      </c>
    </row>
    <row r="688" spans="40:48" x14ac:dyDescent="0.25">
      <c r="AN688" t="s">
        <v>46</v>
      </c>
      <c r="AO688" t="s">
        <v>26</v>
      </c>
      <c r="AP688">
        <v>2006</v>
      </c>
      <c r="AQ688" t="s">
        <v>36</v>
      </c>
      <c r="AR688" t="s">
        <v>330</v>
      </c>
      <c r="AS688" t="s">
        <v>305</v>
      </c>
      <c r="AT688" t="s">
        <v>314</v>
      </c>
      <c r="AU688" t="s">
        <v>268</v>
      </c>
      <c r="AV688">
        <v>11.7</v>
      </c>
    </row>
    <row r="689" spans="40:48" x14ac:dyDescent="0.25">
      <c r="AN689" t="s">
        <v>46</v>
      </c>
      <c r="AO689" t="s">
        <v>26</v>
      </c>
      <c r="AP689">
        <v>2006</v>
      </c>
      <c r="AQ689" t="s">
        <v>36</v>
      </c>
      <c r="AR689" t="s">
        <v>330</v>
      </c>
      <c r="AS689" t="s">
        <v>305</v>
      </c>
      <c r="AT689" t="s">
        <v>242</v>
      </c>
      <c r="AU689" t="s">
        <v>308</v>
      </c>
      <c r="AV689">
        <v>1.9</v>
      </c>
    </row>
    <row r="690" spans="40:48" x14ac:dyDescent="0.25">
      <c r="AN690" t="s">
        <v>46</v>
      </c>
      <c r="AO690" t="s">
        <v>26</v>
      </c>
      <c r="AP690">
        <v>2006</v>
      </c>
      <c r="AQ690" t="s">
        <v>36</v>
      </c>
      <c r="AR690" t="s">
        <v>330</v>
      </c>
      <c r="AS690" t="s">
        <v>305</v>
      </c>
      <c r="AT690" t="s">
        <v>242</v>
      </c>
      <c r="AU690" t="s">
        <v>309</v>
      </c>
      <c r="AV690">
        <v>7.75</v>
      </c>
    </row>
    <row r="691" spans="40:48" x14ac:dyDescent="0.25">
      <c r="AN691" t="s">
        <v>46</v>
      </c>
      <c r="AO691" t="s">
        <v>26</v>
      </c>
      <c r="AP691">
        <v>2006</v>
      </c>
      <c r="AQ691" t="s">
        <v>36</v>
      </c>
      <c r="AR691" t="s">
        <v>330</v>
      </c>
      <c r="AS691" t="s">
        <v>305</v>
      </c>
      <c r="AT691" t="s">
        <v>242</v>
      </c>
      <c r="AU691" t="s">
        <v>268</v>
      </c>
      <c r="AV691">
        <v>9.65</v>
      </c>
    </row>
    <row r="692" spans="40:48" x14ac:dyDescent="0.25">
      <c r="AN692" t="s">
        <v>46</v>
      </c>
      <c r="AO692" t="s">
        <v>26</v>
      </c>
      <c r="AP692">
        <v>2006</v>
      </c>
      <c r="AQ692" t="s">
        <v>36</v>
      </c>
      <c r="AR692" t="s">
        <v>330</v>
      </c>
      <c r="AS692" t="s">
        <v>305</v>
      </c>
      <c r="AT692" t="s">
        <v>243</v>
      </c>
      <c r="AU692" t="s">
        <v>326</v>
      </c>
      <c r="AV692">
        <v>14</v>
      </c>
    </row>
    <row r="693" spans="40:48" x14ac:dyDescent="0.25">
      <c r="AN693" t="s">
        <v>46</v>
      </c>
      <c r="AO693" t="s">
        <v>26</v>
      </c>
      <c r="AP693">
        <v>2006</v>
      </c>
      <c r="AQ693" t="s">
        <v>36</v>
      </c>
      <c r="AR693" t="s">
        <v>330</v>
      </c>
      <c r="AS693" t="s">
        <v>305</v>
      </c>
      <c r="AT693" t="s">
        <v>243</v>
      </c>
      <c r="AU693" t="s">
        <v>327</v>
      </c>
      <c r="AV693">
        <v>42.45</v>
      </c>
    </row>
    <row r="694" spans="40:48" x14ac:dyDescent="0.25">
      <c r="AN694" t="s">
        <v>46</v>
      </c>
      <c r="AO694" t="s">
        <v>26</v>
      </c>
      <c r="AP694">
        <v>2006</v>
      </c>
      <c r="AQ694" t="s">
        <v>36</v>
      </c>
      <c r="AR694" t="s">
        <v>330</v>
      </c>
      <c r="AS694" t="s">
        <v>305</v>
      </c>
      <c r="AT694" t="s">
        <v>243</v>
      </c>
      <c r="AU694" t="s">
        <v>329</v>
      </c>
      <c r="AV694">
        <v>56.45</v>
      </c>
    </row>
    <row r="695" spans="40:48" x14ac:dyDescent="0.25">
      <c r="AN695" t="s">
        <v>114</v>
      </c>
      <c r="AO695" t="s">
        <v>26</v>
      </c>
      <c r="AP695">
        <v>2006</v>
      </c>
      <c r="AQ695" t="s">
        <v>36</v>
      </c>
      <c r="AR695" t="s">
        <v>330</v>
      </c>
      <c r="AS695" t="s">
        <v>306</v>
      </c>
      <c r="AT695" t="s">
        <v>218</v>
      </c>
      <c r="AU695" t="s">
        <v>308</v>
      </c>
      <c r="AV695">
        <v>0</v>
      </c>
    </row>
    <row r="696" spans="40:48" x14ac:dyDescent="0.25">
      <c r="AN696" t="s">
        <v>114</v>
      </c>
      <c r="AO696" t="s">
        <v>26</v>
      </c>
      <c r="AP696">
        <v>2006</v>
      </c>
      <c r="AQ696" t="s">
        <v>36</v>
      </c>
      <c r="AR696" t="s">
        <v>330</v>
      </c>
      <c r="AS696" t="s">
        <v>306</v>
      </c>
      <c r="AT696" t="s">
        <v>218</v>
      </c>
      <c r="AU696" t="s">
        <v>309</v>
      </c>
      <c r="AV696">
        <v>0</v>
      </c>
    </row>
    <row r="697" spans="40:48" x14ac:dyDescent="0.25">
      <c r="AN697" t="s">
        <v>114</v>
      </c>
      <c r="AO697" t="s">
        <v>26</v>
      </c>
      <c r="AP697">
        <v>2006</v>
      </c>
      <c r="AQ697" t="s">
        <v>36</v>
      </c>
      <c r="AR697" t="s">
        <v>330</v>
      </c>
      <c r="AS697" t="s">
        <v>306</v>
      </c>
      <c r="AT697" t="s">
        <v>218</v>
      </c>
      <c r="AU697" t="s">
        <v>268</v>
      </c>
      <c r="AV697">
        <v>0</v>
      </c>
    </row>
    <row r="698" spans="40:48" x14ac:dyDescent="0.25">
      <c r="AN698" t="s">
        <v>114</v>
      </c>
      <c r="AO698" t="s">
        <v>26</v>
      </c>
      <c r="AP698">
        <v>2006</v>
      </c>
      <c r="AQ698" t="s">
        <v>36</v>
      </c>
      <c r="AR698" t="s">
        <v>330</v>
      </c>
      <c r="AS698" t="s">
        <v>306</v>
      </c>
      <c r="AT698" t="s">
        <v>238</v>
      </c>
      <c r="AU698" t="s">
        <v>308</v>
      </c>
      <c r="AV698">
        <v>2.6</v>
      </c>
    </row>
    <row r="699" spans="40:48" x14ac:dyDescent="0.25">
      <c r="AN699" t="s">
        <v>114</v>
      </c>
      <c r="AO699" t="s">
        <v>26</v>
      </c>
      <c r="AP699">
        <v>2006</v>
      </c>
      <c r="AQ699" t="s">
        <v>36</v>
      </c>
      <c r="AR699" t="s">
        <v>330</v>
      </c>
      <c r="AS699" t="s">
        <v>306</v>
      </c>
      <c r="AT699" t="s">
        <v>238</v>
      </c>
      <c r="AU699" t="s">
        <v>309</v>
      </c>
      <c r="AV699">
        <v>7.65</v>
      </c>
    </row>
    <row r="700" spans="40:48" x14ac:dyDescent="0.25">
      <c r="AN700" t="s">
        <v>114</v>
      </c>
      <c r="AO700" t="s">
        <v>26</v>
      </c>
      <c r="AP700">
        <v>2006</v>
      </c>
      <c r="AQ700" t="s">
        <v>36</v>
      </c>
      <c r="AR700" t="s">
        <v>330</v>
      </c>
      <c r="AS700" t="s">
        <v>306</v>
      </c>
      <c r="AT700" t="s">
        <v>238</v>
      </c>
      <c r="AU700" t="s">
        <v>268</v>
      </c>
      <c r="AV700">
        <v>10.25</v>
      </c>
    </row>
    <row r="701" spans="40:48" x14ac:dyDescent="0.25">
      <c r="AN701" t="s">
        <v>114</v>
      </c>
      <c r="AO701" t="s">
        <v>26</v>
      </c>
      <c r="AP701">
        <v>2006</v>
      </c>
      <c r="AQ701" t="s">
        <v>36</v>
      </c>
      <c r="AR701" t="s">
        <v>330</v>
      </c>
      <c r="AS701" t="s">
        <v>306</v>
      </c>
      <c r="AT701" t="s">
        <v>239</v>
      </c>
      <c r="AU701" t="s">
        <v>308</v>
      </c>
      <c r="AV701">
        <v>1.7</v>
      </c>
    </row>
    <row r="702" spans="40:48" x14ac:dyDescent="0.25">
      <c r="AN702" t="s">
        <v>114</v>
      </c>
      <c r="AO702" t="s">
        <v>26</v>
      </c>
      <c r="AP702">
        <v>2006</v>
      </c>
      <c r="AQ702" t="s">
        <v>36</v>
      </c>
      <c r="AR702" t="s">
        <v>330</v>
      </c>
      <c r="AS702" t="s">
        <v>306</v>
      </c>
      <c r="AT702" t="s">
        <v>239</v>
      </c>
      <c r="AU702" t="s">
        <v>309</v>
      </c>
      <c r="AV702">
        <v>7.85</v>
      </c>
    </row>
    <row r="703" spans="40:48" x14ac:dyDescent="0.25">
      <c r="AN703" t="s">
        <v>114</v>
      </c>
      <c r="AO703" t="s">
        <v>26</v>
      </c>
      <c r="AP703">
        <v>2006</v>
      </c>
      <c r="AQ703" t="s">
        <v>36</v>
      </c>
      <c r="AR703" t="s">
        <v>330</v>
      </c>
      <c r="AS703" t="s">
        <v>306</v>
      </c>
      <c r="AT703" t="s">
        <v>239</v>
      </c>
      <c r="AU703" t="s">
        <v>268</v>
      </c>
      <c r="AV703">
        <v>9.5500000000000007</v>
      </c>
    </row>
    <row r="704" spans="40:48" x14ac:dyDescent="0.25">
      <c r="AN704" t="s">
        <v>114</v>
      </c>
      <c r="AO704" t="s">
        <v>26</v>
      </c>
      <c r="AP704">
        <v>2006</v>
      </c>
      <c r="AQ704" t="s">
        <v>36</v>
      </c>
      <c r="AR704" t="s">
        <v>330</v>
      </c>
      <c r="AS704" t="s">
        <v>306</v>
      </c>
      <c r="AT704" t="s">
        <v>240</v>
      </c>
      <c r="AU704" t="s">
        <v>308</v>
      </c>
      <c r="AV704">
        <v>1.6</v>
      </c>
    </row>
    <row r="705" spans="40:48" x14ac:dyDescent="0.25">
      <c r="AN705" t="s">
        <v>114</v>
      </c>
      <c r="AO705" t="s">
        <v>26</v>
      </c>
      <c r="AP705">
        <v>2006</v>
      </c>
      <c r="AQ705" t="s">
        <v>36</v>
      </c>
      <c r="AR705" t="s">
        <v>330</v>
      </c>
      <c r="AS705" t="s">
        <v>306</v>
      </c>
      <c r="AT705" t="s">
        <v>240</v>
      </c>
      <c r="AU705" t="s">
        <v>309</v>
      </c>
      <c r="AV705">
        <v>8.8000000000000007</v>
      </c>
    </row>
    <row r="706" spans="40:48" x14ac:dyDescent="0.25">
      <c r="AN706" t="s">
        <v>114</v>
      </c>
      <c r="AO706" t="s">
        <v>26</v>
      </c>
      <c r="AP706">
        <v>2006</v>
      </c>
      <c r="AQ706" t="s">
        <v>36</v>
      </c>
      <c r="AR706" t="s">
        <v>330</v>
      </c>
      <c r="AS706" t="s">
        <v>306</v>
      </c>
      <c r="AT706" t="s">
        <v>240</v>
      </c>
      <c r="AU706" t="s">
        <v>268</v>
      </c>
      <c r="AV706">
        <v>10.4</v>
      </c>
    </row>
    <row r="707" spans="40:48" x14ac:dyDescent="0.25">
      <c r="AN707" t="s">
        <v>114</v>
      </c>
      <c r="AO707" t="s">
        <v>26</v>
      </c>
      <c r="AP707">
        <v>2006</v>
      </c>
      <c r="AQ707" t="s">
        <v>36</v>
      </c>
      <c r="AR707" t="s">
        <v>330</v>
      </c>
      <c r="AS707" t="s">
        <v>306</v>
      </c>
      <c r="AT707" t="s">
        <v>314</v>
      </c>
      <c r="AU707" t="s">
        <v>308</v>
      </c>
      <c r="AV707">
        <v>2.4</v>
      </c>
    </row>
    <row r="708" spans="40:48" x14ac:dyDescent="0.25">
      <c r="AN708" t="s">
        <v>114</v>
      </c>
      <c r="AO708" t="s">
        <v>26</v>
      </c>
      <c r="AP708">
        <v>2006</v>
      </c>
      <c r="AQ708" t="s">
        <v>36</v>
      </c>
      <c r="AR708" t="s">
        <v>330</v>
      </c>
      <c r="AS708" t="s">
        <v>306</v>
      </c>
      <c r="AT708" t="s">
        <v>314</v>
      </c>
      <c r="AU708" t="s">
        <v>309</v>
      </c>
      <c r="AV708">
        <v>8</v>
      </c>
    </row>
    <row r="709" spans="40:48" x14ac:dyDescent="0.25">
      <c r="AN709" t="s">
        <v>114</v>
      </c>
      <c r="AO709" t="s">
        <v>26</v>
      </c>
      <c r="AP709">
        <v>2006</v>
      </c>
      <c r="AQ709" t="s">
        <v>36</v>
      </c>
      <c r="AR709" t="s">
        <v>330</v>
      </c>
      <c r="AS709" t="s">
        <v>306</v>
      </c>
      <c r="AT709" t="s">
        <v>314</v>
      </c>
      <c r="AU709" t="s">
        <v>268</v>
      </c>
      <c r="AV709">
        <v>10.4</v>
      </c>
    </row>
    <row r="710" spans="40:48" x14ac:dyDescent="0.25">
      <c r="AN710" t="s">
        <v>114</v>
      </c>
      <c r="AO710" t="s">
        <v>26</v>
      </c>
      <c r="AP710">
        <v>2006</v>
      </c>
      <c r="AQ710" t="s">
        <v>36</v>
      </c>
      <c r="AR710" t="s">
        <v>330</v>
      </c>
      <c r="AS710" t="s">
        <v>306</v>
      </c>
      <c r="AT710" t="s">
        <v>242</v>
      </c>
      <c r="AU710" t="s">
        <v>308</v>
      </c>
      <c r="AV710">
        <v>1.8</v>
      </c>
    </row>
    <row r="711" spans="40:48" x14ac:dyDescent="0.25">
      <c r="AN711" t="s">
        <v>114</v>
      </c>
      <c r="AO711" t="s">
        <v>26</v>
      </c>
      <c r="AP711">
        <v>2006</v>
      </c>
      <c r="AQ711" t="s">
        <v>36</v>
      </c>
      <c r="AR711" t="s">
        <v>330</v>
      </c>
      <c r="AS711" t="s">
        <v>306</v>
      </c>
      <c r="AT711" t="s">
        <v>242</v>
      </c>
      <c r="AU711" t="s">
        <v>309</v>
      </c>
      <c r="AV711">
        <v>8.8000000000000007</v>
      </c>
    </row>
    <row r="712" spans="40:48" x14ac:dyDescent="0.25">
      <c r="AN712" t="s">
        <v>114</v>
      </c>
      <c r="AO712" t="s">
        <v>26</v>
      </c>
      <c r="AP712">
        <v>2006</v>
      </c>
      <c r="AQ712" t="s">
        <v>36</v>
      </c>
      <c r="AR712" t="s">
        <v>330</v>
      </c>
      <c r="AS712" t="s">
        <v>306</v>
      </c>
      <c r="AT712" t="s">
        <v>242</v>
      </c>
      <c r="AU712" t="s">
        <v>268</v>
      </c>
      <c r="AV712">
        <v>10.6</v>
      </c>
    </row>
    <row r="713" spans="40:48" x14ac:dyDescent="0.25">
      <c r="AN713" t="s">
        <v>114</v>
      </c>
      <c r="AO713" t="s">
        <v>26</v>
      </c>
      <c r="AP713">
        <v>2006</v>
      </c>
      <c r="AQ713" t="s">
        <v>36</v>
      </c>
      <c r="AR713" t="s">
        <v>330</v>
      </c>
      <c r="AS713" t="s">
        <v>306</v>
      </c>
      <c r="AT713" t="s">
        <v>243</v>
      </c>
      <c r="AU713" t="s">
        <v>326</v>
      </c>
      <c r="AV713">
        <v>0</v>
      </c>
    </row>
    <row r="714" spans="40:48" x14ac:dyDescent="0.25">
      <c r="AN714" t="s">
        <v>114</v>
      </c>
      <c r="AO714" t="s">
        <v>26</v>
      </c>
      <c r="AP714">
        <v>2006</v>
      </c>
      <c r="AQ714" t="s">
        <v>36</v>
      </c>
      <c r="AR714" t="s">
        <v>330</v>
      </c>
      <c r="AS714" t="s">
        <v>306</v>
      </c>
      <c r="AT714" t="s">
        <v>243</v>
      </c>
      <c r="AU714" t="s">
        <v>327</v>
      </c>
      <c r="AV714">
        <v>0</v>
      </c>
    </row>
    <row r="715" spans="40:48" x14ac:dyDescent="0.25">
      <c r="AN715" t="s">
        <v>114</v>
      </c>
      <c r="AO715" t="s">
        <v>26</v>
      </c>
      <c r="AP715">
        <v>2006</v>
      </c>
      <c r="AQ715" t="s">
        <v>36</v>
      </c>
      <c r="AR715" t="s">
        <v>330</v>
      </c>
      <c r="AS715" t="s">
        <v>306</v>
      </c>
      <c r="AT715" t="s">
        <v>243</v>
      </c>
      <c r="AU715" t="s">
        <v>329</v>
      </c>
      <c r="AV715">
        <v>51.2</v>
      </c>
    </row>
    <row r="716" spans="40:48" x14ac:dyDescent="0.25">
      <c r="AN716" t="s">
        <v>120</v>
      </c>
      <c r="AO716" t="s">
        <v>26</v>
      </c>
      <c r="AP716">
        <v>2006</v>
      </c>
      <c r="AQ716" t="s">
        <v>39</v>
      </c>
      <c r="AR716" t="s">
        <v>330</v>
      </c>
      <c r="AS716" t="s">
        <v>306</v>
      </c>
      <c r="AT716" t="s">
        <v>218</v>
      </c>
      <c r="AU716" t="s">
        <v>308</v>
      </c>
      <c r="AV716">
        <v>2.6</v>
      </c>
    </row>
    <row r="717" spans="40:48" x14ac:dyDescent="0.25">
      <c r="AN717" t="s">
        <v>120</v>
      </c>
      <c r="AO717" t="s">
        <v>26</v>
      </c>
      <c r="AP717">
        <v>2006</v>
      </c>
      <c r="AQ717" t="s">
        <v>39</v>
      </c>
      <c r="AR717" t="s">
        <v>330</v>
      </c>
      <c r="AS717" t="s">
        <v>306</v>
      </c>
      <c r="AT717" t="s">
        <v>218</v>
      </c>
      <c r="AU717" t="s">
        <v>309</v>
      </c>
      <c r="AV717">
        <v>7.8</v>
      </c>
    </row>
    <row r="718" spans="40:48" x14ac:dyDescent="0.25">
      <c r="AN718" t="s">
        <v>120</v>
      </c>
      <c r="AO718" t="s">
        <v>26</v>
      </c>
      <c r="AP718">
        <v>2006</v>
      </c>
      <c r="AQ718" t="s">
        <v>39</v>
      </c>
      <c r="AR718" t="s">
        <v>330</v>
      </c>
      <c r="AS718" t="s">
        <v>306</v>
      </c>
      <c r="AT718" t="s">
        <v>218</v>
      </c>
      <c r="AU718" t="s">
        <v>268</v>
      </c>
      <c r="AV718">
        <v>10.4</v>
      </c>
    </row>
    <row r="719" spans="40:48" x14ac:dyDescent="0.25">
      <c r="AN719" t="s">
        <v>120</v>
      </c>
      <c r="AO719" t="s">
        <v>26</v>
      </c>
      <c r="AP719">
        <v>2006</v>
      </c>
      <c r="AQ719" t="s">
        <v>39</v>
      </c>
      <c r="AR719" t="s">
        <v>330</v>
      </c>
      <c r="AS719" t="s">
        <v>306</v>
      </c>
      <c r="AT719" t="s">
        <v>238</v>
      </c>
      <c r="AU719" t="s">
        <v>308</v>
      </c>
      <c r="AV719">
        <v>2.4</v>
      </c>
    </row>
    <row r="720" spans="40:48" x14ac:dyDescent="0.25">
      <c r="AN720" t="s">
        <v>120</v>
      </c>
      <c r="AO720" t="s">
        <v>26</v>
      </c>
      <c r="AP720">
        <v>2006</v>
      </c>
      <c r="AQ720" t="s">
        <v>39</v>
      </c>
      <c r="AR720" t="s">
        <v>330</v>
      </c>
      <c r="AS720" t="s">
        <v>306</v>
      </c>
      <c r="AT720" t="s">
        <v>238</v>
      </c>
      <c r="AU720" t="s">
        <v>309</v>
      </c>
      <c r="AV720">
        <v>5.7</v>
      </c>
    </row>
    <row r="721" spans="40:48" x14ac:dyDescent="0.25">
      <c r="AN721" t="s">
        <v>120</v>
      </c>
      <c r="AO721" t="s">
        <v>26</v>
      </c>
      <c r="AP721">
        <v>2006</v>
      </c>
      <c r="AQ721" t="s">
        <v>39</v>
      </c>
      <c r="AR721" t="s">
        <v>330</v>
      </c>
      <c r="AS721" t="s">
        <v>306</v>
      </c>
      <c r="AT721" t="s">
        <v>238</v>
      </c>
      <c r="AU721" t="s">
        <v>268</v>
      </c>
      <c r="AV721">
        <v>8.1</v>
      </c>
    </row>
    <row r="722" spans="40:48" x14ac:dyDescent="0.25">
      <c r="AN722" t="s">
        <v>120</v>
      </c>
      <c r="AO722" t="s">
        <v>26</v>
      </c>
      <c r="AP722">
        <v>2006</v>
      </c>
      <c r="AQ722" t="s">
        <v>39</v>
      </c>
      <c r="AR722" t="s">
        <v>330</v>
      </c>
      <c r="AS722" t="s">
        <v>306</v>
      </c>
      <c r="AT722" t="s">
        <v>239</v>
      </c>
      <c r="AU722" t="s">
        <v>308</v>
      </c>
      <c r="AV722">
        <v>1.8</v>
      </c>
    </row>
    <row r="723" spans="40:48" x14ac:dyDescent="0.25">
      <c r="AN723" t="s">
        <v>120</v>
      </c>
      <c r="AO723" t="s">
        <v>26</v>
      </c>
      <c r="AP723">
        <v>2006</v>
      </c>
      <c r="AQ723" t="s">
        <v>39</v>
      </c>
      <c r="AR723" t="s">
        <v>330</v>
      </c>
      <c r="AS723" t="s">
        <v>306</v>
      </c>
      <c r="AT723" t="s">
        <v>239</v>
      </c>
      <c r="AU723" t="s">
        <v>309</v>
      </c>
      <c r="AV723">
        <v>6.8</v>
      </c>
    </row>
    <row r="724" spans="40:48" x14ac:dyDescent="0.25">
      <c r="AN724" t="s">
        <v>120</v>
      </c>
      <c r="AO724" t="s">
        <v>26</v>
      </c>
      <c r="AP724">
        <v>2006</v>
      </c>
      <c r="AQ724" t="s">
        <v>39</v>
      </c>
      <c r="AR724" t="s">
        <v>330</v>
      </c>
      <c r="AS724" t="s">
        <v>306</v>
      </c>
      <c r="AT724" t="s">
        <v>239</v>
      </c>
      <c r="AU724" t="s">
        <v>268</v>
      </c>
      <c r="AV724">
        <v>8.6</v>
      </c>
    </row>
    <row r="725" spans="40:48" x14ac:dyDescent="0.25">
      <c r="AN725" t="s">
        <v>120</v>
      </c>
      <c r="AO725" t="s">
        <v>26</v>
      </c>
      <c r="AP725">
        <v>2006</v>
      </c>
      <c r="AQ725" t="s">
        <v>39</v>
      </c>
      <c r="AR725" t="s">
        <v>330</v>
      </c>
      <c r="AS725" t="s">
        <v>306</v>
      </c>
      <c r="AT725" t="s">
        <v>240</v>
      </c>
      <c r="AU725" t="s">
        <v>308</v>
      </c>
      <c r="AV725">
        <v>2.4</v>
      </c>
    </row>
    <row r="726" spans="40:48" x14ac:dyDescent="0.25">
      <c r="AN726" t="s">
        <v>120</v>
      </c>
      <c r="AO726" t="s">
        <v>26</v>
      </c>
      <c r="AP726">
        <v>2006</v>
      </c>
      <c r="AQ726" t="s">
        <v>39</v>
      </c>
      <c r="AR726" t="s">
        <v>330</v>
      </c>
      <c r="AS726" t="s">
        <v>306</v>
      </c>
      <c r="AT726" t="s">
        <v>240</v>
      </c>
      <c r="AU726" t="s">
        <v>309</v>
      </c>
      <c r="AV726">
        <v>7.8</v>
      </c>
    </row>
    <row r="727" spans="40:48" x14ac:dyDescent="0.25">
      <c r="AN727" t="s">
        <v>120</v>
      </c>
      <c r="AO727" t="s">
        <v>26</v>
      </c>
      <c r="AP727">
        <v>2006</v>
      </c>
      <c r="AQ727" t="s">
        <v>39</v>
      </c>
      <c r="AR727" t="s">
        <v>330</v>
      </c>
      <c r="AS727" t="s">
        <v>306</v>
      </c>
      <c r="AT727" t="s">
        <v>240</v>
      </c>
      <c r="AU727" t="s">
        <v>268</v>
      </c>
      <c r="AV727">
        <v>10.199999999999999</v>
      </c>
    </row>
    <row r="728" spans="40:48" x14ac:dyDescent="0.25">
      <c r="AN728" t="s">
        <v>120</v>
      </c>
      <c r="AO728" t="s">
        <v>26</v>
      </c>
      <c r="AP728">
        <v>2006</v>
      </c>
      <c r="AQ728" t="s">
        <v>39</v>
      </c>
      <c r="AR728" t="s">
        <v>330</v>
      </c>
      <c r="AS728" t="s">
        <v>306</v>
      </c>
      <c r="AT728" t="s">
        <v>314</v>
      </c>
      <c r="AU728" t="s">
        <v>308</v>
      </c>
      <c r="AV728">
        <v>2.2999999999999998</v>
      </c>
    </row>
    <row r="729" spans="40:48" x14ac:dyDescent="0.25">
      <c r="AN729" t="s">
        <v>120</v>
      </c>
      <c r="AO729" t="s">
        <v>26</v>
      </c>
      <c r="AP729">
        <v>2006</v>
      </c>
      <c r="AQ729" t="s">
        <v>39</v>
      </c>
      <c r="AR729" t="s">
        <v>330</v>
      </c>
      <c r="AS729" t="s">
        <v>306</v>
      </c>
      <c r="AT729" t="s">
        <v>314</v>
      </c>
      <c r="AU729" t="s">
        <v>309</v>
      </c>
      <c r="AV729">
        <v>7.45</v>
      </c>
    </row>
    <row r="730" spans="40:48" x14ac:dyDescent="0.25">
      <c r="AN730" t="s">
        <v>120</v>
      </c>
      <c r="AO730" t="s">
        <v>26</v>
      </c>
      <c r="AP730">
        <v>2006</v>
      </c>
      <c r="AQ730" t="s">
        <v>39</v>
      </c>
      <c r="AR730" t="s">
        <v>330</v>
      </c>
      <c r="AS730" t="s">
        <v>306</v>
      </c>
      <c r="AT730" t="s">
        <v>314</v>
      </c>
      <c r="AU730" t="s">
        <v>268</v>
      </c>
      <c r="AV730">
        <v>9.75</v>
      </c>
    </row>
    <row r="731" spans="40:48" x14ac:dyDescent="0.25">
      <c r="AN731" t="s">
        <v>120</v>
      </c>
      <c r="AO731" t="s">
        <v>26</v>
      </c>
      <c r="AP731">
        <v>2006</v>
      </c>
      <c r="AQ731" t="s">
        <v>39</v>
      </c>
      <c r="AR731" t="s">
        <v>330</v>
      </c>
      <c r="AS731" t="s">
        <v>306</v>
      </c>
      <c r="AT731" t="s">
        <v>242</v>
      </c>
      <c r="AU731" t="s">
        <v>308</v>
      </c>
      <c r="AV731">
        <v>0</v>
      </c>
    </row>
    <row r="732" spans="40:48" x14ac:dyDescent="0.25">
      <c r="AN732" t="s">
        <v>120</v>
      </c>
      <c r="AO732" t="s">
        <v>26</v>
      </c>
      <c r="AP732">
        <v>2006</v>
      </c>
      <c r="AQ732" t="s">
        <v>39</v>
      </c>
      <c r="AR732" t="s">
        <v>330</v>
      </c>
      <c r="AS732" t="s">
        <v>306</v>
      </c>
      <c r="AT732" t="s">
        <v>242</v>
      </c>
      <c r="AU732" t="s">
        <v>309</v>
      </c>
      <c r="AV732">
        <v>0</v>
      </c>
    </row>
    <row r="733" spans="40:48" x14ac:dyDescent="0.25">
      <c r="AN733" t="s">
        <v>120</v>
      </c>
      <c r="AO733" t="s">
        <v>26</v>
      </c>
      <c r="AP733">
        <v>2006</v>
      </c>
      <c r="AQ733" t="s">
        <v>39</v>
      </c>
      <c r="AR733" t="s">
        <v>330</v>
      </c>
      <c r="AS733" t="s">
        <v>306</v>
      </c>
      <c r="AT733" t="s">
        <v>242</v>
      </c>
      <c r="AU733" t="s">
        <v>268</v>
      </c>
      <c r="AV733">
        <v>0</v>
      </c>
    </row>
    <row r="734" spans="40:48" x14ac:dyDescent="0.25">
      <c r="AN734" t="s">
        <v>120</v>
      </c>
      <c r="AO734" t="s">
        <v>26</v>
      </c>
      <c r="AP734">
        <v>2006</v>
      </c>
      <c r="AQ734" t="s">
        <v>39</v>
      </c>
      <c r="AR734" t="s">
        <v>330</v>
      </c>
      <c r="AS734" t="s">
        <v>306</v>
      </c>
      <c r="AT734" t="s">
        <v>243</v>
      </c>
      <c r="AU734" t="s">
        <v>326</v>
      </c>
      <c r="AV734">
        <v>0</v>
      </c>
    </row>
    <row r="735" spans="40:48" x14ac:dyDescent="0.25">
      <c r="AN735" t="s">
        <v>120</v>
      </c>
      <c r="AO735" t="s">
        <v>26</v>
      </c>
      <c r="AP735">
        <v>2006</v>
      </c>
      <c r="AQ735" t="s">
        <v>39</v>
      </c>
      <c r="AR735" t="s">
        <v>330</v>
      </c>
      <c r="AS735" t="s">
        <v>306</v>
      </c>
      <c r="AT735" t="s">
        <v>243</v>
      </c>
      <c r="AU735" t="s">
        <v>327</v>
      </c>
      <c r="AV735">
        <v>0</v>
      </c>
    </row>
    <row r="736" spans="40:48" x14ac:dyDescent="0.25">
      <c r="AN736" t="s">
        <v>120</v>
      </c>
      <c r="AO736" t="s">
        <v>26</v>
      </c>
      <c r="AP736">
        <v>2006</v>
      </c>
      <c r="AQ736" t="s">
        <v>39</v>
      </c>
      <c r="AR736" t="s">
        <v>330</v>
      </c>
      <c r="AS736" t="s">
        <v>306</v>
      </c>
      <c r="AT736" t="s">
        <v>243</v>
      </c>
      <c r="AU736" t="s">
        <v>329</v>
      </c>
      <c r="AV736">
        <v>47.05</v>
      </c>
    </row>
    <row r="737" spans="40:48" x14ac:dyDescent="0.25">
      <c r="AN737" t="s">
        <v>122</v>
      </c>
      <c r="AO737" t="s">
        <v>26</v>
      </c>
      <c r="AP737">
        <v>2006</v>
      </c>
      <c r="AQ737" t="s">
        <v>124</v>
      </c>
      <c r="AR737" t="s">
        <v>330</v>
      </c>
      <c r="AS737" t="s">
        <v>306</v>
      </c>
      <c r="AT737" t="s">
        <v>218</v>
      </c>
      <c r="AU737" t="s">
        <v>308</v>
      </c>
      <c r="AV737">
        <v>3.1</v>
      </c>
    </row>
    <row r="738" spans="40:48" x14ac:dyDescent="0.25">
      <c r="AN738" t="s">
        <v>122</v>
      </c>
      <c r="AO738" t="s">
        <v>26</v>
      </c>
      <c r="AP738">
        <v>2006</v>
      </c>
      <c r="AQ738" t="s">
        <v>124</v>
      </c>
      <c r="AR738" t="s">
        <v>330</v>
      </c>
      <c r="AS738" t="s">
        <v>306</v>
      </c>
      <c r="AT738" t="s">
        <v>218</v>
      </c>
      <c r="AU738" t="s">
        <v>309</v>
      </c>
      <c r="AV738">
        <v>7.55</v>
      </c>
    </row>
    <row r="739" spans="40:48" x14ac:dyDescent="0.25">
      <c r="AN739" t="s">
        <v>122</v>
      </c>
      <c r="AO739" t="s">
        <v>26</v>
      </c>
      <c r="AP739">
        <v>2006</v>
      </c>
      <c r="AQ739" t="s">
        <v>124</v>
      </c>
      <c r="AR739" t="s">
        <v>330</v>
      </c>
      <c r="AS739" t="s">
        <v>306</v>
      </c>
      <c r="AT739" t="s">
        <v>218</v>
      </c>
      <c r="AU739" t="s">
        <v>268</v>
      </c>
      <c r="AV739">
        <v>10.65</v>
      </c>
    </row>
    <row r="740" spans="40:48" x14ac:dyDescent="0.25">
      <c r="AN740" t="s">
        <v>122</v>
      </c>
      <c r="AO740" t="s">
        <v>26</v>
      </c>
      <c r="AP740">
        <v>2006</v>
      </c>
      <c r="AQ740" t="s">
        <v>124</v>
      </c>
      <c r="AR740" t="s">
        <v>330</v>
      </c>
      <c r="AS740" t="s">
        <v>306</v>
      </c>
      <c r="AT740" t="s">
        <v>238</v>
      </c>
      <c r="AU740" t="s">
        <v>308</v>
      </c>
      <c r="AV740">
        <v>0</v>
      </c>
    </row>
    <row r="741" spans="40:48" x14ac:dyDescent="0.25">
      <c r="AN741" t="s">
        <v>122</v>
      </c>
      <c r="AO741" t="s">
        <v>26</v>
      </c>
      <c r="AP741">
        <v>2006</v>
      </c>
      <c r="AQ741" t="s">
        <v>124</v>
      </c>
      <c r="AR741" t="s">
        <v>330</v>
      </c>
      <c r="AS741" t="s">
        <v>306</v>
      </c>
      <c r="AT741" t="s">
        <v>238</v>
      </c>
      <c r="AU741" t="s">
        <v>309</v>
      </c>
      <c r="AV741">
        <v>0</v>
      </c>
    </row>
    <row r="742" spans="40:48" x14ac:dyDescent="0.25">
      <c r="AN742" t="s">
        <v>122</v>
      </c>
      <c r="AO742" t="s">
        <v>26</v>
      </c>
      <c r="AP742">
        <v>2006</v>
      </c>
      <c r="AQ742" t="s">
        <v>124</v>
      </c>
      <c r="AR742" t="s">
        <v>330</v>
      </c>
      <c r="AS742" t="s">
        <v>306</v>
      </c>
      <c r="AT742" t="s">
        <v>238</v>
      </c>
      <c r="AU742" t="s">
        <v>268</v>
      </c>
      <c r="AV742">
        <v>0</v>
      </c>
    </row>
    <row r="743" spans="40:48" x14ac:dyDescent="0.25">
      <c r="AN743" t="s">
        <v>122</v>
      </c>
      <c r="AO743" t="s">
        <v>26</v>
      </c>
      <c r="AP743">
        <v>2006</v>
      </c>
      <c r="AQ743" t="s">
        <v>124</v>
      </c>
      <c r="AR743" t="s">
        <v>330</v>
      </c>
      <c r="AS743" t="s">
        <v>306</v>
      </c>
      <c r="AT743" t="s">
        <v>239</v>
      </c>
      <c r="AU743" t="s">
        <v>308</v>
      </c>
      <c r="AV743">
        <v>2</v>
      </c>
    </row>
    <row r="744" spans="40:48" x14ac:dyDescent="0.25">
      <c r="AN744" t="s">
        <v>122</v>
      </c>
      <c r="AO744" t="s">
        <v>26</v>
      </c>
      <c r="AP744">
        <v>2006</v>
      </c>
      <c r="AQ744" t="s">
        <v>124</v>
      </c>
      <c r="AR744" t="s">
        <v>330</v>
      </c>
      <c r="AS744" t="s">
        <v>306</v>
      </c>
      <c r="AT744" t="s">
        <v>239</v>
      </c>
      <c r="AU744" t="s">
        <v>309</v>
      </c>
      <c r="AV744">
        <v>7.35</v>
      </c>
    </row>
    <row r="745" spans="40:48" x14ac:dyDescent="0.25">
      <c r="AN745" t="s">
        <v>122</v>
      </c>
      <c r="AO745" t="s">
        <v>26</v>
      </c>
      <c r="AP745">
        <v>2006</v>
      </c>
      <c r="AQ745" t="s">
        <v>124</v>
      </c>
      <c r="AR745" t="s">
        <v>330</v>
      </c>
      <c r="AS745" t="s">
        <v>306</v>
      </c>
      <c r="AT745" t="s">
        <v>239</v>
      </c>
      <c r="AU745" t="s">
        <v>268</v>
      </c>
      <c r="AV745">
        <v>9.35</v>
      </c>
    </row>
    <row r="746" spans="40:48" x14ac:dyDescent="0.25">
      <c r="AN746" t="s">
        <v>122</v>
      </c>
      <c r="AO746" t="s">
        <v>26</v>
      </c>
      <c r="AP746">
        <v>2006</v>
      </c>
      <c r="AQ746" t="s">
        <v>124</v>
      </c>
      <c r="AR746" t="s">
        <v>330</v>
      </c>
      <c r="AS746" t="s">
        <v>306</v>
      </c>
      <c r="AT746" t="s">
        <v>240</v>
      </c>
      <c r="AU746" t="s">
        <v>308</v>
      </c>
      <c r="AV746">
        <v>2.2000000000000002</v>
      </c>
    </row>
    <row r="747" spans="40:48" x14ac:dyDescent="0.25">
      <c r="AN747" t="s">
        <v>122</v>
      </c>
      <c r="AO747" t="s">
        <v>26</v>
      </c>
      <c r="AP747">
        <v>2006</v>
      </c>
      <c r="AQ747" t="s">
        <v>124</v>
      </c>
      <c r="AR747" t="s">
        <v>330</v>
      </c>
      <c r="AS747" t="s">
        <v>306</v>
      </c>
      <c r="AT747" t="s">
        <v>240</v>
      </c>
      <c r="AU747" t="s">
        <v>309</v>
      </c>
      <c r="AV747">
        <v>8.8000000000000007</v>
      </c>
    </row>
    <row r="748" spans="40:48" x14ac:dyDescent="0.25">
      <c r="AN748" t="s">
        <v>122</v>
      </c>
      <c r="AO748" t="s">
        <v>26</v>
      </c>
      <c r="AP748">
        <v>2006</v>
      </c>
      <c r="AQ748" t="s">
        <v>124</v>
      </c>
      <c r="AR748" t="s">
        <v>330</v>
      </c>
      <c r="AS748" t="s">
        <v>306</v>
      </c>
      <c r="AT748" t="s">
        <v>240</v>
      </c>
      <c r="AU748" t="s">
        <v>268</v>
      </c>
      <c r="AV748">
        <v>11</v>
      </c>
    </row>
    <row r="749" spans="40:48" x14ac:dyDescent="0.25">
      <c r="AN749" t="s">
        <v>122</v>
      </c>
      <c r="AO749" t="s">
        <v>26</v>
      </c>
      <c r="AP749">
        <v>2006</v>
      </c>
      <c r="AQ749" t="s">
        <v>124</v>
      </c>
      <c r="AR749" t="s">
        <v>330</v>
      </c>
      <c r="AS749" t="s">
        <v>306</v>
      </c>
      <c r="AT749" t="s">
        <v>314</v>
      </c>
      <c r="AU749" t="s">
        <v>308</v>
      </c>
      <c r="AV749">
        <v>0</v>
      </c>
    </row>
    <row r="750" spans="40:48" x14ac:dyDescent="0.25">
      <c r="AN750" t="s">
        <v>122</v>
      </c>
      <c r="AO750" t="s">
        <v>26</v>
      </c>
      <c r="AP750">
        <v>2006</v>
      </c>
      <c r="AQ750" t="s">
        <v>124</v>
      </c>
      <c r="AR750" t="s">
        <v>330</v>
      </c>
      <c r="AS750" t="s">
        <v>306</v>
      </c>
      <c r="AT750" t="s">
        <v>314</v>
      </c>
      <c r="AU750" t="s">
        <v>309</v>
      </c>
      <c r="AV750">
        <v>0</v>
      </c>
    </row>
    <row r="751" spans="40:48" x14ac:dyDescent="0.25">
      <c r="AN751" t="s">
        <v>122</v>
      </c>
      <c r="AO751" t="s">
        <v>26</v>
      </c>
      <c r="AP751">
        <v>2006</v>
      </c>
      <c r="AQ751" t="s">
        <v>124</v>
      </c>
      <c r="AR751" t="s">
        <v>330</v>
      </c>
      <c r="AS751" t="s">
        <v>306</v>
      </c>
      <c r="AT751" t="s">
        <v>314</v>
      </c>
      <c r="AU751" t="s">
        <v>268</v>
      </c>
      <c r="AV751">
        <v>0</v>
      </c>
    </row>
    <row r="752" spans="40:48" x14ac:dyDescent="0.25">
      <c r="AN752" t="s">
        <v>122</v>
      </c>
      <c r="AO752" t="s">
        <v>26</v>
      </c>
      <c r="AP752">
        <v>2006</v>
      </c>
      <c r="AQ752" t="s">
        <v>124</v>
      </c>
      <c r="AR752" t="s">
        <v>330</v>
      </c>
      <c r="AS752" t="s">
        <v>306</v>
      </c>
      <c r="AT752" t="s">
        <v>242</v>
      </c>
      <c r="AU752" t="s">
        <v>308</v>
      </c>
      <c r="AV752">
        <v>2</v>
      </c>
    </row>
    <row r="753" spans="40:48" x14ac:dyDescent="0.25">
      <c r="AN753" t="s">
        <v>122</v>
      </c>
      <c r="AO753" t="s">
        <v>26</v>
      </c>
      <c r="AP753">
        <v>2006</v>
      </c>
      <c r="AQ753" t="s">
        <v>124</v>
      </c>
      <c r="AR753" t="s">
        <v>330</v>
      </c>
      <c r="AS753" t="s">
        <v>306</v>
      </c>
      <c r="AT753" t="s">
        <v>242</v>
      </c>
      <c r="AU753" t="s">
        <v>309</v>
      </c>
      <c r="AV753">
        <v>6.6</v>
      </c>
    </row>
    <row r="754" spans="40:48" x14ac:dyDescent="0.25">
      <c r="AN754" t="s">
        <v>122</v>
      </c>
      <c r="AO754" t="s">
        <v>26</v>
      </c>
      <c r="AP754">
        <v>2006</v>
      </c>
      <c r="AQ754" t="s">
        <v>124</v>
      </c>
      <c r="AR754" t="s">
        <v>330</v>
      </c>
      <c r="AS754" t="s">
        <v>306</v>
      </c>
      <c r="AT754" t="s">
        <v>242</v>
      </c>
      <c r="AU754" t="s">
        <v>268</v>
      </c>
      <c r="AV754">
        <v>8.6</v>
      </c>
    </row>
    <row r="755" spans="40:48" x14ac:dyDescent="0.25">
      <c r="AN755" t="s">
        <v>122</v>
      </c>
      <c r="AO755" t="s">
        <v>26</v>
      </c>
      <c r="AP755">
        <v>2006</v>
      </c>
      <c r="AQ755" t="s">
        <v>124</v>
      </c>
      <c r="AR755" t="s">
        <v>330</v>
      </c>
      <c r="AS755" t="s">
        <v>306</v>
      </c>
      <c r="AT755" t="s">
        <v>243</v>
      </c>
      <c r="AU755" t="s">
        <v>326</v>
      </c>
      <c r="AV755">
        <v>0</v>
      </c>
    </row>
    <row r="756" spans="40:48" x14ac:dyDescent="0.25">
      <c r="AN756" t="s">
        <v>122</v>
      </c>
      <c r="AO756" t="s">
        <v>26</v>
      </c>
      <c r="AP756">
        <v>2006</v>
      </c>
      <c r="AQ756" t="s">
        <v>124</v>
      </c>
      <c r="AR756" t="s">
        <v>330</v>
      </c>
      <c r="AS756" t="s">
        <v>306</v>
      </c>
      <c r="AT756" t="s">
        <v>243</v>
      </c>
      <c r="AU756" t="s">
        <v>327</v>
      </c>
      <c r="AV756">
        <v>0</v>
      </c>
    </row>
    <row r="757" spans="40:48" x14ac:dyDescent="0.25">
      <c r="AN757" t="s">
        <v>122</v>
      </c>
      <c r="AO757" t="s">
        <v>26</v>
      </c>
      <c r="AP757">
        <v>2006</v>
      </c>
      <c r="AQ757" t="s">
        <v>124</v>
      </c>
      <c r="AR757" t="s">
        <v>330</v>
      </c>
      <c r="AS757" t="s">
        <v>306</v>
      </c>
      <c r="AT757" t="s">
        <v>243</v>
      </c>
      <c r="AU757" t="s">
        <v>329</v>
      </c>
      <c r="AV757">
        <v>39.6</v>
      </c>
    </row>
    <row r="758" spans="40:48" x14ac:dyDescent="0.25">
      <c r="AN758" t="s">
        <v>50</v>
      </c>
      <c r="AO758" t="s">
        <v>26</v>
      </c>
      <c r="AP758">
        <v>2007</v>
      </c>
      <c r="AQ758" t="s">
        <v>36</v>
      </c>
      <c r="AR758" t="s">
        <v>330</v>
      </c>
      <c r="AS758" t="s">
        <v>306</v>
      </c>
      <c r="AT758" t="s">
        <v>218</v>
      </c>
      <c r="AU758" t="s">
        <v>308</v>
      </c>
      <c r="AV758">
        <v>3.9</v>
      </c>
    </row>
    <row r="759" spans="40:48" x14ac:dyDescent="0.25">
      <c r="AN759" t="s">
        <v>50</v>
      </c>
      <c r="AO759" t="s">
        <v>26</v>
      </c>
      <c r="AP759">
        <v>2007</v>
      </c>
      <c r="AQ759" t="s">
        <v>36</v>
      </c>
      <c r="AR759" t="s">
        <v>330</v>
      </c>
      <c r="AS759" t="s">
        <v>306</v>
      </c>
      <c r="AT759" t="s">
        <v>218</v>
      </c>
      <c r="AU759" t="s">
        <v>309</v>
      </c>
      <c r="AV759">
        <v>7.35</v>
      </c>
    </row>
    <row r="760" spans="40:48" x14ac:dyDescent="0.25">
      <c r="AN760" t="s">
        <v>50</v>
      </c>
      <c r="AO760" t="s">
        <v>26</v>
      </c>
      <c r="AP760">
        <v>2007</v>
      </c>
      <c r="AQ760" t="s">
        <v>36</v>
      </c>
      <c r="AR760" t="s">
        <v>330</v>
      </c>
      <c r="AS760" t="s">
        <v>306</v>
      </c>
      <c r="AT760" t="s">
        <v>218</v>
      </c>
      <c r="AU760" t="s">
        <v>268</v>
      </c>
      <c r="AV760">
        <v>11.25</v>
      </c>
    </row>
    <row r="761" spans="40:48" x14ac:dyDescent="0.25">
      <c r="AN761" t="s">
        <v>50</v>
      </c>
      <c r="AO761" t="s">
        <v>26</v>
      </c>
      <c r="AP761">
        <v>2007</v>
      </c>
      <c r="AQ761" t="s">
        <v>36</v>
      </c>
      <c r="AR761" t="s">
        <v>330</v>
      </c>
      <c r="AS761" t="s">
        <v>306</v>
      </c>
      <c r="AT761" t="s">
        <v>238</v>
      </c>
      <c r="AU761" t="s">
        <v>308</v>
      </c>
      <c r="AV761">
        <v>0</v>
      </c>
    </row>
    <row r="762" spans="40:48" x14ac:dyDescent="0.25">
      <c r="AN762" t="s">
        <v>50</v>
      </c>
      <c r="AO762" t="s">
        <v>26</v>
      </c>
      <c r="AP762">
        <v>2007</v>
      </c>
      <c r="AQ762" t="s">
        <v>36</v>
      </c>
      <c r="AR762" t="s">
        <v>330</v>
      </c>
      <c r="AS762" t="s">
        <v>306</v>
      </c>
      <c r="AT762" t="s">
        <v>238</v>
      </c>
      <c r="AU762" t="s">
        <v>309</v>
      </c>
      <c r="AV762">
        <v>0</v>
      </c>
    </row>
    <row r="763" spans="40:48" x14ac:dyDescent="0.25">
      <c r="AN763" t="s">
        <v>50</v>
      </c>
      <c r="AO763" t="s">
        <v>26</v>
      </c>
      <c r="AP763">
        <v>2007</v>
      </c>
      <c r="AQ763" t="s">
        <v>36</v>
      </c>
      <c r="AR763" t="s">
        <v>330</v>
      </c>
      <c r="AS763" t="s">
        <v>306</v>
      </c>
      <c r="AT763" t="s">
        <v>238</v>
      </c>
      <c r="AU763" t="s">
        <v>268</v>
      </c>
      <c r="AV763">
        <v>0</v>
      </c>
    </row>
    <row r="764" spans="40:48" x14ac:dyDescent="0.25">
      <c r="AN764" t="s">
        <v>50</v>
      </c>
      <c r="AO764" t="s">
        <v>26</v>
      </c>
      <c r="AP764">
        <v>2007</v>
      </c>
      <c r="AQ764" t="s">
        <v>36</v>
      </c>
      <c r="AR764" t="s">
        <v>330</v>
      </c>
      <c r="AS764" t="s">
        <v>306</v>
      </c>
      <c r="AT764" t="s">
        <v>239</v>
      </c>
      <c r="AU764" t="s">
        <v>308</v>
      </c>
      <c r="AV764">
        <v>3.7</v>
      </c>
    </row>
    <row r="765" spans="40:48" x14ac:dyDescent="0.25">
      <c r="AN765" t="s">
        <v>50</v>
      </c>
      <c r="AO765" t="s">
        <v>26</v>
      </c>
      <c r="AP765">
        <v>2007</v>
      </c>
      <c r="AQ765" t="s">
        <v>36</v>
      </c>
      <c r="AR765" t="s">
        <v>330</v>
      </c>
      <c r="AS765" t="s">
        <v>306</v>
      </c>
      <c r="AT765" t="s">
        <v>239</v>
      </c>
      <c r="AU765" t="s">
        <v>309</v>
      </c>
      <c r="AV765">
        <v>7.8</v>
      </c>
    </row>
    <row r="766" spans="40:48" x14ac:dyDescent="0.25">
      <c r="AN766" t="s">
        <v>50</v>
      </c>
      <c r="AO766" t="s">
        <v>26</v>
      </c>
      <c r="AP766">
        <v>2007</v>
      </c>
      <c r="AQ766" t="s">
        <v>36</v>
      </c>
      <c r="AR766" t="s">
        <v>330</v>
      </c>
      <c r="AS766" t="s">
        <v>306</v>
      </c>
      <c r="AT766" t="s">
        <v>239</v>
      </c>
      <c r="AU766" t="s">
        <v>268</v>
      </c>
      <c r="AV766">
        <v>11.5</v>
      </c>
    </row>
    <row r="767" spans="40:48" x14ac:dyDescent="0.25">
      <c r="AN767" t="s">
        <v>50</v>
      </c>
      <c r="AO767" t="s">
        <v>26</v>
      </c>
      <c r="AP767">
        <v>2007</v>
      </c>
      <c r="AQ767" t="s">
        <v>36</v>
      </c>
      <c r="AR767" t="s">
        <v>330</v>
      </c>
      <c r="AS767" t="s">
        <v>306</v>
      </c>
      <c r="AT767" t="s">
        <v>240</v>
      </c>
      <c r="AU767" t="s">
        <v>308</v>
      </c>
      <c r="AV767">
        <v>0</v>
      </c>
    </row>
    <row r="768" spans="40:48" x14ac:dyDescent="0.25">
      <c r="AN768" t="s">
        <v>50</v>
      </c>
      <c r="AO768" t="s">
        <v>26</v>
      </c>
      <c r="AP768">
        <v>2007</v>
      </c>
      <c r="AQ768" t="s">
        <v>36</v>
      </c>
      <c r="AR768" t="s">
        <v>330</v>
      </c>
      <c r="AS768" t="s">
        <v>306</v>
      </c>
      <c r="AT768" t="s">
        <v>240</v>
      </c>
      <c r="AU768" t="s">
        <v>309</v>
      </c>
      <c r="AV768">
        <v>0</v>
      </c>
    </row>
    <row r="769" spans="40:48" x14ac:dyDescent="0.25">
      <c r="AN769" t="s">
        <v>50</v>
      </c>
      <c r="AO769" t="s">
        <v>26</v>
      </c>
      <c r="AP769">
        <v>2007</v>
      </c>
      <c r="AQ769" t="s">
        <v>36</v>
      </c>
      <c r="AR769" t="s">
        <v>330</v>
      </c>
      <c r="AS769" t="s">
        <v>306</v>
      </c>
      <c r="AT769" t="s">
        <v>240</v>
      </c>
      <c r="AU769" t="s">
        <v>268</v>
      </c>
      <c r="AV769">
        <v>0</v>
      </c>
    </row>
    <row r="770" spans="40:48" x14ac:dyDescent="0.25">
      <c r="AN770" t="s">
        <v>50</v>
      </c>
      <c r="AO770" t="s">
        <v>26</v>
      </c>
      <c r="AP770">
        <v>2007</v>
      </c>
      <c r="AQ770" t="s">
        <v>36</v>
      </c>
      <c r="AR770" t="s">
        <v>330</v>
      </c>
      <c r="AS770" t="s">
        <v>306</v>
      </c>
      <c r="AT770" t="s">
        <v>314</v>
      </c>
      <c r="AU770" t="s">
        <v>308</v>
      </c>
      <c r="AV770">
        <v>0</v>
      </c>
    </row>
    <row r="771" spans="40:48" x14ac:dyDescent="0.25">
      <c r="AN771" t="s">
        <v>50</v>
      </c>
      <c r="AO771" t="s">
        <v>26</v>
      </c>
      <c r="AP771">
        <v>2007</v>
      </c>
      <c r="AQ771" t="s">
        <v>36</v>
      </c>
      <c r="AR771" t="s">
        <v>330</v>
      </c>
      <c r="AS771" t="s">
        <v>306</v>
      </c>
      <c r="AT771" t="s">
        <v>314</v>
      </c>
      <c r="AU771" t="s">
        <v>309</v>
      </c>
      <c r="AV771">
        <v>0</v>
      </c>
    </row>
    <row r="772" spans="40:48" x14ac:dyDescent="0.25">
      <c r="AN772" t="s">
        <v>50</v>
      </c>
      <c r="AO772" t="s">
        <v>26</v>
      </c>
      <c r="AP772">
        <v>2007</v>
      </c>
      <c r="AQ772" t="s">
        <v>36</v>
      </c>
      <c r="AR772" t="s">
        <v>330</v>
      </c>
      <c r="AS772" t="s">
        <v>306</v>
      </c>
      <c r="AT772" t="s">
        <v>314</v>
      </c>
      <c r="AU772" t="s">
        <v>268</v>
      </c>
      <c r="AV772">
        <v>0</v>
      </c>
    </row>
    <row r="773" spans="40:48" x14ac:dyDescent="0.25">
      <c r="AN773" t="s">
        <v>50</v>
      </c>
      <c r="AO773" t="s">
        <v>26</v>
      </c>
      <c r="AP773">
        <v>2007</v>
      </c>
      <c r="AQ773" t="s">
        <v>36</v>
      </c>
      <c r="AR773" t="s">
        <v>330</v>
      </c>
      <c r="AS773" t="s">
        <v>306</v>
      </c>
      <c r="AT773" t="s">
        <v>242</v>
      </c>
      <c r="AU773" t="s">
        <v>308</v>
      </c>
      <c r="AV773">
        <v>2.7</v>
      </c>
    </row>
    <row r="774" spans="40:48" x14ac:dyDescent="0.25">
      <c r="AN774" t="s">
        <v>50</v>
      </c>
      <c r="AO774" t="s">
        <v>26</v>
      </c>
      <c r="AP774">
        <v>2007</v>
      </c>
      <c r="AQ774" t="s">
        <v>36</v>
      </c>
      <c r="AR774" t="s">
        <v>330</v>
      </c>
      <c r="AS774" t="s">
        <v>306</v>
      </c>
      <c r="AT774" t="s">
        <v>242</v>
      </c>
      <c r="AU774" t="s">
        <v>309</v>
      </c>
      <c r="AV774">
        <v>9.1</v>
      </c>
    </row>
    <row r="775" spans="40:48" x14ac:dyDescent="0.25">
      <c r="AN775" t="s">
        <v>50</v>
      </c>
      <c r="AO775" t="s">
        <v>26</v>
      </c>
      <c r="AP775">
        <v>2007</v>
      </c>
      <c r="AQ775" t="s">
        <v>36</v>
      </c>
      <c r="AR775" t="s">
        <v>330</v>
      </c>
      <c r="AS775" t="s">
        <v>306</v>
      </c>
      <c r="AT775" t="s">
        <v>242</v>
      </c>
      <c r="AU775" t="s">
        <v>268</v>
      </c>
      <c r="AV775">
        <v>11.8</v>
      </c>
    </row>
    <row r="776" spans="40:48" x14ac:dyDescent="0.25">
      <c r="AN776" t="s">
        <v>50</v>
      </c>
      <c r="AO776" t="s">
        <v>26</v>
      </c>
      <c r="AP776">
        <v>2007</v>
      </c>
      <c r="AQ776" t="s">
        <v>36</v>
      </c>
      <c r="AR776" t="s">
        <v>330</v>
      </c>
      <c r="AS776" t="s">
        <v>306</v>
      </c>
      <c r="AT776" t="s">
        <v>243</v>
      </c>
      <c r="AU776" t="s">
        <v>326</v>
      </c>
      <c r="AV776">
        <v>0</v>
      </c>
    </row>
    <row r="777" spans="40:48" x14ac:dyDescent="0.25">
      <c r="AN777" t="s">
        <v>50</v>
      </c>
      <c r="AO777" t="s">
        <v>26</v>
      </c>
      <c r="AP777">
        <v>2007</v>
      </c>
      <c r="AQ777" t="s">
        <v>36</v>
      </c>
      <c r="AR777" t="s">
        <v>330</v>
      </c>
      <c r="AS777" t="s">
        <v>306</v>
      </c>
      <c r="AT777" t="s">
        <v>243</v>
      </c>
      <c r="AU777" t="s">
        <v>327</v>
      </c>
      <c r="AV777">
        <v>0</v>
      </c>
    </row>
    <row r="778" spans="40:48" x14ac:dyDescent="0.25">
      <c r="AN778" t="s">
        <v>50</v>
      </c>
      <c r="AO778" t="s">
        <v>26</v>
      </c>
      <c r="AP778">
        <v>2007</v>
      </c>
      <c r="AQ778" t="s">
        <v>36</v>
      </c>
      <c r="AR778" t="s">
        <v>330</v>
      </c>
      <c r="AS778" t="s">
        <v>306</v>
      </c>
      <c r="AT778" t="s">
        <v>243</v>
      </c>
      <c r="AU778" t="s">
        <v>329</v>
      </c>
      <c r="AV778">
        <v>34.549999999999997</v>
      </c>
    </row>
    <row r="779" spans="40:48" x14ac:dyDescent="0.25">
      <c r="AN779" t="s">
        <v>52</v>
      </c>
      <c r="AO779" t="s">
        <v>26</v>
      </c>
      <c r="AP779">
        <v>2006</v>
      </c>
      <c r="AQ779" t="s">
        <v>36</v>
      </c>
      <c r="AR779" t="s">
        <v>330</v>
      </c>
      <c r="AS779" t="s">
        <v>306</v>
      </c>
      <c r="AT779" t="s">
        <v>218</v>
      </c>
      <c r="AU779" t="s">
        <v>308</v>
      </c>
      <c r="AV779">
        <v>0</v>
      </c>
    </row>
    <row r="780" spans="40:48" x14ac:dyDescent="0.25">
      <c r="AN780" t="s">
        <v>52</v>
      </c>
      <c r="AO780" t="s">
        <v>26</v>
      </c>
      <c r="AP780">
        <v>2006</v>
      </c>
      <c r="AQ780" t="s">
        <v>36</v>
      </c>
      <c r="AR780" t="s">
        <v>330</v>
      </c>
      <c r="AS780" t="s">
        <v>306</v>
      </c>
      <c r="AT780" t="s">
        <v>218</v>
      </c>
      <c r="AU780" t="s">
        <v>309</v>
      </c>
      <c r="AV780">
        <v>0</v>
      </c>
    </row>
    <row r="781" spans="40:48" x14ac:dyDescent="0.25">
      <c r="AN781" t="s">
        <v>52</v>
      </c>
      <c r="AO781" t="s">
        <v>26</v>
      </c>
      <c r="AP781">
        <v>2006</v>
      </c>
      <c r="AQ781" t="s">
        <v>36</v>
      </c>
      <c r="AR781" t="s">
        <v>330</v>
      </c>
      <c r="AS781" t="s">
        <v>306</v>
      </c>
      <c r="AT781" t="s">
        <v>218</v>
      </c>
      <c r="AU781" t="s">
        <v>268</v>
      </c>
      <c r="AV781">
        <v>0</v>
      </c>
    </row>
    <row r="782" spans="40:48" x14ac:dyDescent="0.25">
      <c r="AN782" t="s">
        <v>52</v>
      </c>
      <c r="AO782" t="s">
        <v>26</v>
      </c>
      <c r="AP782">
        <v>2006</v>
      </c>
      <c r="AQ782" t="s">
        <v>36</v>
      </c>
      <c r="AR782" t="s">
        <v>330</v>
      </c>
      <c r="AS782" t="s">
        <v>306</v>
      </c>
      <c r="AT782" t="s">
        <v>238</v>
      </c>
      <c r="AU782" t="s">
        <v>308</v>
      </c>
      <c r="AV782">
        <v>2.2000000000000002</v>
      </c>
    </row>
    <row r="783" spans="40:48" x14ac:dyDescent="0.25">
      <c r="AN783" t="s">
        <v>52</v>
      </c>
      <c r="AO783" t="s">
        <v>26</v>
      </c>
      <c r="AP783">
        <v>2006</v>
      </c>
      <c r="AQ783" t="s">
        <v>36</v>
      </c>
      <c r="AR783" t="s">
        <v>330</v>
      </c>
      <c r="AS783" t="s">
        <v>306</v>
      </c>
      <c r="AT783" t="s">
        <v>238</v>
      </c>
      <c r="AU783" t="s">
        <v>309</v>
      </c>
      <c r="AV783">
        <v>6.2</v>
      </c>
    </row>
    <row r="784" spans="40:48" x14ac:dyDescent="0.25">
      <c r="AN784" t="s">
        <v>52</v>
      </c>
      <c r="AO784" t="s">
        <v>26</v>
      </c>
      <c r="AP784">
        <v>2006</v>
      </c>
      <c r="AQ784" t="s">
        <v>36</v>
      </c>
      <c r="AR784" t="s">
        <v>330</v>
      </c>
      <c r="AS784" t="s">
        <v>306</v>
      </c>
      <c r="AT784" t="s">
        <v>238</v>
      </c>
      <c r="AU784" t="s">
        <v>268</v>
      </c>
      <c r="AV784">
        <v>8.4</v>
      </c>
    </row>
    <row r="785" spans="40:48" x14ac:dyDescent="0.25">
      <c r="AN785" t="s">
        <v>52</v>
      </c>
      <c r="AO785" t="s">
        <v>26</v>
      </c>
      <c r="AP785">
        <v>2006</v>
      </c>
      <c r="AQ785" t="s">
        <v>36</v>
      </c>
      <c r="AR785" t="s">
        <v>330</v>
      </c>
      <c r="AS785" t="s">
        <v>306</v>
      </c>
      <c r="AT785" t="s">
        <v>239</v>
      </c>
      <c r="AU785" t="s">
        <v>308</v>
      </c>
      <c r="AV785">
        <v>0</v>
      </c>
    </row>
    <row r="786" spans="40:48" x14ac:dyDescent="0.25">
      <c r="AN786" t="s">
        <v>52</v>
      </c>
      <c r="AO786" t="s">
        <v>26</v>
      </c>
      <c r="AP786">
        <v>2006</v>
      </c>
      <c r="AQ786" t="s">
        <v>36</v>
      </c>
      <c r="AR786" t="s">
        <v>330</v>
      </c>
      <c r="AS786" t="s">
        <v>306</v>
      </c>
      <c r="AT786" t="s">
        <v>239</v>
      </c>
      <c r="AU786" t="s">
        <v>309</v>
      </c>
      <c r="AV786">
        <v>0</v>
      </c>
    </row>
    <row r="787" spans="40:48" x14ac:dyDescent="0.25">
      <c r="AN787" t="s">
        <v>52</v>
      </c>
      <c r="AO787" t="s">
        <v>26</v>
      </c>
      <c r="AP787">
        <v>2006</v>
      </c>
      <c r="AQ787" t="s">
        <v>36</v>
      </c>
      <c r="AR787" t="s">
        <v>330</v>
      </c>
      <c r="AS787" t="s">
        <v>306</v>
      </c>
      <c r="AT787" t="s">
        <v>239</v>
      </c>
      <c r="AU787" t="s">
        <v>268</v>
      </c>
      <c r="AV787">
        <v>0</v>
      </c>
    </row>
    <row r="788" spans="40:48" x14ac:dyDescent="0.25">
      <c r="AN788" t="s">
        <v>52</v>
      </c>
      <c r="AO788" t="s">
        <v>26</v>
      </c>
      <c r="AP788">
        <v>2006</v>
      </c>
      <c r="AQ788" t="s">
        <v>36</v>
      </c>
      <c r="AR788" t="s">
        <v>330</v>
      </c>
      <c r="AS788" t="s">
        <v>306</v>
      </c>
      <c r="AT788" t="s">
        <v>240</v>
      </c>
      <c r="AU788" t="s">
        <v>308</v>
      </c>
      <c r="AV788">
        <v>1.6</v>
      </c>
    </row>
    <row r="789" spans="40:48" x14ac:dyDescent="0.25">
      <c r="AN789" t="s">
        <v>52</v>
      </c>
      <c r="AO789" t="s">
        <v>26</v>
      </c>
      <c r="AP789">
        <v>2006</v>
      </c>
      <c r="AQ789" t="s">
        <v>36</v>
      </c>
      <c r="AR789" t="s">
        <v>330</v>
      </c>
      <c r="AS789" t="s">
        <v>306</v>
      </c>
      <c r="AT789" t="s">
        <v>240</v>
      </c>
      <c r="AU789" t="s">
        <v>309</v>
      </c>
      <c r="AV789">
        <v>9.4499999999999993</v>
      </c>
    </row>
    <row r="790" spans="40:48" x14ac:dyDescent="0.25">
      <c r="AN790" t="s">
        <v>52</v>
      </c>
      <c r="AO790" t="s">
        <v>26</v>
      </c>
      <c r="AP790">
        <v>2006</v>
      </c>
      <c r="AQ790" t="s">
        <v>36</v>
      </c>
      <c r="AR790" t="s">
        <v>330</v>
      </c>
      <c r="AS790" t="s">
        <v>306</v>
      </c>
      <c r="AT790" t="s">
        <v>240</v>
      </c>
      <c r="AU790" t="s">
        <v>268</v>
      </c>
      <c r="AV790">
        <v>11.05</v>
      </c>
    </row>
    <row r="791" spans="40:48" x14ac:dyDescent="0.25">
      <c r="AN791" t="s">
        <v>52</v>
      </c>
      <c r="AO791" t="s">
        <v>26</v>
      </c>
      <c r="AP791">
        <v>2006</v>
      </c>
      <c r="AQ791" t="s">
        <v>36</v>
      </c>
      <c r="AR791" t="s">
        <v>330</v>
      </c>
      <c r="AS791" t="s">
        <v>306</v>
      </c>
      <c r="AT791" t="s">
        <v>314</v>
      </c>
      <c r="AU791" t="s">
        <v>308</v>
      </c>
      <c r="AV791">
        <v>2.4</v>
      </c>
    </row>
    <row r="792" spans="40:48" x14ac:dyDescent="0.25">
      <c r="AN792" t="s">
        <v>52</v>
      </c>
      <c r="AO792" t="s">
        <v>26</v>
      </c>
      <c r="AP792">
        <v>2006</v>
      </c>
      <c r="AQ792" t="s">
        <v>36</v>
      </c>
      <c r="AR792" t="s">
        <v>330</v>
      </c>
      <c r="AS792" t="s">
        <v>306</v>
      </c>
      <c r="AT792" t="s">
        <v>314</v>
      </c>
      <c r="AU792" t="s">
        <v>309</v>
      </c>
      <c r="AV792">
        <v>9.1</v>
      </c>
    </row>
    <row r="793" spans="40:48" x14ac:dyDescent="0.25">
      <c r="AN793" t="s">
        <v>52</v>
      </c>
      <c r="AO793" t="s">
        <v>26</v>
      </c>
      <c r="AP793">
        <v>2006</v>
      </c>
      <c r="AQ793" t="s">
        <v>36</v>
      </c>
      <c r="AR793" t="s">
        <v>330</v>
      </c>
      <c r="AS793" t="s">
        <v>306</v>
      </c>
      <c r="AT793" t="s">
        <v>314</v>
      </c>
      <c r="AU793" t="s">
        <v>268</v>
      </c>
      <c r="AV793">
        <v>11.5</v>
      </c>
    </row>
    <row r="794" spans="40:48" x14ac:dyDescent="0.25">
      <c r="AN794" t="s">
        <v>52</v>
      </c>
      <c r="AO794" t="s">
        <v>26</v>
      </c>
      <c r="AP794">
        <v>2006</v>
      </c>
      <c r="AQ794" t="s">
        <v>36</v>
      </c>
      <c r="AR794" t="s">
        <v>330</v>
      </c>
      <c r="AS794" t="s">
        <v>306</v>
      </c>
      <c r="AT794" t="s">
        <v>242</v>
      </c>
      <c r="AU794" t="s">
        <v>308</v>
      </c>
      <c r="AV794">
        <v>0</v>
      </c>
    </row>
    <row r="795" spans="40:48" x14ac:dyDescent="0.25">
      <c r="AN795" t="s">
        <v>52</v>
      </c>
      <c r="AO795" t="s">
        <v>26</v>
      </c>
      <c r="AP795">
        <v>2006</v>
      </c>
      <c r="AQ795" t="s">
        <v>36</v>
      </c>
      <c r="AR795" t="s">
        <v>330</v>
      </c>
      <c r="AS795" t="s">
        <v>306</v>
      </c>
      <c r="AT795" t="s">
        <v>242</v>
      </c>
      <c r="AU795" t="s">
        <v>309</v>
      </c>
      <c r="AV795">
        <v>0</v>
      </c>
    </row>
    <row r="796" spans="40:48" x14ac:dyDescent="0.25">
      <c r="AN796" t="s">
        <v>52</v>
      </c>
      <c r="AO796" t="s">
        <v>26</v>
      </c>
      <c r="AP796">
        <v>2006</v>
      </c>
      <c r="AQ796" t="s">
        <v>36</v>
      </c>
      <c r="AR796" t="s">
        <v>330</v>
      </c>
      <c r="AS796" t="s">
        <v>306</v>
      </c>
      <c r="AT796" t="s">
        <v>242</v>
      </c>
      <c r="AU796" t="s">
        <v>268</v>
      </c>
      <c r="AV796">
        <v>0</v>
      </c>
    </row>
    <row r="797" spans="40:48" x14ac:dyDescent="0.25">
      <c r="AN797" t="s">
        <v>52</v>
      </c>
      <c r="AO797" t="s">
        <v>26</v>
      </c>
      <c r="AP797">
        <v>2006</v>
      </c>
      <c r="AQ797" t="s">
        <v>36</v>
      </c>
      <c r="AR797" t="s">
        <v>330</v>
      </c>
      <c r="AS797" t="s">
        <v>306</v>
      </c>
      <c r="AT797" t="s">
        <v>243</v>
      </c>
      <c r="AU797" t="s">
        <v>326</v>
      </c>
      <c r="AV797">
        <v>0</v>
      </c>
    </row>
    <row r="798" spans="40:48" x14ac:dyDescent="0.25">
      <c r="AN798" t="s">
        <v>52</v>
      </c>
      <c r="AO798" t="s">
        <v>26</v>
      </c>
      <c r="AP798">
        <v>2006</v>
      </c>
      <c r="AQ798" t="s">
        <v>36</v>
      </c>
      <c r="AR798" t="s">
        <v>330</v>
      </c>
      <c r="AS798" t="s">
        <v>306</v>
      </c>
      <c r="AT798" t="s">
        <v>243</v>
      </c>
      <c r="AU798" t="s">
        <v>327</v>
      </c>
      <c r="AV798">
        <v>0</v>
      </c>
    </row>
    <row r="799" spans="40:48" x14ac:dyDescent="0.25">
      <c r="AN799" t="s">
        <v>52</v>
      </c>
      <c r="AO799" t="s">
        <v>26</v>
      </c>
      <c r="AP799">
        <v>2006</v>
      </c>
      <c r="AQ799" t="s">
        <v>36</v>
      </c>
      <c r="AR799" t="s">
        <v>330</v>
      </c>
      <c r="AS799" t="s">
        <v>306</v>
      </c>
      <c r="AT799" t="s">
        <v>243</v>
      </c>
      <c r="AU799" t="s">
        <v>329</v>
      </c>
      <c r="AV799">
        <v>30.95</v>
      </c>
    </row>
    <row r="800" spans="40:48" x14ac:dyDescent="0.25">
      <c r="AN800" t="s">
        <v>125</v>
      </c>
      <c r="AO800" t="s">
        <v>26</v>
      </c>
      <c r="AP800">
        <v>2006</v>
      </c>
      <c r="AQ800" t="s">
        <v>67</v>
      </c>
      <c r="AR800" t="s">
        <v>330</v>
      </c>
      <c r="AS800" t="s">
        <v>306</v>
      </c>
      <c r="AT800" t="s">
        <v>218</v>
      </c>
      <c r="AU800" t="s">
        <v>308</v>
      </c>
      <c r="AV800">
        <v>3.5</v>
      </c>
    </row>
    <row r="801" spans="40:48" x14ac:dyDescent="0.25">
      <c r="AN801" t="s">
        <v>125</v>
      </c>
      <c r="AO801" t="s">
        <v>26</v>
      </c>
      <c r="AP801">
        <v>2006</v>
      </c>
      <c r="AQ801" t="s">
        <v>67</v>
      </c>
      <c r="AR801" t="s">
        <v>330</v>
      </c>
      <c r="AS801" t="s">
        <v>306</v>
      </c>
      <c r="AT801" t="s">
        <v>218</v>
      </c>
      <c r="AU801" t="s">
        <v>309</v>
      </c>
      <c r="AV801">
        <v>7.85</v>
      </c>
    </row>
    <row r="802" spans="40:48" x14ac:dyDescent="0.25">
      <c r="AN802" t="s">
        <v>125</v>
      </c>
      <c r="AO802" t="s">
        <v>26</v>
      </c>
      <c r="AP802">
        <v>2006</v>
      </c>
      <c r="AQ802" t="s">
        <v>67</v>
      </c>
      <c r="AR802" t="s">
        <v>330</v>
      </c>
      <c r="AS802" t="s">
        <v>306</v>
      </c>
      <c r="AT802" t="s">
        <v>218</v>
      </c>
      <c r="AU802" t="s">
        <v>268</v>
      </c>
      <c r="AV802">
        <v>11.35</v>
      </c>
    </row>
    <row r="803" spans="40:48" x14ac:dyDescent="0.25">
      <c r="AN803" t="s">
        <v>125</v>
      </c>
      <c r="AO803" t="s">
        <v>26</v>
      </c>
      <c r="AP803">
        <v>2006</v>
      </c>
      <c r="AQ803" t="s">
        <v>67</v>
      </c>
      <c r="AR803" t="s">
        <v>330</v>
      </c>
      <c r="AS803" t="s">
        <v>306</v>
      </c>
      <c r="AT803" t="s">
        <v>238</v>
      </c>
      <c r="AU803" t="s">
        <v>308</v>
      </c>
      <c r="AV803">
        <v>0</v>
      </c>
    </row>
    <row r="804" spans="40:48" x14ac:dyDescent="0.25">
      <c r="AN804" t="s">
        <v>125</v>
      </c>
      <c r="AO804" t="s">
        <v>26</v>
      </c>
      <c r="AP804">
        <v>2006</v>
      </c>
      <c r="AQ804" t="s">
        <v>67</v>
      </c>
      <c r="AR804" t="s">
        <v>330</v>
      </c>
      <c r="AS804" t="s">
        <v>306</v>
      </c>
      <c r="AT804" t="s">
        <v>238</v>
      </c>
      <c r="AU804" t="s">
        <v>309</v>
      </c>
      <c r="AV804">
        <v>0</v>
      </c>
    </row>
    <row r="805" spans="40:48" x14ac:dyDescent="0.25">
      <c r="AN805" t="s">
        <v>125</v>
      </c>
      <c r="AO805" t="s">
        <v>26</v>
      </c>
      <c r="AP805">
        <v>2006</v>
      </c>
      <c r="AQ805" t="s">
        <v>67</v>
      </c>
      <c r="AR805" t="s">
        <v>330</v>
      </c>
      <c r="AS805" t="s">
        <v>306</v>
      </c>
      <c r="AT805" t="s">
        <v>238</v>
      </c>
      <c r="AU805" t="s">
        <v>268</v>
      </c>
      <c r="AV805">
        <v>0</v>
      </c>
    </row>
    <row r="806" spans="40:48" x14ac:dyDescent="0.25">
      <c r="AN806" t="s">
        <v>125</v>
      </c>
      <c r="AO806" t="s">
        <v>26</v>
      </c>
      <c r="AP806">
        <v>2006</v>
      </c>
      <c r="AQ806" t="s">
        <v>67</v>
      </c>
      <c r="AR806" t="s">
        <v>330</v>
      </c>
      <c r="AS806" t="s">
        <v>306</v>
      </c>
      <c r="AT806" t="s">
        <v>239</v>
      </c>
      <c r="AU806" t="s">
        <v>308</v>
      </c>
      <c r="AV806">
        <v>0</v>
      </c>
    </row>
    <row r="807" spans="40:48" x14ac:dyDescent="0.25">
      <c r="AN807" t="s">
        <v>125</v>
      </c>
      <c r="AO807" t="s">
        <v>26</v>
      </c>
      <c r="AP807">
        <v>2006</v>
      </c>
      <c r="AQ807" t="s">
        <v>67</v>
      </c>
      <c r="AR807" t="s">
        <v>330</v>
      </c>
      <c r="AS807" t="s">
        <v>306</v>
      </c>
      <c r="AT807" t="s">
        <v>239</v>
      </c>
      <c r="AU807" t="s">
        <v>309</v>
      </c>
      <c r="AV807">
        <v>0</v>
      </c>
    </row>
    <row r="808" spans="40:48" x14ac:dyDescent="0.25">
      <c r="AN808" t="s">
        <v>125</v>
      </c>
      <c r="AO808" t="s">
        <v>26</v>
      </c>
      <c r="AP808">
        <v>2006</v>
      </c>
      <c r="AQ808" t="s">
        <v>67</v>
      </c>
      <c r="AR808" t="s">
        <v>330</v>
      </c>
      <c r="AS808" t="s">
        <v>306</v>
      </c>
      <c r="AT808" t="s">
        <v>239</v>
      </c>
      <c r="AU808" t="s">
        <v>268</v>
      </c>
      <c r="AV808">
        <v>0</v>
      </c>
    </row>
    <row r="809" spans="40:48" x14ac:dyDescent="0.25">
      <c r="AN809" t="s">
        <v>125</v>
      </c>
      <c r="AO809" t="s">
        <v>26</v>
      </c>
      <c r="AP809">
        <v>2006</v>
      </c>
      <c r="AQ809" t="s">
        <v>67</v>
      </c>
      <c r="AR809" t="s">
        <v>330</v>
      </c>
      <c r="AS809" t="s">
        <v>306</v>
      </c>
      <c r="AT809" t="s">
        <v>240</v>
      </c>
      <c r="AU809" t="s">
        <v>308</v>
      </c>
      <c r="AV809">
        <v>3.2</v>
      </c>
    </row>
    <row r="810" spans="40:48" x14ac:dyDescent="0.25">
      <c r="AN810" t="s">
        <v>125</v>
      </c>
      <c r="AO810" t="s">
        <v>26</v>
      </c>
      <c r="AP810">
        <v>2006</v>
      </c>
      <c r="AQ810" t="s">
        <v>67</v>
      </c>
      <c r="AR810" t="s">
        <v>330</v>
      </c>
      <c r="AS810" t="s">
        <v>306</v>
      </c>
      <c r="AT810" t="s">
        <v>240</v>
      </c>
      <c r="AU810" t="s">
        <v>309</v>
      </c>
      <c r="AV810">
        <v>8.1999999999999993</v>
      </c>
    </row>
    <row r="811" spans="40:48" x14ac:dyDescent="0.25">
      <c r="AN811" t="s">
        <v>125</v>
      </c>
      <c r="AO811" t="s">
        <v>26</v>
      </c>
      <c r="AP811">
        <v>2006</v>
      </c>
      <c r="AQ811" t="s">
        <v>67</v>
      </c>
      <c r="AR811" t="s">
        <v>330</v>
      </c>
      <c r="AS811" t="s">
        <v>306</v>
      </c>
      <c r="AT811" t="s">
        <v>240</v>
      </c>
      <c r="AU811" t="s">
        <v>268</v>
      </c>
      <c r="AV811">
        <v>11.4</v>
      </c>
    </row>
    <row r="812" spans="40:48" x14ac:dyDescent="0.25">
      <c r="AN812" t="s">
        <v>125</v>
      </c>
      <c r="AO812" t="s">
        <v>26</v>
      </c>
      <c r="AP812">
        <v>2006</v>
      </c>
      <c r="AQ812" t="s">
        <v>67</v>
      </c>
      <c r="AR812" t="s">
        <v>330</v>
      </c>
      <c r="AS812" t="s">
        <v>306</v>
      </c>
      <c r="AT812" t="s">
        <v>314</v>
      </c>
      <c r="AU812" t="s">
        <v>308</v>
      </c>
      <c r="AV812">
        <v>0</v>
      </c>
    </row>
    <row r="813" spans="40:48" x14ac:dyDescent="0.25">
      <c r="AN813" t="s">
        <v>125</v>
      </c>
      <c r="AO813" t="s">
        <v>26</v>
      </c>
      <c r="AP813">
        <v>2006</v>
      </c>
      <c r="AQ813" t="s">
        <v>67</v>
      </c>
      <c r="AR813" t="s">
        <v>330</v>
      </c>
      <c r="AS813" t="s">
        <v>306</v>
      </c>
      <c r="AT813" t="s">
        <v>314</v>
      </c>
      <c r="AU813" t="s">
        <v>309</v>
      </c>
      <c r="AV813">
        <v>0</v>
      </c>
    </row>
    <row r="814" spans="40:48" x14ac:dyDescent="0.25">
      <c r="AN814" t="s">
        <v>125</v>
      </c>
      <c r="AO814" t="s">
        <v>26</v>
      </c>
      <c r="AP814">
        <v>2006</v>
      </c>
      <c r="AQ814" t="s">
        <v>67</v>
      </c>
      <c r="AR814" t="s">
        <v>330</v>
      </c>
      <c r="AS814" t="s">
        <v>306</v>
      </c>
      <c r="AT814" t="s">
        <v>314</v>
      </c>
      <c r="AU814" t="s">
        <v>268</v>
      </c>
      <c r="AV814">
        <v>0</v>
      </c>
    </row>
    <row r="815" spans="40:48" x14ac:dyDescent="0.25">
      <c r="AN815" t="s">
        <v>125</v>
      </c>
      <c r="AO815" t="s">
        <v>26</v>
      </c>
      <c r="AP815">
        <v>2006</v>
      </c>
      <c r="AQ815" t="s">
        <v>67</v>
      </c>
      <c r="AR815" t="s">
        <v>330</v>
      </c>
      <c r="AS815" t="s">
        <v>306</v>
      </c>
      <c r="AT815" t="s">
        <v>242</v>
      </c>
      <c r="AU815" t="s">
        <v>308</v>
      </c>
      <c r="AV815">
        <v>0</v>
      </c>
    </row>
    <row r="816" spans="40:48" x14ac:dyDescent="0.25">
      <c r="AN816" t="s">
        <v>125</v>
      </c>
      <c r="AO816" t="s">
        <v>26</v>
      </c>
      <c r="AP816">
        <v>2006</v>
      </c>
      <c r="AQ816" t="s">
        <v>67</v>
      </c>
      <c r="AR816" t="s">
        <v>330</v>
      </c>
      <c r="AS816" t="s">
        <v>306</v>
      </c>
      <c r="AT816" t="s">
        <v>242</v>
      </c>
      <c r="AU816" t="s">
        <v>309</v>
      </c>
      <c r="AV816">
        <v>0</v>
      </c>
    </row>
    <row r="817" spans="40:48" x14ac:dyDescent="0.25">
      <c r="AN817" t="s">
        <v>125</v>
      </c>
      <c r="AO817" t="s">
        <v>26</v>
      </c>
      <c r="AP817">
        <v>2006</v>
      </c>
      <c r="AQ817" t="s">
        <v>67</v>
      </c>
      <c r="AR817" t="s">
        <v>330</v>
      </c>
      <c r="AS817" t="s">
        <v>306</v>
      </c>
      <c r="AT817" t="s">
        <v>242</v>
      </c>
      <c r="AU817" t="s">
        <v>268</v>
      </c>
      <c r="AV817">
        <v>0</v>
      </c>
    </row>
    <row r="818" spans="40:48" x14ac:dyDescent="0.25">
      <c r="AN818" t="s">
        <v>125</v>
      </c>
      <c r="AO818" t="s">
        <v>26</v>
      </c>
      <c r="AP818">
        <v>2006</v>
      </c>
      <c r="AQ818" t="s">
        <v>67</v>
      </c>
      <c r="AR818" t="s">
        <v>330</v>
      </c>
      <c r="AS818" t="s">
        <v>306</v>
      </c>
      <c r="AT818" t="s">
        <v>243</v>
      </c>
      <c r="AU818" t="s">
        <v>326</v>
      </c>
      <c r="AV818">
        <v>0</v>
      </c>
    </row>
    <row r="819" spans="40:48" x14ac:dyDescent="0.25">
      <c r="AN819" t="s">
        <v>125</v>
      </c>
      <c r="AO819" t="s">
        <v>26</v>
      </c>
      <c r="AP819">
        <v>2006</v>
      </c>
      <c r="AQ819" t="s">
        <v>67</v>
      </c>
      <c r="AR819" t="s">
        <v>330</v>
      </c>
      <c r="AS819" t="s">
        <v>306</v>
      </c>
      <c r="AT819" t="s">
        <v>243</v>
      </c>
      <c r="AU819" t="s">
        <v>327</v>
      </c>
      <c r="AV819">
        <v>0</v>
      </c>
    </row>
    <row r="820" spans="40:48" x14ac:dyDescent="0.25">
      <c r="AN820" t="s">
        <v>125</v>
      </c>
      <c r="AO820" t="s">
        <v>26</v>
      </c>
      <c r="AP820">
        <v>2006</v>
      </c>
      <c r="AQ820" t="s">
        <v>67</v>
      </c>
      <c r="AR820" t="s">
        <v>330</v>
      </c>
      <c r="AS820" t="s">
        <v>306</v>
      </c>
      <c r="AT820" t="s">
        <v>243</v>
      </c>
      <c r="AU820" t="s">
        <v>329</v>
      </c>
      <c r="AV820">
        <v>22.75</v>
      </c>
    </row>
  </sheetData>
  <mergeCells count="2">
    <mergeCell ref="AD2:AD8"/>
    <mergeCell ref="AD9:AD15"/>
  </mergeCells>
  <phoneticPr fontId="1" type="noConversion"/>
  <conditionalFormatting sqref="B2:B40">
    <cfRule type="expression" dxfId="660" priority="1">
      <formula>IF($C2="junior",$AB2=MAX(_xlfn._xlws.FILTER($AB$2:$AB$40,$C$2:$C$40="junior")),$AB2=MAX(_xlfn._xlws.FILTER($AB$2:$AB$40,$C$2:$C$40="senior")))</formula>
    </cfRule>
    <cfRule type="expression" dxfId="659" priority="2">
      <formula>IF($C2="junior",$AB2=LARGE(_xlfn._xlws.FILTER($AB$2:$AB$40,$C$2:$C$40="junior"),2),$AB2=LARGE(_xlfn._xlws.FILTER($AB$2:$AB$40,$C$2:$C$40="senior"),2))</formula>
    </cfRule>
    <cfRule type="expression" dxfId="658" priority="3">
      <formula>IF($C2="junior",$AB2=LARGE(_xlfn._xlws.FILTER($AB$2:$AB$40,$C$2:$C$40="junior"),3),$AB2=LARGE(_xlfn._xlws.FILTER($AB$2:$AB$40,$C$2:$C$40="senior"),3))</formula>
    </cfRule>
    <cfRule type="expression" dxfId="657" priority="4">
      <formula>IF($C2="junior",Z2=MAX(_xlfn._xlws.FILTER($Z$2:$Z$40,$C$2:$C$40="junior")),Z2=MAX(_xlfn._xlws.FILTER($Z$2:$Z$40,$C$2:$C$40="senior")))</formula>
    </cfRule>
    <cfRule type="expression" dxfId="656" priority="5">
      <formula>IF($C2="junior",$AA2=MAX(_xlfn._xlws.FILTER($AA$2:$AA$40,$C$2:$C$40="junior")),$AA2=MAX(_xlfn._xlws.FILTER($AA$2:$AA$40,$C$2:$C$40="junior")))</formula>
    </cfRule>
  </conditionalFormatting>
  <conditionalFormatting sqref="H2:H40 K2:K40 N2:N40 Q2:Q40 T2:T40 W2:W40">
    <cfRule type="expression" dxfId="655" priority="28">
      <formula>AND(AND($C2="junior",H2&lt;2.6),H2&gt;0)</formula>
    </cfRule>
    <cfRule type="expression" dxfId="654" priority="29">
      <formula>AND(AND($C2="senior",H2&lt;2.9),H2&gt;0)</formula>
    </cfRule>
  </conditionalFormatting>
  <conditionalFormatting sqref="H2:H40">
    <cfRule type="expression" dxfId="653" priority="26">
      <formula>IF($C2="junior",H2&gt;=$AF$10+$AG$10,H2&gt;=$AF$3+$AG$3)</formula>
    </cfRule>
  </conditionalFormatting>
  <conditionalFormatting sqref="H2:AB40">
    <cfRule type="cellIs" dxfId="652" priority="30" operator="equal">
      <formula>0</formula>
    </cfRule>
  </conditionalFormatting>
  <conditionalFormatting sqref="J2:J40">
    <cfRule type="expression" dxfId="651" priority="25">
      <formula>IF($C2="junior",J2=MAX(_xlfn._xlws.FILTER(J$2:J$40,$C$2:$C$40="junior")),J2=MAX(_xlfn._xlws.FILTER(J$2:J$40,$C$2:$C$40="senior")))</formula>
    </cfRule>
    <cfRule type="expression" dxfId="650" priority="27">
      <formula>IF($C2="junior",J2&gt;=$AJ$10+$AK$10,J2&gt;=$AJ$3+$AK$3)</formula>
    </cfRule>
  </conditionalFormatting>
  <conditionalFormatting sqref="K2:K40">
    <cfRule type="expression" dxfId="649" priority="11">
      <formula>IF($C2="junior",K2&gt;=$AF$13+$AG$13,K2&gt;=$AF$6+$AG$6)</formula>
    </cfRule>
  </conditionalFormatting>
  <conditionalFormatting sqref="M2:M40">
    <cfRule type="expression" dxfId="648" priority="23">
      <formula>IF($C2="junior",M2=MAX(_xlfn._xlws.FILTER(M$2:M$40,$C$2:$C$40="junior")),M2=MAX(_xlfn._xlws.FILTER(M$2:M$40,$C$2:$C$40="senior")))</formula>
    </cfRule>
    <cfRule type="expression" dxfId="647" priority="24">
      <formula>IF($C2="junior",M2&gt;=$AJ$13+$AK$13,M2&gt;=$AJ$6+$AK$6)</formula>
    </cfRule>
  </conditionalFormatting>
  <conditionalFormatting sqref="N2:N40">
    <cfRule type="expression" dxfId="646" priority="10">
      <formula>IF($C2="junior",N2&gt;=$AF$14+$AG$14,N2&gt;=$AF$7+$AG$7)</formula>
    </cfRule>
  </conditionalFormatting>
  <conditionalFormatting sqref="P2:P40">
    <cfRule type="expression" dxfId="645" priority="21">
      <formula>IF($C2="junior",P2=MAX(_xlfn._xlws.FILTER(P$2:P$40,$C$2:$C$40="junior")),P2=MAX(_xlfn._xlws.FILTER(P$2:P$40,$C$2:$C$40="senior")))</formula>
    </cfRule>
    <cfRule type="expression" dxfId="644" priority="22">
      <formula>IF($C2="junior",P2&gt;=$AJ$14+$AK$14,P2&gt;=$AJ$7+$AK$7)</formula>
    </cfRule>
  </conditionalFormatting>
  <conditionalFormatting sqref="Q2:Q40">
    <cfRule type="expression" dxfId="643" priority="9">
      <formula>IF($C2="junior",Q2&gt;=$AF$15+$AG$15,Q2&gt;=$AF$8+$AG$8)</formula>
    </cfRule>
  </conditionalFormatting>
  <conditionalFormatting sqref="S2:S40">
    <cfRule type="expression" dxfId="642" priority="19">
      <formula>IF($C2="junior",S2=MAX(_xlfn._xlws.FILTER(S$2:S$40,$C$2:$C$40="junior")),S2=MAX(_xlfn._xlws.FILTER(S$2:S$40,$C$2:$C$40="senior")))</formula>
    </cfRule>
    <cfRule type="expression" dxfId="641" priority="20">
      <formula>IF($C2="junior",S2&gt;=$AJ$15+$AK$15,S2&gt;=$AJ$8+$AK$8)</formula>
    </cfRule>
  </conditionalFormatting>
  <conditionalFormatting sqref="T2:T40">
    <cfRule type="expression" dxfId="640" priority="8">
      <formula>IF($C2="junior",T2&gt;=$AF$12+$AG$12,T2&gt;=$AF$5+$AG$5)</formula>
    </cfRule>
  </conditionalFormatting>
  <conditionalFormatting sqref="V2:V40">
    <cfRule type="expression" dxfId="639" priority="17">
      <formula>IF($C2="junior",V2=MAX(_xlfn._xlws.FILTER(V$2:V$40,$C$2:$C$40="junior")),V2=MAX(_xlfn._xlws.FILTER(V$2:V$40,$C$2:$C$40="senior")))</formula>
    </cfRule>
    <cfRule type="expression" dxfId="638" priority="18">
      <formula>IF($C2="junior",V2&gt;=$AJ$12+$AK$12,V2&gt;=$AJ$5+$AK$5)</formula>
    </cfRule>
  </conditionalFormatting>
  <conditionalFormatting sqref="W2:W40">
    <cfRule type="expression" dxfId="637" priority="7">
      <formula>IF($C2="junior",W2&gt;=$AF$11+$AG$11,W2&gt;=$AF$4+$AG$4)</formula>
    </cfRule>
  </conditionalFormatting>
  <conditionalFormatting sqref="Y2:Y40">
    <cfRule type="expression" dxfId="636" priority="15">
      <formula>IF($C2="junior",Y2=MAX(_xlfn._xlws.FILTER(Y$2:Y$40,$C$2:$C$40="junior")),Y2=MAX(_xlfn._xlws.FILTER(Y$2:Y$40,$C$2:$C$40="senior")))</formula>
    </cfRule>
    <cfRule type="expression" dxfId="635" priority="16">
      <formula>IF($C2="junior",Y2&gt;=$AJ$11+$AK$11,Y2&gt;=$AJ$4+$AK$4)</formula>
    </cfRule>
  </conditionalFormatting>
  <conditionalFormatting sqref="Z2:Z40">
    <cfRule type="expression" dxfId="634" priority="6">
      <formula>IF($C2="junior",Z2&gt;=$AF$9+$AG$9,Z2&gt;=$AF$2+$AG$2)</formula>
    </cfRule>
  </conditionalFormatting>
  <conditionalFormatting sqref="AA2:AA40">
    <cfRule type="expression" dxfId="633" priority="12">
      <formula>IF($C2="junior",AA2&gt;=$AH$9+$AI$9,AA2&gt;=$AH$2+$AI$2)</formula>
    </cfRule>
  </conditionalFormatting>
  <conditionalFormatting sqref="AB2:AB40">
    <cfRule type="expression" dxfId="632" priority="13">
      <formula>IF($C2="junior",AB2=MAX(_xlfn._xlws.FILTER(AB$2:AB$40,$C$2:$C$40="junior",$G$2:$G$33="Yes")),AB2=MAX(_xlfn._xlws.FILTER(AB$2:AB$40,$C$2:$C$40="senior",$G$2:$G$40="Yes")))</formula>
    </cfRule>
    <cfRule type="expression" dxfId="631" priority="14">
      <formula>IF($C2="junior",AB2&gt;=$AJ$9+$AK$9,AB2&gt;=$AJ$2+$AK$2)</formula>
    </cfRule>
  </conditionalFormatting>
  <pageMargins left="0.7" right="0.7" top="0.75" bottom="0.75" header="0.3" footer="0.3"/>
  <drawing r:id="rId2"/>
  <tableParts count="3">
    <tablePart r:id="rId3"/>
    <tablePart r:id="rId4"/>
    <tablePart r:id="rId5"/>
  </tablePart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58739-F7E2-5E4F-B517-6837AF3D2539}">
  <sheetPr codeName="Arkusz5">
    <tabColor theme="4" tint="0.39997558519241921"/>
  </sheetPr>
  <dimension ref="A1:AV694"/>
  <sheetViews>
    <sheetView topLeftCell="H30" zoomScale="75" zoomScaleNormal="75" workbookViewId="0">
      <selection activeCell="AB60" sqref="AB60"/>
    </sheetView>
  </sheetViews>
  <sheetFormatPr defaultColWidth="11" defaultRowHeight="15.75" x14ac:dyDescent="0.25"/>
  <cols>
    <col min="1" max="1" width="14.5" style="2" bestFit="1" customWidth="1"/>
    <col min="2" max="2" width="21.125" bestFit="1" customWidth="1"/>
    <col min="3" max="3" width="14.625" style="2" bestFit="1" customWidth="1"/>
    <col min="4" max="4" width="15.125" style="2" bestFit="1" customWidth="1"/>
    <col min="5" max="5" width="20" style="2" bestFit="1" customWidth="1"/>
    <col min="6" max="6" width="26.625" bestFit="1" customWidth="1"/>
    <col min="7" max="7" width="16.125" customWidth="1"/>
    <col min="8" max="8" width="16.25" style="3" bestFit="1" customWidth="1"/>
    <col min="9" max="9" width="17.125" style="3" bestFit="1" customWidth="1"/>
    <col min="10" max="10" width="26.125" style="3" bestFit="1" customWidth="1"/>
    <col min="11" max="15" width="10.375" style="3" customWidth="1"/>
    <col min="16" max="16" width="19.5" style="3" bestFit="1" customWidth="1"/>
    <col min="17" max="17" width="15.25" style="3" bestFit="1" customWidth="1"/>
    <col min="18" max="18" width="15" style="3" bestFit="1" customWidth="1"/>
    <col min="19" max="19" width="19" style="3" bestFit="1" customWidth="1"/>
    <col min="20" max="20" width="10.375" style="3" customWidth="1"/>
    <col min="21" max="21" width="15" style="3" bestFit="1" customWidth="1"/>
    <col min="22" max="22" width="19" style="3" bestFit="1" customWidth="1"/>
    <col min="23" max="23" width="15.625" style="3" bestFit="1" customWidth="1"/>
    <col min="24" max="24" width="10.375" style="3" customWidth="1"/>
    <col min="25" max="25" width="19.25" style="3" bestFit="1" customWidth="1"/>
    <col min="26" max="28" width="10.375" style="3" customWidth="1"/>
    <col min="30" max="30" width="18.5" bestFit="1" customWidth="1"/>
    <col min="31" max="31" width="14.5" bestFit="1" customWidth="1"/>
    <col min="32" max="32" width="32.5" bestFit="1" customWidth="1"/>
    <col min="33" max="33" width="28.5" bestFit="1" customWidth="1"/>
    <col min="34" max="36" width="17.125" bestFit="1" customWidth="1"/>
    <col min="37" max="37" width="16.375" bestFit="1" customWidth="1"/>
    <col min="38" max="38" width="18.75" bestFit="1" customWidth="1"/>
    <col min="40" max="40" width="23.125" bestFit="1" customWidth="1"/>
    <col min="42" max="42" width="7.875" customWidth="1"/>
    <col min="46" max="46" width="14.5" bestFit="1" customWidth="1"/>
    <col min="47" max="47" width="13.25" bestFit="1" customWidth="1"/>
  </cols>
  <sheetData>
    <row r="1" spans="1:48" s="2" customForma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243</v>
      </c>
      <c r="H1" s="2" t="s">
        <v>6</v>
      </c>
      <c r="I1" s="2" t="s">
        <v>7</v>
      </c>
      <c r="J1" s="2" t="s">
        <v>8</v>
      </c>
      <c r="K1" s="4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247</v>
      </c>
      <c r="AA1" s="2" t="s">
        <v>248</v>
      </c>
      <c r="AB1" s="2" t="s">
        <v>24</v>
      </c>
      <c r="AD1" s="20" t="s">
        <v>2</v>
      </c>
      <c r="AE1" s="20" t="s">
        <v>217</v>
      </c>
      <c r="AF1" s="20" t="s">
        <v>244</v>
      </c>
      <c r="AG1" s="20" t="s">
        <v>249</v>
      </c>
      <c r="AH1" s="20" t="s">
        <v>245</v>
      </c>
      <c r="AI1" s="20" t="s">
        <v>250</v>
      </c>
      <c r="AJ1" s="20" t="s">
        <v>246</v>
      </c>
      <c r="AK1" s="20" t="s">
        <v>251</v>
      </c>
      <c r="AL1" s="20" t="s">
        <v>252</v>
      </c>
      <c r="AN1" t="s">
        <v>1</v>
      </c>
      <c r="AO1" t="s">
        <v>2</v>
      </c>
      <c r="AP1" t="s">
        <v>3</v>
      </c>
      <c r="AQ1" t="s">
        <v>5</v>
      </c>
      <c r="AR1" t="s">
        <v>243</v>
      </c>
      <c r="AS1" t="s">
        <v>316</v>
      </c>
      <c r="AT1" t="s">
        <v>217</v>
      </c>
      <c r="AU1" t="s">
        <v>313</v>
      </c>
      <c r="AV1" t="s">
        <v>307</v>
      </c>
    </row>
    <row r="2" spans="1:48" x14ac:dyDescent="0.25">
      <c r="A2" s="2">
        <v>1</v>
      </c>
      <c r="B2" t="s">
        <v>63</v>
      </c>
      <c r="C2" s="2" t="s">
        <v>60</v>
      </c>
      <c r="D2" s="2">
        <v>1997</v>
      </c>
      <c r="E2" s="2" t="s">
        <v>64</v>
      </c>
      <c r="F2" t="s">
        <v>39</v>
      </c>
      <c r="G2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2" s="5">
        <v>5.6</v>
      </c>
      <c r="I2" s="8">
        <v>6.65</v>
      </c>
      <c r="J2" s="8">
        <v>12.25</v>
      </c>
      <c r="K2" s="5">
        <v>4.4000000000000004</v>
      </c>
      <c r="L2" s="8">
        <v>5</v>
      </c>
      <c r="M2" s="8">
        <v>9.4</v>
      </c>
      <c r="N2" s="5">
        <v>4.2</v>
      </c>
      <c r="O2" s="8">
        <v>8</v>
      </c>
      <c r="P2" s="8">
        <v>12.2</v>
      </c>
      <c r="Q2" s="5">
        <v>4.8</v>
      </c>
      <c r="R2" s="8">
        <v>8.3000000000000007</v>
      </c>
      <c r="S2" s="8">
        <v>13.1</v>
      </c>
      <c r="T2" s="5">
        <v>4.2</v>
      </c>
      <c r="U2" s="8">
        <v>9.1999999999999993</v>
      </c>
      <c r="V2" s="8">
        <v>13.4</v>
      </c>
      <c r="W2" s="5">
        <v>4.2</v>
      </c>
      <c r="X2" s="8">
        <v>8</v>
      </c>
      <c r="Y2" s="8">
        <v>12.2</v>
      </c>
      <c r="Z2" s="4">
        <f>IF(Gdansk_result[[#This Row],[All Around]]="Yes",SUM(H2,K2,N2,Q2,T2,W2),0)</f>
        <v>27.4</v>
      </c>
      <c r="AA2" s="7">
        <f>IF(Gdansk_result[[#This Row],[All Around]]="Yes",SUM(I2,L2,O2,R2,U2,X2),0)</f>
        <v>45.15</v>
      </c>
      <c r="AB2" s="7">
        <v>72.55</v>
      </c>
      <c r="AD2" s="39" t="s">
        <v>60</v>
      </c>
      <c r="AE2" s="20" t="s">
        <v>243</v>
      </c>
      <c r="AF2" s="21">
        <f>AVERAGEIFS(Gdansk_result[AA_Dscore],Gdansk_result[[Category]:[Category]],"senior",Gdansk_result[AA_Dscore],"&lt;&gt;0",Gdansk_result[All Around],"Yes")</f>
        <v>22.292307692307695</v>
      </c>
      <c r="AG2" s="21" cm="1">
        <f t="array" ref="AG2">_xlfn.STDEV.S(_xlfn._xlws.FILTER(Gdansk_result[AA_Dscore],(Gdansk_result[Category]="senior")*(Gdansk_result[All Around]="yes"),""))</f>
        <v>4.1867771094366288</v>
      </c>
      <c r="AH2" s="22">
        <f>AVERAGEIFS(Gdansk_result[AA_Escore],Gdansk_result[[Category]:[Category]],"senior",Gdansk_result[AA_Escore],"&lt;&gt;0",Gdansk_result[All Around],"yes")</f>
        <v>43.861538461538466</v>
      </c>
      <c r="AI2" s="22" cm="1">
        <f t="array" ref="AI2">_xlfn.STDEV.S(_xlfn._xlws.FILTER(Gdansk_result[AA_Escore],(Gdansk_result[Category]="senior")*(Gdansk_result[All Around]="yes"),""))</f>
        <v>2.9536103504971845</v>
      </c>
      <c r="AJ2" s="22">
        <f>AVERAGEIFS(Gdansk_result[Total_Score],Gdansk_result[[Category]:[Category]],"senior",Gdansk_result[Total_Score],"&lt;&gt;0",Gdansk_result[All Around],"yes")</f>
        <v>66.15384615384616</v>
      </c>
      <c r="AK2" s="22" cm="1">
        <f t="array" ref="AK2">_xlfn.STDEV.S(_xlfn._xlws.FILTER(Gdansk_result[Total_Score],(Gdansk_result[Category]="senior")*(Gdansk_result[All Around]="yes"),""))</f>
        <v>5.7183717648492953</v>
      </c>
      <c r="AL2" s="22" cm="1">
        <f t="array" ref="AL2">MAX(_xlfn._xlws.FILTER(Gdansk_result[Total_Score],Gdansk_result[Category]="senior"))</f>
        <v>72.55</v>
      </c>
      <c r="AN2" t="s">
        <v>63</v>
      </c>
      <c r="AO2" t="s">
        <v>60</v>
      </c>
      <c r="AP2">
        <v>1997</v>
      </c>
      <c r="AQ2" t="s">
        <v>39</v>
      </c>
      <c r="AR2" t="s">
        <v>305</v>
      </c>
      <c r="AS2" t="s">
        <v>331</v>
      </c>
      <c r="AT2" t="s">
        <v>218</v>
      </c>
      <c r="AU2" t="s">
        <v>308</v>
      </c>
      <c r="AV2">
        <v>5.6</v>
      </c>
    </row>
    <row r="3" spans="1:48" x14ac:dyDescent="0.25">
      <c r="A3" s="2">
        <v>2</v>
      </c>
      <c r="B3" t="s">
        <v>59</v>
      </c>
      <c r="C3" s="2" t="s">
        <v>60</v>
      </c>
      <c r="D3" s="2">
        <v>2002</v>
      </c>
      <c r="E3" s="2" t="s">
        <v>61</v>
      </c>
      <c r="F3" t="s">
        <v>62</v>
      </c>
      <c r="G3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3" s="4">
        <v>5.4</v>
      </c>
      <c r="I3" s="8">
        <v>7.4</v>
      </c>
      <c r="J3" s="7">
        <v>12.8</v>
      </c>
      <c r="K3" s="5">
        <v>4.9000000000000004</v>
      </c>
      <c r="L3" s="8">
        <v>6</v>
      </c>
      <c r="M3" s="7">
        <v>10.9</v>
      </c>
      <c r="N3" s="5">
        <v>2.8</v>
      </c>
      <c r="O3" s="8">
        <v>9.1999999999999993</v>
      </c>
      <c r="P3" s="7">
        <v>12</v>
      </c>
      <c r="Q3" s="5">
        <v>4.4000000000000004</v>
      </c>
      <c r="R3" s="8">
        <v>8.3000000000000007</v>
      </c>
      <c r="S3" s="7">
        <v>12.7</v>
      </c>
      <c r="T3" s="5">
        <v>5.3</v>
      </c>
      <c r="U3" s="8">
        <v>7</v>
      </c>
      <c r="V3" s="7">
        <v>12.3</v>
      </c>
      <c r="W3" s="5">
        <v>4.9000000000000004</v>
      </c>
      <c r="X3" s="8">
        <v>6.9</v>
      </c>
      <c r="Y3" s="7">
        <v>11.8</v>
      </c>
      <c r="Z3" s="4">
        <f>IF(Gdansk_result[[#This Row],[All Around]]="Yes",SUM(H3,K3,N3,Q3,T3,W3),0)</f>
        <v>27.700000000000003</v>
      </c>
      <c r="AA3" s="7">
        <f>IF(Gdansk_result[[#This Row],[All Around]]="Yes",SUM(I3,L3,O3,R3,U3,X3),0)</f>
        <v>44.800000000000004</v>
      </c>
      <c r="AB3" s="7">
        <v>72.5</v>
      </c>
      <c r="AD3" s="40"/>
      <c r="AE3" s="20" t="s">
        <v>218</v>
      </c>
      <c r="AF3" s="21">
        <f>AVERAGEIFS(Gdansk_result[FX_Dscore],Gdansk_result[[Category]:[Category]],"senior",Gdansk_result[FX_Dscore],"&lt;&gt;0")</f>
        <v>4.276470588235294</v>
      </c>
      <c r="AG3" s="21" cm="1">
        <f t="array" ref="AG3">_xlfn.STDEV.S(_xlfn._xlws.FILTER(_xlfn._xlws.FILTER(Gdansk_result[FX_Dscore],Gdansk_result[Category]="senior",""),_xlfn._xlws.FILTER(Gdansk_result[FX_Dscore],Gdansk_result[Category]="senior","")&lt;&gt;0,""))</f>
        <v>0.77663489794489715</v>
      </c>
      <c r="AH3" s="22">
        <f>AVERAGEIFS(Gdansk_result[FX_Escore],Gdansk_result[[Category]:[Category]],"senior",Gdansk_result[FX_Escore],"&lt;&gt;0")</f>
        <v>6.7235294117647069</v>
      </c>
      <c r="AI3" s="22" cm="1">
        <f t="array" ref="AI3">_xlfn.STDEV.S(_xlfn._xlws.FILTER(_xlfn._xlws.FILTER(Gdansk_result[FX_Escore],Gdansk_result[Category]="senior",""),_xlfn._xlws.FILTER(Gdansk_result[FX_Escore],Gdansk_result[Category]="senior","")&lt;&gt;0,""))</f>
        <v>0.87126302842819747</v>
      </c>
      <c r="AJ3" s="22">
        <f>AVERAGEIFS(Gdansk_result[FX_total_score],Gdansk_result[[Category]:[Category]],"senior",Gdansk_result[FX_total_score],"&lt;&gt;0")</f>
        <v>11.000000000000002</v>
      </c>
      <c r="AK3" s="22" cm="1">
        <f t="array" ref="AK3">_xlfn.STDEV.S(_xlfn._xlws.FILTER(_xlfn._xlws.FILTER(Gdansk_result[FX_total_score],Gdansk_result[Category]="senior",""),_xlfn._xlws.FILTER(Gdansk_result[FX_total_score],Gdansk_result[Category]="senior","")&lt;&gt;0,""))</f>
        <v>0.98915999716931546</v>
      </c>
      <c r="AL3" s="22" cm="1">
        <f t="array" ref="AL3">MAX(_xlfn._xlws.FILTER(Gdansk_result[FX_total_score],Gdansk_result[Category]="senior"))</f>
        <v>12.8</v>
      </c>
      <c r="AN3" t="s">
        <v>63</v>
      </c>
      <c r="AO3" t="s">
        <v>60</v>
      </c>
      <c r="AP3">
        <v>1997</v>
      </c>
      <c r="AQ3" t="s">
        <v>39</v>
      </c>
      <c r="AR3" t="s">
        <v>305</v>
      </c>
      <c r="AS3" t="s">
        <v>331</v>
      </c>
      <c r="AT3" t="s">
        <v>218</v>
      </c>
      <c r="AU3" t="s">
        <v>309</v>
      </c>
      <c r="AV3">
        <v>6.65</v>
      </c>
    </row>
    <row r="4" spans="1:48" x14ac:dyDescent="0.25">
      <c r="A4" s="2">
        <v>3</v>
      </c>
      <c r="B4" t="s">
        <v>116</v>
      </c>
      <c r="C4" s="2" t="s">
        <v>60</v>
      </c>
      <c r="D4" s="2">
        <v>1996</v>
      </c>
      <c r="E4" s="2" t="s">
        <v>117</v>
      </c>
      <c r="F4" t="s">
        <v>62</v>
      </c>
      <c r="G4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4" s="5">
        <v>5.8</v>
      </c>
      <c r="I4" s="8">
        <v>5.4</v>
      </c>
      <c r="J4" s="8">
        <v>11.2</v>
      </c>
      <c r="K4" s="5">
        <v>4.0999999999999996</v>
      </c>
      <c r="L4" s="8">
        <v>7.9</v>
      </c>
      <c r="M4" s="8">
        <v>12</v>
      </c>
      <c r="N4" s="5">
        <v>5.3</v>
      </c>
      <c r="O4" s="8">
        <v>6.6</v>
      </c>
      <c r="P4" s="8">
        <v>11.9</v>
      </c>
      <c r="Q4" s="5">
        <v>5.2</v>
      </c>
      <c r="R4" s="8">
        <v>8</v>
      </c>
      <c r="S4" s="8">
        <v>13.2</v>
      </c>
      <c r="T4" s="5">
        <v>4.9000000000000004</v>
      </c>
      <c r="U4" s="8">
        <v>7.4</v>
      </c>
      <c r="V4" s="8">
        <v>12.3</v>
      </c>
      <c r="W4" s="5">
        <v>4.8</v>
      </c>
      <c r="X4" s="8">
        <v>6.3</v>
      </c>
      <c r="Y4" s="8">
        <v>11.1</v>
      </c>
      <c r="Z4" s="4">
        <f>IF(Gdansk_result[[#This Row],[All Around]]="Yes",SUM(H4,K4,N4,Q4,T4,W4),0)</f>
        <v>30.099999999999998</v>
      </c>
      <c r="AA4" s="7">
        <f>IF(Gdansk_result[[#This Row],[All Around]]="Yes",SUM(I4,L4,O4,R4,U4,X4),0)</f>
        <v>41.599999999999994</v>
      </c>
      <c r="AB4" s="7">
        <v>71.7</v>
      </c>
      <c r="AD4" s="40"/>
      <c r="AE4" s="20" t="s">
        <v>242</v>
      </c>
      <c r="AF4" s="21">
        <f>AVERAGEIFS(Gdansk_result[HB_Dscore],Gdansk_result[[Category]:[Category]],"senior",Gdansk_result[HB_Dscore],"&lt;&gt;0")</f>
        <v>3.2461538461538471</v>
      </c>
      <c r="AG4" s="21" cm="1">
        <f t="array" ref="AG4">_xlfn.STDEV.S(_xlfn._xlws.FILTER(_xlfn._xlws.FILTER(Gdansk_result[HB_Dscore],Gdansk_result[Category]="senior",""),_xlfn._xlws.FILTER(Gdansk_result[HB_Dscore],Gdansk_result[Category]="senior","")&lt;&gt;0,""))</f>
        <v>0.96230226074016711</v>
      </c>
      <c r="AH4" s="22">
        <f>AVERAGEIFS(Gdansk_result[HB_Escore],Gdansk_result[[Category]:[Category]],"senior",Gdansk_result[HB_Escore],"&lt;&gt;0")</f>
        <v>6.6769230769230754</v>
      </c>
      <c r="AI4" s="22" cm="1">
        <f t="array" ref="AI4">_xlfn.STDEV.S(_xlfn._xlws.FILTER(_xlfn._xlws.FILTER(Gdansk_result[HB_Escore],Gdansk_result[Category]="senior",""),_xlfn._xlws.FILTER(Gdansk_result[HB_Escore],Gdansk_result[Category]="senior","")&lt;&gt;0,""))</f>
        <v>2.0757142731093214</v>
      </c>
      <c r="AJ4" s="22">
        <f>AVERAGEIFS(Gdansk_result[HB_total_score],Gdansk_result[[Category]:[Category]],"senior",Gdansk_result[HB_total_score],"&lt;&gt;0")</f>
        <v>9.9230769230769251</v>
      </c>
      <c r="AK4" s="22" cm="1">
        <f t="array" ref="AK4">_xlfn.STDEV.S(_xlfn._xlws.FILTER(_xlfn._xlws.FILTER(Gdansk_result[HB_total_score],Gdansk_result[Category]="senior",""),_xlfn._xlws.FILTER(Gdansk_result[HB_total_score],Gdansk_result[Category]="senior","")&lt;&gt;0,""))</f>
        <v>2.606131822629667</v>
      </c>
      <c r="AL4" s="22" cm="1">
        <f t="array" ref="AL4">MAX(_xlfn._xlws.FILTER(Gdansk_result[HB_total_score],Gdansk_result[Category]="senior"))</f>
        <v>12.2</v>
      </c>
      <c r="AN4" t="s">
        <v>63</v>
      </c>
      <c r="AO4" t="s">
        <v>60</v>
      </c>
      <c r="AP4">
        <v>1997</v>
      </c>
      <c r="AQ4" t="s">
        <v>39</v>
      </c>
      <c r="AR4" t="s">
        <v>305</v>
      </c>
      <c r="AS4" t="s">
        <v>331</v>
      </c>
      <c r="AT4" t="s">
        <v>218</v>
      </c>
      <c r="AU4" t="s">
        <v>268</v>
      </c>
      <c r="AV4">
        <v>12.25</v>
      </c>
    </row>
    <row r="5" spans="1:48" x14ac:dyDescent="0.25">
      <c r="A5" s="2">
        <v>4</v>
      </c>
      <c r="B5" t="s">
        <v>65</v>
      </c>
      <c r="C5" s="2" t="s">
        <v>60</v>
      </c>
      <c r="D5" s="2">
        <v>2001</v>
      </c>
      <c r="E5" s="2" t="s">
        <v>66</v>
      </c>
      <c r="F5" t="s">
        <v>67</v>
      </c>
      <c r="G5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5" s="5">
        <v>3.9</v>
      </c>
      <c r="I5" s="8">
        <v>7.3</v>
      </c>
      <c r="J5" s="8">
        <v>11.2</v>
      </c>
      <c r="K5" s="5">
        <v>3.2</v>
      </c>
      <c r="L5" s="8">
        <v>7.8</v>
      </c>
      <c r="M5" s="8">
        <v>11</v>
      </c>
      <c r="N5" s="5">
        <v>3.9</v>
      </c>
      <c r="O5" s="8">
        <v>8.1999999999999993</v>
      </c>
      <c r="P5" s="8">
        <v>12.1</v>
      </c>
      <c r="Q5" s="5">
        <v>4</v>
      </c>
      <c r="R5" s="8">
        <v>8.6999999999999993</v>
      </c>
      <c r="S5" s="8">
        <v>12.7</v>
      </c>
      <c r="T5" s="5">
        <v>3.4</v>
      </c>
      <c r="U5" s="8">
        <v>9</v>
      </c>
      <c r="V5" s="8">
        <v>12.4</v>
      </c>
      <c r="W5" s="5">
        <v>3.6</v>
      </c>
      <c r="X5" s="8">
        <v>8.3000000000000007</v>
      </c>
      <c r="Y5" s="8">
        <v>11.9</v>
      </c>
      <c r="Z5" s="4">
        <f>IF(Gdansk_result[[#This Row],[All Around]]="Yes",SUM(H5,K5,N5,Q5,T5,W5),0)</f>
        <v>22</v>
      </c>
      <c r="AA5" s="7">
        <f>IF(Gdansk_result[[#This Row],[All Around]]="Yes",SUM(I5,L5,O5,R5,U5,X5),0)</f>
        <v>49.3</v>
      </c>
      <c r="AB5" s="7">
        <v>71.3</v>
      </c>
      <c r="AD5" s="40"/>
      <c r="AE5" s="20" t="s">
        <v>241</v>
      </c>
      <c r="AF5" s="21">
        <f>AVERAGEIFS(Gdansk_result[PB_Dscore],Gdansk_result[[Category]:[Category]],"senior",Gdansk_result[PB_Dscore],"&lt;&gt;0")</f>
        <v>3.5117647058823538</v>
      </c>
      <c r="AG5" s="21" cm="1">
        <f t="array" ref="AG5">_xlfn.STDEV.S(_xlfn._xlws.FILTER(_xlfn._xlws.FILTER(Gdansk_result[PB_Dscore],Gdansk_result[Category]="senior",""),_xlfn._xlws.FILTER(Gdansk_result[PB_Dscore],Gdansk_result[Category]="senior","")&lt;&gt;0,""))</f>
        <v>0.82906751303887405</v>
      </c>
      <c r="AH5" s="22">
        <f>AVERAGEIFS(Gdansk_result[PB_Escore],Gdansk_result[[Category]:[Category]],"senior",Gdansk_result[PB_Escore],"&lt;&gt;0")</f>
        <v>7.2058823529411784</v>
      </c>
      <c r="AI5" s="22" cm="1">
        <f t="array" ref="AI5">_xlfn.STDEV.S(_xlfn._xlws.FILTER(_xlfn._xlws.FILTER(Gdansk_result[PB_Escore],Gdansk_result[Category]="senior",""),_xlfn._xlws.FILTER(Gdansk_result[PB_Escore],Gdansk_result[Category]="senior","")&lt;&gt;0,""))</f>
        <v>1.7209991967732237</v>
      </c>
      <c r="AJ5" s="22">
        <f>AVERAGEIFS(Gdansk_result[PB_total_score],Gdansk_result[[Category]:[Category]],"senior",Gdansk_result[PB_total_score],"&lt;&gt;0")</f>
        <v>10.717647058823529</v>
      </c>
      <c r="AK5" s="22" cm="1">
        <f t="array" ref="AK5">_xlfn.STDEV.S(_xlfn._xlws.FILTER(_xlfn._xlws.FILTER(Gdansk_result[PB_total_score],Gdansk_result[Category]="senior",""),_xlfn._xlws.FILTER(Gdansk_result[PB_total_score],Gdansk_result[Category]="senior","")&lt;&gt;0,""))</f>
        <v>2.0329274747631998</v>
      </c>
      <c r="AL5" s="22" cm="1">
        <f t="array" ref="AL5">MAX(_xlfn._xlws.FILTER(Gdansk_result[PB_total_score],Gdansk_result[Category]="senior"))</f>
        <v>13.4</v>
      </c>
      <c r="AN5" t="s">
        <v>63</v>
      </c>
      <c r="AO5" t="s">
        <v>60</v>
      </c>
      <c r="AP5">
        <v>1997</v>
      </c>
      <c r="AQ5" t="s">
        <v>39</v>
      </c>
      <c r="AR5" t="s">
        <v>305</v>
      </c>
      <c r="AS5" t="s">
        <v>331</v>
      </c>
      <c r="AT5" t="s">
        <v>238</v>
      </c>
      <c r="AU5" t="s">
        <v>308</v>
      </c>
      <c r="AV5">
        <v>4.4000000000000004</v>
      </c>
    </row>
    <row r="6" spans="1:48" x14ac:dyDescent="0.25">
      <c r="A6" s="2">
        <v>5</v>
      </c>
      <c r="B6" t="s">
        <v>82</v>
      </c>
      <c r="C6" s="2" t="s">
        <v>60</v>
      </c>
      <c r="D6" s="2">
        <v>2003</v>
      </c>
      <c r="E6" s="2" t="s">
        <v>83</v>
      </c>
      <c r="F6" t="s">
        <v>36</v>
      </c>
      <c r="G6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6" s="5">
        <v>3.9</v>
      </c>
      <c r="I6" s="8">
        <v>7.9</v>
      </c>
      <c r="J6" s="8">
        <v>11.8</v>
      </c>
      <c r="K6" s="5">
        <v>3.4</v>
      </c>
      <c r="L6" s="8">
        <v>6.4</v>
      </c>
      <c r="M6" s="8">
        <v>9.8000000000000007</v>
      </c>
      <c r="N6" s="5">
        <v>3.8</v>
      </c>
      <c r="O6" s="8">
        <v>7.9</v>
      </c>
      <c r="P6" s="8">
        <v>11.7</v>
      </c>
      <c r="Q6" s="5">
        <v>4</v>
      </c>
      <c r="R6" s="8">
        <v>9</v>
      </c>
      <c r="S6" s="8">
        <v>13</v>
      </c>
      <c r="T6" s="5">
        <v>3</v>
      </c>
      <c r="U6" s="8">
        <v>8.8000000000000007</v>
      </c>
      <c r="V6" s="8">
        <v>11.8</v>
      </c>
      <c r="W6" s="5">
        <v>3.3</v>
      </c>
      <c r="X6" s="8">
        <v>8</v>
      </c>
      <c r="Y6" s="8">
        <v>11.3</v>
      </c>
      <c r="Z6" s="4">
        <f>IF(Gdansk_result[[#This Row],[All Around]]="Yes",SUM(H6,K6,N6,Q6,T6,W6),0)</f>
        <v>21.400000000000002</v>
      </c>
      <c r="AA6" s="7">
        <f>IF(Gdansk_result[[#This Row],[All Around]]="Yes",SUM(I6,L6,O6,R6,U6,X6),0)</f>
        <v>48</v>
      </c>
      <c r="AB6" s="7">
        <v>69.400000000000006</v>
      </c>
      <c r="AD6" s="40"/>
      <c r="AE6" s="20" t="s">
        <v>238</v>
      </c>
      <c r="AF6" s="21">
        <f>AVERAGEIFS(Gdansk_result[PH_Dscore],Gdansk_result[[Category]:[Category]],"senior",Gdansk_result[PH_Dscore],"&lt;&gt;0")</f>
        <v>3.5388888888888892</v>
      </c>
      <c r="AG6" s="21" cm="1">
        <f t="array" ref="AG6">_xlfn.STDEV.S(_xlfn._xlws.FILTER(_xlfn._xlws.FILTER(Gdansk_result[PH_Dscore],Gdansk_result[Category]="senior",""),_xlfn._xlws.FILTER(Gdansk_result[PH_Dscore],Gdansk_result[Category]="senior","")&lt;&gt;0,""))</f>
        <v>0.70555684215826386</v>
      </c>
      <c r="AH6" s="22">
        <f>AVERAGEIFS(Gdansk_result[PH_Escore],Gdansk_result[[Category]:[Category]],"senior",Gdansk_result[PH_Escore],"&lt;&gt;0")</f>
        <v>6.7555555555555555</v>
      </c>
      <c r="AI6" s="22" cm="1">
        <f t="array" ref="AI6">_xlfn.STDEV.S(_xlfn._xlws.FILTER(_xlfn._xlws.FILTER(Gdansk_result[PH_Escore],Gdansk_result[Category]="senior",""),_xlfn._xlws.FILTER(Gdansk_result[PH_Escore],Gdansk_result[Category]="senior","")&lt;&gt;0,""))</f>
        <v>1.1495381283353494</v>
      </c>
      <c r="AJ6" s="22">
        <f>AVERAGEIFS(Gdansk_result[PH_Total_Score],Gdansk_result[[Category]:[Category]],"senior",Gdansk_result[PH_Total_Score],"&lt;&gt;0")</f>
        <v>10.294444444444444</v>
      </c>
      <c r="AK6" s="22" cm="1">
        <f t="array" ref="AK6">_xlfn.STDEV.S(_xlfn._xlws.FILTER(_xlfn._xlws.FILTER(Gdansk_result[PH_Total_Score],Gdansk_result[Category]="senior",""),_xlfn._xlws.FILTER(Gdansk_result[PH_Total_Score],Gdansk_result[Category]="senior","")&lt;&gt;0,""))</f>
        <v>1.4069040780974811</v>
      </c>
      <c r="AL6" s="22" cm="1">
        <f t="array" ref="AL6">MAX(_xlfn._xlws.FILTER(Gdansk_result[PH_Total_Score],Gdansk_result[Category]="senior"))</f>
        <v>12.5</v>
      </c>
      <c r="AN6" t="s">
        <v>63</v>
      </c>
      <c r="AO6" t="s">
        <v>60</v>
      </c>
      <c r="AP6">
        <v>1997</v>
      </c>
      <c r="AQ6" t="s">
        <v>39</v>
      </c>
      <c r="AR6" t="s">
        <v>305</v>
      </c>
      <c r="AS6" t="s">
        <v>331</v>
      </c>
      <c r="AT6" t="s">
        <v>238</v>
      </c>
      <c r="AU6" t="s">
        <v>309</v>
      </c>
      <c r="AV6">
        <v>5</v>
      </c>
    </row>
    <row r="7" spans="1:48" x14ac:dyDescent="0.25">
      <c r="A7" s="2">
        <v>6</v>
      </c>
      <c r="B7" t="s">
        <v>70</v>
      </c>
      <c r="C7" s="2" t="s">
        <v>60</v>
      </c>
      <c r="D7" s="2">
        <v>2001</v>
      </c>
      <c r="E7" s="2" t="s">
        <v>71</v>
      </c>
      <c r="F7" t="s">
        <v>72</v>
      </c>
      <c r="G7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7" s="5">
        <v>5.0999999999999996</v>
      </c>
      <c r="I7" s="8">
        <v>6.8</v>
      </c>
      <c r="J7" s="8">
        <v>11.9</v>
      </c>
      <c r="K7" s="5">
        <v>2.7</v>
      </c>
      <c r="L7" s="8">
        <v>6</v>
      </c>
      <c r="M7" s="8">
        <v>8.6999999999999993</v>
      </c>
      <c r="N7" s="5">
        <v>3.4</v>
      </c>
      <c r="O7" s="8">
        <v>7.7</v>
      </c>
      <c r="P7" s="8">
        <v>11.1</v>
      </c>
      <c r="Q7" s="5">
        <v>5.2</v>
      </c>
      <c r="R7" s="8">
        <v>8.1999999999999993</v>
      </c>
      <c r="S7" s="8">
        <v>13.4</v>
      </c>
      <c r="T7" s="5">
        <v>4.3</v>
      </c>
      <c r="U7" s="8">
        <v>8</v>
      </c>
      <c r="V7" s="8">
        <v>12.3</v>
      </c>
      <c r="W7" s="5">
        <v>3.7</v>
      </c>
      <c r="X7" s="8">
        <v>7.3</v>
      </c>
      <c r="Y7" s="8">
        <v>11</v>
      </c>
      <c r="Z7" s="4">
        <f>IF(Gdansk_result[[#This Row],[All Around]]="Yes",SUM(H7,K7,N7,Q7,T7,W7),0)</f>
        <v>24.4</v>
      </c>
      <c r="AA7" s="7">
        <f>IF(Gdansk_result[[#This Row],[All Around]]="Yes",SUM(I7,L7,O7,R7,U7,X7),0)</f>
        <v>44</v>
      </c>
      <c r="AB7" s="7">
        <v>68.400000000000006</v>
      </c>
      <c r="AD7" s="40"/>
      <c r="AE7" s="20" t="s">
        <v>239</v>
      </c>
      <c r="AF7" s="21">
        <f>AVERAGEIFS(Gdansk_result[SR_Dscore],Gdansk_result[[Category]:[Category]],"senior",Gdansk_result[SR_Dscore],"&lt;&gt;0")</f>
        <v>3.5400000000000005</v>
      </c>
      <c r="AG7" s="21" cm="1">
        <f t="array" ref="AG7">_xlfn.STDEV.S(_xlfn._xlws.FILTER(_xlfn._xlws.FILTER(Gdansk_result[SR_Dscore],Gdansk_result[Category]="senior",""),_xlfn._xlws.FILTER(Gdansk_result[SR_Dscore],Gdansk_result[Category]="senior","")&lt;&gt;0,""))</f>
        <v>0.78540253555558281</v>
      </c>
      <c r="AH7" s="22">
        <f>AVERAGEIFS(Gdansk_result[SR_Escore],Gdansk_result[[Category]:[Category]],"senior",Gdansk_result[SR_Escore],"&lt;&gt;0")</f>
        <v>7.4866666666666672</v>
      </c>
      <c r="AI7" s="22" cm="1">
        <f t="array" ref="AI7">_xlfn.STDEV.S(_xlfn._xlws.FILTER(_xlfn._xlws.FILTER(Gdansk_result[SR_Escore],Gdansk_result[Category]="senior",""),_xlfn._xlws.FILTER(Gdansk_result[SR_Escore],Gdansk_result[Category]="senior","")&lt;&gt;0,""))</f>
        <v>0.84504155998106012</v>
      </c>
      <c r="AJ7" s="22">
        <f>AVERAGEIFS(Gdansk_result[SR_Total_Score],Gdansk_result[[Category]:[Category]],"senior",Gdansk_result[SR_Total_Score],"&lt;&gt;0")</f>
        <v>11.026666666666667</v>
      </c>
      <c r="AK7" s="22" cm="1">
        <f t="array" ref="AK7">_xlfn.STDEV.S(_xlfn._xlws.FILTER(_xlfn._xlws.FILTER(Gdansk_result[SR_Total_Score],Gdansk_result[Category]="senior",""),_xlfn._xlws.FILTER(Gdansk_result[SR_Total_Score],Gdansk_result[Category]="senior","")&lt;&gt;0,""))</f>
        <v>1.0832930395436913</v>
      </c>
      <c r="AL7" s="22" cm="1">
        <f t="array" ref="AL7">MAX(_xlfn._xlws.FILTER(Gdansk_result[SR_Total_Score],Gdansk_result[Category]="senior"))</f>
        <v>12.2</v>
      </c>
      <c r="AN7" t="s">
        <v>63</v>
      </c>
      <c r="AO7" t="s">
        <v>60</v>
      </c>
      <c r="AP7">
        <v>1997</v>
      </c>
      <c r="AQ7" t="s">
        <v>39</v>
      </c>
      <c r="AR7" t="s">
        <v>305</v>
      </c>
      <c r="AS7" t="s">
        <v>331</v>
      </c>
      <c r="AT7" t="s">
        <v>238</v>
      </c>
      <c r="AU7" t="s">
        <v>268</v>
      </c>
      <c r="AV7">
        <v>9.4</v>
      </c>
    </row>
    <row r="8" spans="1:48" x14ac:dyDescent="0.25">
      <c r="A8" s="2">
        <v>7</v>
      </c>
      <c r="B8" t="s">
        <v>118</v>
      </c>
      <c r="C8" s="2" t="s">
        <v>60</v>
      </c>
      <c r="D8" s="2">
        <v>2000</v>
      </c>
      <c r="E8" s="2" t="s">
        <v>119</v>
      </c>
      <c r="F8" t="s">
        <v>31</v>
      </c>
      <c r="G8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8" s="4">
        <v>4.2</v>
      </c>
      <c r="I8" s="7">
        <v>6.2</v>
      </c>
      <c r="J8" s="7">
        <v>10.4</v>
      </c>
      <c r="K8" s="4">
        <v>3.3</v>
      </c>
      <c r="L8" s="7">
        <v>7.4</v>
      </c>
      <c r="M8" s="7">
        <v>10.7</v>
      </c>
      <c r="N8" s="4">
        <v>4.0999999999999996</v>
      </c>
      <c r="O8" s="7">
        <v>7.5</v>
      </c>
      <c r="P8" s="7">
        <v>11.6</v>
      </c>
      <c r="Q8" s="4">
        <v>4</v>
      </c>
      <c r="R8" s="7">
        <v>8.9</v>
      </c>
      <c r="S8" s="7">
        <v>12.9</v>
      </c>
      <c r="T8" s="4">
        <v>3.6</v>
      </c>
      <c r="U8" s="7">
        <v>7</v>
      </c>
      <c r="V8" s="7">
        <v>10.6</v>
      </c>
      <c r="W8" s="4">
        <v>3.3</v>
      </c>
      <c r="X8" s="7">
        <v>7.4</v>
      </c>
      <c r="Y8" s="7">
        <v>10.7</v>
      </c>
      <c r="Z8" s="4">
        <f>IF(Gdansk_result[[#This Row],[All Around]]="Yes",SUM(H8,K8,N8,Q8,T8,W8),0)</f>
        <v>22.5</v>
      </c>
      <c r="AA8" s="7">
        <f>IF(Gdansk_result[[#This Row],[All Around]]="Yes",SUM(I8,L8,O8,R8,U8,X8),0)</f>
        <v>44.4</v>
      </c>
      <c r="AB8" s="7">
        <v>66.900000000000006</v>
      </c>
      <c r="AD8" s="41"/>
      <c r="AE8" s="20" t="s">
        <v>240</v>
      </c>
      <c r="AF8" s="21">
        <f>AVERAGEIFS(Gdansk_result[VT_Dscore],Gdansk_result[[Category]:[Category]],"senior",Gdansk_result[VT_Dscore],"&lt;&gt;0")</f>
        <v>3.8399999999999994</v>
      </c>
      <c r="AG8" s="21" cm="1">
        <f t="array" ref="AG8">_xlfn.STDEV.S(_xlfn._xlws.FILTER(_xlfn._xlws.FILTER(Gdansk_result[VT_Dscore],Gdansk_result[Category]="senior",""),_xlfn._xlws.FILTER(Gdansk_result[VT_Dscore],Gdansk_result[Category]="senior","")&lt;&gt;0,""))</f>
        <v>0.89186802354865113</v>
      </c>
      <c r="AH8" s="22">
        <f>AVERAGEIFS(Gdansk_result[VT_Escore],Gdansk_result[[Category]:[Category]],"senior",Gdansk_result[VT_Escore],"&lt;&gt;0")</f>
        <v>8.4666666666666668</v>
      </c>
      <c r="AI8" s="22" cm="1">
        <f t="array" ref="AI8">_xlfn.STDEV.S(_xlfn._xlws.FILTER(_xlfn._xlws.FILTER(Gdansk_result[VT_Escore],Gdansk_result[Category]="senior",""),_xlfn._xlws.FILTER(Gdansk_result[VT_Escore],Gdansk_result[Category]="senior","")&lt;&gt;0,""))</f>
        <v>0.33309515300043158</v>
      </c>
      <c r="AJ8" s="22">
        <f>AVERAGEIFS(Gdansk_result[VT_total_score],Gdansk_result[[Category]:[Category]],"senior",Gdansk_result[VT_total_score],"&lt;&gt;0")</f>
        <v>12.306666666666667</v>
      </c>
      <c r="AK8" s="22" cm="1">
        <f t="array" ref="AK8">_xlfn.STDEV.S(_xlfn._xlws.FILTER(_xlfn._xlws.FILTER(Gdansk_result[VT_total_score],Gdansk_result[Category]="senior",""),_xlfn._xlws.FILTER(Gdansk_result[VT_total_score],Gdansk_result[Category]="senior","")&lt;&gt;0,""))</f>
        <v>0.98159248648500241</v>
      </c>
      <c r="AL8" s="22" cm="1">
        <f t="array" ref="AL8">MAX(_xlfn._xlws.FILTER(Gdansk_result[VT_total_score],Gdansk_result[Category]="senior"))</f>
        <v>13.4</v>
      </c>
      <c r="AN8" t="s">
        <v>63</v>
      </c>
      <c r="AO8" t="s">
        <v>60</v>
      </c>
      <c r="AP8">
        <v>1997</v>
      </c>
      <c r="AQ8" t="s">
        <v>39</v>
      </c>
      <c r="AR8" t="s">
        <v>305</v>
      </c>
      <c r="AS8" t="s">
        <v>331</v>
      </c>
      <c r="AT8" t="s">
        <v>239</v>
      </c>
      <c r="AU8" t="s">
        <v>308</v>
      </c>
      <c r="AV8">
        <v>4.2</v>
      </c>
    </row>
    <row r="9" spans="1:48" x14ac:dyDescent="0.25">
      <c r="A9" s="2">
        <v>8</v>
      </c>
      <c r="B9" t="s">
        <v>84</v>
      </c>
      <c r="C9" s="2" t="s">
        <v>60</v>
      </c>
      <c r="D9" s="2">
        <v>2004</v>
      </c>
      <c r="E9" s="2" t="s">
        <v>85</v>
      </c>
      <c r="F9" t="s">
        <v>39</v>
      </c>
      <c r="G9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9" s="5">
        <v>4.0999999999999996</v>
      </c>
      <c r="I9" s="8">
        <v>7.3</v>
      </c>
      <c r="J9" s="8">
        <v>11.4</v>
      </c>
      <c r="K9" s="5">
        <v>3.5</v>
      </c>
      <c r="L9" s="8">
        <v>5.5</v>
      </c>
      <c r="M9" s="8">
        <v>9</v>
      </c>
      <c r="N9" s="5">
        <v>3.1</v>
      </c>
      <c r="O9" s="8">
        <v>7.3</v>
      </c>
      <c r="P9" s="8">
        <v>10.4</v>
      </c>
      <c r="Q9" s="5">
        <v>3.2</v>
      </c>
      <c r="R9" s="8">
        <v>8.3000000000000007</v>
      </c>
      <c r="S9" s="8">
        <v>11.5</v>
      </c>
      <c r="T9" s="5">
        <v>4.2</v>
      </c>
      <c r="U9" s="8">
        <v>7.7</v>
      </c>
      <c r="V9" s="8">
        <v>11.9</v>
      </c>
      <c r="W9" s="5">
        <v>2.5</v>
      </c>
      <c r="X9" s="8">
        <v>8.6999999999999993</v>
      </c>
      <c r="Y9" s="8">
        <v>11.2</v>
      </c>
      <c r="Z9" s="4">
        <f>IF(Gdansk_result[[#This Row],[All Around]]="Yes",SUM(H9,K9,N9,Q9,T9,W9),0)</f>
        <v>20.599999999999998</v>
      </c>
      <c r="AA9" s="7">
        <f>IF(Gdansk_result[[#This Row],[All Around]]="Yes",SUM(I9,L9,O9,R9,U9,X9),0)</f>
        <v>44.8</v>
      </c>
      <c r="AB9" s="7">
        <v>65.400000000000006</v>
      </c>
      <c r="AD9" s="39" t="s">
        <v>26</v>
      </c>
      <c r="AE9" s="20" t="s">
        <v>243</v>
      </c>
      <c r="AF9" s="21">
        <f>AVERAGEIFS(Gdansk_result[AA_Dscore],Gdansk_result[[Category]:[Category]],"junior",Gdansk_result[AA_Dscore],"&lt;&gt;0",Gdansk_result[All Around],"Yes")</f>
        <v>17.400000000000002</v>
      </c>
      <c r="AG9" s="21" cm="1">
        <f t="array" ref="AG9">_xlfn.STDEV.S(_xlfn._xlws.FILTER(Gdansk_result[AA_Dscore],(Gdansk_result[Category]="junior")*(Gdansk_result[All Around]="Yes")))</f>
        <v>2.6955518915428121</v>
      </c>
      <c r="AH9" s="22">
        <f>AVERAGEIFS(Gdansk_result[AA_Escore],Gdansk_result[[Category]:[Category]],"junior",Gdansk_result[AA_Escore],"&lt;&gt;0",Gdansk_result[All Around],"yes")</f>
        <v>46.172727272727279</v>
      </c>
      <c r="AI9" s="22" cm="1">
        <f t="array" ref="AI9">_xlfn.STDEV.S(_xlfn._xlws.FILTER(Gdansk_result[AA_Escore],(Gdansk_result[Category]="junior")*(Gdansk_result[All Around]="Yes")))</f>
        <v>2.6736083890842779</v>
      </c>
      <c r="AJ9" s="22">
        <f>AVERAGEIFS(Gdansk_result[Total_Score],Gdansk_result[[Category]:[Category]],"junior",Gdansk_result[Total_Score],"&lt;&gt;0",Gdansk_result[All Around],"yes")</f>
        <v>63.572727272727278</v>
      </c>
      <c r="AK9" s="22" cm="1">
        <f t="array" ref="AK9">_xlfn.STDEV.S(_xlfn._xlws.FILTER(Gdansk_result[Total_Score],(Gdansk_result[Category]="junior")*(Gdansk_result[All Around]="Yes")))</f>
        <v>4.1854727114367645</v>
      </c>
      <c r="AL9" s="22" cm="1">
        <f t="array" ref="AL9">MAX(_xlfn._xlws.FILTER(Gdansk_result[Total_Score],Gdansk_result[Category]="junior"))</f>
        <v>70</v>
      </c>
      <c r="AN9" t="s">
        <v>63</v>
      </c>
      <c r="AO9" t="s">
        <v>60</v>
      </c>
      <c r="AP9">
        <v>1997</v>
      </c>
      <c r="AQ9" t="s">
        <v>39</v>
      </c>
      <c r="AR9" t="s">
        <v>305</v>
      </c>
      <c r="AS9" t="s">
        <v>331</v>
      </c>
      <c r="AT9" t="s">
        <v>239</v>
      </c>
      <c r="AU9" t="s">
        <v>309</v>
      </c>
      <c r="AV9">
        <v>8</v>
      </c>
    </row>
    <row r="10" spans="1:48" x14ac:dyDescent="0.25">
      <c r="A10" s="2">
        <v>9</v>
      </c>
      <c r="B10" t="s">
        <v>68</v>
      </c>
      <c r="C10" s="2" t="s">
        <v>60</v>
      </c>
      <c r="D10" s="2">
        <v>2004</v>
      </c>
      <c r="E10" s="2" t="s">
        <v>69</v>
      </c>
      <c r="F10" t="s">
        <v>31</v>
      </c>
      <c r="G10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10" s="5">
        <v>4</v>
      </c>
      <c r="I10" s="8">
        <v>6.3</v>
      </c>
      <c r="J10" s="8">
        <v>10.3</v>
      </c>
      <c r="K10" s="5">
        <v>3.2</v>
      </c>
      <c r="L10" s="8">
        <v>7.4</v>
      </c>
      <c r="M10" s="8">
        <v>10.6</v>
      </c>
      <c r="N10" s="5">
        <v>3.7</v>
      </c>
      <c r="O10" s="8">
        <v>7.3</v>
      </c>
      <c r="P10" s="8">
        <v>11</v>
      </c>
      <c r="Q10" s="5">
        <v>4</v>
      </c>
      <c r="R10" s="8">
        <v>8.8000000000000007</v>
      </c>
      <c r="S10" s="8">
        <v>12.8</v>
      </c>
      <c r="T10" s="5">
        <v>3.2</v>
      </c>
      <c r="U10" s="8">
        <v>5.8</v>
      </c>
      <c r="V10" s="8">
        <v>9</v>
      </c>
      <c r="W10" s="5">
        <v>2.6</v>
      </c>
      <c r="X10" s="8">
        <v>7.6</v>
      </c>
      <c r="Y10" s="8">
        <v>10.199999999999999</v>
      </c>
      <c r="Z10" s="4">
        <f>IF(Gdansk_result[[#This Row],[All Around]]="Yes",SUM(H10,K10,N10,Q10,T10,W10),0)</f>
        <v>20.700000000000003</v>
      </c>
      <c r="AA10" s="7">
        <f>IF(Gdansk_result[[#This Row],[All Around]]="Yes",SUM(I10,L10,O10,R10,U10,X10),0)</f>
        <v>43.2</v>
      </c>
      <c r="AB10" s="7">
        <v>63.9</v>
      </c>
      <c r="AD10" s="40"/>
      <c r="AE10" s="20" t="s">
        <v>218</v>
      </c>
      <c r="AF10" s="21">
        <f>AVERAGEIFS(Gdansk_result[FX_Dscore],Gdansk_result[[Category]:[Category]],"junior",Gdansk_result[FX_Dscore],"&lt;&gt;0")</f>
        <v>3.5461538461538469</v>
      </c>
      <c r="AG10" s="21" cm="1">
        <f t="array" ref="AG10">_xlfn.STDEV.S(_xlfn._xlws.FILTER(Gdansk_result[FX_Dscore],(Gdansk_result[Category]="junior")*(Gdansk_result[FX_Dscore]&gt;0)))</f>
        <v>0.47366546671566478</v>
      </c>
      <c r="AH10" s="22">
        <f>AVERAGEIFS(Gdansk_result[FX_Escore],Gdansk_result[[Category]:[Category]],"junior",Gdansk_result[FX_Escore],"&lt;&gt;0")</f>
        <v>7.2692307692307692</v>
      </c>
      <c r="AI10" s="22" cm="1">
        <f t="array" ref="AI10">_xlfn.STDEV.S(_xlfn._xlws.FILTER(Gdansk_result[FX_Escore],(Gdansk_result[Category]="junior")*(Gdansk_result[FX_Escore]&gt;0)))</f>
        <v>0.610170215847752</v>
      </c>
      <c r="AJ10" s="22">
        <f>AVERAGEIFS(Gdansk_result[FX_total_score],Gdansk_result[[Category]:[Category]],"junior",Gdansk_result[FX_total_score],"&lt;&gt;0")</f>
        <v>10.815384615384614</v>
      </c>
      <c r="AK10" s="22" cm="1">
        <f t="array" ref="AK10">_xlfn.STDEV.S(_xlfn._xlws.FILTER(Gdansk_result[FX_total_score],(Gdansk_result[Category]="junior")*(Gdansk_result[FX_total_score]&gt;0)))</f>
        <v>0.77765261508181793</v>
      </c>
      <c r="AL10" s="22" cm="1">
        <f t="array" ref="AL10">MAX(_xlfn._xlws.FILTER(Gdansk_result[FX_total_score],Gdansk_result[Category]="junior"))</f>
        <v>11.9</v>
      </c>
      <c r="AN10" t="s">
        <v>63</v>
      </c>
      <c r="AO10" t="s">
        <v>60</v>
      </c>
      <c r="AP10">
        <v>1997</v>
      </c>
      <c r="AQ10" t="s">
        <v>39</v>
      </c>
      <c r="AR10" t="s">
        <v>305</v>
      </c>
      <c r="AS10" t="s">
        <v>331</v>
      </c>
      <c r="AT10" t="s">
        <v>239</v>
      </c>
      <c r="AU10" t="s">
        <v>268</v>
      </c>
      <c r="AV10">
        <v>12.2</v>
      </c>
    </row>
    <row r="11" spans="1:48" x14ac:dyDescent="0.25">
      <c r="A11" s="2">
        <v>10</v>
      </c>
      <c r="B11" t="s">
        <v>73</v>
      </c>
      <c r="C11" s="2" t="s">
        <v>60</v>
      </c>
      <c r="D11" s="2">
        <v>2001</v>
      </c>
      <c r="E11" s="2" t="s">
        <v>74</v>
      </c>
      <c r="F11" t="s">
        <v>62</v>
      </c>
      <c r="G11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11" s="5">
        <v>4.7</v>
      </c>
      <c r="I11" s="8">
        <v>6.7</v>
      </c>
      <c r="J11" s="8">
        <v>11.4</v>
      </c>
      <c r="K11" s="5">
        <v>2.9</v>
      </c>
      <c r="L11" s="8">
        <v>7.1</v>
      </c>
      <c r="M11" s="8">
        <v>10</v>
      </c>
      <c r="N11" s="5">
        <v>2.7</v>
      </c>
      <c r="O11" s="8">
        <v>7.4</v>
      </c>
      <c r="P11" s="8">
        <v>10.1</v>
      </c>
      <c r="Q11" s="5">
        <v>4</v>
      </c>
      <c r="R11" s="8">
        <v>8.6999999999999993</v>
      </c>
      <c r="S11" s="8">
        <v>12.7</v>
      </c>
      <c r="T11" s="5">
        <v>3.6</v>
      </c>
      <c r="U11" s="8">
        <v>7.4</v>
      </c>
      <c r="V11" s="8">
        <v>11</v>
      </c>
      <c r="W11" s="5">
        <v>2.6</v>
      </c>
      <c r="X11" s="8">
        <v>5.8</v>
      </c>
      <c r="Y11" s="8">
        <v>8.4</v>
      </c>
      <c r="Z11" s="4">
        <f>IF(Gdansk_result[[#This Row],[All Around]]="Yes",SUM(H11,K11,N11,Q11,T11,W11),0)</f>
        <v>20.500000000000004</v>
      </c>
      <c r="AA11" s="7">
        <f>IF(Gdansk_result[[#This Row],[All Around]]="Yes",SUM(I11,L11,O11,R11,U11,X11),0)</f>
        <v>43.1</v>
      </c>
      <c r="AB11" s="7">
        <v>63.6</v>
      </c>
      <c r="AD11" s="40"/>
      <c r="AE11" s="20" t="s">
        <v>242</v>
      </c>
      <c r="AF11" s="21">
        <f>AVERAGEIFS(Gdansk_result[HB_Dscore],Gdansk_result[[Category]:[Category]],"junior",Gdansk_result[HB_Dscore],"&lt;&gt;0")</f>
        <v>2.3916666666666671</v>
      </c>
      <c r="AG11" s="21" cm="1">
        <f t="array" ref="AG11">_xlfn.STDEV.S(_xlfn._xlws.FILTER(Gdansk_result[HB_Dscore],(Gdansk_result[Category]="junior")*(Gdansk_result[HB_Dscore]&gt;0)))</f>
        <v>0.53164980499527492</v>
      </c>
      <c r="AH11" s="22">
        <f>AVERAGEIFS(Gdansk_result[HB_Escore],Gdansk_result[[Category]:[Category]],"junior",Gdansk_result[HB_Escore],"&lt;&gt;0")</f>
        <v>7.0666666666666673</v>
      </c>
      <c r="AI11" s="22" cm="1">
        <f t="array" ref="AI11">_xlfn.STDEV.S(_xlfn._xlws.FILTER(Gdansk_result[HB_Escore],(Gdansk_result[Category]="junior")*(Gdansk_result[HB_Escore]&gt;0)))</f>
        <v>1.6554775929036456</v>
      </c>
      <c r="AJ11" s="22">
        <f>AVERAGEIFS(Gdansk_result[HB_total_score],Gdansk_result[[Category]:[Category]],"junior",Gdansk_result[HB_total_score],"&lt;&gt;0")</f>
        <v>9.4583333333333321</v>
      </c>
      <c r="AK11" s="22" cm="1">
        <f t="array" ref="AK11">_xlfn.STDEV.S(_xlfn._xlws.FILTER(Gdansk_result[HB_total_score],(Gdansk_result[Category]="junior")*(Gdansk_result[HB_total_score]&gt;0)))</f>
        <v>1.8860532785944848</v>
      </c>
      <c r="AL11" s="22" cm="1">
        <f t="array" ref="AL11">MAX(_xlfn._xlws.FILTER(Gdansk_result[HB_total_score],Gdansk_result[Category]="junior"))</f>
        <v>12</v>
      </c>
      <c r="AN11" t="s">
        <v>63</v>
      </c>
      <c r="AO11" t="s">
        <v>60</v>
      </c>
      <c r="AP11">
        <v>1997</v>
      </c>
      <c r="AQ11" t="s">
        <v>39</v>
      </c>
      <c r="AR11" t="s">
        <v>305</v>
      </c>
      <c r="AS11" t="s">
        <v>331</v>
      </c>
      <c r="AT11" t="s">
        <v>240</v>
      </c>
      <c r="AU11" t="s">
        <v>308</v>
      </c>
      <c r="AV11">
        <v>4.8</v>
      </c>
    </row>
    <row r="12" spans="1:48" x14ac:dyDescent="0.25">
      <c r="A12" s="2">
        <v>11</v>
      </c>
      <c r="B12" t="s">
        <v>77</v>
      </c>
      <c r="C12" s="2" t="s">
        <v>60</v>
      </c>
      <c r="D12" s="2">
        <v>2002</v>
      </c>
      <c r="E12" s="2" t="s">
        <v>78</v>
      </c>
      <c r="F12" t="s">
        <v>79</v>
      </c>
      <c r="G12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12" s="5">
        <v>3.8</v>
      </c>
      <c r="I12" s="8">
        <v>7.4</v>
      </c>
      <c r="J12" s="8">
        <v>11.2</v>
      </c>
      <c r="K12" s="5">
        <v>3.1</v>
      </c>
      <c r="L12" s="8">
        <v>7.6</v>
      </c>
      <c r="M12" s="8">
        <v>10.7</v>
      </c>
      <c r="N12" s="5">
        <v>3.4</v>
      </c>
      <c r="O12" s="8">
        <v>6</v>
      </c>
      <c r="P12" s="8">
        <v>9.4</v>
      </c>
      <c r="Q12" s="5">
        <v>3.2</v>
      </c>
      <c r="R12" s="8">
        <v>8.3000000000000007</v>
      </c>
      <c r="S12" s="8">
        <v>11.5</v>
      </c>
      <c r="T12" s="5">
        <v>3.1</v>
      </c>
      <c r="U12" s="8">
        <v>6.9</v>
      </c>
      <c r="V12" s="8">
        <v>10</v>
      </c>
      <c r="W12" s="5">
        <v>2.6</v>
      </c>
      <c r="X12" s="8">
        <v>7.3</v>
      </c>
      <c r="Y12" s="8">
        <v>9.9</v>
      </c>
      <c r="Z12" s="4">
        <f>IF(Gdansk_result[[#This Row],[All Around]]="Yes",SUM(H12,K12,N12,Q12,T12,W12),0)</f>
        <v>19.200000000000003</v>
      </c>
      <c r="AA12" s="7">
        <f>IF(Gdansk_result[[#This Row],[All Around]]="Yes",SUM(I12,L12,O12,R12,U12,X12),0)</f>
        <v>43.5</v>
      </c>
      <c r="AB12" s="7">
        <v>62.7</v>
      </c>
      <c r="AD12" s="40"/>
      <c r="AE12" s="20" t="s">
        <v>241</v>
      </c>
      <c r="AF12" s="21">
        <f>AVERAGEIFS(Gdansk_result[PB_Dscore],Gdansk_result[[Category]:[Category]],"junior",Gdansk_result[PB_Dscore],"&lt;&gt;0")</f>
        <v>2.9538461538461531</v>
      </c>
      <c r="AG12" s="21" cm="1">
        <f t="array" ref="AG12">_xlfn.STDEV.S(_xlfn._xlws.FILTER(Gdansk_result[PB_Dscore],(Gdansk_result[Category]="junior")*(Gdansk_result[PB_Dscore]&gt;0)))</f>
        <v>0.57244415246582303</v>
      </c>
      <c r="AH12" s="22">
        <f>AVERAGEIFS(Gdansk_result[PB_Escore],Gdansk_result[[Category]:[Category]],"junior",Gdansk_result[PB_Escore],"&lt;&gt;0")</f>
        <v>8.2692307692307683</v>
      </c>
      <c r="AI12" s="22" cm="1">
        <f t="array" ref="AI12">_xlfn.STDEV.S(_xlfn._xlws.FILTER(Gdansk_result[PB_Escore],(Gdansk_result[Category]="junior")*(Gdansk_result[PB_Escore]&gt;0)))</f>
        <v>0.66003107929932037</v>
      </c>
      <c r="AJ12" s="22">
        <f>AVERAGEIFS(Gdansk_result[PB_total_score],Gdansk_result[[Category]:[Category]],"junior",Gdansk_result[PB_total_score],"&lt;&gt;0")</f>
        <v>11.223076923076924</v>
      </c>
      <c r="AK12" s="22" cm="1">
        <f t="array" ref="AK12">_xlfn.STDEV.S(_xlfn._xlws.FILTER(Gdansk_result[PB_total_score],(Gdansk_result[Category]="junior")*(Gdansk_result[PB_total_score]&gt;0)))</f>
        <v>0.52939249168873792</v>
      </c>
      <c r="AL12" s="22" cm="1">
        <f t="array" ref="AL12">MAX(_xlfn._xlws.FILTER(Gdansk_result[PB_total_score],Gdansk_result[Category]="junior"))</f>
        <v>12</v>
      </c>
      <c r="AN12" t="s">
        <v>63</v>
      </c>
      <c r="AO12" t="s">
        <v>60</v>
      </c>
      <c r="AP12">
        <v>1997</v>
      </c>
      <c r="AQ12" t="s">
        <v>39</v>
      </c>
      <c r="AR12" t="s">
        <v>305</v>
      </c>
      <c r="AS12" t="s">
        <v>331</v>
      </c>
      <c r="AT12" t="s">
        <v>240</v>
      </c>
      <c r="AU12" t="s">
        <v>309</v>
      </c>
      <c r="AV12">
        <v>8.3000000000000007</v>
      </c>
    </row>
    <row r="13" spans="1:48" x14ac:dyDescent="0.25">
      <c r="A13" s="2">
        <v>12</v>
      </c>
      <c r="B13" t="s">
        <v>80</v>
      </c>
      <c r="C13" s="2" t="s">
        <v>60</v>
      </c>
      <c r="D13" s="2">
        <v>2004</v>
      </c>
      <c r="E13" s="2" t="s">
        <v>81</v>
      </c>
      <c r="F13" t="s">
        <v>62</v>
      </c>
      <c r="G13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13" s="5">
        <v>3.6</v>
      </c>
      <c r="I13" s="8">
        <v>7.45</v>
      </c>
      <c r="J13" s="8">
        <v>11.05</v>
      </c>
      <c r="K13" s="5">
        <v>4.0999999999999996</v>
      </c>
      <c r="L13" s="8">
        <v>6.7</v>
      </c>
      <c r="M13" s="8">
        <v>10.8</v>
      </c>
      <c r="N13" s="5">
        <v>3.5</v>
      </c>
      <c r="O13" s="8">
        <v>8.3000000000000007</v>
      </c>
      <c r="P13" s="8">
        <v>11.8</v>
      </c>
      <c r="Q13" s="5">
        <v>2.4</v>
      </c>
      <c r="R13" s="8">
        <v>8.3000000000000007</v>
      </c>
      <c r="S13" s="8">
        <v>10.7</v>
      </c>
      <c r="T13" s="5">
        <v>2.7</v>
      </c>
      <c r="U13" s="8">
        <v>6</v>
      </c>
      <c r="V13" s="8">
        <v>8.6999999999999993</v>
      </c>
      <c r="W13" s="5">
        <v>2.2000000000000002</v>
      </c>
      <c r="X13" s="8">
        <v>1</v>
      </c>
      <c r="Y13" s="8">
        <v>3.2</v>
      </c>
      <c r="Z13" s="4">
        <f>IF(Gdansk_result[[#This Row],[All Around]]="Yes",SUM(H13,K13,N13,Q13,T13,W13),0)</f>
        <v>18.5</v>
      </c>
      <c r="AA13" s="7">
        <f>IF(Gdansk_result[[#This Row],[All Around]]="Yes",SUM(I13,L13,O13,R13,U13,X13),0)</f>
        <v>37.75</v>
      </c>
      <c r="AB13" s="7">
        <v>56.25</v>
      </c>
      <c r="AD13" s="40"/>
      <c r="AE13" s="20" t="s">
        <v>238</v>
      </c>
      <c r="AF13" s="21">
        <f>AVERAGEIFS(Gdansk_result[PH_Dscore],Gdansk_result[[Category]:[Category]],"junior",Gdansk_result[PH_Dscore],"&lt;&gt;0")</f>
        <v>3.0076923076923077</v>
      </c>
      <c r="AG13" s="21" cm="1">
        <f t="array" ref="AG13">_xlfn.STDEV.S(_xlfn._xlws.FILTER(Gdansk_result[PH_Dscore],(Gdansk_result[Category]="junior")*(Gdansk_result[PH_Dscore]&gt;0)))</f>
        <v>0.5950651763484095</v>
      </c>
      <c r="AH13" s="22">
        <f>AVERAGEIFS(Gdansk_result[PH_Escore],Gdansk_result[[Category]:[Category]],"junior",Gdansk_result[PH_Escore],"&lt;&gt;0")</f>
        <v>7.0923076923076929</v>
      </c>
      <c r="AI13" s="22" cm="1">
        <f t="array" ref="AI13">_xlfn.STDEV.S(_xlfn._xlws.FILTER(Gdansk_result[PH_Escore],(Gdansk_result[Category]="junior")*(Gdansk_result[PH_Escore]&gt;0)))</f>
        <v>1.5190246533338123</v>
      </c>
      <c r="AJ13" s="22">
        <f>AVERAGEIFS(Gdansk_result[PH_Total_Score],Gdansk_result[[Category]:[Category]],"junior",Gdansk_result[PH_Total_Score],"&lt;&gt;0")</f>
        <v>10.099999999999998</v>
      </c>
      <c r="AK13" s="22" cm="1">
        <f t="array" ref="AK13">_xlfn.STDEV.S(_xlfn._xlws.FILTER(Gdansk_result[PH_Total_Score],(Gdansk_result[Category]="junior")*(Gdansk_result[PH_Total_Score]&gt;0)))</f>
        <v>1.9874606914351858</v>
      </c>
      <c r="AL13" s="22" cm="1">
        <f t="array" ref="AL13">MAX(_xlfn._xlws.FILTER(Gdansk_result[PH_Total_Score],Gdansk_result[Category]="junior"))</f>
        <v>12.5</v>
      </c>
      <c r="AN13" t="s">
        <v>63</v>
      </c>
      <c r="AO13" t="s">
        <v>60</v>
      </c>
      <c r="AP13">
        <v>1997</v>
      </c>
      <c r="AQ13" t="s">
        <v>39</v>
      </c>
      <c r="AR13" t="s">
        <v>305</v>
      </c>
      <c r="AS13" t="s">
        <v>331</v>
      </c>
      <c r="AT13" t="s">
        <v>240</v>
      </c>
      <c r="AU13" t="s">
        <v>268</v>
      </c>
      <c r="AV13">
        <v>13.1</v>
      </c>
    </row>
    <row r="14" spans="1:48" x14ac:dyDescent="0.25">
      <c r="A14" s="2">
        <v>13</v>
      </c>
      <c r="B14" t="s">
        <v>88</v>
      </c>
      <c r="C14" s="2" t="s">
        <v>60</v>
      </c>
      <c r="D14" s="2">
        <v>2003</v>
      </c>
      <c r="E14" s="2" t="s">
        <v>89</v>
      </c>
      <c r="F14" t="s">
        <v>36</v>
      </c>
      <c r="G14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14" s="5">
        <v>3.2</v>
      </c>
      <c r="I14" s="8">
        <v>7</v>
      </c>
      <c r="J14" s="8">
        <v>10.199999999999999</v>
      </c>
      <c r="K14" s="5">
        <v>2.4</v>
      </c>
      <c r="L14" s="8">
        <v>5.8</v>
      </c>
      <c r="M14" s="8">
        <v>8.1999999999999993</v>
      </c>
      <c r="N14" s="5">
        <v>2.2000000000000002</v>
      </c>
      <c r="O14" s="8">
        <v>7.7</v>
      </c>
      <c r="P14" s="8">
        <v>9.9</v>
      </c>
      <c r="Q14" s="5">
        <v>2.4</v>
      </c>
      <c r="R14" s="8">
        <v>8</v>
      </c>
      <c r="S14" s="8">
        <v>10.4</v>
      </c>
      <c r="T14" s="5">
        <v>2.7</v>
      </c>
      <c r="U14" s="8">
        <v>7.9</v>
      </c>
      <c r="V14" s="8">
        <v>10.6</v>
      </c>
      <c r="W14" s="5">
        <v>1.9</v>
      </c>
      <c r="X14" s="8">
        <v>4.2</v>
      </c>
      <c r="Y14" s="8">
        <v>6.1</v>
      </c>
      <c r="Z14" s="4">
        <f>IF(Gdansk_result[[#This Row],[All Around]]="Yes",SUM(H14,K14,N14,Q14,T14,W14),0)</f>
        <v>14.799999999999999</v>
      </c>
      <c r="AA14" s="7">
        <f>IF(Gdansk_result[[#This Row],[All Around]]="Yes",SUM(I14,L14,O14,R14,U14,X14),0)</f>
        <v>40.6</v>
      </c>
      <c r="AB14" s="7">
        <v>55.4</v>
      </c>
      <c r="AD14" s="40"/>
      <c r="AE14" s="20" t="s">
        <v>239</v>
      </c>
      <c r="AF14" s="21">
        <f>AVERAGEIFS(Gdansk_result[SR_Dscore],Gdansk_result[[Category]:[Category]],"junior",Gdansk_result[SR_Dscore],"&lt;&gt;0")</f>
        <v>2.5363636363636357</v>
      </c>
      <c r="AG14" s="21" cm="1">
        <f t="array" ref="AG14">_xlfn.STDEV.S(_xlfn._xlws.FILTER(Gdansk_result[SR_Dscore],(Gdansk_result[Category]="junior")*(Gdansk_result[SR_Dscore]&gt;0)))</f>
        <v>0.59375538275072326</v>
      </c>
      <c r="AH14" s="22">
        <f>AVERAGEIFS(Gdansk_result[SR_Escore],Gdansk_result[[Category]:[Category]],"junior",Gdansk_result[SR_Escore],"&lt;&gt;0")</f>
        <v>7.754545454545454</v>
      </c>
      <c r="AI14" s="22" cm="1">
        <f t="array" ref="AI14">_xlfn.STDEV.S(_xlfn._xlws.FILTER(Gdansk_result[SR_Escore],(Gdansk_result[Category]="junior")*(Gdansk_result[SR_Escore]&gt;0)))</f>
        <v>0.6593385114850131</v>
      </c>
      <c r="AJ14" s="22">
        <f>AVERAGEIFS(Gdansk_result[SR_Total_Score],Gdansk_result[[Category]:[Category]],"junior",Gdansk_result[SR_Total_Score],"&lt;&gt;0")</f>
        <v>10.290909090909093</v>
      </c>
      <c r="AK14" s="22" cm="1">
        <f t="array" ref="AK14">_xlfn.STDEV.S(_xlfn._xlws.FILTER(Gdansk_result[SR_Total_Score],(Gdansk_result[Category]="junior")*(Gdansk_result[SR_Total_Score]&gt;0)))</f>
        <v>0.69635414187688316</v>
      </c>
      <c r="AL14" s="22" cm="1">
        <f t="array" ref="AL14">MAX(_xlfn._xlws.FILTER(Gdansk_result[SR_Total_Score],Gdansk_result[Category]="junior"))</f>
        <v>11.2</v>
      </c>
      <c r="AN14" t="s">
        <v>63</v>
      </c>
      <c r="AO14" t="s">
        <v>60</v>
      </c>
      <c r="AP14">
        <v>1997</v>
      </c>
      <c r="AQ14" t="s">
        <v>39</v>
      </c>
      <c r="AR14" t="s">
        <v>305</v>
      </c>
      <c r="AS14" t="s">
        <v>331</v>
      </c>
      <c r="AT14" t="s">
        <v>314</v>
      </c>
      <c r="AU14" t="s">
        <v>308</v>
      </c>
      <c r="AV14">
        <v>4.2</v>
      </c>
    </row>
    <row r="15" spans="1:48" x14ac:dyDescent="0.25">
      <c r="A15" s="2">
        <v>14</v>
      </c>
      <c r="B15" t="s">
        <v>86</v>
      </c>
      <c r="C15" s="2" t="s">
        <v>60</v>
      </c>
      <c r="D15" s="2">
        <v>2003</v>
      </c>
      <c r="E15" s="2" t="s">
        <v>87</v>
      </c>
      <c r="F15" t="s">
        <v>72</v>
      </c>
      <c r="G15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No</v>
      </c>
      <c r="H15" s="5">
        <v>3.9</v>
      </c>
      <c r="I15" s="8">
        <v>7.2</v>
      </c>
      <c r="J15" s="8">
        <v>11.1</v>
      </c>
      <c r="K15" s="5">
        <v>3.8</v>
      </c>
      <c r="L15" s="8">
        <v>7.6</v>
      </c>
      <c r="M15" s="8">
        <v>11.4</v>
      </c>
      <c r="N15" s="5">
        <v>2.7</v>
      </c>
      <c r="O15" s="8">
        <v>6</v>
      </c>
      <c r="P15" s="8">
        <v>8.6999999999999993</v>
      </c>
      <c r="Q15" s="5">
        <v>2.8</v>
      </c>
      <c r="R15" s="8">
        <v>8.3000000000000007</v>
      </c>
      <c r="S15" s="8">
        <v>11.1</v>
      </c>
      <c r="T15" s="5">
        <v>2.4</v>
      </c>
      <c r="U15" s="8">
        <v>4</v>
      </c>
      <c r="V15" s="8">
        <v>6.4</v>
      </c>
      <c r="W15" s="5">
        <v>0</v>
      </c>
      <c r="X15" s="8">
        <v>0</v>
      </c>
      <c r="Y15" s="8">
        <v>0</v>
      </c>
      <c r="Z15" s="4">
        <f>IF(Gdansk_result[[#This Row],[All Around]]="Yes",SUM(H15,K15,N15,Q15,T15,W15),0)</f>
        <v>0</v>
      </c>
      <c r="AA15" s="7">
        <f>IF(Gdansk_result[[#This Row],[All Around]]="Yes",SUM(I15,L15,O15,R15,U15,X15),0)</f>
        <v>0</v>
      </c>
      <c r="AB15" s="7">
        <v>48.7</v>
      </c>
      <c r="AD15" s="41"/>
      <c r="AE15" s="20" t="s">
        <v>240</v>
      </c>
      <c r="AF15" s="21">
        <f>AVERAGEIFS(Gdansk_result[VT_Dscore],Gdansk_result[[Category]:[Category]],"junior",Gdansk_result[VT_Dscore],"&lt;&gt;0")</f>
        <v>2.5384615384615392</v>
      </c>
      <c r="AG15" s="21" cm="1">
        <f t="array" ref="AG15">_xlfn.STDEV.S(_xlfn._xlws.FILTER(Gdansk_result[VT_Dscore],(Gdansk_result[Category]="junior")*(Gdansk_result[VT_Dscore]&gt;0)))</f>
        <v>0.78053236270558801</v>
      </c>
      <c r="AH15" s="22">
        <f>AVERAGEIFS(Gdansk_result[VT_Escore],Gdansk_result[[Category]:[Category]],"junior",Gdansk_result[VT_Escore],"&lt;&gt;0")</f>
        <v>8.4384615384615387</v>
      </c>
      <c r="AI15" s="22" cm="1">
        <f t="array" ref="AI15">_xlfn.STDEV.S(_xlfn._xlws.FILTER(Gdansk_result[VT_Escore],(Gdansk_result[Category]="junior")*(Gdansk_result[VT_Escore]&gt;0)))</f>
        <v>0.4407162003271145</v>
      </c>
      <c r="AJ15" s="22">
        <f>AVERAGEIFS(Gdansk_result[VT_total_score],Gdansk_result[[Category]:[Category]],"junior",Gdansk_result[VT_total_score],"&lt;&gt;0")</f>
        <v>10.976923076923079</v>
      </c>
      <c r="AK15" s="22" cm="1">
        <f t="array" ref="AK15">_xlfn.STDEV.S(_xlfn._xlws.FILTER(Gdansk_result[VT_total_score],(Gdansk_result[Category]="junior")*(Gdansk_result[VT_total_score]&gt;0)))</f>
        <v>0.9496963077337286</v>
      </c>
      <c r="AL15" s="22" cm="1">
        <f t="array" ref="AL15">MAX(_xlfn._xlws.FILTER(Gdansk_result[VT_total_score],Gdansk_result[Category]="junior"))</f>
        <v>12.9</v>
      </c>
      <c r="AN15" t="s">
        <v>63</v>
      </c>
      <c r="AO15" t="s">
        <v>60</v>
      </c>
      <c r="AP15">
        <v>1997</v>
      </c>
      <c r="AQ15" t="s">
        <v>39</v>
      </c>
      <c r="AR15" t="s">
        <v>305</v>
      </c>
      <c r="AS15" t="s">
        <v>331</v>
      </c>
      <c r="AT15" t="s">
        <v>314</v>
      </c>
      <c r="AU15" t="s">
        <v>309</v>
      </c>
      <c r="AV15">
        <v>9.1999999999999993</v>
      </c>
    </row>
    <row r="16" spans="1:48" x14ac:dyDescent="0.25">
      <c r="A16" s="2">
        <v>15</v>
      </c>
      <c r="B16" t="s">
        <v>90</v>
      </c>
      <c r="C16" s="2" t="s">
        <v>60</v>
      </c>
      <c r="D16" s="2">
        <v>2004</v>
      </c>
      <c r="E16" s="2" t="s">
        <v>91</v>
      </c>
      <c r="F16" t="s">
        <v>36</v>
      </c>
      <c r="G16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No</v>
      </c>
      <c r="H16" s="5">
        <v>3.6</v>
      </c>
      <c r="I16" s="8">
        <v>5.7</v>
      </c>
      <c r="J16" s="8">
        <v>9.3000000000000007</v>
      </c>
      <c r="K16" s="5">
        <v>3.4</v>
      </c>
      <c r="L16" s="8">
        <v>8.4</v>
      </c>
      <c r="M16" s="8">
        <v>11.8</v>
      </c>
      <c r="N16" s="5">
        <v>0</v>
      </c>
      <c r="O16" s="8">
        <v>0</v>
      </c>
      <c r="P16" s="8">
        <v>0</v>
      </c>
      <c r="Q16" s="5">
        <v>4</v>
      </c>
      <c r="R16" s="8">
        <v>8.9</v>
      </c>
      <c r="S16" s="8">
        <v>12.9</v>
      </c>
      <c r="T16" s="5">
        <v>0</v>
      </c>
      <c r="U16" s="8">
        <v>0</v>
      </c>
      <c r="V16" s="8">
        <v>0</v>
      </c>
      <c r="W16" s="5">
        <v>0</v>
      </c>
      <c r="X16" s="8">
        <v>0</v>
      </c>
      <c r="Y16" s="8">
        <v>0</v>
      </c>
      <c r="Z16" s="4">
        <f>IF(Gdansk_result[[#This Row],[All Around]]="Yes",SUM(H16,K16,N16,Q16,T16,W16),0)</f>
        <v>0</v>
      </c>
      <c r="AA16" s="7">
        <f>IF(Gdansk_result[[#This Row],[All Around]]="Yes",SUM(I16,L16,O16,R16,U16,X16),0)</f>
        <v>0</v>
      </c>
      <c r="AB16" s="7">
        <v>34</v>
      </c>
      <c r="AN16" t="s">
        <v>63</v>
      </c>
      <c r="AO16" t="s">
        <v>60</v>
      </c>
      <c r="AP16">
        <v>1997</v>
      </c>
      <c r="AQ16" t="s">
        <v>39</v>
      </c>
      <c r="AR16" t="s">
        <v>305</v>
      </c>
      <c r="AS16" t="s">
        <v>331</v>
      </c>
      <c r="AT16" t="s">
        <v>314</v>
      </c>
      <c r="AU16" t="s">
        <v>268</v>
      </c>
      <c r="AV16">
        <v>13.4</v>
      </c>
    </row>
    <row r="17" spans="1:48" x14ac:dyDescent="0.25">
      <c r="A17" s="2">
        <v>16</v>
      </c>
      <c r="B17" t="s">
        <v>98</v>
      </c>
      <c r="C17" s="2" t="s">
        <v>60</v>
      </c>
      <c r="D17" s="2">
        <v>2003</v>
      </c>
      <c r="E17" s="2" t="s">
        <v>99</v>
      </c>
      <c r="F17" t="s">
        <v>72</v>
      </c>
      <c r="G17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No</v>
      </c>
      <c r="H17" s="5">
        <v>3.5</v>
      </c>
      <c r="I17" s="8">
        <v>7.1</v>
      </c>
      <c r="J17" s="8">
        <v>10.6</v>
      </c>
      <c r="K17" s="5">
        <v>2.6</v>
      </c>
      <c r="L17" s="8">
        <v>4.4000000000000004</v>
      </c>
      <c r="M17" s="8">
        <v>7</v>
      </c>
      <c r="N17" s="5">
        <v>0</v>
      </c>
      <c r="O17" s="8">
        <v>0</v>
      </c>
      <c r="P17" s="8">
        <v>0</v>
      </c>
      <c r="Q17" s="5">
        <v>0</v>
      </c>
      <c r="R17" s="8">
        <v>0</v>
      </c>
      <c r="S17" s="8">
        <v>0</v>
      </c>
      <c r="T17" s="5">
        <v>2.5</v>
      </c>
      <c r="U17" s="8">
        <v>8.4</v>
      </c>
      <c r="V17" s="8">
        <v>10.9</v>
      </c>
      <c r="W17" s="5">
        <v>0</v>
      </c>
      <c r="X17" s="8">
        <v>0</v>
      </c>
      <c r="Y17" s="8">
        <v>0</v>
      </c>
      <c r="Z17" s="4">
        <f>IF(Gdansk_result[[#This Row],[All Around]]="Yes",SUM(H17,K17,N17,Q17,T17,W17),0)</f>
        <v>0</v>
      </c>
      <c r="AA17" s="7">
        <f>IF(Gdansk_result[[#This Row],[All Around]]="Yes",SUM(I17,L17,O17,R17,U17,X17),0)</f>
        <v>0</v>
      </c>
      <c r="AB17" s="7">
        <v>28.5</v>
      </c>
      <c r="AD17" s="28" t="s">
        <v>296</v>
      </c>
      <c r="AN17" t="s">
        <v>63</v>
      </c>
      <c r="AO17" t="s">
        <v>60</v>
      </c>
      <c r="AP17">
        <v>1997</v>
      </c>
      <c r="AQ17" t="s">
        <v>39</v>
      </c>
      <c r="AR17" t="s">
        <v>305</v>
      </c>
      <c r="AS17" t="s">
        <v>331</v>
      </c>
      <c r="AT17" t="s">
        <v>242</v>
      </c>
      <c r="AU17" t="s">
        <v>308</v>
      </c>
      <c r="AV17">
        <v>4.2</v>
      </c>
    </row>
    <row r="18" spans="1:48" ht="21" x14ac:dyDescent="0.35">
      <c r="A18" s="2">
        <v>17</v>
      </c>
      <c r="B18" t="s">
        <v>75</v>
      </c>
      <c r="C18" s="2" t="s">
        <v>60</v>
      </c>
      <c r="D18" s="2">
        <v>2003</v>
      </c>
      <c r="E18" s="2" t="s">
        <v>76</v>
      </c>
      <c r="F18" t="s">
        <v>28</v>
      </c>
      <c r="G18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No</v>
      </c>
      <c r="H18" s="5">
        <v>0</v>
      </c>
      <c r="I18" s="8">
        <v>0</v>
      </c>
      <c r="J18" s="8">
        <v>0</v>
      </c>
      <c r="K18" s="5">
        <v>4.2</v>
      </c>
      <c r="L18" s="8">
        <v>8.3000000000000007</v>
      </c>
      <c r="M18" s="8">
        <v>12.5</v>
      </c>
      <c r="N18" s="5">
        <v>0</v>
      </c>
      <c r="O18" s="8">
        <v>0</v>
      </c>
      <c r="P18" s="8">
        <v>0</v>
      </c>
      <c r="Q18" s="5">
        <v>0</v>
      </c>
      <c r="R18" s="8">
        <v>0</v>
      </c>
      <c r="S18" s="8">
        <v>0</v>
      </c>
      <c r="T18" s="5">
        <v>3.1</v>
      </c>
      <c r="U18" s="8">
        <v>9</v>
      </c>
      <c r="V18" s="8">
        <v>12.1</v>
      </c>
      <c r="W18" s="5">
        <v>0</v>
      </c>
      <c r="X18" s="8">
        <v>0</v>
      </c>
      <c r="Y18" s="8">
        <v>0</v>
      </c>
      <c r="Z18" s="4">
        <f>IF(Gdansk_result[[#This Row],[All Around]]="Yes",SUM(H18,K18,N18,Q18,T18,W18),0)</f>
        <v>0</v>
      </c>
      <c r="AA18" s="7">
        <f>IF(Gdansk_result[[#This Row],[All Around]]="Yes",SUM(I18,L18,O18,R18,U18,X18),0)</f>
        <v>0</v>
      </c>
      <c r="AB18" s="7">
        <v>24.6</v>
      </c>
      <c r="AD18" s="29" t="s">
        <v>297</v>
      </c>
      <c r="AF18" s="44" t="s">
        <v>355</v>
      </c>
      <c r="AG18" s="45"/>
      <c r="AH18" s="44" t="s">
        <v>313</v>
      </c>
      <c r="AI18" s="44" t="s">
        <v>2</v>
      </c>
      <c r="AJ18" s="45"/>
      <c r="AN18" t="s">
        <v>63</v>
      </c>
      <c r="AO18" t="s">
        <v>60</v>
      </c>
      <c r="AP18">
        <v>1997</v>
      </c>
      <c r="AQ18" t="s">
        <v>39</v>
      </c>
      <c r="AR18" t="s">
        <v>305</v>
      </c>
      <c r="AS18" t="s">
        <v>331</v>
      </c>
      <c r="AT18" t="s">
        <v>242</v>
      </c>
      <c r="AU18" t="s">
        <v>309</v>
      </c>
      <c r="AV18">
        <v>8</v>
      </c>
    </row>
    <row r="19" spans="1:48" ht="21" x14ac:dyDescent="0.35">
      <c r="A19" s="2">
        <v>18</v>
      </c>
      <c r="B19" t="s">
        <v>96</v>
      </c>
      <c r="C19" s="2" t="s">
        <v>60</v>
      </c>
      <c r="D19" s="2">
        <v>2002</v>
      </c>
      <c r="E19" s="2" t="s">
        <v>97</v>
      </c>
      <c r="F19" t="s">
        <v>62</v>
      </c>
      <c r="G19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No</v>
      </c>
      <c r="H19" s="5">
        <v>0</v>
      </c>
      <c r="I19" s="8">
        <v>0</v>
      </c>
      <c r="J19" s="8">
        <v>0</v>
      </c>
      <c r="K19" s="5">
        <v>4.5</v>
      </c>
      <c r="L19" s="8">
        <v>6.3</v>
      </c>
      <c r="M19" s="8">
        <v>10.8</v>
      </c>
      <c r="N19" s="5">
        <v>0</v>
      </c>
      <c r="O19" s="8">
        <v>0</v>
      </c>
      <c r="P19" s="8">
        <v>0</v>
      </c>
      <c r="Q19" s="5">
        <v>0</v>
      </c>
      <c r="R19" s="8">
        <v>0</v>
      </c>
      <c r="S19" s="8">
        <v>0</v>
      </c>
      <c r="T19" s="5">
        <v>3.5</v>
      </c>
      <c r="U19" s="8">
        <v>3</v>
      </c>
      <c r="V19" s="8">
        <v>6.5</v>
      </c>
      <c r="W19" s="5">
        <v>0</v>
      </c>
      <c r="X19" s="8">
        <v>0</v>
      </c>
      <c r="Y19" s="8">
        <v>0</v>
      </c>
      <c r="Z19" s="4">
        <f>IF(Gdansk_result[[#This Row],[All Around]]="Yes",SUM(H19,K19,N19,Q19,T19,W19),0)</f>
        <v>0</v>
      </c>
      <c r="AA19" s="7">
        <f>IF(Gdansk_result[[#This Row],[All Around]]="Yes",SUM(I19,L19,O19,R19,U19,X19),0)</f>
        <v>0</v>
      </c>
      <c r="AB19" s="7">
        <v>17.3</v>
      </c>
      <c r="AD19" s="30" t="s">
        <v>298</v>
      </c>
      <c r="AF19" s="45"/>
      <c r="AG19" s="45"/>
      <c r="AH19" s="45" t="s">
        <v>326</v>
      </c>
      <c r="AI19" s="45" t="s">
        <v>327</v>
      </c>
      <c r="AJ19" s="45" t="s">
        <v>329</v>
      </c>
      <c r="AN19" t="s">
        <v>63</v>
      </c>
      <c r="AO19" t="s">
        <v>60</v>
      </c>
      <c r="AP19">
        <v>1997</v>
      </c>
      <c r="AQ19" t="s">
        <v>39</v>
      </c>
      <c r="AR19" t="s">
        <v>305</v>
      </c>
      <c r="AS19" t="s">
        <v>331</v>
      </c>
      <c r="AT19" t="s">
        <v>242</v>
      </c>
      <c r="AU19" t="s">
        <v>268</v>
      </c>
      <c r="AV19">
        <v>12.2</v>
      </c>
    </row>
    <row r="20" spans="1:48" ht="21" x14ac:dyDescent="0.35">
      <c r="A20" s="2">
        <v>19</v>
      </c>
      <c r="B20" t="s">
        <v>94</v>
      </c>
      <c r="C20" s="2" t="s">
        <v>60</v>
      </c>
      <c r="D20" s="2">
        <v>2002</v>
      </c>
      <c r="E20" s="2" t="s">
        <v>95</v>
      </c>
      <c r="F20" t="s">
        <v>72</v>
      </c>
      <c r="G20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No</v>
      </c>
      <c r="H20" s="5">
        <v>0</v>
      </c>
      <c r="I20" s="8">
        <v>0</v>
      </c>
      <c r="J20" s="8">
        <v>0</v>
      </c>
      <c r="K20" s="5">
        <v>0</v>
      </c>
      <c r="L20" s="8">
        <v>0</v>
      </c>
      <c r="M20" s="8">
        <v>0</v>
      </c>
      <c r="N20" s="5">
        <v>4.3</v>
      </c>
      <c r="O20" s="8">
        <v>7.2</v>
      </c>
      <c r="P20" s="8">
        <v>11.5</v>
      </c>
      <c r="Q20" s="5">
        <v>0</v>
      </c>
      <c r="R20" s="8">
        <v>0</v>
      </c>
      <c r="S20" s="8">
        <v>0</v>
      </c>
      <c r="T20" s="5">
        <v>0</v>
      </c>
      <c r="U20" s="8">
        <v>0</v>
      </c>
      <c r="V20" s="8">
        <v>0</v>
      </c>
      <c r="W20" s="5">
        <v>0</v>
      </c>
      <c r="X20" s="8">
        <v>0</v>
      </c>
      <c r="Y20" s="8">
        <v>0</v>
      </c>
      <c r="Z20" s="4">
        <f>IF(Gdansk_result[[#This Row],[All Around]]="Yes",SUM(H20,K20,N20,Q20,T20,W20),0)</f>
        <v>0</v>
      </c>
      <c r="AA20" s="7">
        <f>IF(Gdansk_result[[#This Row],[All Around]]="Yes",SUM(I20,L20,O20,R20,U20,X20),0)</f>
        <v>0</v>
      </c>
      <c r="AB20" s="7">
        <v>11.5</v>
      </c>
      <c r="AD20" s="31" t="s">
        <v>300</v>
      </c>
      <c r="AF20" s="44" t="s">
        <v>217</v>
      </c>
      <c r="AG20" s="44" t="s">
        <v>1</v>
      </c>
      <c r="AH20" s="45" t="s">
        <v>26</v>
      </c>
      <c r="AI20" s="45" t="s">
        <v>26</v>
      </c>
      <c r="AJ20" s="45" t="s">
        <v>26</v>
      </c>
      <c r="AN20" t="s">
        <v>63</v>
      </c>
      <c r="AO20" t="s">
        <v>60</v>
      </c>
      <c r="AP20">
        <v>1997</v>
      </c>
      <c r="AQ20" t="s">
        <v>39</v>
      </c>
      <c r="AR20" t="s">
        <v>305</v>
      </c>
      <c r="AS20" t="s">
        <v>331</v>
      </c>
      <c r="AT20" t="s">
        <v>243</v>
      </c>
      <c r="AU20" t="s">
        <v>326</v>
      </c>
      <c r="AV20">
        <v>27.4</v>
      </c>
    </row>
    <row r="21" spans="1:48" ht="21" x14ac:dyDescent="0.35">
      <c r="A21" s="2">
        <v>20</v>
      </c>
      <c r="B21" t="s">
        <v>104</v>
      </c>
      <c r="C21" s="2" t="s">
        <v>60</v>
      </c>
      <c r="D21" s="2">
        <v>2004</v>
      </c>
      <c r="E21" s="2" t="s">
        <v>105</v>
      </c>
      <c r="F21" t="s">
        <v>28</v>
      </c>
      <c r="G21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No</v>
      </c>
      <c r="H21" s="5">
        <v>4.4000000000000004</v>
      </c>
      <c r="I21" s="8">
        <v>4.5</v>
      </c>
      <c r="J21" s="8">
        <v>8.9</v>
      </c>
      <c r="K21" s="5">
        <v>0</v>
      </c>
      <c r="L21" s="8">
        <v>0</v>
      </c>
      <c r="M21" s="8">
        <v>0</v>
      </c>
      <c r="N21" s="5">
        <v>0</v>
      </c>
      <c r="O21" s="8">
        <v>0</v>
      </c>
      <c r="P21" s="8">
        <v>0</v>
      </c>
      <c r="Q21" s="5">
        <v>0</v>
      </c>
      <c r="R21" s="8">
        <v>0</v>
      </c>
      <c r="S21" s="8">
        <v>0</v>
      </c>
      <c r="T21" s="5">
        <v>0</v>
      </c>
      <c r="U21" s="8">
        <v>0</v>
      </c>
      <c r="V21" s="8">
        <v>0</v>
      </c>
      <c r="W21" s="5">
        <v>0</v>
      </c>
      <c r="X21" s="8">
        <v>0</v>
      </c>
      <c r="Y21" s="8">
        <v>0</v>
      </c>
      <c r="Z21" s="4">
        <f>IF(Gdansk_result[[#This Row],[All Around]]="Yes",SUM(H21,K21,N21,Q21,T21,W21),0)</f>
        <v>0</v>
      </c>
      <c r="AA21" s="7">
        <f>IF(Gdansk_result[[#This Row],[All Around]]="Yes",SUM(I21,L21,O21,R21,U21,X21),0)</f>
        <v>0</v>
      </c>
      <c r="AB21" s="7">
        <v>8.9</v>
      </c>
      <c r="AD21" s="32" t="s">
        <v>299</v>
      </c>
      <c r="AF21" s="45" t="s">
        <v>243</v>
      </c>
      <c r="AG21" s="45" t="s">
        <v>46</v>
      </c>
      <c r="AH21" s="57">
        <v>12.600000000000001</v>
      </c>
      <c r="AI21" s="56">
        <v>40.299999999999997</v>
      </c>
      <c r="AJ21" s="56">
        <v>52.9</v>
      </c>
      <c r="AN21" t="s">
        <v>63</v>
      </c>
      <c r="AO21" t="s">
        <v>60</v>
      </c>
      <c r="AP21">
        <v>1997</v>
      </c>
      <c r="AQ21" t="s">
        <v>39</v>
      </c>
      <c r="AR21" t="s">
        <v>305</v>
      </c>
      <c r="AS21" t="s">
        <v>331</v>
      </c>
      <c r="AT21" t="s">
        <v>243</v>
      </c>
      <c r="AU21" t="s">
        <v>327</v>
      </c>
      <c r="AV21">
        <v>45.15</v>
      </c>
    </row>
    <row r="22" spans="1:48" ht="21" x14ac:dyDescent="0.35">
      <c r="A22" s="2">
        <v>1</v>
      </c>
      <c r="B22" t="s">
        <v>25</v>
      </c>
      <c r="C22" s="2" t="s">
        <v>26</v>
      </c>
      <c r="D22" s="2">
        <v>2008</v>
      </c>
      <c r="E22" s="2" t="s">
        <v>27</v>
      </c>
      <c r="F22" t="s">
        <v>28</v>
      </c>
      <c r="G22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22" s="5">
        <v>4</v>
      </c>
      <c r="I22" s="8">
        <v>7.9</v>
      </c>
      <c r="J22" s="8">
        <v>11.9</v>
      </c>
      <c r="K22" s="5">
        <v>3.7</v>
      </c>
      <c r="L22" s="8">
        <v>8.8000000000000007</v>
      </c>
      <c r="M22" s="8">
        <v>12.5</v>
      </c>
      <c r="N22" s="5">
        <v>2.8</v>
      </c>
      <c r="O22" s="8">
        <v>8.4</v>
      </c>
      <c r="P22" s="8">
        <v>11.2</v>
      </c>
      <c r="Q22" s="5">
        <v>2.2000000000000002</v>
      </c>
      <c r="R22" s="8">
        <v>8.3000000000000007</v>
      </c>
      <c r="S22" s="8">
        <v>10.5</v>
      </c>
      <c r="T22" s="5">
        <v>4.2</v>
      </c>
      <c r="U22" s="8">
        <v>7.7</v>
      </c>
      <c r="V22" s="8">
        <v>11.9</v>
      </c>
      <c r="W22" s="5">
        <v>2.7</v>
      </c>
      <c r="X22" s="8">
        <v>9.3000000000000007</v>
      </c>
      <c r="Y22" s="8">
        <v>12</v>
      </c>
      <c r="Z22" s="4">
        <f>IF(Gdansk_result[[#This Row],[All Around]]="Yes",SUM(H22,K22,N22,Q22,T22,W22),0)</f>
        <v>19.599999999999998</v>
      </c>
      <c r="AA22" s="7">
        <f>IF(Gdansk_result[[#This Row],[All Around]]="Yes",SUM(I22,L22,O22,R22,U22,X22),0)</f>
        <v>50.400000000000006</v>
      </c>
      <c r="AB22" s="7">
        <v>70</v>
      </c>
      <c r="AD22" s="33" t="s">
        <v>252</v>
      </c>
      <c r="AF22" s="45"/>
      <c r="AG22" s="45" t="s">
        <v>48</v>
      </c>
      <c r="AH22" s="57">
        <v>13.9</v>
      </c>
      <c r="AI22" s="56">
        <v>48.2</v>
      </c>
      <c r="AJ22" s="56">
        <v>62.1</v>
      </c>
      <c r="AN22" t="s">
        <v>63</v>
      </c>
      <c r="AO22" t="s">
        <v>60</v>
      </c>
      <c r="AP22">
        <v>1997</v>
      </c>
      <c r="AQ22" t="s">
        <v>39</v>
      </c>
      <c r="AR22" t="s">
        <v>305</v>
      </c>
      <c r="AS22" t="s">
        <v>331</v>
      </c>
      <c r="AT22" t="s">
        <v>243</v>
      </c>
      <c r="AU22" t="s">
        <v>329</v>
      </c>
      <c r="AV22">
        <v>72.55</v>
      </c>
    </row>
    <row r="23" spans="1:48" ht="21" x14ac:dyDescent="0.35">
      <c r="A23" s="2">
        <v>2</v>
      </c>
      <c r="B23" t="s">
        <v>32</v>
      </c>
      <c r="C23" s="2" t="s">
        <v>26</v>
      </c>
      <c r="D23" s="2">
        <v>2005</v>
      </c>
      <c r="E23" s="2" t="s">
        <v>33</v>
      </c>
      <c r="F23" t="s">
        <v>31</v>
      </c>
      <c r="G23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23" s="5">
        <v>4.0999999999999996</v>
      </c>
      <c r="I23" s="8">
        <v>7.8</v>
      </c>
      <c r="J23" s="8">
        <v>11.9</v>
      </c>
      <c r="K23" s="5">
        <v>3.6</v>
      </c>
      <c r="L23" s="8">
        <v>8.3000000000000007</v>
      </c>
      <c r="M23" s="8">
        <v>11.9</v>
      </c>
      <c r="N23" s="5">
        <v>3.3</v>
      </c>
      <c r="O23" s="8">
        <v>7.9</v>
      </c>
      <c r="P23" s="8">
        <v>11.2</v>
      </c>
      <c r="Q23" s="5">
        <v>2.8</v>
      </c>
      <c r="R23" s="8">
        <v>8.8000000000000007</v>
      </c>
      <c r="S23" s="8">
        <v>11.6</v>
      </c>
      <c r="T23" s="5">
        <v>3.4</v>
      </c>
      <c r="U23" s="8">
        <v>7.3</v>
      </c>
      <c r="V23" s="8">
        <v>10.7</v>
      </c>
      <c r="W23" s="5">
        <v>2.9</v>
      </c>
      <c r="X23" s="8">
        <v>6.2</v>
      </c>
      <c r="Y23" s="8">
        <v>9.1</v>
      </c>
      <c r="Z23" s="4">
        <f>IF(Gdansk_result[[#This Row],[All Around]]="Yes",SUM(H23,K23,N23,Q23,T23,W23),0)</f>
        <v>20.099999999999998</v>
      </c>
      <c r="AA23" s="7">
        <f>IF(Gdansk_result[[#This Row],[All Around]]="Yes",SUM(I23,L23,O23,R23,U23,X23),0)</f>
        <v>46.3</v>
      </c>
      <c r="AB23" s="7">
        <v>66.400000000000006</v>
      </c>
      <c r="AD23" s="34" t="s">
        <v>301</v>
      </c>
      <c r="AF23" s="45"/>
      <c r="AG23" s="45" t="s">
        <v>42</v>
      </c>
      <c r="AH23" s="57">
        <v>15.000000000000002</v>
      </c>
      <c r="AI23" s="56">
        <v>47.699999999999996</v>
      </c>
      <c r="AJ23" s="56">
        <v>62.7</v>
      </c>
      <c r="AN23" t="s">
        <v>59</v>
      </c>
      <c r="AO23" t="s">
        <v>60</v>
      </c>
      <c r="AP23">
        <v>2002</v>
      </c>
      <c r="AQ23" t="s">
        <v>62</v>
      </c>
      <c r="AR23" t="s">
        <v>305</v>
      </c>
      <c r="AS23" t="s">
        <v>331</v>
      </c>
      <c r="AT23" t="s">
        <v>218</v>
      </c>
      <c r="AU23" t="s">
        <v>308</v>
      </c>
      <c r="AV23">
        <v>5.4</v>
      </c>
    </row>
    <row r="24" spans="1:48" ht="21" x14ac:dyDescent="0.35">
      <c r="A24" s="2">
        <v>3</v>
      </c>
      <c r="B24" t="s">
        <v>29</v>
      </c>
      <c r="C24" s="2" t="s">
        <v>26</v>
      </c>
      <c r="D24" s="2">
        <v>2005</v>
      </c>
      <c r="E24" s="2" t="s">
        <v>30</v>
      </c>
      <c r="F24" t="s">
        <v>31</v>
      </c>
      <c r="G24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24" s="5">
        <v>4.4000000000000004</v>
      </c>
      <c r="I24" s="8">
        <v>7.5</v>
      </c>
      <c r="J24" s="8">
        <v>11.9</v>
      </c>
      <c r="K24" s="5">
        <v>3.6</v>
      </c>
      <c r="L24" s="8">
        <v>6.3</v>
      </c>
      <c r="M24" s="8">
        <v>9.9</v>
      </c>
      <c r="N24" s="5">
        <v>2.2999999999999998</v>
      </c>
      <c r="O24" s="8">
        <v>8.6</v>
      </c>
      <c r="P24" s="8">
        <v>10.9</v>
      </c>
      <c r="Q24" s="5">
        <v>4</v>
      </c>
      <c r="R24" s="8">
        <v>8.6</v>
      </c>
      <c r="S24" s="8">
        <v>12.6</v>
      </c>
      <c r="T24" s="5">
        <v>3.4</v>
      </c>
      <c r="U24" s="8">
        <v>8.1999999999999993</v>
      </c>
      <c r="V24" s="8">
        <v>11.6</v>
      </c>
      <c r="W24" s="5">
        <v>2.7</v>
      </c>
      <c r="X24" s="8">
        <v>6.7</v>
      </c>
      <c r="Y24" s="8">
        <v>9.4</v>
      </c>
      <c r="Z24" s="4">
        <f>IF(Gdansk_result[[#This Row],[All Around]]="Yes",SUM(H24,K24,N24,Q24,T24,W24),0)</f>
        <v>20.399999999999999</v>
      </c>
      <c r="AA24" s="7">
        <f>IF(Gdansk_result[[#This Row],[All Around]]="Yes",SUM(I24,L24,O24,R24,U24,X24),0)</f>
        <v>45.900000000000006</v>
      </c>
      <c r="AB24" s="7">
        <v>66.3</v>
      </c>
      <c r="AD24" s="37" t="s">
        <v>304</v>
      </c>
      <c r="AF24" s="45"/>
      <c r="AG24" s="45" t="s">
        <v>37</v>
      </c>
      <c r="AH24" s="57">
        <v>17.900000000000002</v>
      </c>
      <c r="AI24" s="56">
        <v>45.199999999999996</v>
      </c>
      <c r="AJ24" s="56">
        <v>63.1</v>
      </c>
      <c r="AN24" t="s">
        <v>59</v>
      </c>
      <c r="AO24" t="s">
        <v>60</v>
      </c>
      <c r="AP24">
        <v>2002</v>
      </c>
      <c r="AQ24" t="s">
        <v>62</v>
      </c>
      <c r="AR24" t="s">
        <v>305</v>
      </c>
      <c r="AS24" t="s">
        <v>331</v>
      </c>
      <c r="AT24" t="s">
        <v>218</v>
      </c>
      <c r="AU24" t="s">
        <v>309</v>
      </c>
      <c r="AV24">
        <v>7.4</v>
      </c>
    </row>
    <row r="25" spans="1:48" ht="21" x14ac:dyDescent="0.35">
      <c r="A25" s="2">
        <v>4</v>
      </c>
      <c r="B25" t="s">
        <v>34</v>
      </c>
      <c r="C25" s="2" t="s">
        <v>26</v>
      </c>
      <c r="D25" s="2">
        <v>2006</v>
      </c>
      <c r="E25" s="2" t="s">
        <v>35</v>
      </c>
      <c r="F25" t="s">
        <v>36</v>
      </c>
      <c r="G25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25" s="5">
        <v>3.6</v>
      </c>
      <c r="I25" s="8">
        <v>7.4</v>
      </c>
      <c r="J25" s="8">
        <v>11</v>
      </c>
      <c r="K25" s="5">
        <v>3.6</v>
      </c>
      <c r="L25" s="8">
        <v>8.3000000000000007</v>
      </c>
      <c r="M25" s="8">
        <v>11.9</v>
      </c>
      <c r="N25" s="5">
        <v>3.4</v>
      </c>
      <c r="O25" s="8">
        <v>7.7</v>
      </c>
      <c r="P25" s="8">
        <v>11.1</v>
      </c>
      <c r="Q25" s="5">
        <v>2.4</v>
      </c>
      <c r="R25" s="8">
        <v>7.2</v>
      </c>
      <c r="S25" s="8">
        <v>9.6</v>
      </c>
      <c r="T25" s="5">
        <v>3.4</v>
      </c>
      <c r="U25" s="8">
        <v>7.3</v>
      </c>
      <c r="V25" s="8">
        <v>10.7</v>
      </c>
      <c r="W25" s="5">
        <v>2.7</v>
      </c>
      <c r="X25" s="8">
        <v>7.5</v>
      </c>
      <c r="Y25" s="8">
        <v>10.199999999999999</v>
      </c>
      <c r="Z25" s="4">
        <f>IF(Gdansk_result[[#This Row],[All Around]]="Yes",SUM(H25,K25,N25,Q25,T25,W25),0)</f>
        <v>19.099999999999998</v>
      </c>
      <c r="AA25" s="7">
        <f>IF(Gdansk_result[[#This Row],[All Around]]="Yes",SUM(I25,L25,O25,R25,U25,X25),0)</f>
        <v>45.4</v>
      </c>
      <c r="AB25" s="7">
        <v>64.5</v>
      </c>
      <c r="AD25" s="35" t="s">
        <v>302</v>
      </c>
      <c r="AF25" s="45"/>
      <c r="AG25" s="45" t="s">
        <v>112</v>
      </c>
      <c r="AH25" s="57">
        <v>19.5</v>
      </c>
      <c r="AI25" s="56">
        <v>43.8</v>
      </c>
      <c r="AJ25" s="56">
        <v>63.3</v>
      </c>
      <c r="AN25" t="s">
        <v>59</v>
      </c>
      <c r="AO25" t="s">
        <v>60</v>
      </c>
      <c r="AP25">
        <v>2002</v>
      </c>
      <c r="AQ25" t="s">
        <v>62</v>
      </c>
      <c r="AR25" t="s">
        <v>305</v>
      </c>
      <c r="AS25" t="s">
        <v>331</v>
      </c>
      <c r="AT25" t="s">
        <v>218</v>
      </c>
      <c r="AU25" t="s">
        <v>268</v>
      </c>
      <c r="AV25">
        <v>12.8</v>
      </c>
    </row>
    <row r="26" spans="1:48" ht="21" x14ac:dyDescent="0.35">
      <c r="A26" s="2">
        <v>5</v>
      </c>
      <c r="B26" t="s">
        <v>44</v>
      </c>
      <c r="C26" s="2" t="s">
        <v>26</v>
      </c>
      <c r="D26" s="2">
        <v>2007</v>
      </c>
      <c r="E26" s="2" t="s">
        <v>45</v>
      </c>
      <c r="F26" t="s">
        <v>39</v>
      </c>
      <c r="G26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26" s="5">
        <v>3.3</v>
      </c>
      <c r="I26" s="8">
        <v>7.2</v>
      </c>
      <c r="J26" s="8">
        <v>10.5</v>
      </c>
      <c r="K26" s="5">
        <v>2.8</v>
      </c>
      <c r="L26" s="8">
        <v>8.5</v>
      </c>
      <c r="M26" s="8">
        <v>11.3</v>
      </c>
      <c r="N26" s="5">
        <v>2.2999999999999998</v>
      </c>
      <c r="O26" s="8">
        <v>8</v>
      </c>
      <c r="P26" s="8">
        <v>10.3</v>
      </c>
      <c r="Q26" s="5">
        <v>2.4</v>
      </c>
      <c r="R26" s="8">
        <v>8.4</v>
      </c>
      <c r="S26" s="8">
        <v>10.8</v>
      </c>
      <c r="T26" s="5">
        <v>2.6</v>
      </c>
      <c r="U26" s="8">
        <v>8.9</v>
      </c>
      <c r="V26" s="8">
        <v>11.5</v>
      </c>
      <c r="W26" s="5">
        <v>2.2999999999999998</v>
      </c>
      <c r="X26" s="8">
        <v>7.5</v>
      </c>
      <c r="Y26" s="8">
        <v>9.8000000000000007</v>
      </c>
      <c r="Z26" s="4">
        <f>IF(Gdansk_result[[#This Row],[All Around]]="Yes",SUM(H26,K26,N26,Q26,T26,W26),0)</f>
        <v>15.7</v>
      </c>
      <c r="AA26" s="7">
        <f>IF(Gdansk_result[[#This Row],[All Around]]="Yes",SUM(I26,L26,O26,R26,U26,X26),0)</f>
        <v>48.5</v>
      </c>
      <c r="AB26" s="7">
        <v>64.2</v>
      </c>
      <c r="AD26" s="36" t="s">
        <v>303</v>
      </c>
      <c r="AF26" s="45"/>
      <c r="AG26" s="45" t="s">
        <v>40</v>
      </c>
      <c r="AH26" s="57">
        <v>17.599999999999998</v>
      </c>
      <c r="AI26" s="56">
        <v>46.2</v>
      </c>
      <c r="AJ26" s="56">
        <v>63.8</v>
      </c>
      <c r="AN26" t="s">
        <v>59</v>
      </c>
      <c r="AO26" t="s">
        <v>60</v>
      </c>
      <c r="AP26">
        <v>2002</v>
      </c>
      <c r="AQ26" t="s">
        <v>62</v>
      </c>
      <c r="AR26" t="s">
        <v>305</v>
      </c>
      <c r="AS26" t="s">
        <v>331</v>
      </c>
      <c r="AT26" t="s">
        <v>238</v>
      </c>
      <c r="AU26" t="s">
        <v>308</v>
      </c>
      <c r="AV26">
        <v>4.9000000000000004</v>
      </c>
    </row>
    <row r="27" spans="1:48" ht="21" x14ac:dyDescent="0.35">
      <c r="A27" s="2">
        <v>6</v>
      </c>
      <c r="B27" t="s">
        <v>40</v>
      </c>
      <c r="C27" s="2" t="s">
        <v>26</v>
      </c>
      <c r="D27" s="2">
        <v>2007</v>
      </c>
      <c r="E27" s="2" t="s">
        <v>41</v>
      </c>
      <c r="F27" t="s">
        <v>39</v>
      </c>
      <c r="G27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27" s="4">
        <v>3.1</v>
      </c>
      <c r="I27" s="7">
        <v>7.3</v>
      </c>
      <c r="J27" s="7">
        <v>10.4</v>
      </c>
      <c r="K27" s="4">
        <v>2.9</v>
      </c>
      <c r="L27" s="7">
        <v>8.1</v>
      </c>
      <c r="M27" s="7">
        <v>11</v>
      </c>
      <c r="N27" s="4">
        <v>3.4</v>
      </c>
      <c r="O27" s="7">
        <v>6</v>
      </c>
      <c r="P27" s="7">
        <v>9.4</v>
      </c>
      <c r="Q27" s="4">
        <v>2.8</v>
      </c>
      <c r="R27" s="7">
        <v>8.6</v>
      </c>
      <c r="S27" s="7">
        <v>11.4</v>
      </c>
      <c r="T27" s="4">
        <v>3</v>
      </c>
      <c r="U27" s="7">
        <v>9</v>
      </c>
      <c r="V27" s="7">
        <v>12</v>
      </c>
      <c r="W27" s="4">
        <v>2.4</v>
      </c>
      <c r="X27" s="7">
        <v>7.2</v>
      </c>
      <c r="Y27" s="7">
        <v>9.6</v>
      </c>
      <c r="Z27" s="4">
        <f>IF(Gdansk_result[[#This Row],[All Around]]="Yes",SUM(H27,K27,N27,Q27,T27,W27),0)</f>
        <v>17.599999999999998</v>
      </c>
      <c r="AA27" s="7">
        <f>IF(Gdansk_result[[#This Row],[All Around]]="Yes",SUM(I27,L27,O27,R27,U27,X27),0)</f>
        <v>46.2</v>
      </c>
      <c r="AB27" s="7">
        <v>63.8</v>
      </c>
      <c r="AF27" s="45"/>
      <c r="AG27" s="45" t="s">
        <v>44</v>
      </c>
      <c r="AH27" s="57">
        <v>15.7</v>
      </c>
      <c r="AI27" s="56">
        <v>48.5</v>
      </c>
      <c r="AJ27" s="56">
        <v>64.2</v>
      </c>
      <c r="AN27" t="s">
        <v>59</v>
      </c>
      <c r="AO27" t="s">
        <v>60</v>
      </c>
      <c r="AP27">
        <v>2002</v>
      </c>
      <c r="AQ27" t="s">
        <v>62</v>
      </c>
      <c r="AR27" t="s">
        <v>305</v>
      </c>
      <c r="AS27" t="s">
        <v>331</v>
      </c>
      <c r="AT27" t="s">
        <v>238</v>
      </c>
      <c r="AU27" t="s">
        <v>309</v>
      </c>
      <c r="AV27">
        <v>6</v>
      </c>
    </row>
    <row r="28" spans="1:48" ht="21" x14ac:dyDescent="0.35">
      <c r="A28" s="2">
        <v>7</v>
      </c>
      <c r="B28" t="s">
        <v>112</v>
      </c>
      <c r="C28" s="2" t="s">
        <v>26</v>
      </c>
      <c r="D28" s="2">
        <v>2005</v>
      </c>
      <c r="E28" s="2" t="s">
        <v>113</v>
      </c>
      <c r="F28" t="s">
        <v>31</v>
      </c>
      <c r="G28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28" s="5">
        <v>4.2</v>
      </c>
      <c r="I28" s="8">
        <v>6.3</v>
      </c>
      <c r="J28" s="8">
        <v>10.5</v>
      </c>
      <c r="K28" s="5">
        <v>2.7</v>
      </c>
      <c r="L28" s="8">
        <v>6</v>
      </c>
      <c r="M28" s="8">
        <v>8.6999999999999993</v>
      </c>
      <c r="N28" s="5">
        <v>2.2000000000000002</v>
      </c>
      <c r="O28" s="8">
        <v>7.7</v>
      </c>
      <c r="P28" s="8">
        <v>9.9</v>
      </c>
      <c r="Q28" s="5">
        <v>4</v>
      </c>
      <c r="R28" s="8">
        <v>8.9</v>
      </c>
      <c r="S28" s="8">
        <v>12.9</v>
      </c>
      <c r="T28" s="5">
        <v>3.2</v>
      </c>
      <c r="U28" s="8">
        <v>7.4</v>
      </c>
      <c r="V28" s="8">
        <v>10.6</v>
      </c>
      <c r="W28" s="5">
        <v>3.2</v>
      </c>
      <c r="X28" s="8">
        <v>7.5</v>
      </c>
      <c r="Y28" s="8">
        <v>10.7</v>
      </c>
      <c r="Z28" s="4">
        <f>IF(Gdansk_result[[#This Row],[All Around]]="Yes",SUM(H28,K28,N28,Q28,T28,W28),0)</f>
        <v>19.5</v>
      </c>
      <c r="AA28" s="7">
        <f>IF(Gdansk_result[[#This Row],[All Around]]="Yes",SUM(I28,L28,O28,R28,U28,X28),0)</f>
        <v>43.8</v>
      </c>
      <c r="AB28" s="7">
        <v>63.3</v>
      </c>
      <c r="AF28" s="45"/>
      <c r="AG28" s="45" t="s">
        <v>34</v>
      </c>
      <c r="AH28" s="57">
        <v>19.099999999999998</v>
      </c>
      <c r="AI28" s="56">
        <v>45.4</v>
      </c>
      <c r="AJ28" s="56">
        <v>64.5</v>
      </c>
      <c r="AN28" t="s">
        <v>59</v>
      </c>
      <c r="AO28" t="s">
        <v>60</v>
      </c>
      <c r="AP28">
        <v>2002</v>
      </c>
      <c r="AQ28" t="s">
        <v>62</v>
      </c>
      <c r="AR28" t="s">
        <v>305</v>
      </c>
      <c r="AS28" t="s">
        <v>331</v>
      </c>
      <c r="AT28" t="s">
        <v>238</v>
      </c>
      <c r="AU28" t="s">
        <v>268</v>
      </c>
      <c r="AV28">
        <v>10.9</v>
      </c>
    </row>
    <row r="29" spans="1:48" ht="21" x14ac:dyDescent="0.35">
      <c r="A29" s="2">
        <v>8</v>
      </c>
      <c r="B29" t="s">
        <v>37</v>
      </c>
      <c r="C29" s="2" t="s">
        <v>26</v>
      </c>
      <c r="D29" s="2">
        <v>2006</v>
      </c>
      <c r="E29" s="2" t="s">
        <v>38</v>
      </c>
      <c r="F29" t="s">
        <v>39</v>
      </c>
      <c r="G29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29" s="5">
        <v>3.3</v>
      </c>
      <c r="I29" s="8">
        <v>5.9</v>
      </c>
      <c r="J29" s="8">
        <v>9.1999999999999993</v>
      </c>
      <c r="K29" s="5">
        <v>3.9</v>
      </c>
      <c r="L29" s="8">
        <v>8.1999999999999993</v>
      </c>
      <c r="M29" s="8">
        <v>12.1</v>
      </c>
      <c r="N29" s="5">
        <v>2.2999999999999998</v>
      </c>
      <c r="O29" s="8">
        <v>7.8</v>
      </c>
      <c r="P29" s="8">
        <v>10.1</v>
      </c>
      <c r="Q29" s="5">
        <v>2.4</v>
      </c>
      <c r="R29" s="8">
        <v>8.1999999999999993</v>
      </c>
      <c r="S29" s="8">
        <v>10.6</v>
      </c>
      <c r="T29" s="5">
        <v>3.2</v>
      </c>
      <c r="U29" s="8">
        <v>8.6</v>
      </c>
      <c r="V29" s="8">
        <v>11.8</v>
      </c>
      <c r="W29" s="5">
        <v>2.8</v>
      </c>
      <c r="X29" s="8">
        <v>6.5</v>
      </c>
      <c r="Y29" s="8">
        <v>9.3000000000000007</v>
      </c>
      <c r="Z29" s="4">
        <f>IF(Gdansk_result[[#This Row],[All Around]]="Yes",SUM(H29,K29,N29,Q29,T29,W29),0)</f>
        <v>17.900000000000002</v>
      </c>
      <c r="AA29" s="7">
        <f>IF(Gdansk_result[[#This Row],[All Around]]="Yes",SUM(I29,L29,O29,R29,U29,X29),0)</f>
        <v>45.199999999999996</v>
      </c>
      <c r="AB29" s="7">
        <v>63.1</v>
      </c>
      <c r="AF29" s="45"/>
      <c r="AG29" s="45" t="s">
        <v>29</v>
      </c>
      <c r="AH29" s="57">
        <v>20.399999999999999</v>
      </c>
      <c r="AI29" s="56">
        <v>45.900000000000006</v>
      </c>
      <c r="AJ29" s="56">
        <v>66.3</v>
      </c>
      <c r="AN29" t="s">
        <v>59</v>
      </c>
      <c r="AO29" t="s">
        <v>60</v>
      </c>
      <c r="AP29">
        <v>2002</v>
      </c>
      <c r="AQ29" t="s">
        <v>62</v>
      </c>
      <c r="AR29" t="s">
        <v>305</v>
      </c>
      <c r="AS29" t="s">
        <v>331</v>
      </c>
      <c r="AT29" t="s">
        <v>239</v>
      </c>
      <c r="AU29" t="s">
        <v>308</v>
      </c>
      <c r="AV29">
        <v>2.8</v>
      </c>
    </row>
    <row r="30" spans="1:48" ht="21" x14ac:dyDescent="0.35">
      <c r="A30" s="2">
        <v>9</v>
      </c>
      <c r="B30" t="s">
        <v>42</v>
      </c>
      <c r="C30" s="2" t="s">
        <v>26</v>
      </c>
      <c r="D30" s="2">
        <v>2007</v>
      </c>
      <c r="E30" s="2" t="s">
        <v>43</v>
      </c>
      <c r="F30" t="s">
        <v>36</v>
      </c>
      <c r="G30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30" s="5">
        <v>3.4</v>
      </c>
      <c r="I30" s="8">
        <v>7.5</v>
      </c>
      <c r="J30" s="8">
        <v>10.9</v>
      </c>
      <c r="K30" s="5">
        <v>2.6</v>
      </c>
      <c r="L30" s="8">
        <v>7.2</v>
      </c>
      <c r="M30" s="8">
        <v>9.8000000000000007</v>
      </c>
      <c r="N30" s="5">
        <v>2</v>
      </c>
      <c r="O30" s="8">
        <v>7.9</v>
      </c>
      <c r="P30" s="8">
        <v>9.9</v>
      </c>
      <c r="Q30" s="5">
        <v>2.8</v>
      </c>
      <c r="R30" s="8">
        <v>8.4</v>
      </c>
      <c r="S30" s="8">
        <v>11.2</v>
      </c>
      <c r="T30" s="5">
        <v>2.4</v>
      </c>
      <c r="U30" s="8">
        <v>8.8000000000000007</v>
      </c>
      <c r="V30" s="8">
        <v>11.2</v>
      </c>
      <c r="W30" s="5">
        <v>1.8</v>
      </c>
      <c r="X30" s="8">
        <v>7.9</v>
      </c>
      <c r="Y30" s="8">
        <v>9.6999999999999993</v>
      </c>
      <c r="Z30" s="4">
        <f>IF(Gdansk_result[[#This Row],[All Around]]="Yes",SUM(H30,K30,N30,Q30,T30,W30),0)</f>
        <v>15.000000000000002</v>
      </c>
      <c r="AA30" s="7">
        <f>IF(Gdansk_result[[#This Row],[All Around]]="Yes",SUM(I30,L30,O30,R30,U30,X30),0)</f>
        <v>47.699999999999996</v>
      </c>
      <c r="AB30" s="7">
        <v>62.7</v>
      </c>
      <c r="AF30" s="45"/>
      <c r="AG30" s="45" t="s">
        <v>32</v>
      </c>
      <c r="AH30" s="57">
        <v>20.099999999999998</v>
      </c>
      <c r="AI30" s="56">
        <v>46.3</v>
      </c>
      <c r="AJ30" s="56">
        <v>66.400000000000006</v>
      </c>
      <c r="AN30" t="s">
        <v>59</v>
      </c>
      <c r="AO30" t="s">
        <v>60</v>
      </c>
      <c r="AP30">
        <v>2002</v>
      </c>
      <c r="AQ30" t="s">
        <v>62</v>
      </c>
      <c r="AR30" t="s">
        <v>305</v>
      </c>
      <c r="AS30" t="s">
        <v>331</v>
      </c>
      <c r="AT30" t="s">
        <v>239</v>
      </c>
      <c r="AU30" t="s">
        <v>309</v>
      </c>
      <c r="AV30">
        <v>9.1999999999999993</v>
      </c>
    </row>
    <row r="31" spans="1:48" ht="21" x14ac:dyDescent="0.35">
      <c r="A31" s="2">
        <v>10</v>
      </c>
      <c r="B31" t="s">
        <v>48</v>
      </c>
      <c r="C31" s="2" t="s">
        <v>26</v>
      </c>
      <c r="D31" s="2">
        <v>2006</v>
      </c>
      <c r="E31" s="2" t="s">
        <v>49</v>
      </c>
      <c r="F31" t="s">
        <v>36</v>
      </c>
      <c r="G31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31" s="5">
        <v>3.2</v>
      </c>
      <c r="I31" s="8">
        <v>7.9</v>
      </c>
      <c r="J31" s="8">
        <v>11.1</v>
      </c>
      <c r="K31" s="5">
        <v>2.6</v>
      </c>
      <c r="L31" s="8">
        <v>7</v>
      </c>
      <c r="M31" s="8">
        <v>9.6</v>
      </c>
      <c r="N31" s="5">
        <v>2.2000000000000002</v>
      </c>
      <c r="O31" s="8">
        <v>7.6</v>
      </c>
      <c r="P31" s="8">
        <v>9.8000000000000007</v>
      </c>
      <c r="Q31" s="5">
        <v>1.6</v>
      </c>
      <c r="R31" s="8">
        <v>8.5</v>
      </c>
      <c r="S31" s="8">
        <v>10.1</v>
      </c>
      <c r="T31" s="5">
        <v>2.4</v>
      </c>
      <c r="U31" s="8">
        <v>9</v>
      </c>
      <c r="V31" s="8">
        <v>11.4</v>
      </c>
      <c r="W31" s="5">
        <v>1.9</v>
      </c>
      <c r="X31" s="8">
        <v>8.1999999999999993</v>
      </c>
      <c r="Y31" s="8">
        <v>10.1</v>
      </c>
      <c r="Z31" s="4">
        <f>IF(Gdansk_result[[#This Row],[All Around]]="Yes",SUM(H31,K31,N31,Q31,T31,W31),0)</f>
        <v>13.9</v>
      </c>
      <c r="AA31" s="7">
        <f>IF(Gdansk_result[[#This Row],[All Around]]="Yes",SUM(I31,L31,O31,R31,U31,X31),0)</f>
        <v>48.2</v>
      </c>
      <c r="AB31" s="7">
        <v>62.1</v>
      </c>
      <c r="AF31" s="45"/>
      <c r="AG31" s="45" t="s">
        <v>25</v>
      </c>
      <c r="AH31" s="57">
        <v>19.599999999999998</v>
      </c>
      <c r="AI31" s="56">
        <v>50.400000000000006</v>
      </c>
      <c r="AJ31" s="56">
        <v>70</v>
      </c>
      <c r="AN31" t="s">
        <v>59</v>
      </c>
      <c r="AO31" t="s">
        <v>60</v>
      </c>
      <c r="AP31">
        <v>2002</v>
      </c>
      <c r="AQ31" t="s">
        <v>62</v>
      </c>
      <c r="AR31" t="s">
        <v>305</v>
      </c>
      <c r="AS31" t="s">
        <v>331</v>
      </c>
      <c r="AT31" t="s">
        <v>239</v>
      </c>
      <c r="AU31" t="s">
        <v>268</v>
      </c>
      <c r="AV31">
        <v>12</v>
      </c>
    </row>
    <row r="32" spans="1:48" ht="21" x14ac:dyDescent="0.35">
      <c r="A32" s="2">
        <v>11</v>
      </c>
      <c r="B32" t="s">
        <v>46</v>
      </c>
      <c r="C32" s="2" t="s">
        <v>26</v>
      </c>
      <c r="D32" s="2">
        <v>2006</v>
      </c>
      <c r="E32" s="2" t="s">
        <v>47</v>
      </c>
      <c r="F32" t="s">
        <v>36</v>
      </c>
      <c r="G32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32" s="5">
        <v>2.9</v>
      </c>
      <c r="I32" s="8">
        <v>7.8</v>
      </c>
      <c r="J32" s="8">
        <v>10.7</v>
      </c>
      <c r="K32" s="5">
        <v>2.5</v>
      </c>
      <c r="L32" s="8">
        <v>5.5</v>
      </c>
      <c r="M32" s="8">
        <v>8</v>
      </c>
      <c r="N32" s="5">
        <v>1.7</v>
      </c>
      <c r="O32" s="8">
        <v>7.7</v>
      </c>
      <c r="P32" s="8">
        <v>9.4</v>
      </c>
      <c r="Q32" s="5">
        <v>1.6</v>
      </c>
      <c r="R32" s="8">
        <v>8.8000000000000007</v>
      </c>
      <c r="S32" s="8">
        <v>10.4</v>
      </c>
      <c r="T32" s="5">
        <v>2.4</v>
      </c>
      <c r="U32" s="8">
        <v>8</v>
      </c>
      <c r="V32" s="8">
        <v>10.4</v>
      </c>
      <c r="W32" s="5">
        <v>1.5</v>
      </c>
      <c r="X32" s="8">
        <v>2.5</v>
      </c>
      <c r="Y32" s="8">
        <v>4</v>
      </c>
      <c r="Z32" s="4">
        <f>IF(Gdansk_result[[#This Row],[All Around]]="Yes",SUM(H32,K32,N32,Q32,T32,W32),0)</f>
        <v>12.600000000000001</v>
      </c>
      <c r="AA32" s="7">
        <f>IF(Gdansk_result[[#This Row],[All Around]]="Yes",SUM(I32,L32,O32,R32,U32,X32),0)</f>
        <v>40.299999999999997</v>
      </c>
      <c r="AB32" s="7">
        <v>52.9</v>
      </c>
      <c r="AF32" s="45" t="s">
        <v>310</v>
      </c>
      <c r="AG32" s="45"/>
      <c r="AH32" s="57">
        <v>17.399999999999999</v>
      </c>
      <c r="AI32" s="56">
        <v>46.172727272727279</v>
      </c>
      <c r="AJ32" s="56">
        <v>63.572727272727271</v>
      </c>
      <c r="AN32" t="s">
        <v>59</v>
      </c>
      <c r="AO32" t="s">
        <v>60</v>
      </c>
      <c r="AP32">
        <v>2002</v>
      </c>
      <c r="AQ32" t="s">
        <v>62</v>
      </c>
      <c r="AR32" t="s">
        <v>305</v>
      </c>
      <c r="AS32" t="s">
        <v>331</v>
      </c>
      <c r="AT32" t="s">
        <v>240</v>
      </c>
      <c r="AU32" t="s">
        <v>308</v>
      </c>
      <c r="AV32">
        <v>4.4000000000000004</v>
      </c>
    </row>
    <row r="33" spans="1:48" ht="21" x14ac:dyDescent="0.35">
      <c r="A33" s="2">
        <v>12</v>
      </c>
      <c r="B33" t="s">
        <v>114</v>
      </c>
      <c r="C33" s="2" t="s">
        <v>26</v>
      </c>
      <c r="D33" s="2">
        <v>2006</v>
      </c>
      <c r="E33" s="2" t="s">
        <v>115</v>
      </c>
      <c r="F33" t="s">
        <v>36</v>
      </c>
      <c r="G33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No</v>
      </c>
      <c r="H33" s="5">
        <v>3.4</v>
      </c>
      <c r="I33" s="8">
        <v>7.1</v>
      </c>
      <c r="J33" s="8">
        <v>10.5</v>
      </c>
      <c r="K33" s="5">
        <v>2.6</v>
      </c>
      <c r="L33" s="8">
        <v>6.5</v>
      </c>
      <c r="M33" s="8">
        <v>9.1</v>
      </c>
      <c r="N33" s="5">
        <v>0</v>
      </c>
      <c r="O33" s="8">
        <v>0</v>
      </c>
      <c r="P33" s="8">
        <v>0</v>
      </c>
      <c r="Q33" s="5">
        <v>1.6</v>
      </c>
      <c r="R33" s="8">
        <v>8.8000000000000007</v>
      </c>
      <c r="S33" s="8">
        <v>10.4</v>
      </c>
      <c r="T33" s="5">
        <v>2.4</v>
      </c>
      <c r="U33" s="8">
        <v>8.8000000000000007</v>
      </c>
      <c r="V33" s="8">
        <v>11.2</v>
      </c>
      <c r="W33" s="5">
        <v>1.8</v>
      </c>
      <c r="X33" s="8">
        <v>7.8</v>
      </c>
      <c r="Y33" s="8">
        <v>9.6</v>
      </c>
      <c r="Z33" s="4">
        <f>IF(Gdansk_result[[#This Row],[All Around]]="Yes",SUM(H33,K33,N33,Q33,T33,W33),0)</f>
        <v>0</v>
      </c>
      <c r="AA33" s="7">
        <f>IF(Gdansk_result[[#This Row],[All Around]]="Yes",SUM(I33,L33,O33,R33,U33,X33),0)</f>
        <v>0</v>
      </c>
      <c r="AB33" s="7">
        <v>50.8</v>
      </c>
      <c r="AN33" t="s">
        <v>59</v>
      </c>
      <c r="AO33" t="s">
        <v>60</v>
      </c>
      <c r="AP33">
        <v>2002</v>
      </c>
      <c r="AQ33" t="s">
        <v>62</v>
      </c>
      <c r="AR33" t="s">
        <v>305</v>
      </c>
      <c r="AS33" t="s">
        <v>331</v>
      </c>
      <c r="AT33" t="s">
        <v>240</v>
      </c>
      <c r="AU33" t="s">
        <v>309</v>
      </c>
      <c r="AV33">
        <v>8.3000000000000007</v>
      </c>
    </row>
    <row r="34" spans="1:48" ht="21" x14ac:dyDescent="0.35">
      <c r="A34" s="2">
        <v>13</v>
      </c>
      <c r="B34" t="s">
        <v>52</v>
      </c>
      <c r="C34" s="2" t="s">
        <v>26</v>
      </c>
      <c r="D34" s="2">
        <v>2006</v>
      </c>
      <c r="E34" s="2" t="s">
        <v>53</v>
      </c>
      <c r="F34" t="s">
        <v>36</v>
      </c>
      <c r="G34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No</v>
      </c>
      <c r="H34" s="5">
        <v>3.2</v>
      </c>
      <c r="I34" s="8">
        <v>6.9</v>
      </c>
      <c r="J34" s="8">
        <v>10.1</v>
      </c>
      <c r="K34" s="5">
        <v>2</v>
      </c>
      <c r="L34" s="8">
        <v>3.5</v>
      </c>
      <c r="M34" s="8">
        <v>5.5</v>
      </c>
      <c r="N34" s="5">
        <v>0</v>
      </c>
      <c r="O34" s="8">
        <v>0</v>
      </c>
      <c r="P34" s="8">
        <v>0</v>
      </c>
      <c r="Q34" s="5">
        <v>2.4</v>
      </c>
      <c r="R34" s="8">
        <v>8.1999999999999993</v>
      </c>
      <c r="S34" s="8">
        <v>10.6</v>
      </c>
      <c r="T34" s="5">
        <v>2.4</v>
      </c>
      <c r="U34" s="8">
        <v>8.5</v>
      </c>
      <c r="V34" s="8">
        <v>10.9</v>
      </c>
      <c r="W34" s="5">
        <v>0</v>
      </c>
      <c r="X34" s="8">
        <v>0</v>
      </c>
      <c r="Y34" s="8">
        <v>0</v>
      </c>
      <c r="Z34" s="4">
        <f>IF(Gdansk_result[[#This Row],[All Around]]="Yes",SUM(H34,K34,N34,Q34,T34,W34),0)</f>
        <v>0</v>
      </c>
      <c r="AA34" s="7">
        <f>IF(Gdansk_result[[#This Row],[All Around]]="Yes",SUM(I34,L34,O34,R34,U34,X34),0)</f>
        <v>0</v>
      </c>
      <c r="AB34" s="7">
        <v>37.1</v>
      </c>
      <c r="AN34" t="s">
        <v>59</v>
      </c>
      <c r="AO34" t="s">
        <v>60</v>
      </c>
      <c r="AP34">
        <v>2002</v>
      </c>
      <c r="AQ34" t="s">
        <v>62</v>
      </c>
      <c r="AR34" t="s">
        <v>305</v>
      </c>
      <c r="AS34" t="s">
        <v>331</v>
      </c>
      <c r="AT34" t="s">
        <v>240</v>
      </c>
      <c r="AU34" t="s">
        <v>268</v>
      </c>
      <c r="AV34">
        <v>12.7</v>
      </c>
    </row>
    <row r="35" spans="1:48" ht="21" x14ac:dyDescent="0.35">
      <c r="AN35" t="s">
        <v>59</v>
      </c>
      <c r="AO35" t="s">
        <v>60</v>
      </c>
      <c r="AP35">
        <v>2002</v>
      </c>
      <c r="AQ35" t="s">
        <v>62</v>
      </c>
      <c r="AR35" t="s">
        <v>305</v>
      </c>
      <c r="AS35" t="s">
        <v>331</v>
      </c>
      <c r="AT35" t="s">
        <v>314</v>
      </c>
      <c r="AU35" t="s">
        <v>308</v>
      </c>
      <c r="AV35">
        <v>5.3</v>
      </c>
    </row>
    <row r="36" spans="1:48" ht="21" x14ac:dyDescent="0.35">
      <c r="K36" s="5"/>
      <c r="L36" s="8"/>
      <c r="M36" s="8"/>
      <c r="N36" s="5"/>
      <c r="O36" s="8"/>
      <c r="P36" s="8"/>
      <c r="Q36" s="5"/>
      <c r="R36" s="8"/>
      <c r="S36" s="8"/>
      <c r="T36" s="5"/>
      <c r="U36" s="8"/>
      <c r="V36" s="8"/>
      <c r="W36" s="8"/>
      <c r="X36" s="8"/>
      <c r="Y36" s="8"/>
      <c r="Z36" s="8"/>
      <c r="AA36" s="8"/>
      <c r="AB36" s="8"/>
      <c r="AN36" t="s">
        <v>59</v>
      </c>
      <c r="AO36" t="s">
        <v>60</v>
      </c>
      <c r="AP36">
        <v>2002</v>
      </c>
      <c r="AQ36" t="s">
        <v>62</v>
      </c>
      <c r="AR36" t="s">
        <v>305</v>
      </c>
      <c r="AS36" t="s">
        <v>331</v>
      </c>
      <c r="AT36" t="s">
        <v>314</v>
      </c>
      <c r="AU36" t="s">
        <v>309</v>
      </c>
      <c r="AV36">
        <v>7</v>
      </c>
    </row>
    <row r="37" spans="1:48" ht="21" x14ac:dyDescent="0.35">
      <c r="A37" s="2" t="s">
        <v>2</v>
      </c>
      <c r="B37" s="10" t="s">
        <v>217</v>
      </c>
      <c r="C37" s="10" t="s">
        <v>244</v>
      </c>
      <c r="D37" s="10" t="s">
        <v>249</v>
      </c>
      <c r="E37" s="10" t="s">
        <v>245</v>
      </c>
      <c r="F37" s="10" t="s">
        <v>250</v>
      </c>
      <c r="G37" s="10" t="s">
        <v>246</v>
      </c>
      <c r="H37" s="10" t="s">
        <v>251</v>
      </c>
      <c r="I37" s="10" t="s">
        <v>252</v>
      </c>
      <c r="J37" s="10" t="s">
        <v>253</v>
      </c>
      <c r="K37" s="5"/>
      <c r="L37" s="8"/>
      <c r="M37" s="8"/>
      <c r="N37" s="5"/>
      <c r="O37" s="8"/>
      <c r="P37" s="8"/>
      <c r="Q37" s="5"/>
      <c r="R37" s="8"/>
      <c r="S37" s="8"/>
      <c r="T37" s="5"/>
      <c r="U37" s="8"/>
      <c r="V37" s="8"/>
      <c r="W37" s="8"/>
      <c r="X37" s="8"/>
      <c r="Y37" s="8"/>
      <c r="Z37" s="8"/>
      <c r="AA37" s="8"/>
      <c r="AB37" s="8"/>
      <c r="AN37" t="s">
        <v>59</v>
      </c>
      <c r="AO37" t="s">
        <v>60</v>
      </c>
      <c r="AP37">
        <v>2002</v>
      </c>
      <c r="AQ37" t="s">
        <v>62</v>
      </c>
      <c r="AR37" t="s">
        <v>305</v>
      </c>
      <c r="AS37" t="s">
        <v>331</v>
      </c>
      <c r="AT37" t="s">
        <v>314</v>
      </c>
      <c r="AU37" t="s">
        <v>268</v>
      </c>
      <c r="AV37">
        <v>12.3</v>
      </c>
    </row>
    <row r="38" spans="1:48" ht="21" x14ac:dyDescent="0.35">
      <c r="A38" s="2" t="s">
        <v>60</v>
      </c>
      <c r="B38" s="10" t="s">
        <v>243</v>
      </c>
      <c r="C38" s="11">
        <f>AVERAGEIFS(Gdansk_result[AA_Dscore],Gdansk_result[[Category]:[Category]],"senior",Gdansk_result[AA_Dscore],"&lt;&gt;0",Gdansk_result[All Around],"Yes")</f>
        <v>22.292307692307695</v>
      </c>
      <c r="D38" s="11" cm="1">
        <f t="array" ref="D38">_xlfn.STDEV.S(_xlfn._xlws.FILTER(Gdansk_result[AA_Dscore],(Gdansk_result[Category]="senior")*(Gdansk_result[All Around]="yes"),""))</f>
        <v>4.1867771094366288</v>
      </c>
      <c r="E38" s="12">
        <f>AVERAGEIFS(Gdansk_result[AA_Escore],Gdansk_result[[Category]:[Category]],"senior",Gdansk_result[AA_Escore],"&lt;&gt;0",Gdansk_result[All Around],"yes")</f>
        <v>43.861538461538466</v>
      </c>
      <c r="F38" s="12" cm="1">
        <f t="array" ref="F38">_xlfn.STDEV.S(_xlfn._xlws.FILTER(Gdansk_result[AA_Escore],(Gdansk_result[Category]="senior")*(Gdansk_result[All Around]="yes"),""))</f>
        <v>2.9536103504971845</v>
      </c>
      <c r="G38" s="12">
        <f>AVERAGEIFS(Gdansk_result[Total_Score],Gdansk_result[[Category]:[Category]],"senior",Gdansk_result[Total_Score],"&lt;&gt;0",Gdansk_result[All Around],"yes")</f>
        <v>66.15384615384616</v>
      </c>
      <c r="H38" s="12" cm="1">
        <f t="array" ref="H38">_xlfn.STDEV.S(_xlfn._xlws.FILTER(Gdansk_result[Total_Score],(Gdansk_result[Category]="senior")*(Gdansk_result[All Around]="yes"),""))</f>
        <v>5.7183717648492953</v>
      </c>
      <c r="I38" s="12" cm="1">
        <f t="array" ref="I38">MAX(_xlfn._xlws.FILTER(Gdansk_result[Total_Score],Gdansk_result[Category]="senior"))</f>
        <v>72.55</v>
      </c>
      <c r="J38" s="10" t="str" cm="1">
        <f t="array" ref="J38">IF(COUNTIFS(Gdansk_result[Total_Score],I38,Gdansk_result[Category],"senior")&gt;1,_xlfn.XLOOKUP(I38,_xlfn._xlws.FILTER(Gdansk_result[Total_Score],Gdansk_result[Category]="senior"),_xlfn._xlws.FILTER(Gdansk_result[Name],Gdansk_result[Category]="senior"),0)&amp;" and "&amp;(COUNTIFS(Gdansk_result[Total_Score],I38,Gdansk_result[Category],"senior")-1)&amp;" more",_xlfn.XLOOKUP(I38,_xlfn._xlws.FILTER(Gdansk_result[Total_Score],Gdansk_result[Category]="senior"),_xlfn._xlws.FILTER(Gdansk_result[Name],Gdansk_result[Category]="senior"),0))</f>
        <v>SASNAL Filip</v>
      </c>
      <c r="T38" s="13"/>
      <c r="U38" s="13"/>
      <c r="V38" s="8"/>
      <c r="W38" s="5"/>
      <c r="X38" s="8"/>
      <c r="Y38" s="8"/>
      <c r="Z38" s="8"/>
      <c r="AA38" s="8"/>
      <c r="AB38" s="8"/>
      <c r="AN38" t="s">
        <v>59</v>
      </c>
      <c r="AO38" t="s">
        <v>60</v>
      </c>
      <c r="AP38">
        <v>2002</v>
      </c>
      <c r="AQ38" t="s">
        <v>62</v>
      </c>
      <c r="AR38" t="s">
        <v>305</v>
      </c>
      <c r="AS38" t="s">
        <v>331</v>
      </c>
      <c r="AT38" t="s">
        <v>242</v>
      </c>
      <c r="AU38" t="s">
        <v>308</v>
      </c>
      <c r="AV38">
        <v>4.9000000000000004</v>
      </c>
    </row>
    <row r="39" spans="1:48" ht="21" x14ac:dyDescent="0.35">
      <c r="A39" s="2" t="s">
        <v>60</v>
      </c>
      <c r="B39" s="10" t="s">
        <v>218</v>
      </c>
      <c r="C39" s="11">
        <f>AVERAGEIFS(Gdansk_result[FX_Dscore],Gdansk_result[[Category]:[Category]],"senior",Gdansk_result[FX_Dscore],"&lt;&gt;0")</f>
        <v>4.276470588235294</v>
      </c>
      <c r="D39" s="11" cm="1">
        <f t="array" ref="D39">_xlfn.STDEV.S(_xlfn._xlws.FILTER(_xlfn._xlws.FILTER(Gdansk_result[FX_Dscore],Gdansk_result[Category]="senior",""),_xlfn._xlws.FILTER(Gdansk_result[FX_Dscore],Gdansk_result[Category]="senior","")&lt;&gt;0,""))</f>
        <v>0.77663489794489715</v>
      </c>
      <c r="E39" s="12">
        <f>AVERAGEIFS(Gdansk_result[FX_Escore],Gdansk_result[[Category]:[Category]],"senior",Gdansk_result[FX_Escore],"&lt;&gt;0")</f>
        <v>6.7235294117647069</v>
      </c>
      <c r="F39" s="12" cm="1">
        <f t="array" ref="F39">_xlfn.STDEV.S(_xlfn._xlws.FILTER(_xlfn._xlws.FILTER(Gdansk_result[FX_Escore],Gdansk_result[Category]="senior",""),_xlfn._xlws.FILTER(Gdansk_result[FX_Escore],Gdansk_result[Category]="senior","")&lt;&gt;0,""))</f>
        <v>0.87126302842819747</v>
      </c>
      <c r="G39" s="12">
        <f>AVERAGEIFS(Gdansk_result[FX_total_score],Gdansk_result[[Category]:[Category]],"senior",Gdansk_result[FX_total_score],"&lt;&gt;0")</f>
        <v>11.000000000000002</v>
      </c>
      <c r="H39" s="12" cm="1">
        <f t="array" ref="H39">_xlfn.STDEV.S(_xlfn._xlws.FILTER(_xlfn._xlws.FILTER(Gdansk_result[FX_total_score],Gdansk_result[Category]="senior",""),_xlfn._xlws.FILTER(Gdansk_result[FX_total_score],Gdansk_result[Category]="senior","")&lt;&gt;0,""))</f>
        <v>0.98915999716931546</v>
      </c>
      <c r="I39" s="12" cm="1">
        <f t="array" ref="I39">MAX(_xlfn._xlws.FILTER(Gdansk_result[FX_total_score],Gdansk_result[Category]="senior"))</f>
        <v>12.8</v>
      </c>
      <c r="J39" s="10" t="str" cm="1">
        <f t="array" ref="J39">IF(COUNTIFS(Gdansk_result[FX_total_score],I39,Gdansk_result[Category],"senior")&gt;1,_xlfn.XLOOKUP(I39,_xlfn._xlws.FILTER(Gdansk_result[FX_total_score],Gdansk_result[Category]="senior"),_xlfn._xlws.FILTER(Gdansk_result[Name],Gdansk_result[Category]="senior"),0)&amp;" and "&amp;(COUNTIFS(Gdansk_result[FX_total_score],I39,Gdansk_result[Category],"senior")-1)&amp;" more",_xlfn.XLOOKUP(I39,_xlfn._xlws.FILTER(Gdansk_result[FX_total_score],Gdansk_result[Category]="senior"),_xlfn._xlws.FILTER(Gdansk_result[Name],Gdansk_result[Category]="senior"),0))</f>
        <v>GARNCZAREK Kacper</v>
      </c>
      <c r="V39" s="5"/>
      <c r="W39" s="5"/>
      <c r="X39" s="5"/>
      <c r="Y39" s="5"/>
      <c r="Z39" s="5"/>
      <c r="AA39" s="5"/>
      <c r="AB39" s="5"/>
      <c r="AN39" t="s">
        <v>59</v>
      </c>
      <c r="AO39" t="s">
        <v>60</v>
      </c>
      <c r="AP39">
        <v>2002</v>
      </c>
      <c r="AQ39" t="s">
        <v>62</v>
      </c>
      <c r="AR39" t="s">
        <v>305</v>
      </c>
      <c r="AS39" t="s">
        <v>331</v>
      </c>
      <c r="AT39" t="s">
        <v>242</v>
      </c>
      <c r="AU39" t="s">
        <v>309</v>
      </c>
      <c r="AV39">
        <v>6.9</v>
      </c>
    </row>
    <row r="40" spans="1:48" ht="21" x14ac:dyDescent="0.35">
      <c r="A40" s="2" t="s">
        <v>60</v>
      </c>
      <c r="B40" s="10" t="s">
        <v>242</v>
      </c>
      <c r="C40" s="11">
        <f>AVERAGEIFS(Gdansk_result[HB_Dscore],Gdansk_result[[Category]:[Category]],"senior",Gdansk_result[HB_Dscore],"&lt;&gt;0")</f>
        <v>3.2461538461538471</v>
      </c>
      <c r="D40" s="11" cm="1">
        <f t="array" ref="D40">_xlfn.STDEV.S(_xlfn._xlws.FILTER(_xlfn._xlws.FILTER(Gdansk_result[HB_Dscore],Gdansk_result[Category]="senior",""),_xlfn._xlws.FILTER(Gdansk_result[HB_Dscore],Gdansk_result[Category]="senior","")&lt;&gt;0,""))</f>
        <v>0.96230226074016711</v>
      </c>
      <c r="E40" s="12">
        <f>AVERAGEIFS(Gdansk_result[HB_Escore],Gdansk_result[[Category]:[Category]],"senior",Gdansk_result[HB_Escore],"&lt;&gt;0")</f>
        <v>6.6769230769230754</v>
      </c>
      <c r="F40" s="12" cm="1">
        <f t="array" ref="F40">_xlfn.STDEV.S(_xlfn._xlws.FILTER(_xlfn._xlws.FILTER(Gdansk_result[HB_Escore],Gdansk_result[Category]="senior",""),_xlfn._xlws.FILTER(Gdansk_result[HB_Escore],Gdansk_result[Category]="senior","")&lt;&gt;0,""))</f>
        <v>2.0757142731093214</v>
      </c>
      <c r="G40" s="12">
        <f>AVERAGEIFS(Gdansk_result[HB_total_score],Gdansk_result[[Category]:[Category]],"senior",Gdansk_result[HB_total_score],"&lt;&gt;0")</f>
        <v>9.9230769230769251</v>
      </c>
      <c r="H40" s="12" cm="1">
        <f t="array" ref="H40">_xlfn.STDEV.S(_xlfn._xlws.FILTER(_xlfn._xlws.FILTER(Gdansk_result[HB_total_score],Gdansk_result[Category]="senior",""),_xlfn._xlws.FILTER(Gdansk_result[HB_total_score],Gdansk_result[Category]="senior","")&lt;&gt;0,""))</f>
        <v>2.606131822629667</v>
      </c>
      <c r="I40" s="12" cm="1">
        <f t="array" ref="I40">MAX(_xlfn._xlws.FILTER(Gdansk_result[HB_total_score],Gdansk_result[Category]="senior"))</f>
        <v>12.2</v>
      </c>
      <c r="J40" s="10" t="str" cm="1">
        <f t="array" ref="J40">IF(COUNTIFS(Gdansk_result[HB_total_score],I40,Gdansk_result[Category],"senior")&gt;1,_xlfn.XLOOKUP(I40,_xlfn._xlws.FILTER(Gdansk_result[HB_total_score],Gdansk_result[Category]="senior"),_xlfn._xlws.FILTER(Gdansk_result[Name],Gdansk_result[Category]="senior"),0)&amp;" and "&amp;(COUNTIFS(Gdansk_result[HB_total_score],I40,Gdansk_result[Category],"senior")-1)&amp;" more",_xlfn.XLOOKUP(I40,_xlfn._xlws.FILTER(Gdansk_result[HB_total_score],Gdansk_result[Category]="senior"),_xlfn._xlws.FILTER(Gdansk_result[Name],Gdansk_result[Category]="senior"),0))</f>
        <v>SASNAL Filip</v>
      </c>
      <c r="AN40" t="s">
        <v>59</v>
      </c>
      <c r="AO40" t="s">
        <v>60</v>
      </c>
      <c r="AP40">
        <v>2002</v>
      </c>
      <c r="AQ40" t="s">
        <v>62</v>
      </c>
      <c r="AR40" t="s">
        <v>305</v>
      </c>
      <c r="AS40" t="s">
        <v>331</v>
      </c>
      <c r="AT40" t="s">
        <v>242</v>
      </c>
      <c r="AU40" t="s">
        <v>268</v>
      </c>
      <c r="AV40">
        <v>11.8</v>
      </c>
    </row>
    <row r="41" spans="1:48" ht="21" x14ac:dyDescent="0.35">
      <c r="A41" s="2" t="s">
        <v>60</v>
      </c>
      <c r="B41" s="10" t="s">
        <v>241</v>
      </c>
      <c r="C41" s="11">
        <f>AVERAGEIFS(Gdansk_result[PB_Dscore],Gdansk_result[[Category]:[Category]],"senior",Gdansk_result[PB_Dscore],"&lt;&gt;0")</f>
        <v>3.5117647058823538</v>
      </c>
      <c r="D41" s="11" cm="1">
        <f t="array" ref="D41">_xlfn.STDEV.S(_xlfn._xlws.FILTER(_xlfn._xlws.FILTER(Gdansk_result[PB_Dscore],Gdansk_result[Category]="senior",""),_xlfn._xlws.FILTER(Gdansk_result[PB_Dscore],Gdansk_result[Category]="senior","")&lt;&gt;0,""))</f>
        <v>0.82906751303887405</v>
      </c>
      <c r="E41" s="12">
        <f>AVERAGEIFS(Gdansk_result[PB_Escore],Gdansk_result[[Category]:[Category]],"senior",Gdansk_result[PB_Escore],"&lt;&gt;0")</f>
        <v>7.2058823529411784</v>
      </c>
      <c r="F41" s="12" cm="1">
        <f t="array" ref="F41">_xlfn.STDEV.S(_xlfn._xlws.FILTER(_xlfn._xlws.FILTER(Gdansk_result[PB_Escore],Gdansk_result[Category]="senior",""),_xlfn._xlws.FILTER(Gdansk_result[PB_Escore],Gdansk_result[Category]="senior","")&lt;&gt;0,""))</f>
        <v>1.7209991967732237</v>
      </c>
      <c r="G41" s="12">
        <f>AVERAGEIFS(Gdansk_result[PB_total_score],Gdansk_result[[Category]:[Category]],"senior",Gdansk_result[PB_total_score],"&lt;&gt;0")</f>
        <v>10.717647058823529</v>
      </c>
      <c r="H41" s="12" cm="1">
        <f t="array" ref="H41">_xlfn.STDEV.S(_xlfn._xlws.FILTER(_xlfn._xlws.FILTER(Gdansk_result[PB_total_score],Gdansk_result[Category]="senior",""),_xlfn._xlws.FILTER(Gdansk_result[PB_total_score],Gdansk_result[Category]="senior","")&lt;&gt;0,""))</f>
        <v>2.0329274747631998</v>
      </c>
      <c r="I41" s="12" cm="1">
        <f t="array" ref="I41">MAX(_xlfn._xlws.FILTER(Gdansk_result[PB_total_score],Gdansk_result[Category]="senior"))</f>
        <v>13.4</v>
      </c>
      <c r="J41" s="10" t="str" cm="1">
        <f t="array" ref="J41">IF(COUNTIFS(Gdansk_result[PB_total_score],I41,Gdansk_result[Category],"senior")&gt;1,_xlfn.XLOOKUP(I41,_xlfn._xlws.FILTER(Gdansk_result[PB_total_score],Gdansk_result[Category]="senior"),_xlfn._xlws.FILTER(Gdansk_result[Name],Gdansk_result[Category]="senior"),0)&amp;" and "&amp;(COUNTIFS(Gdansk_result[PB_total_score],I41,Gdansk_result[Category],"senior")-1)&amp;" more",_xlfn.XLOOKUP(I41,_xlfn._xlws.FILTER(Gdansk_result[PB_total_score],Gdansk_result[Category]="senior"),_xlfn._xlws.FILTER(Gdansk_result[Name],Gdansk_result[Category]="senior"),0))</f>
        <v>SASNAL Filip</v>
      </c>
      <c r="AN41" t="s">
        <v>59</v>
      </c>
      <c r="AO41" t="s">
        <v>60</v>
      </c>
      <c r="AP41">
        <v>2002</v>
      </c>
      <c r="AQ41" t="s">
        <v>62</v>
      </c>
      <c r="AR41" t="s">
        <v>305</v>
      </c>
      <c r="AS41" t="s">
        <v>331</v>
      </c>
      <c r="AT41" t="s">
        <v>243</v>
      </c>
      <c r="AU41" t="s">
        <v>326</v>
      </c>
      <c r="AV41">
        <v>27.700000000000003</v>
      </c>
    </row>
    <row r="42" spans="1:48" ht="21" x14ac:dyDescent="0.35">
      <c r="A42" s="2" t="s">
        <v>60</v>
      </c>
      <c r="B42" s="10" t="s">
        <v>238</v>
      </c>
      <c r="C42" s="11">
        <f>AVERAGEIFS(Gdansk_result[PH_Dscore],Gdansk_result[[Category]:[Category]],"senior",Gdansk_result[PH_Dscore],"&lt;&gt;0")</f>
        <v>3.5388888888888892</v>
      </c>
      <c r="D42" s="11" cm="1">
        <f t="array" ref="D42">_xlfn.STDEV.S(_xlfn._xlws.FILTER(_xlfn._xlws.FILTER(Gdansk_result[PH_Dscore],Gdansk_result[Category]="senior",""),_xlfn._xlws.FILTER(Gdansk_result[PH_Dscore],Gdansk_result[Category]="senior","")&lt;&gt;0,""))</f>
        <v>0.70555684215826386</v>
      </c>
      <c r="E42" s="12">
        <f>AVERAGEIFS(Gdansk_result[PH_Escore],Gdansk_result[[Category]:[Category]],"senior",Gdansk_result[PH_Escore],"&lt;&gt;0")</f>
        <v>6.7555555555555555</v>
      </c>
      <c r="F42" s="12" cm="1">
        <f t="array" ref="F42">_xlfn.STDEV.S(_xlfn._xlws.FILTER(_xlfn._xlws.FILTER(Gdansk_result[PH_Escore],Gdansk_result[Category]="senior",""),_xlfn._xlws.FILTER(Gdansk_result[PH_Escore],Gdansk_result[Category]="senior","")&lt;&gt;0,""))</f>
        <v>1.1495381283353494</v>
      </c>
      <c r="G42" s="12">
        <f>AVERAGEIFS(Gdansk_result[PH_Total_Score],Gdansk_result[[Category]:[Category]],"senior",Gdansk_result[PH_Total_Score],"&lt;&gt;0")</f>
        <v>10.294444444444444</v>
      </c>
      <c r="H42" s="12" cm="1">
        <f t="array" ref="H42">_xlfn.STDEV.S(_xlfn._xlws.FILTER(_xlfn._xlws.FILTER(Gdansk_result[PH_Total_Score],Gdansk_result[Category]="senior",""),_xlfn._xlws.FILTER(Gdansk_result[PH_Total_Score],Gdansk_result[Category]="senior","")&lt;&gt;0,""))</f>
        <v>1.4069040780974811</v>
      </c>
      <c r="I42" s="12" cm="1">
        <f t="array" ref="I42">MAX(_xlfn._xlws.FILTER(Gdansk_result[PH_Total_Score],Gdansk_result[Category]="senior"))</f>
        <v>12.5</v>
      </c>
      <c r="J42" s="10" t="str" cm="1">
        <f t="array" ref="J42">IF(COUNTIFS(Gdansk_result[PH_Total_Score],I42,Gdansk_result[Category],"senior")&gt;1,_xlfn.XLOOKUP(I42,_xlfn._xlws.FILTER(Gdansk_result[PH_Total_Score],Gdansk_result[Category]="senior"),_xlfn._xlws.FILTER(Gdansk_result[Name],Gdansk_result[Category]="senior"),0)&amp;" and "&amp;(COUNTIFS(Gdansk_result[PH_Total_Score],I42,Gdansk_result[Category],"senior")-1)&amp;" more",_xlfn.XLOOKUP(I42,_xlfn._xlws.FILTER(Gdansk_result[PH_Total_Score],Gdansk_result[Category]="senior"),_xlfn._xlws.FILTER(Gdansk_result[Name],Gdansk_result[Category]="senior"),0))</f>
        <v>LAKHIN Yaroslav</v>
      </c>
      <c r="AN42" t="s">
        <v>59</v>
      </c>
      <c r="AO42" t="s">
        <v>60</v>
      </c>
      <c r="AP42">
        <v>2002</v>
      </c>
      <c r="AQ42" t="s">
        <v>62</v>
      </c>
      <c r="AR42" t="s">
        <v>305</v>
      </c>
      <c r="AS42" t="s">
        <v>331</v>
      </c>
      <c r="AT42" t="s">
        <v>243</v>
      </c>
      <c r="AU42" t="s">
        <v>327</v>
      </c>
      <c r="AV42">
        <v>44.800000000000004</v>
      </c>
    </row>
    <row r="43" spans="1:48" ht="21" x14ac:dyDescent="0.35">
      <c r="A43" s="2" t="s">
        <v>60</v>
      </c>
      <c r="B43" s="10" t="s">
        <v>239</v>
      </c>
      <c r="C43" s="11">
        <f>AVERAGEIFS(Gdansk_result[SR_Dscore],Gdansk_result[[Category]:[Category]],"senior",Gdansk_result[SR_Dscore],"&lt;&gt;0")</f>
        <v>3.5400000000000005</v>
      </c>
      <c r="D43" s="11" cm="1">
        <f t="array" ref="D43">_xlfn.STDEV.S(_xlfn._xlws.FILTER(_xlfn._xlws.FILTER(Gdansk_result[SR_Dscore],Gdansk_result[Category]="senior",""),_xlfn._xlws.FILTER(Gdansk_result[SR_Dscore],Gdansk_result[Category]="senior","")&lt;&gt;0,""))</f>
        <v>0.78540253555558281</v>
      </c>
      <c r="E43" s="12">
        <f>AVERAGEIFS(Gdansk_result[SR_Escore],Gdansk_result[[Category]:[Category]],"senior",Gdansk_result[SR_Escore],"&lt;&gt;0")</f>
        <v>7.4866666666666672</v>
      </c>
      <c r="F43" s="12" cm="1">
        <f t="array" ref="F43">_xlfn.STDEV.S(_xlfn._xlws.FILTER(_xlfn._xlws.FILTER(Gdansk_result[SR_Escore],Gdansk_result[Category]="senior",""),_xlfn._xlws.FILTER(Gdansk_result[SR_Escore],Gdansk_result[Category]="senior","")&lt;&gt;0,""))</f>
        <v>0.84504155998106012</v>
      </c>
      <c r="G43" s="12">
        <f>AVERAGEIFS(Gdansk_result[SR_Total_Score],Gdansk_result[[Category]:[Category]],"senior",Gdansk_result[SR_Total_Score],"&lt;&gt;0")</f>
        <v>11.026666666666667</v>
      </c>
      <c r="H43" s="12" cm="1">
        <f t="array" ref="H43">_xlfn.STDEV.S(_xlfn._xlws.FILTER(_xlfn._xlws.FILTER(Gdansk_result[SR_Total_Score],Gdansk_result[Category]="senior",""),_xlfn._xlws.FILTER(Gdansk_result[SR_Total_Score],Gdansk_result[Category]="senior","")&lt;&gt;0,""))</f>
        <v>1.0832930395436913</v>
      </c>
      <c r="I43" s="12" cm="1">
        <f t="array" ref="I43">MAX(_xlfn._xlws.FILTER(Gdansk_result[SR_Total_Score],Gdansk_result[Category]="senior"))</f>
        <v>12.2</v>
      </c>
      <c r="J43" s="10" t="str" cm="1">
        <f t="array" ref="J43">IF(COUNTIFS(Gdansk_result[SR_Total_Score],I43,Gdansk_result[Category],"senior")&gt;1,_xlfn.XLOOKUP(I43,_xlfn._xlws.FILTER(Gdansk_result[SR_Total_Score],Gdansk_result[Category]="senior"),_xlfn._xlws.FILTER(Gdansk_result[Name],Gdansk_result[Category]="senior"),0)&amp;" and "&amp;(COUNTIFS(Gdansk_result[SR_Total_Score],I43,Gdansk_result[Category],"senior")-1)&amp;" more",_xlfn.XLOOKUP(I43,_xlfn._xlws.FILTER(Gdansk_result[SR_Total_Score],Gdansk_result[Category]="senior"),_xlfn._xlws.FILTER(Gdansk_result[Name],Gdansk_result[Category]="senior"),0))</f>
        <v>SASNAL Filip</v>
      </c>
      <c r="AN43" t="s">
        <v>59</v>
      </c>
      <c r="AO43" t="s">
        <v>60</v>
      </c>
      <c r="AP43">
        <v>2002</v>
      </c>
      <c r="AQ43" t="s">
        <v>62</v>
      </c>
      <c r="AR43" t="s">
        <v>305</v>
      </c>
      <c r="AS43" t="s">
        <v>331</v>
      </c>
      <c r="AT43" t="s">
        <v>243</v>
      </c>
      <c r="AU43" t="s">
        <v>329</v>
      </c>
      <c r="AV43">
        <v>72.5</v>
      </c>
    </row>
    <row r="44" spans="1:48" ht="21" x14ac:dyDescent="0.35">
      <c r="A44" s="2" t="s">
        <v>60</v>
      </c>
      <c r="B44" s="10" t="s">
        <v>240</v>
      </c>
      <c r="C44" s="11">
        <f>AVERAGEIFS(Gdansk_result[VT_Dscore],Gdansk_result[[Category]:[Category]],"senior",Gdansk_result[VT_Dscore],"&lt;&gt;0")</f>
        <v>3.8399999999999994</v>
      </c>
      <c r="D44" s="11" cm="1">
        <f t="array" ref="D44">_xlfn.STDEV.S(_xlfn._xlws.FILTER(_xlfn._xlws.FILTER(Gdansk_result[VT_Dscore],Gdansk_result[Category]="senior",""),_xlfn._xlws.FILTER(Gdansk_result[VT_Dscore],Gdansk_result[Category]="senior","")&lt;&gt;0,""))</f>
        <v>0.89186802354865113</v>
      </c>
      <c r="E44" s="12">
        <f>AVERAGEIFS(Gdansk_result[VT_Escore],Gdansk_result[[Category]:[Category]],"senior",Gdansk_result[VT_Escore],"&lt;&gt;0")</f>
        <v>8.4666666666666668</v>
      </c>
      <c r="F44" s="12" cm="1">
        <f t="array" ref="F44">_xlfn.STDEV.S(_xlfn._xlws.FILTER(_xlfn._xlws.FILTER(Gdansk_result[VT_Escore],Gdansk_result[Category]="senior",""),_xlfn._xlws.FILTER(Gdansk_result[VT_Escore],Gdansk_result[Category]="senior","")&lt;&gt;0,""))</f>
        <v>0.33309515300043158</v>
      </c>
      <c r="G44" s="12">
        <f>AVERAGEIFS(Gdansk_result[VT_total_score],Gdansk_result[[Category]:[Category]],"senior",Gdansk_result[VT_total_score],"&lt;&gt;0")</f>
        <v>12.306666666666667</v>
      </c>
      <c r="H44" s="12" cm="1">
        <f t="array" ref="H44">_xlfn.STDEV.S(_xlfn._xlws.FILTER(_xlfn._xlws.FILTER(Gdansk_result[VT_total_score],Gdansk_result[Category]="senior",""),_xlfn._xlws.FILTER(Gdansk_result[VT_total_score],Gdansk_result[Category]="senior","")&lt;&gt;0,""))</f>
        <v>0.98159248648500241</v>
      </c>
      <c r="I44" s="12" cm="1">
        <f t="array" ref="I44">MAX(_xlfn._xlws.FILTER(Gdansk_result[VT_total_score],Gdansk_result[Category]="senior"))</f>
        <v>13.4</v>
      </c>
      <c r="J44" s="10" t="str" cm="1">
        <f t="array" ref="J44">IF(COUNTIFS(Gdansk_result[VT_total_score],I44,Gdansk_result[Category],"senior")&gt;1,_xlfn.XLOOKUP(I44,_xlfn._xlws.FILTER(Gdansk_result[VT_total_score],Gdansk_result[Category]="senior"),_xlfn._xlws.FILTER(Gdansk_result[Name],Gdansk_result[Category]="senior"),0)&amp;" and "&amp;(COUNTIFS(Gdansk_result[VT_total_score],I44,Gdansk_result[Category],"senior")-1)&amp;" more",_xlfn.XLOOKUP(I44,_xlfn._xlws.FILTER(Gdansk_result[VT_total_score],Gdansk_result[Category]="senior"),_xlfn._xlws.FILTER(Gdansk_result[Name],Gdansk_result[Category]="senior"),0))</f>
        <v>KORNIICHUK Yehor</v>
      </c>
      <c r="AN44" t="s">
        <v>116</v>
      </c>
      <c r="AO44" t="s">
        <v>60</v>
      </c>
      <c r="AP44">
        <v>1996</v>
      </c>
      <c r="AQ44" t="s">
        <v>62</v>
      </c>
      <c r="AR44" t="s">
        <v>305</v>
      </c>
      <c r="AS44" t="s">
        <v>331</v>
      </c>
      <c r="AT44" t="s">
        <v>218</v>
      </c>
      <c r="AU44" t="s">
        <v>308</v>
      </c>
      <c r="AV44">
        <v>5.8</v>
      </c>
    </row>
    <row r="45" spans="1:48" ht="21" x14ac:dyDescent="0.35">
      <c r="A45" s="2" t="s">
        <v>26</v>
      </c>
      <c r="B45" s="10" t="s">
        <v>243</v>
      </c>
      <c r="C45" s="11">
        <f>AVERAGEIFS(Gdansk_result[AA_Dscore],Gdansk_result[[Category]:[Category]],"junior",Gdansk_result[AA_Dscore],"&lt;&gt;0",Gdansk_result[All Around],"Yes")</f>
        <v>17.400000000000002</v>
      </c>
      <c r="D45" s="11" cm="1">
        <f t="array" ref="D45">_xlfn.STDEV.S(_xlfn._xlws.FILTER(Gdansk_result[AA_Dscore],(Gdansk_result[Category]="junior")*(Gdansk_result[All Around]="Yes")))</f>
        <v>2.6955518915428121</v>
      </c>
      <c r="E45" s="12">
        <f>AVERAGEIFS(Gdansk_result[AA_Escore],Gdansk_result[[Category]:[Category]],"junior",Gdansk_result[AA_Escore],"&lt;&gt;0",Gdansk_result[All Around],"yes")</f>
        <v>46.172727272727279</v>
      </c>
      <c r="F45" s="12" cm="1">
        <f t="array" ref="F45">_xlfn.STDEV.S(_xlfn._xlws.FILTER(Gdansk_result[AA_Escore],(Gdansk_result[Category]="junior")*(Gdansk_result[All Around]="Yes")))</f>
        <v>2.6736083890842779</v>
      </c>
      <c r="G45" s="12">
        <f>AVERAGEIFS(Gdansk_result[Total_Score],Gdansk_result[[Category]:[Category]],"junior",Gdansk_result[Total_Score],"&lt;&gt;0",Gdansk_result[All Around],"yes")</f>
        <v>63.572727272727278</v>
      </c>
      <c r="H45" s="12" cm="1">
        <f t="array" ref="H45">_xlfn.STDEV.S(_xlfn._xlws.FILTER(Gdansk_result[Total_Score],(Gdansk_result[Category]="junior")*(Gdansk_result[All Around]="Yes")))</f>
        <v>4.1854727114367645</v>
      </c>
      <c r="I45" s="12" cm="1">
        <f t="array" ref="I45">MAX(_xlfn._xlws.FILTER(Gdansk_result[Total_Score],Gdansk_result[Category]="junior"))</f>
        <v>70</v>
      </c>
      <c r="J45" s="10" t="str" cm="1">
        <f t="array" ref="J45">IF(COUNTIFS(Gdansk_result[Total_Score],I45,Gdansk_result[Category],"junior")&gt;1,_xlfn.XLOOKUP(I45,_xlfn._xlws.FILTER(Gdansk_result[Total_Score],Gdansk_result[Category]="junior"),_xlfn._xlws.FILTER(Gdansk_result[Name],Gdansk_result[Category]="junior"),0)&amp;" and "&amp;(COUNTIFS(Gdansk_result[Total_Score],I45,Gdansk_result[Category],"junior")-1)&amp;" more",_xlfn.XLOOKUP(I45,_xlfn._xlws.FILTER(Gdansk_result[Total_Score],Gdansk_result[Category]="junior"),_xlfn._xlws.FILTER(Gdansk_result[Name],Gdansk_result[Category]="junior"),0))</f>
        <v>LEKHAC Tomasz</v>
      </c>
      <c r="AN45" t="s">
        <v>116</v>
      </c>
      <c r="AO45" t="s">
        <v>60</v>
      </c>
      <c r="AP45">
        <v>1996</v>
      </c>
      <c r="AQ45" t="s">
        <v>62</v>
      </c>
      <c r="AR45" t="s">
        <v>305</v>
      </c>
      <c r="AS45" t="s">
        <v>331</v>
      </c>
      <c r="AT45" t="s">
        <v>218</v>
      </c>
      <c r="AU45" t="s">
        <v>309</v>
      </c>
      <c r="AV45">
        <v>5.4</v>
      </c>
    </row>
    <row r="46" spans="1:48" ht="21" x14ac:dyDescent="0.35">
      <c r="A46" s="2" t="s">
        <v>26</v>
      </c>
      <c r="B46" s="10" t="s">
        <v>218</v>
      </c>
      <c r="C46" s="11">
        <f>AVERAGEIFS(Gdansk_result[FX_Dscore],Gdansk_result[[Category]:[Category]],"junior",Gdansk_result[FX_Dscore],"&lt;&gt;0")</f>
        <v>3.5461538461538469</v>
      </c>
      <c r="D46" s="11" cm="1">
        <f t="array" ref="D46">_xlfn.STDEV.S(_xlfn._xlws.FILTER(Gdansk_result[FX_Dscore],(Gdansk_result[Category]="junior")*(Gdansk_result[FX_Dscore]&gt;0)))</f>
        <v>0.47366546671566478</v>
      </c>
      <c r="E46" s="12">
        <f>AVERAGEIFS(Gdansk_result[FX_Escore],Gdansk_result[[Category]:[Category]],"junior",Gdansk_result[FX_Escore],"&lt;&gt;0")</f>
        <v>7.2692307692307692</v>
      </c>
      <c r="F46" s="12" cm="1">
        <f t="array" ref="F46">_xlfn.STDEV.S(_xlfn._xlws.FILTER(Gdansk_result[FX_Escore],(Gdansk_result[Category]="junior")*(Gdansk_result[FX_Escore]&gt;0)))</f>
        <v>0.610170215847752</v>
      </c>
      <c r="G46" s="12">
        <f>AVERAGEIFS(Gdansk_result[FX_total_score],Gdansk_result[[Category]:[Category]],"junior",Gdansk_result[FX_total_score],"&lt;&gt;0")</f>
        <v>10.815384615384614</v>
      </c>
      <c r="H46" s="12" cm="1">
        <f t="array" ref="H46">_xlfn.STDEV.S(_xlfn._xlws.FILTER(Gdansk_result[FX_total_score],(Gdansk_result[Category]="junior")*(Gdansk_result[FX_total_score]&gt;0)))</f>
        <v>0.77765261508181793</v>
      </c>
      <c r="I46" s="12" cm="1">
        <f t="array" ref="I46">MAX(_xlfn._xlws.FILTER(Gdansk_result[FX_total_score],Gdansk_result[Category]="junior"))</f>
        <v>11.9</v>
      </c>
      <c r="J46" s="10" t="str" cm="1">
        <f t="array" ref="J46">IF(COUNTIFS(Gdansk_result[FX_total_score],I46,Gdansk_result[Category],"junior")&gt;1,_xlfn.XLOOKUP(I46,_xlfn._xlws.FILTER(Gdansk_result[FX_total_score],Gdansk_result[Category]="junior"),_xlfn._xlws.FILTER(Gdansk_result[Name],Gdansk_result[Category]="junior"),0)&amp;" and "&amp;(COUNTIFS(Gdansk_result[FX_total_score],I46,Gdansk_result[Category],"junior")-1)&amp;" more",_xlfn.XLOOKUP(I46,_xlfn._xlws.FILTER(Gdansk_result[FX_total_score],Gdansk_result[Category]="junior"),_xlfn._xlws.FILTER(Gdansk_result[Name],Gdansk_result[Category]="junior"),0))</f>
        <v>LEKHAC Tomasz and 2 more</v>
      </c>
      <c r="AN46" t="s">
        <v>116</v>
      </c>
      <c r="AO46" t="s">
        <v>60</v>
      </c>
      <c r="AP46">
        <v>1996</v>
      </c>
      <c r="AQ46" t="s">
        <v>62</v>
      </c>
      <c r="AR46" t="s">
        <v>305</v>
      </c>
      <c r="AS46" t="s">
        <v>331</v>
      </c>
      <c r="AT46" t="s">
        <v>218</v>
      </c>
      <c r="AU46" t="s">
        <v>268</v>
      </c>
      <c r="AV46">
        <v>11.2</v>
      </c>
    </row>
    <row r="47" spans="1:48" ht="21" x14ac:dyDescent="0.35">
      <c r="A47" s="2" t="s">
        <v>26</v>
      </c>
      <c r="B47" s="10" t="s">
        <v>242</v>
      </c>
      <c r="C47" s="11">
        <f>AVERAGEIFS(Gdansk_result[HB_Dscore],Gdansk_result[[Category]:[Category]],"junior",Gdansk_result[HB_Dscore],"&lt;&gt;0")</f>
        <v>2.3916666666666671</v>
      </c>
      <c r="D47" s="11" cm="1">
        <f t="array" ref="D47">_xlfn.STDEV.S(_xlfn._xlws.FILTER(Gdansk_result[HB_Dscore],(Gdansk_result[Category]="junior")*(Gdansk_result[HB_Dscore]&gt;0)))</f>
        <v>0.53164980499527492</v>
      </c>
      <c r="E47" s="12">
        <f>AVERAGEIFS(Gdansk_result[HB_Escore],Gdansk_result[[Category]:[Category]],"junior",Gdansk_result[HB_Escore],"&lt;&gt;0")</f>
        <v>7.0666666666666673</v>
      </c>
      <c r="F47" s="12" cm="1">
        <f t="array" ref="F47">_xlfn.STDEV.S(_xlfn._xlws.FILTER(Gdansk_result[HB_Escore],(Gdansk_result[Category]="junior")*(Gdansk_result[HB_Escore]&gt;0)))</f>
        <v>1.6554775929036456</v>
      </c>
      <c r="G47" s="12">
        <f>AVERAGEIFS(Gdansk_result[HB_total_score],Gdansk_result[[Category]:[Category]],"junior",Gdansk_result[HB_total_score],"&lt;&gt;0")</f>
        <v>9.4583333333333321</v>
      </c>
      <c r="H47" s="12" cm="1">
        <f t="array" ref="H47">_xlfn.STDEV.S(_xlfn._xlws.FILTER(Gdansk_result[HB_total_score],(Gdansk_result[Category]="junior")*(Gdansk_result[HB_total_score]&gt;0)))</f>
        <v>1.8860532785944848</v>
      </c>
      <c r="I47" s="12" cm="1">
        <f t="array" ref="I47">MAX(_xlfn._xlws.FILTER(Gdansk_result[HB_total_score],Gdansk_result[Category]="junior"))</f>
        <v>12</v>
      </c>
      <c r="J47" s="10" t="str" cm="1">
        <f t="array" ref="J47">IF(COUNTIFS(Gdansk_result[HB_total_score],I47,Gdansk_result[Category],"junior")&gt;1,_xlfn.XLOOKUP(I47,_xlfn._xlws.FILTER(Gdansk_result[HB_total_score],Gdansk_result[Category]="junior"),_xlfn._xlws.FILTER(Gdansk_result[Name],Gdansk_result[Category]="junior"),0)&amp;" and "&amp;(COUNTIFS(Gdansk_result[HB_total_score],I47,Gdansk_result[Category],"junior")-1)&amp;" more",_xlfn.XLOOKUP(I47,_xlfn._xlws.FILTER(Gdansk_result[HB_total_score],Gdansk_result[Category]="junior"),_xlfn._xlws.FILTER(Gdansk_result[Name],Gdansk_result[Category]="junior"),0))</f>
        <v>LEKHAC Tomasz</v>
      </c>
      <c r="AN47" t="s">
        <v>116</v>
      </c>
      <c r="AO47" t="s">
        <v>60</v>
      </c>
      <c r="AP47">
        <v>1996</v>
      </c>
      <c r="AQ47" t="s">
        <v>62</v>
      </c>
      <c r="AR47" t="s">
        <v>305</v>
      </c>
      <c r="AS47" t="s">
        <v>331</v>
      </c>
      <c r="AT47" t="s">
        <v>238</v>
      </c>
      <c r="AU47" t="s">
        <v>308</v>
      </c>
      <c r="AV47">
        <v>4.0999999999999996</v>
      </c>
    </row>
    <row r="48" spans="1:48" ht="21" x14ac:dyDescent="0.35">
      <c r="A48" s="2" t="s">
        <v>26</v>
      </c>
      <c r="B48" s="10" t="s">
        <v>241</v>
      </c>
      <c r="C48" s="11">
        <f>AVERAGEIFS(Gdansk_result[PB_Dscore],Gdansk_result[[Category]:[Category]],"junior",Gdansk_result[PB_Dscore],"&lt;&gt;0")</f>
        <v>2.9538461538461531</v>
      </c>
      <c r="D48" s="11" cm="1">
        <f t="array" ref="D48">_xlfn.STDEV.S(_xlfn._xlws.FILTER(Gdansk_result[PB_Dscore],(Gdansk_result[Category]="junior")*(Gdansk_result[PB_Dscore]&gt;0)))</f>
        <v>0.57244415246582303</v>
      </c>
      <c r="E48" s="12">
        <f>AVERAGEIFS(Gdansk_result[PB_Escore],Gdansk_result[[Category]:[Category]],"junior",Gdansk_result[PB_Escore],"&lt;&gt;0")</f>
        <v>8.2692307692307683</v>
      </c>
      <c r="F48" s="12" cm="1">
        <f t="array" ref="F48">_xlfn.STDEV.S(_xlfn._xlws.FILTER(Gdansk_result[PB_Escore],(Gdansk_result[Category]="junior")*(Gdansk_result[PB_Escore]&gt;0)))</f>
        <v>0.66003107929932037</v>
      </c>
      <c r="G48" s="12">
        <f>AVERAGEIFS(Gdansk_result[PB_total_score],Gdansk_result[[Category]:[Category]],"junior",Gdansk_result[PB_total_score],"&lt;&gt;0")</f>
        <v>11.223076923076924</v>
      </c>
      <c r="H48" s="12" cm="1">
        <f t="array" ref="H48">_xlfn.STDEV.S(_xlfn._xlws.FILTER(Gdansk_result[PB_total_score],(Gdansk_result[Category]="junior")*(Gdansk_result[PB_total_score]&gt;0)))</f>
        <v>0.52939249168873792</v>
      </c>
      <c r="I48" s="12" cm="1">
        <f t="array" ref="I48">MAX(_xlfn._xlws.FILTER(Gdansk_result[PB_total_score],Gdansk_result[Category]="junior"))</f>
        <v>12</v>
      </c>
      <c r="J48" s="10" t="str" cm="1">
        <f t="array" ref="J48">IF(COUNTIFS(Gdansk_result[PB_total_score],I48,Gdansk_result[Category],"junior")&gt;1,_xlfn.XLOOKUP(I48,_xlfn._xlws.FILTER(Gdansk_result[PB_total_score],Gdansk_result[Category]="junior"),_xlfn._xlws.FILTER(Gdansk_result[Name],Gdansk_result[Category]="junior"),0)&amp;" and "&amp;(COUNTIFS(Gdansk_result[PB_total_score],I48,Gdansk_result[Category],"junior")-1)&amp;" more",_xlfn.XLOOKUP(I48,_xlfn._xlws.FILTER(Gdansk_result[PB_total_score],Gdansk_result[Category]="junior"),_xlfn._xlws.FILTER(Gdansk_result[Name],Gdansk_result[Category]="junior"),0))</f>
        <v>KOPERSKI Filip</v>
      </c>
      <c r="AN48" t="s">
        <v>116</v>
      </c>
      <c r="AO48" t="s">
        <v>60</v>
      </c>
      <c r="AP48">
        <v>1996</v>
      </c>
      <c r="AQ48" t="s">
        <v>62</v>
      </c>
      <c r="AR48" t="s">
        <v>305</v>
      </c>
      <c r="AS48" t="s">
        <v>331</v>
      </c>
      <c r="AT48" t="s">
        <v>238</v>
      </c>
      <c r="AU48" t="s">
        <v>309</v>
      </c>
      <c r="AV48">
        <v>7.9</v>
      </c>
    </row>
    <row r="49" spans="1:48" ht="21" x14ac:dyDescent="0.35">
      <c r="A49" s="2" t="s">
        <v>26</v>
      </c>
      <c r="B49" s="10" t="s">
        <v>238</v>
      </c>
      <c r="C49" s="11">
        <f>AVERAGEIFS(Gdansk_result[PH_Dscore],Gdansk_result[[Category]:[Category]],"junior",Gdansk_result[PH_Dscore],"&lt;&gt;0")</f>
        <v>3.0076923076923077</v>
      </c>
      <c r="D49" s="11" cm="1">
        <f t="array" ref="D49">_xlfn.STDEV.S(_xlfn._xlws.FILTER(Gdansk_result[PH_Dscore],(Gdansk_result[Category]="junior")*(Gdansk_result[PH_Dscore]&gt;0)))</f>
        <v>0.5950651763484095</v>
      </c>
      <c r="E49" s="12">
        <f>AVERAGEIFS(Gdansk_result[PH_Escore],Gdansk_result[[Category]:[Category]],"junior",Gdansk_result[PH_Escore],"&lt;&gt;0")</f>
        <v>7.0923076923076929</v>
      </c>
      <c r="F49" s="12" cm="1">
        <f t="array" ref="F49">_xlfn.STDEV.S(_xlfn._xlws.FILTER(Gdansk_result[PH_Escore],(Gdansk_result[Category]="junior")*(Gdansk_result[PH_Escore]&gt;0)))</f>
        <v>1.5190246533338123</v>
      </c>
      <c r="G49" s="12">
        <f>AVERAGEIFS(Gdansk_result[PH_Total_Score],Gdansk_result[[Category]:[Category]],"junior",Gdansk_result[PH_Total_Score],"&lt;&gt;0")</f>
        <v>10.099999999999998</v>
      </c>
      <c r="H49" s="12" cm="1">
        <f t="array" ref="H49">_xlfn.STDEV.S(_xlfn._xlws.FILTER(Gdansk_result[PH_Total_Score],(Gdansk_result[Category]="junior")*(Gdansk_result[PH_Total_Score]&gt;0)))</f>
        <v>1.9874606914351858</v>
      </c>
      <c r="I49" s="12" cm="1">
        <f t="array" ref="I49">MAX(_xlfn._xlws.FILTER(Gdansk_result[PH_Total_Score],Gdansk_result[Category]="junior"))</f>
        <v>12.5</v>
      </c>
      <c r="J49" s="10" t="str" cm="1">
        <f t="array" ref="J49">IF(COUNTIFS(Gdansk_result[PH_Total_Score],I49,Gdansk_result[Category],"junior")&gt;1,_xlfn.XLOOKUP(I49,_xlfn._xlws.FILTER(Gdansk_result[PH_Total_Score],Gdansk_result[Category]="junior"),_xlfn._xlws.FILTER(Gdansk_result[Name],Gdansk_result[Category]="junior"),0)&amp;" and "&amp;(COUNTIFS(Gdansk_result[PH_Total_Score],I49,Gdansk_result[Category],"junior")-1)&amp;" more",_xlfn.XLOOKUP(I49,_xlfn._xlws.FILTER(Gdansk_result[PH_Total_Score],Gdansk_result[Category]="junior"),_xlfn._xlws.FILTER(Gdansk_result[Name],Gdansk_result[Category]="junior"),0))</f>
        <v>LEKHAC Tomasz</v>
      </c>
      <c r="AN49" t="s">
        <v>116</v>
      </c>
      <c r="AO49" t="s">
        <v>60</v>
      </c>
      <c r="AP49">
        <v>1996</v>
      </c>
      <c r="AQ49" t="s">
        <v>62</v>
      </c>
      <c r="AR49" t="s">
        <v>305</v>
      </c>
      <c r="AS49" t="s">
        <v>331</v>
      </c>
      <c r="AT49" t="s">
        <v>238</v>
      </c>
      <c r="AU49" t="s">
        <v>268</v>
      </c>
      <c r="AV49">
        <v>12</v>
      </c>
    </row>
    <row r="50" spans="1:48" ht="21" x14ac:dyDescent="0.35">
      <c r="A50" s="2" t="s">
        <v>26</v>
      </c>
      <c r="B50" s="10" t="s">
        <v>239</v>
      </c>
      <c r="C50" s="11">
        <f>AVERAGEIFS(Gdansk_result[SR_Dscore],Gdansk_result[[Category]:[Category]],"junior",Gdansk_result[SR_Dscore],"&lt;&gt;0")</f>
        <v>2.5363636363636357</v>
      </c>
      <c r="D50" s="11" cm="1">
        <f t="array" ref="D50">_xlfn.STDEV.S(_xlfn._xlws.FILTER(Gdansk_result[SR_Dscore],(Gdansk_result[Category]="junior")*(Gdansk_result[SR_Dscore]&gt;0)))</f>
        <v>0.59375538275072326</v>
      </c>
      <c r="E50" s="12">
        <f>AVERAGEIFS(Gdansk_result[SR_Escore],Gdansk_result[[Category]:[Category]],"junior",Gdansk_result[SR_Escore],"&lt;&gt;0")</f>
        <v>7.754545454545454</v>
      </c>
      <c r="F50" s="12" cm="1">
        <f t="array" ref="F50">_xlfn.STDEV.S(_xlfn._xlws.FILTER(Gdansk_result[SR_Escore],(Gdansk_result[Category]="junior")*(Gdansk_result[SR_Escore]&gt;0)))</f>
        <v>0.6593385114850131</v>
      </c>
      <c r="G50" s="12">
        <f>AVERAGEIFS(Gdansk_result[SR_Total_Score],Gdansk_result[[Category]:[Category]],"junior",Gdansk_result[SR_Total_Score],"&lt;&gt;0")</f>
        <v>10.290909090909093</v>
      </c>
      <c r="H50" s="12" cm="1">
        <f t="array" ref="H50">_xlfn.STDEV.S(_xlfn._xlws.FILTER(Gdansk_result[SR_Total_Score],(Gdansk_result[Category]="junior")*(Gdansk_result[SR_Total_Score]&gt;0)))</f>
        <v>0.69635414187688316</v>
      </c>
      <c r="I50" s="12" cm="1">
        <f t="array" ref="I50">MAX(_xlfn._xlws.FILTER(Gdansk_result[SR_Total_Score],Gdansk_result[Category]="junior"))</f>
        <v>11.2</v>
      </c>
      <c r="J50" s="10" t="str" cm="1">
        <f t="array" ref="J50">IF(COUNTIFS(Gdansk_result[SR_Total_Score],I50,Gdansk_result[Category],"junior")&gt;1,_xlfn.XLOOKUP(I50,_xlfn._xlws.FILTER(Gdansk_result[SR_Total_Score],Gdansk_result[Category]="junior"),_xlfn._xlws.FILTER(Gdansk_result[Name],Gdansk_result[Category]="junior"),0)&amp;" and "&amp;(COUNTIFS(Gdansk_result[SR_Total_Score],I50,Gdansk_result[Category],"junior")-1)&amp;" more",_xlfn.XLOOKUP(I50,_xlfn._xlws.FILTER(Gdansk_result[SR_Total_Score],Gdansk_result[Category]="junior"),_xlfn._xlws.FILTER(Gdansk_result[Name],Gdansk_result[Category]="junior"),0))</f>
        <v>LEKHAC Tomasz and 1 more</v>
      </c>
      <c r="AN50" t="s">
        <v>116</v>
      </c>
      <c r="AO50" t="s">
        <v>60</v>
      </c>
      <c r="AP50">
        <v>1996</v>
      </c>
      <c r="AQ50" t="s">
        <v>62</v>
      </c>
      <c r="AR50" t="s">
        <v>305</v>
      </c>
      <c r="AS50" t="s">
        <v>331</v>
      </c>
      <c r="AT50" t="s">
        <v>239</v>
      </c>
      <c r="AU50" t="s">
        <v>308</v>
      </c>
      <c r="AV50">
        <v>5.3</v>
      </c>
    </row>
    <row r="51" spans="1:48" ht="21" x14ac:dyDescent="0.35">
      <c r="A51" s="2" t="s">
        <v>26</v>
      </c>
      <c r="B51" s="10" t="s">
        <v>240</v>
      </c>
      <c r="C51" s="11">
        <f>AVERAGEIFS(Gdansk_result[VT_Dscore],Gdansk_result[[Category]:[Category]],"junior",Gdansk_result[VT_Dscore],"&lt;&gt;0")</f>
        <v>2.5384615384615392</v>
      </c>
      <c r="D51" s="11" cm="1">
        <f t="array" ref="D51">_xlfn.STDEV.S(_xlfn._xlws.FILTER(Gdansk_result[VT_Dscore],(Gdansk_result[Category]="junior")*(Gdansk_result[VT_Dscore]&gt;0)))</f>
        <v>0.78053236270558801</v>
      </c>
      <c r="E51" s="12">
        <f>AVERAGEIFS(Gdansk_result[VT_Escore],Gdansk_result[[Category]:[Category]],"junior",Gdansk_result[VT_Escore],"&lt;&gt;0")</f>
        <v>8.4384615384615387</v>
      </c>
      <c r="F51" s="12" cm="1">
        <f t="array" ref="F51">_xlfn.STDEV.S(_xlfn._xlws.FILTER(Gdansk_result[VT_Escore],(Gdansk_result[Category]="junior")*(Gdansk_result[VT_Escore]&gt;0)))</f>
        <v>0.4407162003271145</v>
      </c>
      <c r="G51" s="12">
        <f>AVERAGEIFS(Gdansk_result[VT_total_score],Gdansk_result[[Category]:[Category]],"junior",Gdansk_result[VT_total_score],"&lt;&gt;0")</f>
        <v>10.976923076923079</v>
      </c>
      <c r="H51" s="12" cm="1">
        <f t="array" ref="H51">_xlfn.STDEV.S(_xlfn._xlws.FILTER(Gdansk_result[VT_total_score],(Gdansk_result[Category]="junior")*(Gdansk_result[VT_total_score]&gt;0)))</f>
        <v>0.9496963077337286</v>
      </c>
      <c r="I51" s="12" cm="1">
        <f t="array" ref="I51">MAX(_xlfn._xlws.FILTER(Gdansk_result[VT_total_score],Gdansk_result[Category]="junior"))</f>
        <v>12.9</v>
      </c>
      <c r="J51" s="10" t="str" cm="1">
        <f t="array" ref="J51">IF(COUNTIFS(Gdansk_result[VT_total_score],I51,Gdansk_result[Category],"junior")&gt;1,_xlfn.XLOOKUP(I51,_xlfn._xlws.FILTER(Gdansk_result[VT_total_score],Gdansk_result[Category]="junior"),_xlfn._xlws.FILTER(Gdansk_result[Name],Gdansk_result[Category]="junior"),0)&amp;" and "&amp;(COUNTIFS(Gdansk_result[VT_total_score],I51,Gdansk_result[Category],"junior")-1)&amp;" more",_xlfn.XLOOKUP(I51,_xlfn._xlws.FILTER(Gdansk_result[VT_total_score],Gdansk_result[Category]="junior"),_xlfn._xlws.FILTER(Gdansk_result[Name],Gdansk_result[Category]="junior"),0))</f>
        <v>MISHCHENKO Oleksandr</v>
      </c>
      <c r="AN51" t="s">
        <v>116</v>
      </c>
      <c r="AO51" t="s">
        <v>60</v>
      </c>
      <c r="AP51">
        <v>1996</v>
      </c>
      <c r="AQ51" t="s">
        <v>62</v>
      </c>
      <c r="AR51" t="s">
        <v>305</v>
      </c>
      <c r="AS51" t="s">
        <v>331</v>
      </c>
      <c r="AT51" t="s">
        <v>239</v>
      </c>
      <c r="AU51" t="s">
        <v>309</v>
      </c>
      <c r="AV51">
        <v>6.6</v>
      </c>
    </row>
    <row r="52" spans="1:48" ht="27" customHeight="1" x14ac:dyDescent="0.35">
      <c r="AJ52" s="45"/>
      <c r="AN52" t="s">
        <v>116</v>
      </c>
      <c r="AO52" t="s">
        <v>60</v>
      </c>
      <c r="AP52">
        <v>1996</v>
      </c>
      <c r="AQ52" t="s">
        <v>62</v>
      </c>
      <c r="AR52" t="s">
        <v>305</v>
      </c>
      <c r="AS52" t="s">
        <v>331</v>
      </c>
      <c r="AT52" t="s">
        <v>239</v>
      </c>
      <c r="AU52" t="s">
        <v>268</v>
      </c>
      <c r="AV52">
        <v>11.9</v>
      </c>
    </row>
    <row r="53" spans="1:48" ht="27" customHeight="1" x14ac:dyDescent="0.35">
      <c r="AJ53" s="45"/>
      <c r="AN53" t="s">
        <v>116</v>
      </c>
      <c r="AO53" t="s">
        <v>60</v>
      </c>
      <c r="AP53">
        <v>1996</v>
      </c>
      <c r="AQ53" t="s">
        <v>62</v>
      </c>
      <c r="AR53" t="s">
        <v>305</v>
      </c>
      <c r="AS53" t="s">
        <v>331</v>
      </c>
      <c r="AT53" t="s">
        <v>240</v>
      </c>
      <c r="AU53" t="s">
        <v>308</v>
      </c>
      <c r="AV53">
        <v>5.2</v>
      </c>
    </row>
    <row r="54" spans="1:48" ht="30.75" customHeight="1" x14ac:dyDescent="0.35">
      <c r="AJ54" s="45"/>
      <c r="AN54" t="s">
        <v>116</v>
      </c>
      <c r="AO54" t="s">
        <v>60</v>
      </c>
      <c r="AP54">
        <v>1996</v>
      </c>
      <c r="AQ54" t="s">
        <v>62</v>
      </c>
      <c r="AR54" t="s">
        <v>305</v>
      </c>
      <c r="AS54" t="s">
        <v>331</v>
      </c>
      <c r="AT54" t="s">
        <v>240</v>
      </c>
      <c r="AU54" t="s">
        <v>309</v>
      </c>
      <c r="AV54">
        <v>8</v>
      </c>
    </row>
    <row r="55" spans="1:48" ht="30.75" customHeight="1" x14ac:dyDescent="0.35">
      <c r="AJ55" s="45"/>
      <c r="AN55" t="s">
        <v>116</v>
      </c>
      <c r="AO55" t="s">
        <v>60</v>
      </c>
      <c r="AP55">
        <v>1996</v>
      </c>
      <c r="AQ55" t="s">
        <v>62</v>
      </c>
      <c r="AR55" t="s">
        <v>305</v>
      </c>
      <c r="AS55" t="s">
        <v>331</v>
      </c>
      <c r="AT55" t="s">
        <v>240</v>
      </c>
      <c r="AU55" t="s">
        <v>268</v>
      </c>
      <c r="AV55">
        <v>13.2</v>
      </c>
    </row>
    <row r="56" spans="1:48" ht="30.75" customHeight="1" x14ac:dyDescent="0.35">
      <c r="AJ56" s="45"/>
      <c r="AN56" t="s">
        <v>116</v>
      </c>
      <c r="AO56" t="s">
        <v>60</v>
      </c>
      <c r="AP56">
        <v>1996</v>
      </c>
      <c r="AQ56" t="s">
        <v>62</v>
      </c>
      <c r="AR56" t="s">
        <v>305</v>
      </c>
      <c r="AS56" t="s">
        <v>331</v>
      </c>
      <c r="AT56" t="s">
        <v>314</v>
      </c>
      <c r="AU56" t="s">
        <v>308</v>
      </c>
      <c r="AV56">
        <v>4.9000000000000004</v>
      </c>
    </row>
    <row r="57" spans="1:48" ht="30.75" customHeight="1" x14ac:dyDescent="0.35">
      <c r="AJ57" s="45"/>
      <c r="AN57" t="s">
        <v>116</v>
      </c>
      <c r="AO57" t="s">
        <v>60</v>
      </c>
      <c r="AP57">
        <v>1996</v>
      </c>
      <c r="AQ57" t="s">
        <v>62</v>
      </c>
      <c r="AR57" t="s">
        <v>305</v>
      </c>
      <c r="AS57" t="s">
        <v>331</v>
      </c>
      <c r="AT57" t="s">
        <v>314</v>
      </c>
      <c r="AU57" t="s">
        <v>309</v>
      </c>
      <c r="AV57">
        <v>7.4</v>
      </c>
    </row>
    <row r="58" spans="1:48" ht="21" x14ac:dyDescent="0.35">
      <c r="AJ58" s="45"/>
      <c r="AN58" t="s">
        <v>116</v>
      </c>
      <c r="AO58" t="s">
        <v>60</v>
      </c>
      <c r="AP58">
        <v>1996</v>
      </c>
      <c r="AQ58" t="s">
        <v>62</v>
      </c>
      <c r="AR58" t="s">
        <v>305</v>
      </c>
      <c r="AS58" t="s">
        <v>331</v>
      </c>
      <c r="AT58" t="s">
        <v>314</v>
      </c>
      <c r="AU58" t="s">
        <v>268</v>
      </c>
      <c r="AV58">
        <v>12.3</v>
      </c>
    </row>
    <row r="59" spans="1:48" ht="21" x14ac:dyDescent="0.35">
      <c r="AJ59" s="45"/>
      <c r="AN59" t="s">
        <v>116</v>
      </c>
      <c r="AO59" t="s">
        <v>60</v>
      </c>
      <c r="AP59">
        <v>1996</v>
      </c>
      <c r="AQ59" t="s">
        <v>62</v>
      </c>
      <c r="AR59" t="s">
        <v>305</v>
      </c>
      <c r="AS59" t="s">
        <v>331</v>
      </c>
      <c r="AT59" t="s">
        <v>242</v>
      </c>
      <c r="AU59" t="s">
        <v>308</v>
      </c>
      <c r="AV59">
        <v>4.8</v>
      </c>
    </row>
    <row r="60" spans="1:48" ht="21" x14ac:dyDescent="0.35">
      <c r="AJ60" s="45"/>
      <c r="AN60" t="s">
        <v>116</v>
      </c>
      <c r="AO60" t="s">
        <v>60</v>
      </c>
      <c r="AP60">
        <v>1996</v>
      </c>
      <c r="AQ60" t="s">
        <v>62</v>
      </c>
      <c r="AR60" t="s">
        <v>305</v>
      </c>
      <c r="AS60" t="s">
        <v>331</v>
      </c>
      <c r="AT60" t="s">
        <v>242</v>
      </c>
      <c r="AU60" t="s">
        <v>309</v>
      </c>
      <c r="AV60">
        <v>6.3</v>
      </c>
    </row>
    <row r="61" spans="1:48" ht="21" x14ac:dyDescent="0.35">
      <c r="AJ61" s="45"/>
      <c r="AN61" t="s">
        <v>116</v>
      </c>
      <c r="AO61" t="s">
        <v>60</v>
      </c>
      <c r="AP61">
        <v>1996</v>
      </c>
      <c r="AQ61" t="s">
        <v>62</v>
      </c>
      <c r="AR61" t="s">
        <v>305</v>
      </c>
      <c r="AS61" t="s">
        <v>331</v>
      </c>
      <c r="AT61" t="s">
        <v>242</v>
      </c>
      <c r="AU61" t="s">
        <v>268</v>
      </c>
      <c r="AV61">
        <v>11.1</v>
      </c>
    </row>
    <row r="62" spans="1:48" ht="21" x14ac:dyDescent="0.35">
      <c r="AJ62" s="45"/>
      <c r="AN62" t="s">
        <v>116</v>
      </c>
      <c r="AO62" t="s">
        <v>60</v>
      </c>
      <c r="AP62">
        <v>1996</v>
      </c>
      <c r="AQ62" t="s">
        <v>62</v>
      </c>
      <c r="AR62" t="s">
        <v>305</v>
      </c>
      <c r="AS62" t="s">
        <v>331</v>
      </c>
      <c r="AT62" t="s">
        <v>243</v>
      </c>
      <c r="AU62" t="s">
        <v>326</v>
      </c>
      <c r="AV62">
        <v>30.099999999999998</v>
      </c>
    </row>
    <row r="63" spans="1:48" ht="21" x14ac:dyDescent="0.35">
      <c r="AJ63" s="45"/>
      <c r="AN63" t="s">
        <v>116</v>
      </c>
      <c r="AO63" t="s">
        <v>60</v>
      </c>
      <c r="AP63">
        <v>1996</v>
      </c>
      <c r="AQ63" t="s">
        <v>62</v>
      </c>
      <c r="AR63" t="s">
        <v>305</v>
      </c>
      <c r="AS63" t="s">
        <v>331</v>
      </c>
      <c r="AT63" t="s">
        <v>243</v>
      </c>
      <c r="AU63" t="s">
        <v>327</v>
      </c>
      <c r="AV63">
        <v>41.599999999999994</v>
      </c>
    </row>
    <row r="64" spans="1:48" ht="21" x14ac:dyDescent="0.35">
      <c r="AJ64" s="45"/>
      <c r="AN64" t="s">
        <v>116</v>
      </c>
      <c r="AO64" t="s">
        <v>60</v>
      </c>
      <c r="AP64">
        <v>1996</v>
      </c>
      <c r="AQ64" t="s">
        <v>62</v>
      </c>
      <c r="AR64" t="s">
        <v>305</v>
      </c>
      <c r="AS64" t="s">
        <v>331</v>
      </c>
      <c r="AT64" t="s">
        <v>243</v>
      </c>
      <c r="AU64" t="s">
        <v>329</v>
      </c>
      <c r="AV64">
        <v>71.7</v>
      </c>
    </row>
    <row r="65" spans="36:48" ht="21" x14ac:dyDescent="0.35">
      <c r="AJ65" s="45"/>
      <c r="AN65" t="s">
        <v>65</v>
      </c>
      <c r="AO65" t="s">
        <v>60</v>
      </c>
      <c r="AP65">
        <v>2001</v>
      </c>
      <c r="AQ65" t="s">
        <v>67</v>
      </c>
      <c r="AR65" t="s">
        <v>305</v>
      </c>
      <c r="AS65" t="s">
        <v>331</v>
      </c>
      <c r="AT65" t="s">
        <v>218</v>
      </c>
      <c r="AU65" t="s">
        <v>308</v>
      </c>
      <c r="AV65">
        <v>3.9</v>
      </c>
    </row>
    <row r="66" spans="36:48" ht="21" x14ac:dyDescent="0.35">
      <c r="AJ66" s="45"/>
      <c r="AN66" t="s">
        <v>65</v>
      </c>
      <c r="AO66" t="s">
        <v>60</v>
      </c>
      <c r="AP66">
        <v>2001</v>
      </c>
      <c r="AQ66" t="s">
        <v>67</v>
      </c>
      <c r="AR66" t="s">
        <v>305</v>
      </c>
      <c r="AS66" t="s">
        <v>331</v>
      </c>
      <c r="AT66" t="s">
        <v>218</v>
      </c>
      <c r="AU66" t="s">
        <v>309</v>
      </c>
      <c r="AV66">
        <v>7.3</v>
      </c>
    </row>
    <row r="67" spans="36:48" ht="21" x14ac:dyDescent="0.35">
      <c r="AJ67" s="45"/>
      <c r="AN67" t="s">
        <v>65</v>
      </c>
      <c r="AO67" t="s">
        <v>60</v>
      </c>
      <c r="AP67">
        <v>2001</v>
      </c>
      <c r="AQ67" t="s">
        <v>67</v>
      </c>
      <c r="AR67" t="s">
        <v>305</v>
      </c>
      <c r="AS67" t="s">
        <v>331</v>
      </c>
      <c r="AT67" t="s">
        <v>218</v>
      </c>
      <c r="AU67" t="s">
        <v>268</v>
      </c>
      <c r="AV67">
        <v>11.2</v>
      </c>
    </row>
    <row r="68" spans="36:48" ht="21" x14ac:dyDescent="0.35">
      <c r="AJ68" s="45"/>
      <c r="AN68" t="s">
        <v>65</v>
      </c>
      <c r="AO68" t="s">
        <v>60</v>
      </c>
      <c r="AP68">
        <v>2001</v>
      </c>
      <c r="AQ68" t="s">
        <v>67</v>
      </c>
      <c r="AR68" t="s">
        <v>305</v>
      </c>
      <c r="AS68" t="s">
        <v>331</v>
      </c>
      <c r="AT68" t="s">
        <v>238</v>
      </c>
      <c r="AU68" t="s">
        <v>308</v>
      </c>
      <c r="AV68">
        <v>3.2</v>
      </c>
    </row>
    <row r="69" spans="36:48" ht="21" x14ac:dyDescent="0.35">
      <c r="AJ69" s="45"/>
      <c r="AN69" t="s">
        <v>65</v>
      </c>
      <c r="AO69" t="s">
        <v>60</v>
      </c>
      <c r="AP69">
        <v>2001</v>
      </c>
      <c r="AQ69" t="s">
        <v>67</v>
      </c>
      <c r="AR69" t="s">
        <v>305</v>
      </c>
      <c r="AS69" t="s">
        <v>331</v>
      </c>
      <c r="AT69" t="s">
        <v>238</v>
      </c>
      <c r="AU69" t="s">
        <v>309</v>
      </c>
      <c r="AV69">
        <v>7.8</v>
      </c>
    </row>
    <row r="70" spans="36:48" ht="21" x14ac:dyDescent="0.35">
      <c r="AJ70" s="45"/>
      <c r="AN70" t="s">
        <v>65</v>
      </c>
      <c r="AO70" t="s">
        <v>60</v>
      </c>
      <c r="AP70">
        <v>2001</v>
      </c>
      <c r="AQ70" t="s">
        <v>67</v>
      </c>
      <c r="AR70" t="s">
        <v>305</v>
      </c>
      <c r="AS70" t="s">
        <v>331</v>
      </c>
      <c r="AT70" t="s">
        <v>238</v>
      </c>
      <c r="AU70" t="s">
        <v>268</v>
      </c>
      <c r="AV70">
        <v>11</v>
      </c>
    </row>
    <row r="71" spans="36:48" ht="21" x14ac:dyDescent="0.35">
      <c r="AJ71" s="45"/>
      <c r="AN71" t="s">
        <v>65</v>
      </c>
      <c r="AO71" t="s">
        <v>60</v>
      </c>
      <c r="AP71">
        <v>2001</v>
      </c>
      <c r="AQ71" t="s">
        <v>67</v>
      </c>
      <c r="AR71" t="s">
        <v>305</v>
      </c>
      <c r="AS71" t="s">
        <v>331</v>
      </c>
      <c r="AT71" t="s">
        <v>239</v>
      </c>
      <c r="AU71" t="s">
        <v>308</v>
      </c>
      <c r="AV71">
        <v>3.9</v>
      </c>
    </row>
    <row r="72" spans="36:48" ht="21" x14ac:dyDescent="0.35">
      <c r="AJ72" s="45"/>
      <c r="AN72" t="s">
        <v>65</v>
      </c>
      <c r="AO72" t="s">
        <v>60</v>
      </c>
      <c r="AP72">
        <v>2001</v>
      </c>
      <c r="AQ72" t="s">
        <v>67</v>
      </c>
      <c r="AR72" t="s">
        <v>305</v>
      </c>
      <c r="AS72" t="s">
        <v>331</v>
      </c>
      <c r="AT72" t="s">
        <v>239</v>
      </c>
      <c r="AU72" t="s">
        <v>309</v>
      </c>
      <c r="AV72">
        <v>8.1999999999999993</v>
      </c>
    </row>
    <row r="73" spans="36:48" ht="21" x14ac:dyDescent="0.35">
      <c r="AJ73" s="45"/>
      <c r="AN73" t="s">
        <v>65</v>
      </c>
      <c r="AO73" t="s">
        <v>60</v>
      </c>
      <c r="AP73">
        <v>2001</v>
      </c>
      <c r="AQ73" t="s">
        <v>67</v>
      </c>
      <c r="AR73" t="s">
        <v>305</v>
      </c>
      <c r="AS73" t="s">
        <v>331</v>
      </c>
      <c r="AT73" t="s">
        <v>239</v>
      </c>
      <c r="AU73" t="s">
        <v>268</v>
      </c>
      <c r="AV73">
        <v>12.1</v>
      </c>
    </row>
    <row r="74" spans="36:48" ht="21" x14ac:dyDescent="0.35">
      <c r="AJ74" s="45"/>
      <c r="AN74" t="s">
        <v>65</v>
      </c>
      <c r="AO74" t="s">
        <v>60</v>
      </c>
      <c r="AP74">
        <v>2001</v>
      </c>
      <c r="AQ74" t="s">
        <v>67</v>
      </c>
      <c r="AR74" t="s">
        <v>305</v>
      </c>
      <c r="AS74" t="s">
        <v>331</v>
      </c>
      <c r="AT74" t="s">
        <v>240</v>
      </c>
      <c r="AU74" t="s">
        <v>308</v>
      </c>
      <c r="AV74">
        <v>4</v>
      </c>
    </row>
    <row r="75" spans="36:48" ht="21" x14ac:dyDescent="0.35">
      <c r="AJ75" s="45"/>
      <c r="AN75" t="s">
        <v>65</v>
      </c>
      <c r="AO75" t="s">
        <v>60</v>
      </c>
      <c r="AP75">
        <v>2001</v>
      </c>
      <c r="AQ75" t="s">
        <v>67</v>
      </c>
      <c r="AR75" t="s">
        <v>305</v>
      </c>
      <c r="AS75" t="s">
        <v>331</v>
      </c>
      <c r="AT75" t="s">
        <v>240</v>
      </c>
      <c r="AU75" t="s">
        <v>309</v>
      </c>
      <c r="AV75">
        <v>8.6999999999999993</v>
      </c>
    </row>
    <row r="76" spans="36:48" ht="21" x14ac:dyDescent="0.35">
      <c r="AJ76" s="45"/>
      <c r="AN76" t="s">
        <v>65</v>
      </c>
      <c r="AO76" t="s">
        <v>60</v>
      </c>
      <c r="AP76">
        <v>2001</v>
      </c>
      <c r="AQ76" t="s">
        <v>67</v>
      </c>
      <c r="AR76" t="s">
        <v>305</v>
      </c>
      <c r="AS76" t="s">
        <v>331</v>
      </c>
      <c r="AT76" t="s">
        <v>240</v>
      </c>
      <c r="AU76" t="s">
        <v>268</v>
      </c>
      <c r="AV76">
        <v>12.7</v>
      </c>
    </row>
    <row r="77" spans="36:48" ht="21" x14ac:dyDescent="0.35">
      <c r="AJ77" s="45"/>
      <c r="AN77" t="s">
        <v>65</v>
      </c>
      <c r="AO77" t="s">
        <v>60</v>
      </c>
      <c r="AP77">
        <v>2001</v>
      </c>
      <c r="AQ77" t="s">
        <v>67</v>
      </c>
      <c r="AR77" t="s">
        <v>305</v>
      </c>
      <c r="AS77" t="s">
        <v>331</v>
      </c>
      <c r="AT77" t="s">
        <v>314</v>
      </c>
      <c r="AU77" t="s">
        <v>308</v>
      </c>
      <c r="AV77">
        <v>3.4</v>
      </c>
    </row>
    <row r="78" spans="36:48" ht="21" x14ac:dyDescent="0.35">
      <c r="AJ78" s="45"/>
      <c r="AN78" t="s">
        <v>65</v>
      </c>
      <c r="AO78" t="s">
        <v>60</v>
      </c>
      <c r="AP78">
        <v>2001</v>
      </c>
      <c r="AQ78" t="s">
        <v>67</v>
      </c>
      <c r="AR78" t="s">
        <v>305</v>
      </c>
      <c r="AS78" t="s">
        <v>331</v>
      </c>
      <c r="AT78" t="s">
        <v>314</v>
      </c>
      <c r="AU78" t="s">
        <v>309</v>
      </c>
      <c r="AV78">
        <v>9</v>
      </c>
    </row>
    <row r="79" spans="36:48" ht="21" x14ac:dyDescent="0.35">
      <c r="AJ79" s="45"/>
      <c r="AN79" t="s">
        <v>65</v>
      </c>
      <c r="AO79" t="s">
        <v>60</v>
      </c>
      <c r="AP79">
        <v>2001</v>
      </c>
      <c r="AQ79" t="s">
        <v>67</v>
      </c>
      <c r="AR79" t="s">
        <v>305</v>
      </c>
      <c r="AS79" t="s">
        <v>331</v>
      </c>
      <c r="AT79" t="s">
        <v>314</v>
      </c>
      <c r="AU79" t="s">
        <v>268</v>
      </c>
      <c r="AV79">
        <v>12.4</v>
      </c>
    </row>
    <row r="80" spans="36:48" ht="21" x14ac:dyDescent="0.35">
      <c r="AJ80" s="45"/>
      <c r="AN80" t="s">
        <v>65</v>
      </c>
      <c r="AO80" t="s">
        <v>60</v>
      </c>
      <c r="AP80">
        <v>2001</v>
      </c>
      <c r="AQ80" t="s">
        <v>67</v>
      </c>
      <c r="AR80" t="s">
        <v>305</v>
      </c>
      <c r="AS80" t="s">
        <v>331</v>
      </c>
      <c r="AT80" t="s">
        <v>242</v>
      </c>
      <c r="AU80" t="s">
        <v>308</v>
      </c>
      <c r="AV80">
        <v>3.6</v>
      </c>
    </row>
    <row r="81" spans="36:48" ht="21" x14ac:dyDescent="0.35">
      <c r="AJ81" s="45"/>
      <c r="AN81" t="s">
        <v>65</v>
      </c>
      <c r="AO81" t="s">
        <v>60</v>
      </c>
      <c r="AP81">
        <v>2001</v>
      </c>
      <c r="AQ81" t="s">
        <v>67</v>
      </c>
      <c r="AR81" t="s">
        <v>305</v>
      </c>
      <c r="AS81" t="s">
        <v>331</v>
      </c>
      <c r="AT81" t="s">
        <v>242</v>
      </c>
      <c r="AU81" t="s">
        <v>309</v>
      </c>
      <c r="AV81">
        <v>8.3000000000000007</v>
      </c>
    </row>
    <row r="82" spans="36:48" ht="21" x14ac:dyDescent="0.35">
      <c r="AJ82" s="45"/>
      <c r="AN82" t="s">
        <v>65</v>
      </c>
      <c r="AO82" t="s">
        <v>60</v>
      </c>
      <c r="AP82">
        <v>2001</v>
      </c>
      <c r="AQ82" t="s">
        <v>67</v>
      </c>
      <c r="AR82" t="s">
        <v>305</v>
      </c>
      <c r="AS82" t="s">
        <v>331</v>
      </c>
      <c r="AT82" t="s">
        <v>242</v>
      </c>
      <c r="AU82" t="s">
        <v>268</v>
      </c>
      <c r="AV82">
        <v>11.9</v>
      </c>
    </row>
    <row r="83" spans="36:48" ht="21" x14ac:dyDescent="0.35">
      <c r="AJ83" s="45"/>
      <c r="AN83" t="s">
        <v>65</v>
      </c>
      <c r="AO83" t="s">
        <v>60</v>
      </c>
      <c r="AP83">
        <v>2001</v>
      </c>
      <c r="AQ83" t="s">
        <v>67</v>
      </c>
      <c r="AR83" t="s">
        <v>305</v>
      </c>
      <c r="AS83" t="s">
        <v>331</v>
      </c>
      <c r="AT83" t="s">
        <v>243</v>
      </c>
      <c r="AU83" t="s">
        <v>326</v>
      </c>
      <c r="AV83">
        <v>22</v>
      </c>
    </row>
    <row r="84" spans="36:48" ht="21" x14ac:dyDescent="0.35">
      <c r="AJ84" s="45"/>
      <c r="AN84" t="s">
        <v>65</v>
      </c>
      <c r="AO84" t="s">
        <v>60</v>
      </c>
      <c r="AP84">
        <v>2001</v>
      </c>
      <c r="AQ84" t="s">
        <v>67</v>
      </c>
      <c r="AR84" t="s">
        <v>305</v>
      </c>
      <c r="AS84" t="s">
        <v>331</v>
      </c>
      <c r="AT84" t="s">
        <v>243</v>
      </c>
      <c r="AU84" t="s">
        <v>327</v>
      </c>
      <c r="AV84">
        <v>49.3</v>
      </c>
    </row>
    <row r="85" spans="36:48" ht="21" x14ac:dyDescent="0.35">
      <c r="AJ85" s="45"/>
      <c r="AN85" t="s">
        <v>65</v>
      </c>
      <c r="AO85" t="s">
        <v>60</v>
      </c>
      <c r="AP85">
        <v>2001</v>
      </c>
      <c r="AQ85" t="s">
        <v>67</v>
      </c>
      <c r="AR85" t="s">
        <v>305</v>
      </c>
      <c r="AS85" t="s">
        <v>331</v>
      </c>
      <c r="AT85" t="s">
        <v>243</v>
      </c>
      <c r="AU85" t="s">
        <v>329</v>
      </c>
      <c r="AV85">
        <v>71.3</v>
      </c>
    </row>
    <row r="86" spans="36:48" ht="21" x14ac:dyDescent="0.35">
      <c r="AJ86" s="45"/>
      <c r="AN86" t="s">
        <v>82</v>
      </c>
      <c r="AO86" t="s">
        <v>60</v>
      </c>
      <c r="AP86">
        <v>2003</v>
      </c>
      <c r="AQ86" t="s">
        <v>36</v>
      </c>
      <c r="AR86" t="s">
        <v>305</v>
      </c>
      <c r="AS86" t="s">
        <v>331</v>
      </c>
      <c r="AT86" t="s">
        <v>218</v>
      </c>
      <c r="AU86" t="s">
        <v>308</v>
      </c>
      <c r="AV86">
        <v>3.9</v>
      </c>
    </row>
    <row r="87" spans="36:48" ht="21" x14ac:dyDescent="0.35">
      <c r="AJ87" s="45"/>
      <c r="AN87" t="s">
        <v>82</v>
      </c>
      <c r="AO87" t="s">
        <v>60</v>
      </c>
      <c r="AP87">
        <v>2003</v>
      </c>
      <c r="AQ87" t="s">
        <v>36</v>
      </c>
      <c r="AR87" t="s">
        <v>305</v>
      </c>
      <c r="AS87" t="s">
        <v>331</v>
      </c>
      <c r="AT87" t="s">
        <v>218</v>
      </c>
      <c r="AU87" t="s">
        <v>309</v>
      </c>
      <c r="AV87">
        <v>7.9</v>
      </c>
    </row>
    <row r="88" spans="36:48" ht="21" x14ac:dyDescent="0.35">
      <c r="AJ88" s="45"/>
      <c r="AN88" t="s">
        <v>82</v>
      </c>
      <c r="AO88" t="s">
        <v>60</v>
      </c>
      <c r="AP88">
        <v>2003</v>
      </c>
      <c r="AQ88" t="s">
        <v>36</v>
      </c>
      <c r="AR88" t="s">
        <v>305</v>
      </c>
      <c r="AS88" t="s">
        <v>331</v>
      </c>
      <c r="AT88" t="s">
        <v>218</v>
      </c>
      <c r="AU88" t="s">
        <v>268</v>
      </c>
      <c r="AV88">
        <v>11.8</v>
      </c>
    </row>
    <row r="89" spans="36:48" ht="21" x14ac:dyDescent="0.35">
      <c r="AJ89" s="45"/>
      <c r="AN89" t="s">
        <v>82</v>
      </c>
      <c r="AO89" t="s">
        <v>60</v>
      </c>
      <c r="AP89">
        <v>2003</v>
      </c>
      <c r="AQ89" t="s">
        <v>36</v>
      </c>
      <c r="AR89" t="s">
        <v>305</v>
      </c>
      <c r="AS89" t="s">
        <v>331</v>
      </c>
      <c r="AT89" t="s">
        <v>238</v>
      </c>
      <c r="AU89" t="s">
        <v>308</v>
      </c>
      <c r="AV89">
        <v>3.4</v>
      </c>
    </row>
    <row r="90" spans="36:48" ht="21" x14ac:dyDescent="0.35">
      <c r="AJ90" s="45"/>
      <c r="AN90" t="s">
        <v>82</v>
      </c>
      <c r="AO90" t="s">
        <v>60</v>
      </c>
      <c r="AP90">
        <v>2003</v>
      </c>
      <c r="AQ90" t="s">
        <v>36</v>
      </c>
      <c r="AR90" t="s">
        <v>305</v>
      </c>
      <c r="AS90" t="s">
        <v>331</v>
      </c>
      <c r="AT90" t="s">
        <v>238</v>
      </c>
      <c r="AU90" t="s">
        <v>309</v>
      </c>
      <c r="AV90">
        <v>6.4</v>
      </c>
    </row>
    <row r="91" spans="36:48" ht="21" x14ac:dyDescent="0.35">
      <c r="AJ91" s="45"/>
      <c r="AN91" t="s">
        <v>82</v>
      </c>
      <c r="AO91" t="s">
        <v>60</v>
      </c>
      <c r="AP91">
        <v>2003</v>
      </c>
      <c r="AQ91" t="s">
        <v>36</v>
      </c>
      <c r="AR91" t="s">
        <v>305</v>
      </c>
      <c r="AS91" t="s">
        <v>331</v>
      </c>
      <c r="AT91" t="s">
        <v>238</v>
      </c>
      <c r="AU91" t="s">
        <v>268</v>
      </c>
      <c r="AV91">
        <v>9.8000000000000007</v>
      </c>
    </row>
    <row r="92" spans="36:48" ht="21" x14ac:dyDescent="0.35">
      <c r="AJ92" s="45"/>
      <c r="AN92" t="s">
        <v>82</v>
      </c>
      <c r="AO92" t="s">
        <v>60</v>
      </c>
      <c r="AP92">
        <v>2003</v>
      </c>
      <c r="AQ92" t="s">
        <v>36</v>
      </c>
      <c r="AR92" t="s">
        <v>305</v>
      </c>
      <c r="AS92" t="s">
        <v>331</v>
      </c>
      <c r="AT92" t="s">
        <v>239</v>
      </c>
      <c r="AU92" t="s">
        <v>308</v>
      </c>
      <c r="AV92">
        <v>3.8</v>
      </c>
    </row>
    <row r="93" spans="36:48" ht="21" x14ac:dyDescent="0.35">
      <c r="AJ93" s="45"/>
      <c r="AN93" t="s">
        <v>82</v>
      </c>
      <c r="AO93" t="s">
        <v>60</v>
      </c>
      <c r="AP93">
        <v>2003</v>
      </c>
      <c r="AQ93" t="s">
        <v>36</v>
      </c>
      <c r="AR93" t="s">
        <v>305</v>
      </c>
      <c r="AS93" t="s">
        <v>331</v>
      </c>
      <c r="AT93" t="s">
        <v>239</v>
      </c>
      <c r="AU93" t="s">
        <v>309</v>
      </c>
      <c r="AV93">
        <v>7.9</v>
      </c>
    </row>
    <row r="94" spans="36:48" ht="21" x14ac:dyDescent="0.35">
      <c r="AJ94" s="45"/>
      <c r="AN94" t="s">
        <v>82</v>
      </c>
      <c r="AO94" t="s">
        <v>60</v>
      </c>
      <c r="AP94">
        <v>2003</v>
      </c>
      <c r="AQ94" t="s">
        <v>36</v>
      </c>
      <c r="AR94" t="s">
        <v>305</v>
      </c>
      <c r="AS94" t="s">
        <v>331</v>
      </c>
      <c r="AT94" t="s">
        <v>239</v>
      </c>
      <c r="AU94" t="s">
        <v>268</v>
      </c>
      <c r="AV94">
        <v>11.7</v>
      </c>
    </row>
    <row r="95" spans="36:48" ht="21" x14ac:dyDescent="0.35">
      <c r="AJ95" s="45"/>
      <c r="AN95" t="s">
        <v>82</v>
      </c>
      <c r="AO95" t="s">
        <v>60</v>
      </c>
      <c r="AP95">
        <v>2003</v>
      </c>
      <c r="AQ95" t="s">
        <v>36</v>
      </c>
      <c r="AR95" t="s">
        <v>305</v>
      </c>
      <c r="AS95" t="s">
        <v>331</v>
      </c>
      <c r="AT95" t="s">
        <v>240</v>
      </c>
      <c r="AU95" t="s">
        <v>308</v>
      </c>
      <c r="AV95">
        <v>4</v>
      </c>
    </row>
    <row r="96" spans="36:48" ht="21" x14ac:dyDescent="0.35">
      <c r="AJ96" s="45"/>
      <c r="AN96" t="s">
        <v>82</v>
      </c>
      <c r="AO96" t="s">
        <v>60</v>
      </c>
      <c r="AP96">
        <v>2003</v>
      </c>
      <c r="AQ96" t="s">
        <v>36</v>
      </c>
      <c r="AR96" t="s">
        <v>305</v>
      </c>
      <c r="AS96" t="s">
        <v>331</v>
      </c>
      <c r="AT96" t="s">
        <v>240</v>
      </c>
      <c r="AU96" t="s">
        <v>309</v>
      </c>
      <c r="AV96">
        <v>9</v>
      </c>
    </row>
    <row r="97" spans="36:48" ht="21" x14ac:dyDescent="0.35">
      <c r="AJ97" s="45"/>
      <c r="AN97" t="s">
        <v>82</v>
      </c>
      <c r="AO97" t="s">
        <v>60</v>
      </c>
      <c r="AP97">
        <v>2003</v>
      </c>
      <c r="AQ97" t="s">
        <v>36</v>
      </c>
      <c r="AR97" t="s">
        <v>305</v>
      </c>
      <c r="AS97" t="s">
        <v>331</v>
      </c>
      <c r="AT97" t="s">
        <v>240</v>
      </c>
      <c r="AU97" t="s">
        <v>268</v>
      </c>
      <c r="AV97">
        <v>13</v>
      </c>
    </row>
    <row r="98" spans="36:48" ht="21" x14ac:dyDescent="0.35">
      <c r="AJ98" s="45"/>
      <c r="AN98" t="s">
        <v>82</v>
      </c>
      <c r="AO98" t="s">
        <v>60</v>
      </c>
      <c r="AP98">
        <v>2003</v>
      </c>
      <c r="AQ98" t="s">
        <v>36</v>
      </c>
      <c r="AR98" t="s">
        <v>305</v>
      </c>
      <c r="AS98" t="s">
        <v>331</v>
      </c>
      <c r="AT98" t="s">
        <v>314</v>
      </c>
      <c r="AU98" t="s">
        <v>308</v>
      </c>
      <c r="AV98">
        <v>3</v>
      </c>
    </row>
    <row r="99" spans="36:48" ht="21" x14ac:dyDescent="0.35">
      <c r="AJ99" s="45"/>
      <c r="AN99" t="s">
        <v>82</v>
      </c>
      <c r="AO99" t="s">
        <v>60</v>
      </c>
      <c r="AP99">
        <v>2003</v>
      </c>
      <c r="AQ99" t="s">
        <v>36</v>
      </c>
      <c r="AR99" t="s">
        <v>305</v>
      </c>
      <c r="AS99" t="s">
        <v>331</v>
      </c>
      <c r="AT99" t="s">
        <v>314</v>
      </c>
      <c r="AU99" t="s">
        <v>309</v>
      </c>
      <c r="AV99">
        <v>8.8000000000000007</v>
      </c>
    </row>
    <row r="100" spans="36:48" ht="21" x14ac:dyDescent="0.35">
      <c r="AJ100" s="45"/>
      <c r="AN100" t="s">
        <v>82</v>
      </c>
      <c r="AO100" t="s">
        <v>60</v>
      </c>
      <c r="AP100">
        <v>2003</v>
      </c>
      <c r="AQ100" t="s">
        <v>36</v>
      </c>
      <c r="AR100" t="s">
        <v>305</v>
      </c>
      <c r="AS100" t="s">
        <v>331</v>
      </c>
      <c r="AT100" t="s">
        <v>314</v>
      </c>
      <c r="AU100" t="s">
        <v>268</v>
      </c>
      <c r="AV100">
        <v>11.8</v>
      </c>
    </row>
    <row r="101" spans="36:48" ht="21" x14ac:dyDescent="0.35">
      <c r="AJ101" s="45"/>
      <c r="AN101" t="s">
        <v>82</v>
      </c>
      <c r="AO101" t="s">
        <v>60</v>
      </c>
      <c r="AP101">
        <v>2003</v>
      </c>
      <c r="AQ101" t="s">
        <v>36</v>
      </c>
      <c r="AR101" t="s">
        <v>305</v>
      </c>
      <c r="AS101" t="s">
        <v>331</v>
      </c>
      <c r="AT101" t="s">
        <v>242</v>
      </c>
      <c r="AU101" t="s">
        <v>308</v>
      </c>
      <c r="AV101">
        <v>3.3</v>
      </c>
    </row>
    <row r="102" spans="36:48" ht="21" x14ac:dyDescent="0.35">
      <c r="AJ102" s="45"/>
      <c r="AN102" t="s">
        <v>82</v>
      </c>
      <c r="AO102" t="s">
        <v>60</v>
      </c>
      <c r="AP102">
        <v>2003</v>
      </c>
      <c r="AQ102" t="s">
        <v>36</v>
      </c>
      <c r="AR102" t="s">
        <v>305</v>
      </c>
      <c r="AS102" t="s">
        <v>331</v>
      </c>
      <c r="AT102" t="s">
        <v>242</v>
      </c>
      <c r="AU102" t="s">
        <v>309</v>
      </c>
      <c r="AV102">
        <v>8</v>
      </c>
    </row>
    <row r="103" spans="36:48" ht="21" x14ac:dyDescent="0.35">
      <c r="AJ103" s="45"/>
      <c r="AN103" t="s">
        <v>82</v>
      </c>
      <c r="AO103" t="s">
        <v>60</v>
      </c>
      <c r="AP103">
        <v>2003</v>
      </c>
      <c r="AQ103" t="s">
        <v>36</v>
      </c>
      <c r="AR103" t="s">
        <v>305</v>
      </c>
      <c r="AS103" t="s">
        <v>331</v>
      </c>
      <c r="AT103" t="s">
        <v>242</v>
      </c>
      <c r="AU103" t="s">
        <v>268</v>
      </c>
      <c r="AV103">
        <v>11.3</v>
      </c>
    </row>
    <row r="104" spans="36:48" ht="21" x14ac:dyDescent="0.35">
      <c r="AJ104" s="45"/>
      <c r="AN104" t="s">
        <v>82</v>
      </c>
      <c r="AO104" t="s">
        <v>60</v>
      </c>
      <c r="AP104">
        <v>2003</v>
      </c>
      <c r="AQ104" t="s">
        <v>36</v>
      </c>
      <c r="AR104" t="s">
        <v>305</v>
      </c>
      <c r="AS104" t="s">
        <v>331</v>
      </c>
      <c r="AT104" t="s">
        <v>243</v>
      </c>
      <c r="AU104" t="s">
        <v>326</v>
      </c>
      <c r="AV104">
        <v>21.400000000000002</v>
      </c>
    </row>
    <row r="105" spans="36:48" ht="21" x14ac:dyDescent="0.35">
      <c r="AJ105" s="45"/>
      <c r="AN105" t="s">
        <v>82</v>
      </c>
      <c r="AO105" t="s">
        <v>60</v>
      </c>
      <c r="AP105">
        <v>2003</v>
      </c>
      <c r="AQ105" t="s">
        <v>36</v>
      </c>
      <c r="AR105" t="s">
        <v>305</v>
      </c>
      <c r="AS105" t="s">
        <v>331</v>
      </c>
      <c r="AT105" t="s">
        <v>243</v>
      </c>
      <c r="AU105" t="s">
        <v>327</v>
      </c>
      <c r="AV105">
        <v>48</v>
      </c>
    </row>
    <row r="106" spans="36:48" ht="21" x14ac:dyDescent="0.35">
      <c r="AJ106" s="45"/>
      <c r="AN106" t="s">
        <v>82</v>
      </c>
      <c r="AO106" t="s">
        <v>60</v>
      </c>
      <c r="AP106">
        <v>2003</v>
      </c>
      <c r="AQ106" t="s">
        <v>36</v>
      </c>
      <c r="AR106" t="s">
        <v>305</v>
      </c>
      <c r="AS106" t="s">
        <v>331</v>
      </c>
      <c r="AT106" t="s">
        <v>243</v>
      </c>
      <c r="AU106" t="s">
        <v>329</v>
      </c>
      <c r="AV106">
        <v>69.400000000000006</v>
      </c>
    </row>
    <row r="107" spans="36:48" ht="21" x14ac:dyDescent="0.35">
      <c r="AJ107" s="45"/>
      <c r="AN107" t="s">
        <v>70</v>
      </c>
      <c r="AO107" t="s">
        <v>60</v>
      </c>
      <c r="AP107">
        <v>2001</v>
      </c>
      <c r="AQ107" t="s">
        <v>72</v>
      </c>
      <c r="AR107" t="s">
        <v>305</v>
      </c>
      <c r="AS107" t="s">
        <v>331</v>
      </c>
      <c r="AT107" t="s">
        <v>218</v>
      </c>
      <c r="AU107" t="s">
        <v>308</v>
      </c>
      <c r="AV107">
        <v>5.0999999999999996</v>
      </c>
    </row>
    <row r="108" spans="36:48" ht="21" x14ac:dyDescent="0.35">
      <c r="AJ108" s="45"/>
      <c r="AN108" t="s">
        <v>70</v>
      </c>
      <c r="AO108" t="s">
        <v>60</v>
      </c>
      <c r="AP108">
        <v>2001</v>
      </c>
      <c r="AQ108" t="s">
        <v>72</v>
      </c>
      <c r="AR108" t="s">
        <v>305</v>
      </c>
      <c r="AS108" t="s">
        <v>331</v>
      </c>
      <c r="AT108" t="s">
        <v>218</v>
      </c>
      <c r="AU108" t="s">
        <v>309</v>
      </c>
      <c r="AV108">
        <v>6.8</v>
      </c>
    </row>
    <row r="109" spans="36:48" ht="21" x14ac:dyDescent="0.35">
      <c r="AJ109" s="45"/>
      <c r="AN109" t="s">
        <v>70</v>
      </c>
      <c r="AO109" t="s">
        <v>60</v>
      </c>
      <c r="AP109">
        <v>2001</v>
      </c>
      <c r="AQ109" t="s">
        <v>72</v>
      </c>
      <c r="AR109" t="s">
        <v>305</v>
      </c>
      <c r="AS109" t="s">
        <v>331</v>
      </c>
      <c r="AT109" t="s">
        <v>218</v>
      </c>
      <c r="AU109" t="s">
        <v>268</v>
      </c>
      <c r="AV109">
        <v>11.9</v>
      </c>
    </row>
    <row r="110" spans="36:48" ht="21" x14ac:dyDescent="0.35">
      <c r="AJ110" s="45"/>
      <c r="AN110" t="s">
        <v>70</v>
      </c>
      <c r="AO110" t="s">
        <v>60</v>
      </c>
      <c r="AP110">
        <v>2001</v>
      </c>
      <c r="AQ110" t="s">
        <v>72</v>
      </c>
      <c r="AR110" t="s">
        <v>305</v>
      </c>
      <c r="AS110" t="s">
        <v>331</v>
      </c>
      <c r="AT110" t="s">
        <v>238</v>
      </c>
      <c r="AU110" t="s">
        <v>308</v>
      </c>
      <c r="AV110">
        <v>2.7</v>
      </c>
    </row>
    <row r="111" spans="36:48" ht="21" x14ac:dyDescent="0.35">
      <c r="AJ111" s="45"/>
      <c r="AN111" t="s">
        <v>70</v>
      </c>
      <c r="AO111" t="s">
        <v>60</v>
      </c>
      <c r="AP111">
        <v>2001</v>
      </c>
      <c r="AQ111" t="s">
        <v>72</v>
      </c>
      <c r="AR111" t="s">
        <v>305</v>
      </c>
      <c r="AS111" t="s">
        <v>331</v>
      </c>
      <c r="AT111" t="s">
        <v>238</v>
      </c>
      <c r="AU111" t="s">
        <v>309</v>
      </c>
      <c r="AV111">
        <v>6</v>
      </c>
    </row>
    <row r="112" spans="36:48" ht="21" x14ac:dyDescent="0.35">
      <c r="AJ112" s="45"/>
      <c r="AN112" t="s">
        <v>70</v>
      </c>
      <c r="AO112" t="s">
        <v>60</v>
      </c>
      <c r="AP112">
        <v>2001</v>
      </c>
      <c r="AQ112" t="s">
        <v>72</v>
      </c>
      <c r="AR112" t="s">
        <v>305</v>
      </c>
      <c r="AS112" t="s">
        <v>331</v>
      </c>
      <c r="AT112" t="s">
        <v>238</v>
      </c>
      <c r="AU112" t="s">
        <v>268</v>
      </c>
      <c r="AV112">
        <v>8.6999999999999993</v>
      </c>
    </row>
    <row r="113" spans="36:48" ht="21" x14ac:dyDescent="0.35">
      <c r="AJ113" s="45"/>
      <c r="AN113" t="s">
        <v>70</v>
      </c>
      <c r="AO113" t="s">
        <v>60</v>
      </c>
      <c r="AP113">
        <v>2001</v>
      </c>
      <c r="AQ113" t="s">
        <v>72</v>
      </c>
      <c r="AR113" t="s">
        <v>305</v>
      </c>
      <c r="AS113" t="s">
        <v>331</v>
      </c>
      <c r="AT113" t="s">
        <v>239</v>
      </c>
      <c r="AU113" t="s">
        <v>308</v>
      </c>
      <c r="AV113">
        <v>3.4</v>
      </c>
    </row>
    <row r="114" spans="36:48" ht="21" x14ac:dyDescent="0.35">
      <c r="AJ114" s="45"/>
      <c r="AN114" t="s">
        <v>70</v>
      </c>
      <c r="AO114" t="s">
        <v>60</v>
      </c>
      <c r="AP114">
        <v>2001</v>
      </c>
      <c r="AQ114" t="s">
        <v>72</v>
      </c>
      <c r="AR114" t="s">
        <v>305</v>
      </c>
      <c r="AS114" t="s">
        <v>331</v>
      </c>
      <c r="AT114" t="s">
        <v>239</v>
      </c>
      <c r="AU114" t="s">
        <v>309</v>
      </c>
      <c r="AV114">
        <v>7.7</v>
      </c>
    </row>
    <row r="115" spans="36:48" ht="21" x14ac:dyDescent="0.35">
      <c r="AJ115" s="45"/>
      <c r="AN115" t="s">
        <v>70</v>
      </c>
      <c r="AO115" t="s">
        <v>60</v>
      </c>
      <c r="AP115">
        <v>2001</v>
      </c>
      <c r="AQ115" t="s">
        <v>72</v>
      </c>
      <c r="AR115" t="s">
        <v>305</v>
      </c>
      <c r="AS115" t="s">
        <v>331</v>
      </c>
      <c r="AT115" t="s">
        <v>239</v>
      </c>
      <c r="AU115" t="s">
        <v>268</v>
      </c>
      <c r="AV115">
        <v>11.1</v>
      </c>
    </row>
    <row r="116" spans="36:48" ht="21" x14ac:dyDescent="0.35">
      <c r="AJ116" s="45"/>
      <c r="AN116" t="s">
        <v>70</v>
      </c>
      <c r="AO116" t="s">
        <v>60</v>
      </c>
      <c r="AP116">
        <v>2001</v>
      </c>
      <c r="AQ116" t="s">
        <v>72</v>
      </c>
      <c r="AR116" t="s">
        <v>305</v>
      </c>
      <c r="AS116" t="s">
        <v>331</v>
      </c>
      <c r="AT116" t="s">
        <v>240</v>
      </c>
      <c r="AU116" t="s">
        <v>308</v>
      </c>
      <c r="AV116">
        <v>5.2</v>
      </c>
    </row>
    <row r="117" spans="36:48" ht="21" x14ac:dyDescent="0.35">
      <c r="AJ117" s="45"/>
      <c r="AN117" t="s">
        <v>70</v>
      </c>
      <c r="AO117" t="s">
        <v>60</v>
      </c>
      <c r="AP117">
        <v>2001</v>
      </c>
      <c r="AQ117" t="s">
        <v>72</v>
      </c>
      <c r="AR117" t="s">
        <v>305</v>
      </c>
      <c r="AS117" t="s">
        <v>331</v>
      </c>
      <c r="AT117" t="s">
        <v>240</v>
      </c>
      <c r="AU117" t="s">
        <v>309</v>
      </c>
      <c r="AV117">
        <v>8.1999999999999993</v>
      </c>
    </row>
    <row r="118" spans="36:48" ht="21" x14ac:dyDescent="0.35">
      <c r="AJ118" s="45"/>
      <c r="AN118" t="s">
        <v>70</v>
      </c>
      <c r="AO118" t="s">
        <v>60</v>
      </c>
      <c r="AP118">
        <v>2001</v>
      </c>
      <c r="AQ118" t="s">
        <v>72</v>
      </c>
      <c r="AR118" t="s">
        <v>305</v>
      </c>
      <c r="AS118" t="s">
        <v>331</v>
      </c>
      <c r="AT118" t="s">
        <v>240</v>
      </c>
      <c r="AU118" t="s">
        <v>268</v>
      </c>
      <c r="AV118">
        <v>13.4</v>
      </c>
    </row>
    <row r="119" spans="36:48" ht="21" x14ac:dyDescent="0.35">
      <c r="AJ119" s="45"/>
      <c r="AN119" t="s">
        <v>70</v>
      </c>
      <c r="AO119" t="s">
        <v>60</v>
      </c>
      <c r="AP119">
        <v>2001</v>
      </c>
      <c r="AQ119" t="s">
        <v>72</v>
      </c>
      <c r="AR119" t="s">
        <v>305</v>
      </c>
      <c r="AS119" t="s">
        <v>331</v>
      </c>
      <c r="AT119" t="s">
        <v>314</v>
      </c>
      <c r="AU119" t="s">
        <v>308</v>
      </c>
      <c r="AV119">
        <v>4.3</v>
      </c>
    </row>
    <row r="120" spans="36:48" ht="21" x14ac:dyDescent="0.35">
      <c r="AJ120" s="45"/>
      <c r="AN120" t="s">
        <v>70</v>
      </c>
      <c r="AO120" t="s">
        <v>60</v>
      </c>
      <c r="AP120">
        <v>2001</v>
      </c>
      <c r="AQ120" t="s">
        <v>72</v>
      </c>
      <c r="AR120" t="s">
        <v>305</v>
      </c>
      <c r="AS120" t="s">
        <v>331</v>
      </c>
      <c r="AT120" t="s">
        <v>314</v>
      </c>
      <c r="AU120" t="s">
        <v>309</v>
      </c>
      <c r="AV120">
        <v>8</v>
      </c>
    </row>
    <row r="121" spans="36:48" ht="21" x14ac:dyDescent="0.35">
      <c r="AJ121" s="45"/>
      <c r="AN121" t="s">
        <v>70</v>
      </c>
      <c r="AO121" t="s">
        <v>60</v>
      </c>
      <c r="AP121">
        <v>2001</v>
      </c>
      <c r="AQ121" t="s">
        <v>72</v>
      </c>
      <c r="AR121" t="s">
        <v>305</v>
      </c>
      <c r="AS121" t="s">
        <v>331</v>
      </c>
      <c r="AT121" t="s">
        <v>314</v>
      </c>
      <c r="AU121" t="s">
        <v>268</v>
      </c>
      <c r="AV121">
        <v>12.3</v>
      </c>
    </row>
    <row r="122" spans="36:48" ht="21" x14ac:dyDescent="0.35">
      <c r="AJ122" s="45"/>
      <c r="AN122" t="s">
        <v>70</v>
      </c>
      <c r="AO122" t="s">
        <v>60</v>
      </c>
      <c r="AP122">
        <v>2001</v>
      </c>
      <c r="AQ122" t="s">
        <v>72</v>
      </c>
      <c r="AR122" t="s">
        <v>305</v>
      </c>
      <c r="AS122" t="s">
        <v>331</v>
      </c>
      <c r="AT122" t="s">
        <v>242</v>
      </c>
      <c r="AU122" t="s">
        <v>308</v>
      </c>
      <c r="AV122">
        <v>3.7</v>
      </c>
    </row>
    <row r="123" spans="36:48" ht="21" x14ac:dyDescent="0.35">
      <c r="AJ123" s="45"/>
      <c r="AN123" t="s">
        <v>70</v>
      </c>
      <c r="AO123" t="s">
        <v>60</v>
      </c>
      <c r="AP123">
        <v>2001</v>
      </c>
      <c r="AQ123" t="s">
        <v>72</v>
      </c>
      <c r="AR123" t="s">
        <v>305</v>
      </c>
      <c r="AS123" t="s">
        <v>331</v>
      </c>
      <c r="AT123" t="s">
        <v>242</v>
      </c>
      <c r="AU123" t="s">
        <v>309</v>
      </c>
      <c r="AV123">
        <v>7.3</v>
      </c>
    </row>
    <row r="124" spans="36:48" ht="21" x14ac:dyDescent="0.35">
      <c r="AJ124" s="45"/>
      <c r="AN124" t="s">
        <v>70</v>
      </c>
      <c r="AO124" t="s">
        <v>60</v>
      </c>
      <c r="AP124">
        <v>2001</v>
      </c>
      <c r="AQ124" t="s">
        <v>72</v>
      </c>
      <c r="AR124" t="s">
        <v>305</v>
      </c>
      <c r="AS124" t="s">
        <v>331</v>
      </c>
      <c r="AT124" t="s">
        <v>242</v>
      </c>
      <c r="AU124" t="s">
        <v>268</v>
      </c>
      <c r="AV124">
        <v>11</v>
      </c>
    </row>
    <row r="125" spans="36:48" ht="21" x14ac:dyDescent="0.35">
      <c r="AJ125" s="45"/>
      <c r="AN125" t="s">
        <v>70</v>
      </c>
      <c r="AO125" t="s">
        <v>60</v>
      </c>
      <c r="AP125">
        <v>2001</v>
      </c>
      <c r="AQ125" t="s">
        <v>72</v>
      </c>
      <c r="AR125" t="s">
        <v>305</v>
      </c>
      <c r="AS125" t="s">
        <v>331</v>
      </c>
      <c r="AT125" t="s">
        <v>243</v>
      </c>
      <c r="AU125" t="s">
        <v>326</v>
      </c>
      <c r="AV125">
        <v>24.4</v>
      </c>
    </row>
    <row r="126" spans="36:48" ht="21" x14ac:dyDescent="0.35">
      <c r="AJ126" s="45"/>
      <c r="AN126" t="s">
        <v>70</v>
      </c>
      <c r="AO126" t="s">
        <v>60</v>
      </c>
      <c r="AP126">
        <v>2001</v>
      </c>
      <c r="AQ126" t="s">
        <v>72</v>
      </c>
      <c r="AR126" t="s">
        <v>305</v>
      </c>
      <c r="AS126" t="s">
        <v>331</v>
      </c>
      <c r="AT126" t="s">
        <v>243</v>
      </c>
      <c r="AU126" t="s">
        <v>327</v>
      </c>
      <c r="AV126">
        <v>44</v>
      </c>
    </row>
    <row r="127" spans="36:48" ht="21" x14ac:dyDescent="0.35">
      <c r="AJ127" s="45"/>
      <c r="AN127" t="s">
        <v>70</v>
      </c>
      <c r="AO127" t="s">
        <v>60</v>
      </c>
      <c r="AP127">
        <v>2001</v>
      </c>
      <c r="AQ127" t="s">
        <v>72</v>
      </c>
      <c r="AR127" t="s">
        <v>305</v>
      </c>
      <c r="AS127" t="s">
        <v>331</v>
      </c>
      <c r="AT127" t="s">
        <v>243</v>
      </c>
      <c r="AU127" t="s">
        <v>329</v>
      </c>
      <c r="AV127">
        <v>68.400000000000006</v>
      </c>
    </row>
    <row r="128" spans="36:48" ht="21" x14ac:dyDescent="0.35">
      <c r="AJ128" s="45"/>
      <c r="AN128" t="s">
        <v>118</v>
      </c>
      <c r="AO128" t="s">
        <v>60</v>
      </c>
      <c r="AP128">
        <v>2000</v>
      </c>
      <c r="AQ128" t="s">
        <v>31</v>
      </c>
      <c r="AR128" t="s">
        <v>305</v>
      </c>
      <c r="AS128" t="s">
        <v>331</v>
      </c>
      <c r="AT128" t="s">
        <v>218</v>
      </c>
      <c r="AU128" t="s">
        <v>308</v>
      </c>
      <c r="AV128">
        <v>4.2</v>
      </c>
    </row>
    <row r="129" spans="36:48" ht="21" x14ac:dyDescent="0.35">
      <c r="AJ129" s="45"/>
      <c r="AN129" t="s">
        <v>118</v>
      </c>
      <c r="AO129" t="s">
        <v>60</v>
      </c>
      <c r="AP129">
        <v>2000</v>
      </c>
      <c r="AQ129" t="s">
        <v>31</v>
      </c>
      <c r="AR129" t="s">
        <v>305</v>
      </c>
      <c r="AS129" t="s">
        <v>331</v>
      </c>
      <c r="AT129" t="s">
        <v>218</v>
      </c>
      <c r="AU129" t="s">
        <v>309</v>
      </c>
      <c r="AV129">
        <v>6.2</v>
      </c>
    </row>
    <row r="130" spans="36:48" ht="21" x14ac:dyDescent="0.35">
      <c r="AJ130" s="45"/>
      <c r="AN130" t="s">
        <v>118</v>
      </c>
      <c r="AO130" t="s">
        <v>60</v>
      </c>
      <c r="AP130">
        <v>2000</v>
      </c>
      <c r="AQ130" t="s">
        <v>31</v>
      </c>
      <c r="AR130" t="s">
        <v>305</v>
      </c>
      <c r="AS130" t="s">
        <v>331</v>
      </c>
      <c r="AT130" t="s">
        <v>218</v>
      </c>
      <c r="AU130" t="s">
        <v>268</v>
      </c>
      <c r="AV130">
        <v>10.4</v>
      </c>
    </row>
    <row r="131" spans="36:48" ht="21" x14ac:dyDescent="0.35">
      <c r="AJ131" s="45"/>
      <c r="AN131" t="s">
        <v>118</v>
      </c>
      <c r="AO131" t="s">
        <v>60</v>
      </c>
      <c r="AP131">
        <v>2000</v>
      </c>
      <c r="AQ131" t="s">
        <v>31</v>
      </c>
      <c r="AR131" t="s">
        <v>305</v>
      </c>
      <c r="AS131" t="s">
        <v>331</v>
      </c>
      <c r="AT131" t="s">
        <v>238</v>
      </c>
      <c r="AU131" t="s">
        <v>308</v>
      </c>
      <c r="AV131">
        <v>3.3</v>
      </c>
    </row>
    <row r="132" spans="36:48" ht="21" x14ac:dyDescent="0.35">
      <c r="AJ132" s="45"/>
      <c r="AN132" t="s">
        <v>118</v>
      </c>
      <c r="AO132" t="s">
        <v>60</v>
      </c>
      <c r="AP132">
        <v>2000</v>
      </c>
      <c r="AQ132" t="s">
        <v>31</v>
      </c>
      <c r="AR132" t="s">
        <v>305</v>
      </c>
      <c r="AS132" t="s">
        <v>331</v>
      </c>
      <c r="AT132" t="s">
        <v>238</v>
      </c>
      <c r="AU132" t="s">
        <v>309</v>
      </c>
      <c r="AV132">
        <v>7.4</v>
      </c>
    </row>
    <row r="133" spans="36:48" ht="21" x14ac:dyDescent="0.35">
      <c r="AJ133" s="45"/>
      <c r="AN133" t="s">
        <v>118</v>
      </c>
      <c r="AO133" t="s">
        <v>60</v>
      </c>
      <c r="AP133">
        <v>2000</v>
      </c>
      <c r="AQ133" t="s">
        <v>31</v>
      </c>
      <c r="AR133" t="s">
        <v>305</v>
      </c>
      <c r="AS133" t="s">
        <v>331</v>
      </c>
      <c r="AT133" t="s">
        <v>238</v>
      </c>
      <c r="AU133" t="s">
        <v>268</v>
      </c>
      <c r="AV133">
        <v>10.7</v>
      </c>
    </row>
    <row r="134" spans="36:48" ht="21" x14ac:dyDescent="0.35">
      <c r="AJ134" s="45"/>
      <c r="AN134" t="s">
        <v>118</v>
      </c>
      <c r="AO134" t="s">
        <v>60</v>
      </c>
      <c r="AP134">
        <v>2000</v>
      </c>
      <c r="AQ134" t="s">
        <v>31</v>
      </c>
      <c r="AR134" t="s">
        <v>305</v>
      </c>
      <c r="AS134" t="s">
        <v>331</v>
      </c>
      <c r="AT134" t="s">
        <v>239</v>
      </c>
      <c r="AU134" t="s">
        <v>308</v>
      </c>
      <c r="AV134">
        <v>4.0999999999999996</v>
      </c>
    </row>
    <row r="135" spans="36:48" ht="21" x14ac:dyDescent="0.35">
      <c r="AJ135" s="45"/>
      <c r="AN135" t="s">
        <v>118</v>
      </c>
      <c r="AO135" t="s">
        <v>60</v>
      </c>
      <c r="AP135">
        <v>2000</v>
      </c>
      <c r="AQ135" t="s">
        <v>31</v>
      </c>
      <c r="AR135" t="s">
        <v>305</v>
      </c>
      <c r="AS135" t="s">
        <v>331</v>
      </c>
      <c r="AT135" t="s">
        <v>239</v>
      </c>
      <c r="AU135" t="s">
        <v>309</v>
      </c>
      <c r="AV135">
        <v>7.5</v>
      </c>
    </row>
    <row r="136" spans="36:48" ht="21" x14ac:dyDescent="0.35">
      <c r="AJ136" s="45"/>
      <c r="AN136" t="s">
        <v>118</v>
      </c>
      <c r="AO136" t="s">
        <v>60</v>
      </c>
      <c r="AP136">
        <v>2000</v>
      </c>
      <c r="AQ136" t="s">
        <v>31</v>
      </c>
      <c r="AR136" t="s">
        <v>305</v>
      </c>
      <c r="AS136" t="s">
        <v>331</v>
      </c>
      <c r="AT136" t="s">
        <v>239</v>
      </c>
      <c r="AU136" t="s">
        <v>268</v>
      </c>
      <c r="AV136">
        <v>11.6</v>
      </c>
    </row>
    <row r="137" spans="36:48" ht="21" x14ac:dyDescent="0.35">
      <c r="AJ137" s="45"/>
      <c r="AN137" t="s">
        <v>118</v>
      </c>
      <c r="AO137" t="s">
        <v>60</v>
      </c>
      <c r="AP137">
        <v>2000</v>
      </c>
      <c r="AQ137" t="s">
        <v>31</v>
      </c>
      <c r="AR137" t="s">
        <v>305</v>
      </c>
      <c r="AS137" t="s">
        <v>331</v>
      </c>
      <c r="AT137" t="s">
        <v>240</v>
      </c>
      <c r="AU137" t="s">
        <v>308</v>
      </c>
      <c r="AV137">
        <v>4</v>
      </c>
    </row>
    <row r="138" spans="36:48" ht="21" x14ac:dyDescent="0.35">
      <c r="AJ138" s="45"/>
      <c r="AN138" t="s">
        <v>118</v>
      </c>
      <c r="AO138" t="s">
        <v>60</v>
      </c>
      <c r="AP138">
        <v>2000</v>
      </c>
      <c r="AQ138" t="s">
        <v>31</v>
      </c>
      <c r="AR138" t="s">
        <v>305</v>
      </c>
      <c r="AS138" t="s">
        <v>331</v>
      </c>
      <c r="AT138" t="s">
        <v>240</v>
      </c>
      <c r="AU138" t="s">
        <v>309</v>
      </c>
      <c r="AV138">
        <v>8.9</v>
      </c>
    </row>
    <row r="139" spans="36:48" ht="21" x14ac:dyDescent="0.35">
      <c r="AJ139" s="45"/>
      <c r="AN139" t="s">
        <v>118</v>
      </c>
      <c r="AO139" t="s">
        <v>60</v>
      </c>
      <c r="AP139">
        <v>2000</v>
      </c>
      <c r="AQ139" t="s">
        <v>31</v>
      </c>
      <c r="AR139" t="s">
        <v>305</v>
      </c>
      <c r="AS139" t="s">
        <v>331</v>
      </c>
      <c r="AT139" t="s">
        <v>240</v>
      </c>
      <c r="AU139" t="s">
        <v>268</v>
      </c>
      <c r="AV139">
        <v>12.9</v>
      </c>
    </row>
    <row r="140" spans="36:48" ht="21" x14ac:dyDescent="0.35">
      <c r="AJ140" s="45"/>
      <c r="AN140" t="s">
        <v>118</v>
      </c>
      <c r="AO140" t="s">
        <v>60</v>
      </c>
      <c r="AP140">
        <v>2000</v>
      </c>
      <c r="AQ140" t="s">
        <v>31</v>
      </c>
      <c r="AR140" t="s">
        <v>305</v>
      </c>
      <c r="AS140" t="s">
        <v>331</v>
      </c>
      <c r="AT140" t="s">
        <v>314</v>
      </c>
      <c r="AU140" t="s">
        <v>308</v>
      </c>
      <c r="AV140">
        <v>3.6</v>
      </c>
    </row>
    <row r="141" spans="36:48" ht="21" x14ac:dyDescent="0.35">
      <c r="AJ141" s="45"/>
      <c r="AN141" t="s">
        <v>118</v>
      </c>
      <c r="AO141" t="s">
        <v>60</v>
      </c>
      <c r="AP141">
        <v>2000</v>
      </c>
      <c r="AQ141" t="s">
        <v>31</v>
      </c>
      <c r="AR141" t="s">
        <v>305</v>
      </c>
      <c r="AS141" t="s">
        <v>331</v>
      </c>
      <c r="AT141" t="s">
        <v>314</v>
      </c>
      <c r="AU141" t="s">
        <v>309</v>
      </c>
      <c r="AV141">
        <v>7</v>
      </c>
    </row>
    <row r="142" spans="36:48" ht="21" x14ac:dyDescent="0.35">
      <c r="AJ142" s="45"/>
      <c r="AN142" t="s">
        <v>118</v>
      </c>
      <c r="AO142" t="s">
        <v>60</v>
      </c>
      <c r="AP142">
        <v>2000</v>
      </c>
      <c r="AQ142" t="s">
        <v>31</v>
      </c>
      <c r="AR142" t="s">
        <v>305</v>
      </c>
      <c r="AS142" t="s">
        <v>331</v>
      </c>
      <c r="AT142" t="s">
        <v>314</v>
      </c>
      <c r="AU142" t="s">
        <v>268</v>
      </c>
      <c r="AV142">
        <v>10.6</v>
      </c>
    </row>
    <row r="143" spans="36:48" ht="21" x14ac:dyDescent="0.35">
      <c r="AJ143" s="45"/>
      <c r="AN143" t="s">
        <v>118</v>
      </c>
      <c r="AO143" t="s">
        <v>60</v>
      </c>
      <c r="AP143">
        <v>2000</v>
      </c>
      <c r="AQ143" t="s">
        <v>31</v>
      </c>
      <c r="AR143" t="s">
        <v>305</v>
      </c>
      <c r="AS143" t="s">
        <v>331</v>
      </c>
      <c r="AT143" t="s">
        <v>242</v>
      </c>
      <c r="AU143" t="s">
        <v>308</v>
      </c>
      <c r="AV143">
        <v>3.3</v>
      </c>
    </row>
    <row r="144" spans="36:48" ht="21" x14ac:dyDescent="0.35">
      <c r="AJ144" s="45"/>
      <c r="AN144" t="s">
        <v>118</v>
      </c>
      <c r="AO144" t="s">
        <v>60</v>
      </c>
      <c r="AP144">
        <v>2000</v>
      </c>
      <c r="AQ144" t="s">
        <v>31</v>
      </c>
      <c r="AR144" t="s">
        <v>305</v>
      </c>
      <c r="AS144" t="s">
        <v>331</v>
      </c>
      <c r="AT144" t="s">
        <v>242</v>
      </c>
      <c r="AU144" t="s">
        <v>309</v>
      </c>
      <c r="AV144">
        <v>7.4</v>
      </c>
    </row>
    <row r="145" spans="36:48" ht="21" x14ac:dyDescent="0.35">
      <c r="AJ145" s="45"/>
      <c r="AN145" t="s">
        <v>118</v>
      </c>
      <c r="AO145" t="s">
        <v>60</v>
      </c>
      <c r="AP145">
        <v>2000</v>
      </c>
      <c r="AQ145" t="s">
        <v>31</v>
      </c>
      <c r="AR145" t="s">
        <v>305</v>
      </c>
      <c r="AS145" t="s">
        <v>331</v>
      </c>
      <c r="AT145" t="s">
        <v>242</v>
      </c>
      <c r="AU145" t="s">
        <v>268</v>
      </c>
      <c r="AV145">
        <v>10.7</v>
      </c>
    </row>
    <row r="146" spans="36:48" ht="21" x14ac:dyDescent="0.35">
      <c r="AJ146" s="45"/>
      <c r="AN146" t="s">
        <v>118</v>
      </c>
      <c r="AO146" t="s">
        <v>60</v>
      </c>
      <c r="AP146">
        <v>2000</v>
      </c>
      <c r="AQ146" t="s">
        <v>31</v>
      </c>
      <c r="AR146" t="s">
        <v>305</v>
      </c>
      <c r="AS146" t="s">
        <v>331</v>
      </c>
      <c r="AT146" t="s">
        <v>243</v>
      </c>
      <c r="AU146" t="s">
        <v>326</v>
      </c>
      <c r="AV146">
        <v>22.5</v>
      </c>
    </row>
    <row r="147" spans="36:48" ht="21" x14ac:dyDescent="0.35">
      <c r="AJ147" s="45"/>
      <c r="AN147" t="s">
        <v>118</v>
      </c>
      <c r="AO147" t="s">
        <v>60</v>
      </c>
      <c r="AP147">
        <v>2000</v>
      </c>
      <c r="AQ147" t="s">
        <v>31</v>
      </c>
      <c r="AR147" t="s">
        <v>305</v>
      </c>
      <c r="AS147" t="s">
        <v>331</v>
      </c>
      <c r="AT147" t="s">
        <v>243</v>
      </c>
      <c r="AU147" t="s">
        <v>327</v>
      </c>
      <c r="AV147">
        <v>44.4</v>
      </c>
    </row>
    <row r="148" spans="36:48" ht="21" x14ac:dyDescent="0.35">
      <c r="AJ148" s="45"/>
      <c r="AN148" t="s">
        <v>118</v>
      </c>
      <c r="AO148" t="s">
        <v>60</v>
      </c>
      <c r="AP148">
        <v>2000</v>
      </c>
      <c r="AQ148" t="s">
        <v>31</v>
      </c>
      <c r="AR148" t="s">
        <v>305</v>
      </c>
      <c r="AS148" t="s">
        <v>331</v>
      </c>
      <c r="AT148" t="s">
        <v>243</v>
      </c>
      <c r="AU148" t="s">
        <v>329</v>
      </c>
      <c r="AV148">
        <v>66.900000000000006</v>
      </c>
    </row>
    <row r="149" spans="36:48" ht="21" x14ac:dyDescent="0.35">
      <c r="AJ149" s="45"/>
      <c r="AN149" t="s">
        <v>84</v>
      </c>
      <c r="AO149" t="s">
        <v>60</v>
      </c>
      <c r="AP149">
        <v>2004</v>
      </c>
      <c r="AQ149" t="s">
        <v>39</v>
      </c>
      <c r="AR149" t="s">
        <v>305</v>
      </c>
      <c r="AS149" t="s">
        <v>331</v>
      </c>
      <c r="AT149" t="s">
        <v>218</v>
      </c>
      <c r="AU149" t="s">
        <v>308</v>
      </c>
      <c r="AV149">
        <v>4.0999999999999996</v>
      </c>
    </row>
    <row r="150" spans="36:48" ht="21" x14ac:dyDescent="0.35">
      <c r="AJ150" s="45"/>
      <c r="AN150" t="s">
        <v>84</v>
      </c>
      <c r="AO150" t="s">
        <v>60</v>
      </c>
      <c r="AP150">
        <v>2004</v>
      </c>
      <c r="AQ150" t="s">
        <v>39</v>
      </c>
      <c r="AR150" t="s">
        <v>305</v>
      </c>
      <c r="AS150" t="s">
        <v>331</v>
      </c>
      <c r="AT150" t="s">
        <v>218</v>
      </c>
      <c r="AU150" t="s">
        <v>309</v>
      </c>
      <c r="AV150">
        <v>7.3</v>
      </c>
    </row>
    <row r="151" spans="36:48" ht="21" x14ac:dyDescent="0.35">
      <c r="AJ151" s="45"/>
      <c r="AN151" t="s">
        <v>84</v>
      </c>
      <c r="AO151" t="s">
        <v>60</v>
      </c>
      <c r="AP151">
        <v>2004</v>
      </c>
      <c r="AQ151" t="s">
        <v>39</v>
      </c>
      <c r="AR151" t="s">
        <v>305</v>
      </c>
      <c r="AS151" t="s">
        <v>331</v>
      </c>
      <c r="AT151" t="s">
        <v>218</v>
      </c>
      <c r="AU151" t="s">
        <v>268</v>
      </c>
      <c r="AV151">
        <v>11.4</v>
      </c>
    </row>
    <row r="152" spans="36:48" ht="21" x14ac:dyDescent="0.35">
      <c r="AJ152" s="45"/>
      <c r="AN152" t="s">
        <v>84</v>
      </c>
      <c r="AO152" t="s">
        <v>60</v>
      </c>
      <c r="AP152">
        <v>2004</v>
      </c>
      <c r="AQ152" t="s">
        <v>39</v>
      </c>
      <c r="AR152" t="s">
        <v>305</v>
      </c>
      <c r="AS152" t="s">
        <v>331</v>
      </c>
      <c r="AT152" t="s">
        <v>238</v>
      </c>
      <c r="AU152" t="s">
        <v>308</v>
      </c>
      <c r="AV152">
        <v>3.5</v>
      </c>
    </row>
    <row r="153" spans="36:48" ht="21" x14ac:dyDescent="0.35">
      <c r="AJ153" s="45"/>
      <c r="AN153" t="s">
        <v>84</v>
      </c>
      <c r="AO153" t="s">
        <v>60</v>
      </c>
      <c r="AP153">
        <v>2004</v>
      </c>
      <c r="AQ153" t="s">
        <v>39</v>
      </c>
      <c r="AR153" t="s">
        <v>305</v>
      </c>
      <c r="AS153" t="s">
        <v>331</v>
      </c>
      <c r="AT153" t="s">
        <v>238</v>
      </c>
      <c r="AU153" t="s">
        <v>309</v>
      </c>
      <c r="AV153">
        <v>5.5</v>
      </c>
    </row>
    <row r="154" spans="36:48" ht="21" x14ac:dyDescent="0.35">
      <c r="AJ154" s="45"/>
      <c r="AN154" t="s">
        <v>84</v>
      </c>
      <c r="AO154" t="s">
        <v>60</v>
      </c>
      <c r="AP154">
        <v>2004</v>
      </c>
      <c r="AQ154" t="s">
        <v>39</v>
      </c>
      <c r="AR154" t="s">
        <v>305</v>
      </c>
      <c r="AS154" t="s">
        <v>331</v>
      </c>
      <c r="AT154" t="s">
        <v>238</v>
      </c>
      <c r="AU154" t="s">
        <v>268</v>
      </c>
      <c r="AV154">
        <v>9</v>
      </c>
    </row>
    <row r="155" spans="36:48" ht="21" x14ac:dyDescent="0.35">
      <c r="AJ155" s="45"/>
      <c r="AN155" t="s">
        <v>84</v>
      </c>
      <c r="AO155" t="s">
        <v>60</v>
      </c>
      <c r="AP155">
        <v>2004</v>
      </c>
      <c r="AQ155" t="s">
        <v>39</v>
      </c>
      <c r="AR155" t="s">
        <v>305</v>
      </c>
      <c r="AS155" t="s">
        <v>331</v>
      </c>
      <c r="AT155" t="s">
        <v>239</v>
      </c>
      <c r="AU155" t="s">
        <v>308</v>
      </c>
      <c r="AV155">
        <v>3.1</v>
      </c>
    </row>
    <row r="156" spans="36:48" ht="21" x14ac:dyDescent="0.35">
      <c r="AJ156" s="45"/>
      <c r="AN156" t="s">
        <v>84</v>
      </c>
      <c r="AO156" t="s">
        <v>60</v>
      </c>
      <c r="AP156">
        <v>2004</v>
      </c>
      <c r="AQ156" t="s">
        <v>39</v>
      </c>
      <c r="AR156" t="s">
        <v>305</v>
      </c>
      <c r="AS156" t="s">
        <v>331</v>
      </c>
      <c r="AT156" t="s">
        <v>239</v>
      </c>
      <c r="AU156" t="s">
        <v>309</v>
      </c>
      <c r="AV156">
        <v>7.3</v>
      </c>
    </row>
    <row r="157" spans="36:48" ht="21" x14ac:dyDescent="0.35">
      <c r="AJ157" s="45"/>
      <c r="AN157" t="s">
        <v>84</v>
      </c>
      <c r="AO157" t="s">
        <v>60</v>
      </c>
      <c r="AP157">
        <v>2004</v>
      </c>
      <c r="AQ157" t="s">
        <v>39</v>
      </c>
      <c r="AR157" t="s">
        <v>305</v>
      </c>
      <c r="AS157" t="s">
        <v>331</v>
      </c>
      <c r="AT157" t="s">
        <v>239</v>
      </c>
      <c r="AU157" t="s">
        <v>268</v>
      </c>
      <c r="AV157">
        <v>10.4</v>
      </c>
    </row>
    <row r="158" spans="36:48" ht="21" x14ac:dyDescent="0.35">
      <c r="AJ158" s="45"/>
      <c r="AN158" t="s">
        <v>84</v>
      </c>
      <c r="AO158" t="s">
        <v>60</v>
      </c>
      <c r="AP158">
        <v>2004</v>
      </c>
      <c r="AQ158" t="s">
        <v>39</v>
      </c>
      <c r="AR158" t="s">
        <v>305</v>
      </c>
      <c r="AS158" t="s">
        <v>331</v>
      </c>
      <c r="AT158" t="s">
        <v>240</v>
      </c>
      <c r="AU158" t="s">
        <v>308</v>
      </c>
      <c r="AV158">
        <v>3.2</v>
      </c>
    </row>
    <row r="159" spans="36:48" ht="21" x14ac:dyDescent="0.35">
      <c r="AJ159" s="45"/>
      <c r="AN159" t="s">
        <v>84</v>
      </c>
      <c r="AO159" t="s">
        <v>60</v>
      </c>
      <c r="AP159">
        <v>2004</v>
      </c>
      <c r="AQ159" t="s">
        <v>39</v>
      </c>
      <c r="AR159" t="s">
        <v>305</v>
      </c>
      <c r="AS159" t="s">
        <v>331</v>
      </c>
      <c r="AT159" t="s">
        <v>240</v>
      </c>
      <c r="AU159" t="s">
        <v>309</v>
      </c>
      <c r="AV159">
        <v>8.3000000000000007</v>
      </c>
    </row>
    <row r="160" spans="36:48" ht="21" x14ac:dyDescent="0.35">
      <c r="AJ160" s="45"/>
      <c r="AN160" t="s">
        <v>84</v>
      </c>
      <c r="AO160" t="s">
        <v>60</v>
      </c>
      <c r="AP160">
        <v>2004</v>
      </c>
      <c r="AQ160" t="s">
        <v>39</v>
      </c>
      <c r="AR160" t="s">
        <v>305</v>
      </c>
      <c r="AS160" t="s">
        <v>331</v>
      </c>
      <c r="AT160" t="s">
        <v>240</v>
      </c>
      <c r="AU160" t="s">
        <v>268</v>
      </c>
      <c r="AV160">
        <v>11.5</v>
      </c>
    </row>
    <row r="161" spans="36:48" ht="21" x14ac:dyDescent="0.35">
      <c r="AJ161" s="45"/>
      <c r="AN161" t="s">
        <v>84</v>
      </c>
      <c r="AO161" t="s">
        <v>60</v>
      </c>
      <c r="AP161">
        <v>2004</v>
      </c>
      <c r="AQ161" t="s">
        <v>39</v>
      </c>
      <c r="AR161" t="s">
        <v>305</v>
      </c>
      <c r="AS161" t="s">
        <v>331</v>
      </c>
      <c r="AT161" t="s">
        <v>314</v>
      </c>
      <c r="AU161" t="s">
        <v>308</v>
      </c>
      <c r="AV161">
        <v>4.2</v>
      </c>
    </row>
    <row r="162" spans="36:48" ht="21" x14ac:dyDescent="0.35">
      <c r="AJ162" s="45"/>
      <c r="AN162" t="s">
        <v>84</v>
      </c>
      <c r="AO162" t="s">
        <v>60</v>
      </c>
      <c r="AP162">
        <v>2004</v>
      </c>
      <c r="AQ162" t="s">
        <v>39</v>
      </c>
      <c r="AR162" t="s">
        <v>305</v>
      </c>
      <c r="AS162" t="s">
        <v>331</v>
      </c>
      <c r="AT162" t="s">
        <v>314</v>
      </c>
      <c r="AU162" t="s">
        <v>309</v>
      </c>
      <c r="AV162">
        <v>7.7</v>
      </c>
    </row>
    <row r="163" spans="36:48" ht="21" x14ac:dyDescent="0.35">
      <c r="AJ163" s="45"/>
      <c r="AN163" t="s">
        <v>84</v>
      </c>
      <c r="AO163" t="s">
        <v>60</v>
      </c>
      <c r="AP163">
        <v>2004</v>
      </c>
      <c r="AQ163" t="s">
        <v>39</v>
      </c>
      <c r="AR163" t="s">
        <v>305</v>
      </c>
      <c r="AS163" t="s">
        <v>331</v>
      </c>
      <c r="AT163" t="s">
        <v>314</v>
      </c>
      <c r="AU163" t="s">
        <v>268</v>
      </c>
      <c r="AV163">
        <v>11.9</v>
      </c>
    </row>
    <row r="164" spans="36:48" ht="21" x14ac:dyDescent="0.35">
      <c r="AJ164" s="45"/>
      <c r="AN164" t="s">
        <v>84</v>
      </c>
      <c r="AO164" t="s">
        <v>60</v>
      </c>
      <c r="AP164">
        <v>2004</v>
      </c>
      <c r="AQ164" t="s">
        <v>39</v>
      </c>
      <c r="AR164" t="s">
        <v>305</v>
      </c>
      <c r="AS164" t="s">
        <v>331</v>
      </c>
      <c r="AT164" t="s">
        <v>242</v>
      </c>
      <c r="AU164" t="s">
        <v>308</v>
      </c>
      <c r="AV164">
        <v>2.5</v>
      </c>
    </row>
    <row r="165" spans="36:48" ht="21" x14ac:dyDescent="0.35">
      <c r="AJ165" s="45"/>
      <c r="AN165" t="s">
        <v>84</v>
      </c>
      <c r="AO165" t="s">
        <v>60</v>
      </c>
      <c r="AP165">
        <v>2004</v>
      </c>
      <c r="AQ165" t="s">
        <v>39</v>
      </c>
      <c r="AR165" t="s">
        <v>305</v>
      </c>
      <c r="AS165" t="s">
        <v>331</v>
      </c>
      <c r="AT165" t="s">
        <v>242</v>
      </c>
      <c r="AU165" t="s">
        <v>309</v>
      </c>
      <c r="AV165">
        <v>8.6999999999999993</v>
      </c>
    </row>
    <row r="166" spans="36:48" ht="21" x14ac:dyDescent="0.35">
      <c r="AJ166" s="45"/>
      <c r="AN166" t="s">
        <v>84</v>
      </c>
      <c r="AO166" t="s">
        <v>60</v>
      </c>
      <c r="AP166">
        <v>2004</v>
      </c>
      <c r="AQ166" t="s">
        <v>39</v>
      </c>
      <c r="AR166" t="s">
        <v>305</v>
      </c>
      <c r="AS166" t="s">
        <v>331</v>
      </c>
      <c r="AT166" t="s">
        <v>242</v>
      </c>
      <c r="AU166" t="s">
        <v>268</v>
      </c>
      <c r="AV166">
        <v>11.2</v>
      </c>
    </row>
    <row r="167" spans="36:48" ht="21" x14ac:dyDescent="0.35">
      <c r="AJ167" s="45"/>
      <c r="AN167" t="s">
        <v>84</v>
      </c>
      <c r="AO167" t="s">
        <v>60</v>
      </c>
      <c r="AP167">
        <v>2004</v>
      </c>
      <c r="AQ167" t="s">
        <v>39</v>
      </c>
      <c r="AR167" t="s">
        <v>305</v>
      </c>
      <c r="AS167" t="s">
        <v>331</v>
      </c>
      <c r="AT167" t="s">
        <v>243</v>
      </c>
      <c r="AU167" t="s">
        <v>326</v>
      </c>
      <c r="AV167">
        <v>20.599999999999998</v>
      </c>
    </row>
    <row r="168" spans="36:48" ht="21" x14ac:dyDescent="0.35">
      <c r="AJ168" s="45"/>
      <c r="AN168" t="s">
        <v>84</v>
      </c>
      <c r="AO168" t="s">
        <v>60</v>
      </c>
      <c r="AP168">
        <v>2004</v>
      </c>
      <c r="AQ168" t="s">
        <v>39</v>
      </c>
      <c r="AR168" t="s">
        <v>305</v>
      </c>
      <c r="AS168" t="s">
        <v>331</v>
      </c>
      <c r="AT168" t="s">
        <v>243</v>
      </c>
      <c r="AU168" t="s">
        <v>327</v>
      </c>
      <c r="AV168">
        <v>44.8</v>
      </c>
    </row>
    <row r="169" spans="36:48" ht="21" x14ac:dyDescent="0.35">
      <c r="AJ169" s="45"/>
      <c r="AN169" t="s">
        <v>84</v>
      </c>
      <c r="AO169" t="s">
        <v>60</v>
      </c>
      <c r="AP169">
        <v>2004</v>
      </c>
      <c r="AQ169" t="s">
        <v>39</v>
      </c>
      <c r="AR169" t="s">
        <v>305</v>
      </c>
      <c r="AS169" t="s">
        <v>331</v>
      </c>
      <c r="AT169" t="s">
        <v>243</v>
      </c>
      <c r="AU169" t="s">
        <v>329</v>
      </c>
      <c r="AV169">
        <v>65.400000000000006</v>
      </c>
    </row>
    <row r="170" spans="36:48" ht="21" x14ac:dyDescent="0.35">
      <c r="AJ170" s="45"/>
      <c r="AN170" t="s">
        <v>68</v>
      </c>
      <c r="AO170" t="s">
        <v>60</v>
      </c>
      <c r="AP170">
        <v>2004</v>
      </c>
      <c r="AQ170" t="s">
        <v>31</v>
      </c>
      <c r="AR170" t="s">
        <v>305</v>
      </c>
      <c r="AS170" t="s">
        <v>331</v>
      </c>
      <c r="AT170" t="s">
        <v>218</v>
      </c>
      <c r="AU170" t="s">
        <v>308</v>
      </c>
      <c r="AV170">
        <v>4</v>
      </c>
    </row>
    <row r="171" spans="36:48" ht="21" x14ac:dyDescent="0.35">
      <c r="AJ171" s="45"/>
      <c r="AN171" t="s">
        <v>68</v>
      </c>
      <c r="AO171" t="s">
        <v>60</v>
      </c>
      <c r="AP171">
        <v>2004</v>
      </c>
      <c r="AQ171" t="s">
        <v>31</v>
      </c>
      <c r="AR171" t="s">
        <v>305</v>
      </c>
      <c r="AS171" t="s">
        <v>331</v>
      </c>
      <c r="AT171" t="s">
        <v>218</v>
      </c>
      <c r="AU171" t="s">
        <v>309</v>
      </c>
      <c r="AV171">
        <v>6.3</v>
      </c>
    </row>
    <row r="172" spans="36:48" ht="21" x14ac:dyDescent="0.35">
      <c r="AJ172" s="45"/>
      <c r="AN172" t="s">
        <v>68</v>
      </c>
      <c r="AO172" t="s">
        <v>60</v>
      </c>
      <c r="AP172">
        <v>2004</v>
      </c>
      <c r="AQ172" t="s">
        <v>31</v>
      </c>
      <c r="AR172" t="s">
        <v>305</v>
      </c>
      <c r="AS172" t="s">
        <v>331</v>
      </c>
      <c r="AT172" t="s">
        <v>218</v>
      </c>
      <c r="AU172" t="s">
        <v>268</v>
      </c>
      <c r="AV172">
        <v>10.3</v>
      </c>
    </row>
    <row r="173" spans="36:48" ht="21" x14ac:dyDescent="0.35">
      <c r="AJ173" s="45"/>
      <c r="AN173" t="s">
        <v>68</v>
      </c>
      <c r="AO173" t="s">
        <v>60</v>
      </c>
      <c r="AP173">
        <v>2004</v>
      </c>
      <c r="AQ173" t="s">
        <v>31</v>
      </c>
      <c r="AR173" t="s">
        <v>305</v>
      </c>
      <c r="AS173" t="s">
        <v>331</v>
      </c>
      <c r="AT173" t="s">
        <v>238</v>
      </c>
      <c r="AU173" t="s">
        <v>308</v>
      </c>
      <c r="AV173">
        <v>3.2</v>
      </c>
    </row>
    <row r="174" spans="36:48" ht="21" x14ac:dyDescent="0.35">
      <c r="AJ174" s="45"/>
      <c r="AN174" t="s">
        <v>68</v>
      </c>
      <c r="AO174" t="s">
        <v>60</v>
      </c>
      <c r="AP174">
        <v>2004</v>
      </c>
      <c r="AQ174" t="s">
        <v>31</v>
      </c>
      <c r="AR174" t="s">
        <v>305</v>
      </c>
      <c r="AS174" t="s">
        <v>331</v>
      </c>
      <c r="AT174" t="s">
        <v>238</v>
      </c>
      <c r="AU174" t="s">
        <v>309</v>
      </c>
      <c r="AV174">
        <v>7.4</v>
      </c>
    </row>
    <row r="175" spans="36:48" ht="21" x14ac:dyDescent="0.35">
      <c r="AJ175" s="45"/>
      <c r="AN175" t="s">
        <v>68</v>
      </c>
      <c r="AO175" t="s">
        <v>60</v>
      </c>
      <c r="AP175">
        <v>2004</v>
      </c>
      <c r="AQ175" t="s">
        <v>31</v>
      </c>
      <c r="AR175" t="s">
        <v>305</v>
      </c>
      <c r="AS175" t="s">
        <v>331</v>
      </c>
      <c r="AT175" t="s">
        <v>238</v>
      </c>
      <c r="AU175" t="s">
        <v>268</v>
      </c>
      <c r="AV175">
        <v>10.6</v>
      </c>
    </row>
    <row r="176" spans="36:48" ht="21" x14ac:dyDescent="0.35">
      <c r="AJ176" s="45"/>
      <c r="AN176" t="s">
        <v>68</v>
      </c>
      <c r="AO176" t="s">
        <v>60</v>
      </c>
      <c r="AP176">
        <v>2004</v>
      </c>
      <c r="AQ176" t="s">
        <v>31</v>
      </c>
      <c r="AR176" t="s">
        <v>305</v>
      </c>
      <c r="AS176" t="s">
        <v>331</v>
      </c>
      <c r="AT176" t="s">
        <v>239</v>
      </c>
      <c r="AU176" t="s">
        <v>308</v>
      </c>
      <c r="AV176">
        <v>3.7</v>
      </c>
    </row>
    <row r="177" spans="36:48" ht="21" x14ac:dyDescent="0.35">
      <c r="AJ177" s="45"/>
      <c r="AN177" t="s">
        <v>68</v>
      </c>
      <c r="AO177" t="s">
        <v>60</v>
      </c>
      <c r="AP177">
        <v>2004</v>
      </c>
      <c r="AQ177" t="s">
        <v>31</v>
      </c>
      <c r="AR177" t="s">
        <v>305</v>
      </c>
      <c r="AS177" t="s">
        <v>331</v>
      </c>
      <c r="AT177" t="s">
        <v>239</v>
      </c>
      <c r="AU177" t="s">
        <v>309</v>
      </c>
      <c r="AV177">
        <v>7.3</v>
      </c>
    </row>
    <row r="178" spans="36:48" ht="21" x14ac:dyDescent="0.35">
      <c r="AJ178" s="45"/>
      <c r="AN178" t="s">
        <v>68</v>
      </c>
      <c r="AO178" t="s">
        <v>60</v>
      </c>
      <c r="AP178">
        <v>2004</v>
      </c>
      <c r="AQ178" t="s">
        <v>31</v>
      </c>
      <c r="AR178" t="s">
        <v>305</v>
      </c>
      <c r="AS178" t="s">
        <v>331</v>
      </c>
      <c r="AT178" t="s">
        <v>239</v>
      </c>
      <c r="AU178" t="s">
        <v>268</v>
      </c>
      <c r="AV178">
        <v>11</v>
      </c>
    </row>
    <row r="179" spans="36:48" ht="21" x14ac:dyDescent="0.35">
      <c r="AJ179" s="45"/>
      <c r="AN179" t="s">
        <v>68</v>
      </c>
      <c r="AO179" t="s">
        <v>60</v>
      </c>
      <c r="AP179">
        <v>2004</v>
      </c>
      <c r="AQ179" t="s">
        <v>31</v>
      </c>
      <c r="AR179" t="s">
        <v>305</v>
      </c>
      <c r="AS179" t="s">
        <v>331</v>
      </c>
      <c r="AT179" t="s">
        <v>240</v>
      </c>
      <c r="AU179" t="s">
        <v>308</v>
      </c>
      <c r="AV179">
        <v>4</v>
      </c>
    </row>
    <row r="180" spans="36:48" ht="21" x14ac:dyDescent="0.35">
      <c r="AJ180" s="45"/>
      <c r="AN180" t="s">
        <v>68</v>
      </c>
      <c r="AO180" t="s">
        <v>60</v>
      </c>
      <c r="AP180">
        <v>2004</v>
      </c>
      <c r="AQ180" t="s">
        <v>31</v>
      </c>
      <c r="AR180" t="s">
        <v>305</v>
      </c>
      <c r="AS180" t="s">
        <v>331</v>
      </c>
      <c r="AT180" t="s">
        <v>240</v>
      </c>
      <c r="AU180" t="s">
        <v>309</v>
      </c>
      <c r="AV180">
        <v>8.8000000000000007</v>
      </c>
    </row>
    <row r="181" spans="36:48" ht="21" x14ac:dyDescent="0.35">
      <c r="AJ181" s="45"/>
      <c r="AN181" t="s">
        <v>68</v>
      </c>
      <c r="AO181" t="s">
        <v>60</v>
      </c>
      <c r="AP181">
        <v>2004</v>
      </c>
      <c r="AQ181" t="s">
        <v>31</v>
      </c>
      <c r="AR181" t="s">
        <v>305</v>
      </c>
      <c r="AS181" t="s">
        <v>331</v>
      </c>
      <c r="AT181" t="s">
        <v>240</v>
      </c>
      <c r="AU181" t="s">
        <v>268</v>
      </c>
      <c r="AV181">
        <v>12.8</v>
      </c>
    </row>
    <row r="182" spans="36:48" ht="21" x14ac:dyDescent="0.35">
      <c r="AJ182" s="45"/>
      <c r="AN182" t="s">
        <v>68</v>
      </c>
      <c r="AO182" t="s">
        <v>60</v>
      </c>
      <c r="AP182">
        <v>2004</v>
      </c>
      <c r="AQ182" t="s">
        <v>31</v>
      </c>
      <c r="AR182" t="s">
        <v>305</v>
      </c>
      <c r="AS182" t="s">
        <v>331</v>
      </c>
      <c r="AT182" t="s">
        <v>314</v>
      </c>
      <c r="AU182" t="s">
        <v>308</v>
      </c>
      <c r="AV182">
        <v>3.2</v>
      </c>
    </row>
    <row r="183" spans="36:48" ht="21" x14ac:dyDescent="0.35">
      <c r="AJ183" s="45"/>
      <c r="AN183" t="s">
        <v>68</v>
      </c>
      <c r="AO183" t="s">
        <v>60</v>
      </c>
      <c r="AP183">
        <v>2004</v>
      </c>
      <c r="AQ183" t="s">
        <v>31</v>
      </c>
      <c r="AR183" t="s">
        <v>305</v>
      </c>
      <c r="AS183" t="s">
        <v>331</v>
      </c>
      <c r="AT183" t="s">
        <v>314</v>
      </c>
      <c r="AU183" t="s">
        <v>309</v>
      </c>
      <c r="AV183">
        <v>5.8</v>
      </c>
    </row>
    <row r="184" spans="36:48" ht="21" x14ac:dyDescent="0.35">
      <c r="AJ184" s="45"/>
      <c r="AN184" t="s">
        <v>68</v>
      </c>
      <c r="AO184" t="s">
        <v>60</v>
      </c>
      <c r="AP184">
        <v>2004</v>
      </c>
      <c r="AQ184" t="s">
        <v>31</v>
      </c>
      <c r="AR184" t="s">
        <v>305</v>
      </c>
      <c r="AS184" t="s">
        <v>331</v>
      </c>
      <c r="AT184" t="s">
        <v>314</v>
      </c>
      <c r="AU184" t="s">
        <v>268</v>
      </c>
      <c r="AV184">
        <v>9</v>
      </c>
    </row>
    <row r="185" spans="36:48" ht="21" x14ac:dyDescent="0.35">
      <c r="AJ185" s="45"/>
      <c r="AN185" t="s">
        <v>68</v>
      </c>
      <c r="AO185" t="s">
        <v>60</v>
      </c>
      <c r="AP185">
        <v>2004</v>
      </c>
      <c r="AQ185" t="s">
        <v>31</v>
      </c>
      <c r="AR185" t="s">
        <v>305</v>
      </c>
      <c r="AS185" t="s">
        <v>331</v>
      </c>
      <c r="AT185" t="s">
        <v>242</v>
      </c>
      <c r="AU185" t="s">
        <v>308</v>
      </c>
      <c r="AV185">
        <v>2.6</v>
      </c>
    </row>
    <row r="186" spans="36:48" ht="21" x14ac:dyDescent="0.35">
      <c r="AJ186" s="45"/>
      <c r="AN186" t="s">
        <v>68</v>
      </c>
      <c r="AO186" t="s">
        <v>60</v>
      </c>
      <c r="AP186">
        <v>2004</v>
      </c>
      <c r="AQ186" t="s">
        <v>31</v>
      </c>
      <c r="AR186" t="s">
        <v>305</v>
      </c>
      <c r="AS186" t="s">
        <v>331</v>
      </c>
      <c r="AT186" t="s">
        <v>242</v>
      </c>
      <c r="AU186" t="s">
        <v>309</v>
      </c>
      <c r="AV186">
        <v>7.6</v>
      </c>
    </row>
    <row r="187" spans="36:48" ht="21" x14ac:dyDescent="0.35">
      <c r="AJ187" s="45"/>
      <c r="AN187" t="s">
        <v>68</v>
      </c>
      <c r="AO187" t="s">
        <v>60</v>
      </c>
      <c r="AP187">
        <v>2004</v>
      </c>
      <c r="AQ187" t="s">
        <v>31</v>
      </c>
      <c r="AR187" t="s">
        <v>305</v>
      </c>
      <c r="AS187" t="s">
        <v>331</v>
      </c>
      <c r="AT187" t="s">
        <v>242</v>
      </c>
      <c r="AU187" t="s">
        <v>268</v>
      </c>
      <c r="AV187">
        <v>10.199999999999999</v>
      </c>
    </row>
    <row r="188" spans="36:48" ht="21" x14ac:dyDescent="0.35">
      <c r="AJ188" s="45"/>
      <c r="AN188" t="s">
        <v>68</v>
      </c>
      <c r="AO188" t="s">
        <v>60</v>
      </c>
      <c r="AP188">
        <v>2004</v>
      </c>
      <c r="AQ188" t="s">
        <v>31</v>
      </c>
      <c r="AR188" t="s">
        <v>305</v>
      </c>
      <c r="AS188" t="s">
        <v>331</v>
      </c>
      <c r="AT188" t="s">
        <v>243</v>
      </c>
      <c r="AU188" t="s">
        <v>326</v>
      </c>
      <c r="AV188">
        <v>20.700000000000003</v>
      </c>
    </row>
    <row r="189" spans="36:48" ht="21" x14ac:dyDescent="0.35">
      <c r="AJ189" s="45"/>
      <c r="AN189" t="s">
        <v>68</v>
      </c>
      <c r="AO189" t="s">
        <v>60</v>
      </c>
      <c r="AP189">
        <v>2004</v>
      </c>
      <c r="AQ189" t="s">
        <v>31</v>
      </c>
      <c r="AR189" t="s">
        <v>305</v>
      </c>
      <c r="AS189" t="s">
        <v>331</v>
      </c>
      <c r="AT189" t="s">
        <v>243</v>
      </c>
      <c r="AU189" t="s">
        <v>327</v>
      </c>
      <c r="AV189">
        <v>43.2</v>
      </c>
    </row>
    <row r="190" spans="36:48" ht="21" x14ac:dyDescent="0.35">
      <c r="AJ190" s="45"/>
      <c r="AN190" t="s">
        <v>68</v>
      </c>
      <c r="AO190" t="s">
        <v>60</v>
      </c>
      <c r="AP190">
        <v>2004</v>
      </c>
      <c r="AQ190" t="s">
        <v>31</v>
      </c>
      <c r="AR190" t="s">
        <v>305</v>
      </c>
      <c r="AS190" t="s">
        <v>331</v>
      </c>
      <c r="AT190" t="s">
        <v>243</v>
      </c>
      <c r="AU190" t="s">
        <v>329</v>
      </c>
      <c r="AV190">
        <v>63.9</v>
      </c>
    </row>
    <row r="191" spans="36:48" ht="21" x14ac:dyDescent="0.35">
      <c r="AJ191" s="45"/>
      <c r="AN191" t="s">
        <v>73</v>
      </c>
      <c r="AO191" t="s">
        <v>60</v>
      </c>
      <c r="AP191">
        <v>2001</v>
      </c>
      <c r="AQ191" t="s">
        <v>62</v>
      </c>
      <c r="AR191" t="s">
        <v>305</v>
      </c>
      <c r="AS191" t="s">
        <v>331</v>
      </c>
      <c r="AT191" t="s">
        <v>218</v>
      </c>
      <c r="AU191" t="s">
        <v>308</v>
      </c>
      <c r="AV191">
        <v>4.7</v>
      </c>
    </row>
    <row r="192" spans="36:48" ht="21" x14ac:dyDescent="0.35">
      <c r="AJ192" s="45"/>
      <c r="AN192" t="s">
        <v>73</v>
      </c>
      <c r="AO192" t="s">
        <v>60</v>
      </c>
      <c r="AP192">
        <v>2001</v>
      </c>
      <c r="AQ192" t="s">
        <v>62</v>
      </c>
      <c r="AR192" t="s">
        <v>305</v>
      </c>
      <c r="AS192" t="s">
        <v>331</v>
      </c>
      <c r="AT192" t="s">
        <v>218</v>
      </c>
      <c r="AU192" t="s">
        <v>309</v>
      </c>
      <c r="AV192">
        <v>6.7</v>
      </c>
    </row>
    <row r="193" spans="32:48" ht="21" x14ac:dyDescent="0.35">
      <c r="AJ193" s="45"/>
      <c r="AN193" t="s">
        <v>73</v>
      </c>
      <c r="AO193" t="s">
        <v>60</v>
      </c>
      <c r="AP193">
        <v>2001</v>
      </c>
      <c r="AQ193" t="s">
        <v>62</v>
      </c>
      <c r="AR193" t="s">
        <v>305</v>
      </c>
      <c r="AS193" t="s">
        <v>331</v>
      </c>
      <c r="AT193" t="s">
        <v>218</v>
      </c>
      <c r="AU193" t="s">
        <v>268</v>
      </c>
      <c r="AV193">
        <v>11.4</v>
      </c>
    </row>
    <row r="194" spans="32:48" ht="21" x14ac:dyDescent="0.35">
      <c r="AJ194" s="45"/>
      <c r="AN194" t="s">
        <v>73</v>
      </c>
      <c r="AO194" t="s">
        <v>60</v>
      </c>
      <c r="AP194">
        <v>2001</v>
      </c>
      <c r="AQ194" t="s">
        <v>62</v>
      </c>
      <c r="AR194" t="s">
        <v>305</v>
      </c>
      <c r="AS194" t="s">
        <v>331</v>
      </c>
      <c r="AT194" t="s">
        <v>238</v>
      </c>
      <c r="AU194" t="s">
        <v>308</v>
      </c>
      <c r="AV194">
        <v>2.9</v>
      </c>
    </row>
    <row r="195" spans="32:48" ht="21" x14ac:dyDescent="0.35">
      <c r="AJ195" s="45"/>
      <c r="AN195" t="s">
        <v>73</v>
      </c>
      <c r="AO195" t="s">
        <v>60</v>
      </c>
      <c r="AP195">
        <v>2001</v>
      </c>
      <c r="AQ195" t="s">
        <v>62</v>
      </c>
      <c r="AR195" t="s">
        <v>305</v>
      </c>
      <c r="AS195" t="s">
        <v>331</v>
      </c>
      <c r="AT195" t="s">
        <v>238</v>
      </c>
      <c r="AU195" t="s">
        <v>309</v>
      </c>
      <c r="AV195">
        <v>7.1</v>
      </c>
    </row>
    <row r="196" spans="32:48" ht="21" x14ac:dyDescent="0.35">
      <c r="AJ196" s="45"/>
      <c r="AN196" t="s">
        <v>73</v>
      </c>
      <c r="AO196" t="s">
        <v>60</v>
      </c>
      <c r="AP196">
        <v>2001</v>
      </c>
      <c r="AQ196" t="s">
        <v>62</v>
      </c>
      <c r="AR196" t="s">
        <v>305</v>
      </c>
      <c r="AS196" t="s">
        <v>331</v>
      </c>
      <c r="AT196" t="s">
        <v>238</v>
      </c>
      <c r="AU196" t="s">
        <v>268</v>
      </c>
      <c r="AV196">
        <v>10</v>
      </c>
    </row>
    <row r="197" spans="32:48" ht="21" x14ac:dyDescent="0.35">
      <c r="AF197" s="45"/>
      <c r="AG197" s="45"/>
      <c r="AH197" s="45"/>
      <c r="AI197" s="45"/>
      <c r="AJ197" s="45"/>
      <c r="AN197" t="s">
        <v>73</v>
      </c>
      <c r="AO197" t="s">
        <v>60</v>
      </c>
      <c r="AP197">
        <v>2001</v>
      </c>
      <c r="AQ197" t="s">
        <v>62</v>
      </c>
      <c r="AR197" t="s">
        <v>305</v>
      </c>
      <c r="AS197" t="s">
        <v>331</v>
      </c>
      <c r="AT197" t="s">
        <v>239</v>
      </c>
      <c r="AU197" t="s">
        <v>308</v>
      </c>
      <c r="AV197">
        <v>2.7</v>
      </c>
    </row>
    <row r="198" spans="32:48" x14ac:dyDescent="0.25">
      <c r="AN198" t="s">
        <v>73</v>
      </c>
      <c r="AO198" t="s">
        <v>60</v>
      </c>
      <c r="AP198">
        <v>2001</v>
      </c>
      <c r="AQ198" t="s">
        <v>62</v>
      </c>
      <c r="AR198" t="s">
        <v>305</v>
      </c>
      <c r="AS198" t="s">
        <v>331</v>
      </c>
      <c r="AT198" t="s">
        <v>239</v>
      </c>
      <c r="AU198" t="s">
        <v>309</v>
      </c>
      <c r="AV198">
        <v>7.4</v>
      </c>
    </row>
    <row r="199" spans="32:48" x14ac:dyDescent="0.25">
      <c r="AN199" t="s">
        <v>73</v>
      </c>
      <c r="AO199" t="s">
        <v>60</v>
      </c>
      <c r="AP199">
        <v>2001</v>
      </c>
      <c r="AQ199" t="s">
        <v>62</v>
      </c>
      <c r="AR199" t="s">
        <v>305</v>
      </c>
      <c r="AS199" t="s">
        <v>331</v>
      </c>
      <c r="AT199" t="s">
        <v>239</v>
      </c>
      <c r="AU199" t="s">
        <v>268</v>
      </c>
      <c r="AV199">
        <v>10.1</v>
      </c>
    </row>
    <row r="200" spans="32:48" x14ac:dyDescent="0.25">
      <c r="AN200" t="s">
        <v>73</v>
      </c>
      <c r="AO200" t="s">
        <v>60</v>
      </c>
      <c r="AP200">
        <v>2001</v>
      </c>
      <c r="AQ200" t="s">
        <v>62</v>
      </c>
      <c r="AR200" t="s">
        <v>305</v>
      </c>
      <c r="AS200" t="s">
        <v>331</v>
      </c>
      <c r="AT200" t="s">
        <v>240</v>
      </c>
      <c r="AU200" t="s">
        <v>308</v>
      </c>
      <c r="AV200">
        <v>4</v>
      </c>
    </row>
    <row r="201" spans="32:48" x14ac:dyDescent="0.25">
      <c r="AN201" t="s">
        <v>73</v>
      </c>
      <c r="AO201" t="s">
        <v>60</v>
      </c>
      <c r="AP201">
        <v>2001</v>
      </c>
      <c r="AQ201" t="s">
        <v>62</v>
      </c>
      <c r="AR201" t="s">
        <v>305</v>
      </c>
      <c r="AS201" t="s">
        <v>331</v>
      </c>
      <c r="AT201" t="s">
        <v>240</v>
      </c>
      <c r="AU201" t="s">
        <v>309</v>
      </c>
      <c r="AV201">
        <v>8.6999999999999993</v>
      </c>
    </row>
    <row r="202" spans="32:48" x14ac:dyDescent="0.25">
      <c r="AN202" t="s">
        <v>73</v>
      </c>
      <c r="AO202" t="s">
        <v>60</v>
      </c>
      <c r="AP202">
        <v>2001</v>
      </c>
      <c r="AQ202" t="s">
        <v>62</v>
      </c>
      <c r="AR202" t="s">
        <v>305</v>
      </c>
      <c r="AS202" t="s">
        <v>331</v>
      </c>
      <c r="AT202" t="s">
        <v>240</v>
      </c>
      <c r="AU202" t="s">
        <v>268</v>
      </c>
      <c r="AV202">
        <v>12.7</v>
      </c>
    </row>
    <row r="203" spans="32:48" x14ac:dyDescent="0.25">
      <c r="AN203" t="s">
        <v>73</v>
      </c>
      <c r="AO203" t="s">
        <v>60</v>
      </c>
      <c r="AP203">
        <v>2001</v>
      </c>
      <c r="AQ203" t="s">
        <v>62</v>
      </c>
      <c r="AR203" t="s">
        <v>305</v>
      </c>
      <c r="AS203" t="s">
        <v>331</v>
      </c>
      <c r="AT203" t="s">
        <v>314</v>
      </c>
      <c r="AU203" t="s">
        <v>308</v>
      </c>
      <c r="AV203">
        <v>3.6</v>
      </c>
    </row>
    <row r="204" spans="32:48" x14ac:dyDescent="0.25">
      <c r="AN204" t="s">
        <v>73</v>
      </c>
      <c r="AO204" t="s">
        <v>60</v>
      </c>
      <c r="AP204">
        <v>2001</v>
      </c>
      <c r="AQ204" t="s">
        <v>62</v>
      </c>
      <c r="AR204" t="s">
        <v>305</v>
      </c>
      <c r="AS204" t="s">
        <v>331</v>
      </c>
      <c r="AT204" t="s">
        <v>314</v>
      </c>
      <c r="AU204" t="s">
        <v>309</v>
      </c>
      <c r="AV204">
        <v>7.4</v>
      </c>
    </row>
    <row r="205" spans="32:48" x14ac:dyDescent="0.25">
      <c r="AN205" t="s">
        <v>73</v>
      </c>
      <c r="AO205" t="s">
        <v>60</v>
      </c>
      <c r="AP205">
        <v>2001</v>
      </c>
      <c r="AQ205" t="s">
        <v>62</v>
      </c>
      <c r="AR205" t="s">
        <v>305</v>
      </c>
      <c r="AS205" t="s">
        <v>331</v>
      </c>
      <c r="AT205" t="s">
        <v>314</v>
      </c>
      <c r="AU205" t="s">
        <v>268</v>
      </c>
      <c r="AV205">
        <v>11</v>
      </c>
    </row>
    <row r="206" spans="32:48" x14ac:dyDescent="0.25">
      <c r="AN206" t="s">
        <v>73</v>
      </c>
      <c r="AO206" t="s">
        <v>60</v>
      </c>
      <c r="AP206">
        <v>2001</v>
      </c>
      <c r="AQ206" t="s">
        <v>62</v>
      </c>
      <c r="AR206" t="s">
        <v>305</v>
      </c>
      <c r="AS206" t="s">
        <v>331</v>
      </c>
      <c r="AT206" t="s">
        <v>242</v>
      </c>
      <c r="AU206" t="s">
        <v>308</v>
      </c>
      <c r="AV206">
        <v>2.6</v>
      </c>
    </row>
    <row r="207" spans="32:48" x14ac:dyDescent="0.25">
      <c r="AN207" t="s">
        <v>73</v>
      </c>
      <c r="AO207" t="s">
        <v>60</v>
      </c>
      <c r="AP207">
        <v>2001</v>
      </c>
      <c r="AQ207" t="s">
        <v>62</v>
      </c>
      <c r="AR207" t="s">
        <v>305</v>
      </c>
      <c r="AS207" t="s">
        <v>331</v>
      </c>
      <c r="AT207" t="s">
        <v>242</v>
      </c>
      <c r="AU207" t="s">
        <v>309</v>
      </c>
      <c r="AV207">
        <v>5.8</v>
      </c>
    </row>
    <row r="208" spans="32:48" x14ac:dyDescent="0.25">
      <c r="AN208" t="s">
        <v>73</v>
      </c>
      <c r="AO208" t="s">
        <v>60</v>
      </c>
      <c r="AP208">
        <v>2001</v>
      </c>
      <c r="AQ208" t="s">
        <v>62</v>
      </c>
      <c r="AR208" t="s">
        <v>305</v>
      </c>
      <c r="AS208" t="s">
        <v>331</v>
      </c>
      <c r="AT208" t="s">
        <v>242</v>
      </c>
      <c r="AU208" t="s">
        <v>268</v>
      </c>
      <c r="AV208">
        <v>8.4</v>
      </c>
    </row>
    <row r="209" spans="40:48" x14ac:dyDescent="0.25">
      <c r="AN209" t="s">
        <v>73</v>
      </c>
      <c r="AO209" t="s">
        <v>60</v>
      </c>
      <c r="AP209">
        <v>2001</v>
      </c>
      <c r="AQ209" t="s">
        <v>62</v>
      </c>
      <c r="AR209" t="s">
        <v>305</v>
      </c>
      <c r="AS209" t="s">
        <v>331</v>
      </c>
      <c r="AT209" t="s">
        <v>243</v>
      </c>
      <c r="AU209" t="s">
        <v>326</v>
      </c>
      <c r="AV209">
        <v>20.500000000000004</v>
      </c>
    </row>
    <row r="210" spans="40:48" x14ac:dyDescent="0.25">
      <c r="AN210" t="s">
        <v>73</v>
      </c>
      <c r="AO210" t="s">
        <v>60</v>
      </c>
      <c r="AP210">
        <v>2001</v>
      </c>
      <c r="AQ210" t="s">
        <v>62</v>
      </c>
      <c r="AR210" t="s">
        <v>305</v>
      </c>
      <c r="AS210" t="s">
        <v>331</v>
      </c>
      <c r="AT210" t="s">
        <v>243</v>
      </c>
      <c r="AU210" t="s">
        <v>327</v>
      </c>
      <c r="AV210">
        <v>43.1</v>
      </c>
    </row>
    <row r="211" spans="40:48" x14ac:dyDescent="0.25">
      <c r="AN211" t="s">
        <v>73</v>
      </c>
      <c r="AO211" t="s">
        <v>60</v>
      </c>
      <c r="AP211">
        <v>2001</v>
      </c>
      <c r="AQ211" t="s">
        <v>62</v>
      </c>
      <c r="AR211" t="s">
        <v>305</v>
      </c>
      <c r="AS211" t="s">
        <v>331</v>
      </c>
      <c r="AT211" t="s">
        <v>243</v>
      </c>
      <c r="AU211" t="s">
        <v>329</v>
      </c>
      <c r="AV211">
        <v>63.6</v>
      </c>
    </row>
    <row r="212" spans="40:48" x14ac:dyDescent="0.25">
      <c r="AN212" t="s">
        <v>77</v>
      </c>
      <c r="AO212" t="s">
        <v>60</v>
      </c>
      <c r="AP212">
        <v>2002</v>
      </c>
      <c r="AQ212" t="s">
        <v>79</v>
      </c>
      <c r="AR212" t="s">
        <v>305</v>
      </c>
      <c r="AS212" t="s">
        <v>331</v>
      </c>
      <c r="AT212" t="s">
        <v>218</v>
      </c>
      <c r="AU212" t="s">
        <v>308</v>
      </c>
      <c r="AV212">
        <v>3.8</v>
      </c>
    </row>
    <row r="213" spans="40:48" x14ac:dyDescent="0.25">
      <c r="AN213" t="s">
        <v>77</v>
      </c>
      <c r="AO213" t="s">
        <v>60</v>
      </c>
      <c r="AP213">
        <v>2002</v>
      </c>
      <c r="AQ213" t="s">
        <v>79</v>
      </c>
      <c r="AR213" t="s">
        <v>305</v>
      </c>
      <c r="AS213" t="s">
        <v>331</v>
      </c>
      <c r="AT213" t="s">
        <v>218</v>
      </c>
      <c r="AU213" t="s">
        <v>309</v>
      </c>
      <c r="AV213">
        <v>7.4</v>
      </c>
    </row>
    <row r="214" spans="40:48" x14ac:dyDescent="0.25">
      <c r="AN214" t="s">
        <v>77</v>
      </c>
      <c r="AO214" t="s">
        <v>60</v>
      </c>
      <c r="AP214">
        <v>2002</v>
      </c>
      <c r="AQ214" t="s">
        <v>79</v>
      </c>
      <c r="AR214" t="s">
        <v>305</v>
      </c>
      <c r="AS214" t="s">
        <v>331</v>
      </c>
      <c r="AT214" t="s">
        <v>218</v>
      </c>
      <c r="AU214" t="s">
        <v>268</v>
      </c>
      <c r="AV214">
        <v>11.2</v>
      </c>
    </row>
    <row r="215" spans="40:48" x14ac:dyDescent="0.25">
      <c r="AN215" t="s">
        <v>77</v>
      </c>
      <c r="AO215" t="s">
        <v>60</v>
      </c>
      <c r="AP215">
        <v>2002</v>
      </c>
      <c r="AQ215" t="s">
        <v>79</v>
      </c>
      <c r="AR215" t="s">
        <v>305</v>
      </c>
      <c r="AS215" t="s">
        <v>331</v>
      </c>
      <c r="AT215" t="s">
        <v>238</v>
      </c>
      <c r="AU215" t="s">
        <v>308</v>
      </c>
      <c r="AV215">
        <v>3.1</v>
      </c>
    </row>
    <row r="216" spans="40:48" x14ac:dyDescent="0.25">
      <c r="AN216" t="s">
        <v>77</v>
      </c>
      <c r="AO216" t="s">
        <v>60</v>
      </c>
      <c r="AP216">
        <v>2002</v>
      </c>
      <c r="AQ216" t="s">
        <v>79</v>
      </c>
      <c r="AR216" t="s">
        <v>305</v>
      </c>
      <c r="AS216" t="s">
        <v>331</v>
      </c>
      <c r="AT216" t="s">
        <v>238</v>
      </c>
      <c r="AU216" t="s">
        <v>309</v>
      </c>
      <c r="AV216">
        <v>7.6</v>
      </c>
    </row>
    <row r="217" spans="40:48" x14ac:dyDescent="0.25">
      <c r="AN217" t="s">
        <v>77</v>
      </c>
      <c r="AO217" t="s">
        <v>60</v>
      </c>
      <c r="AP217">
        <v>2002</v>
      </c>
      <c r="AQ217" t="s">
        <v>79</v>
      </c>
      <c r="AR217" t="s">
        <v>305</v>
      </c>
      <c r="AS217" t="s">
        <v>331</v>
      </c>
      <c r="AT217" t="s">
        <v>238</v>
      </c>
      <c r="AU217" t="s">
        <v>268</v>
      </c>
      <c r="AV217">
        <v>10.7</v>
      </c>
    </row>
    <row r="218" spans="40:48" x14ac:dyDescent="0.25">
      <c r="AN218" t="s">
        <v>77</v>
      </c>
      <c r="AO218" t="s">
        <v>60</v>
      </c>
      <c r="AP218">
        <v>2002</v>
      </c>
      <c r="AQ218" t="s">
        <v>79</v>
      </c>
      <c r="AR218" t="s">
        <v>305</v>
      </c>
      <c r="AS218" t="s">
        <v>331</v>
      </c>
      <c r="AT218" t="s">
        <v>239</v>
      </c>
      <c r="AU218" t="s">
        <v>308</v>
      </c>
      <c r="AV218">
        <v>3.4</v>
      </c>
    </row>
    <row r="219" spans="40:48" x14ac:dyDescent="0.25">
      <c r="AN219" t="s">
        <v>77</v>
      </c>
      <c r="AO219" t="s">
        <v>60</v>
      </c>
      <c r="AP219">
        <v>2002</v>
      </c>
      <c r="AQ219" t="s">
        <v>79</v>
      </c>
      <c r="AR219" t="s">
        <v>305</v>
      </c>
      <c r="AS219" t="s">
        <v>331</v>
      </c>
      <c r="AT219" t="s">
        <v>239</v>
      </c>
      <c r="AU219" t="s">
        <v>309</v>
      </c>
      <c r="AV219">
        <v>6</v>
      </c>
    </row>
    <row r="220" spans="40:48" x14ac:dyDescent="0.25">
      <c r="AN220" t="s">
        <v>77</v>
      </c>
      <c r="AO220" t="s">
        <v>60</v>
      </c>
      <c r="AP220">
        <v>2002</v>
      </c>
      <c r="AQ220" t="s">
        <v>79</v>
      </c>
      <c r="AR220" t="s">
        <v>305</v>
      </c>
      <c r="AS220" t="s">
        <v>331</v>
      </c>
      <c r="AT220" t="s">
        <v>239</v>
      </c>
      <c r="AU220" t="s">
        <v>268</v>
      </c>
      <c r="AV220">
        <v>9.4</v>
      </c>
    </row>
    <row r="221" spans="40:48" x14ac:dyDescent="0.25">
      <c r="AN221" t="s">
        <v>77</v>
      </c>
      <c r="AO221" t="s">
        <v>60</v>
      </c>
      <c r="AP221">
        <v>2002</v>
      </c>
      <c r="AQ221" t="s">
        <v>79</v>
      </c>
      <c r="AR221" t="s">
        <v>305</v>
      </c>
      <c r="AS221" t="s">
        <v>331</v>
      </c>
      <c r="AT221" t="s">
        <v>240</v>
      </c>
      <c r="AU221" t="s">
        <v>308</v>
      </c>
      <c r="AV221">
        <v>3.2</v>
      </c>
    </row>
    <row r="222" spans="40:48" x14ac:dyDescent="0.25">
      <c r="AN222" t="s">
        <v>77</v>
      </c>
      <c r="AO222" t="s">
        <v>60</v>
      </c>
      <c r="AP222">
        <v>2002</v>
      </c>
      <c r="AQ222" t="s">
        <v>79</v>
      </c>
      <c r="AR222" t="s">
        <v>305</v>
      </c>
      <c r="AS222" t="s">
        <v>331</v>
      </c>
      <c r="AT222" t="s">
        <v>240</v>
      </c>
      <c r="AU222" t="s">
        <v>309</v>
      </c>
      <c r="AV222">
        <v>8.3000000000000007</v>
      </c>
    </row>
    <row r="223" spans="40:48" x14ac:dyDescent="0.25">
      <c r="AN223" t="s">
        <v>77</v>
      </c>
      <c r="AO223" t="s">
        <v>60</v>
      </c>
      <c r="AP223">
        <v>2002</v>
      </c>
      <c r="AQ223" t="s">
        <v>79</v>
      </c>
      <c r="AR223" t="s">
        <v>305</v>
      </c>
      <c r="AS223" t="s">
        <v>331</v>
      </c>
      <c r="AT223" t="s">
        <v>240</v>
      </c>
      <c r="AU223" t="s">
        <v>268</v>
      </c>
      <c r="AV223">
        <v>11.5</v>
      </c>
    </row>
    <row r="224" spans="40:48" x14ac:dyDescent="0.25">
      <c r="AN224" t="s">
        <v>77</v>
      </c>
      <c r="AO224" t="s">
        <v>60</v>
      </c>
      <c r="AP224">
        <v>2002</v>
      </c>
      <c r="AQ224" t="s">
        <v>79</v>
      </c>
      <c r="AR224" t="s">
        <v>305</v>
      </c>
      <c r="AS224" t="s">
        <v>331</v>
      </c>
      <c r="AT224" t="s">
        <v>314</v>
      </c>
      <c r="AU224" t="s">
        <v>308</v>
      </c>
      <c r="AV224">
        <v>3.1</v>
      </c>
    </row>
    <row r="225" spans="40:48" x14ac:dyDescent="0.25">
      <c r="AN225" t="s">
        <v>77</v>
      </c>
      <c r="AO225" t="s">
        <v>60</v>
      </c>
      <c r="AP225">
        <v>2002</v>
      </c>
      <c r="AQ225" t="s">
        <v>79</v>
      </c>
      <c r="AR225" t="s">
        <v>305</v>
      </c>
      <c r="AS225" t="s">
        <v>331</v>
      </c>
      <c r="AT225" t="s">
        <v>314</v>
      </c>
      <c r="AU225" t="s">
        <v>309</v>
      </c>
      <c r="AV225">
        <v>6.9</v>
      </c>
    </row>
    <row r="226" spans="40:48" x14ac:dyDescent="0.25">
      <c r="AN226" t="s">
        <v>77</v>
      </c>
      <c r="AO226" t="s">
        <v>60</v>
      </c>
      <c r="AP226">
        <v>2002</v>
      </c>
      <c r="AQ226" t="s">
        <v>79</v>
      </c>
      <c r="AR226" t="s">
        <v>305</v>
      </c>
      <c r="AS226" t="s">
        <v>331</v>
      </c>
      <c r="AT226" t="s">
        <v>314</v>
      </c>
      <c r="AU226" t="s">
        <v>268</v>
      </c>
      <c r="AV226">
        <v>10</v>
      </c>
    </row>
    <row r="227" spans="40:48" x14ac:dyDescent="0.25">
      <c r="AN227" t="s">
        <v>77</v>
      </c>
      <c r="AO227" t="s">
        <v>60</v>
      </c>
      <c r="AP227">
        <v>2002</v>
      </c>
      <c r="AQ227" t="s">
        <v>79</v>
      </c>
      <c r="AR227" t="s">
        <v>305</v>
      </c>
      <c r="AS227" t="s">
        <v>331</v>
      </c>
      <c r="AT227" t="s">
        <v>242</v>
      </c>
      <c r="AU227" t="s">
        <v>308</v>
      </c>
      <c r="AV227">
        <v>2.6</v>
      </c>
    </row>
    <row r="228" spans="40:48" x14ac:dyDescent="0.25">
      <c r="AN228" t="s">
        <v>77</v>
      </c>
      <c r="AO228" t="s">
        <v>60</v>
      </c>
      <c r="AP228">
        <v>2002</v>
      </c>
      <c r="AQ228" t="s">
        <v>79</v>
      </c>
      <c r="AR228" t="s">
        <v>305</v>
      </c>
      <c r="AS228" t="s">
        <v>331</v>
      </c>
      <c r="AT228" t="s">
        <v>242</v>
      </c>
      <c r="AU228" t="s">
        <v>309</v>
      </c>
      <c r="AV228">
        <v>7.3</v>
      </c>
    </row>
    <row r="229" spans="40:48" x14ac:dyDescent="0.25">
      <c r="AN229" t="s">
        <v>77</v>
      </c>
      <c r="AO229" t="s">
        <v>60</v>
      </c>
      <c r="AP229">
        <v>2002</v>
      </c>
      <c r="AQ229" t="s">
        <v>79</v>
      </c>
      <c r="AR229" t="s">
        <v>305</v>
      </c>
      <c r="AS229" t="s">
        <v>331</v>
      </c>
      <c r="AT229" t="s">
        <v>242</v>
      </c>
      <c r="AU229" t="s">
        <v>268</v>
      </c>
      <c r="AV229">
        <v>9.9</v>
      </c>
    </row>
    <row r="230" spans="40:48" x14ac:dyDescent="0.25">
      <c r="AN230" t="s">
        <v>77</v>
      </c>
      <c r="AO230" t="s">
        <v>60</v>
      </c>
      <c r="AP230">
        <v>2002</v>
      </c>
      <c r="AQ230" t="s">
        <v>79</v>
      </c>
      <c r="AR230" t="s">
        <v>305</v>
      </c>
      <c r="AS230" t="s">
        <v>331</v>
      </c>
      <c r="AT230" t="s">
        <v>243</v>
      </c>
      <c r="AU230" t="s">
        <v>326</v>
      </c>
      <c r="AV230">
        <v>19.200000000000003</v>
      </c>
    </row>
    <row r="231" spans="40:48" x14ac:dyDescent="0.25">
      <c r="AN231" t="s">
        <v>77</v>
      </c>
      <c r="AO231" t="s">
        <v>60</v>
      </c>
      <c r="AP231">
        <v>2002</v>
      </c>
      <c r="AQ231" t="s">
        <v>79</v>
      </c>
      <c r="AR231" t="s">
        <v>305</v>
      </c>
      <c r="AS231" t="s">
        <v>331</v>
      </c>
      <c r="AT231" t="s">
        <v>243</v>
      </c>
      <c r="AU231" t="s">
        <v>327</v>
      </c>
      <c r="AV231">
        <v>43.5</v>
      </c>
    </row>
    <row r="232" spans="40:48" x14ac:dyDescent="0.25">
      <c r="AN232" t="s">
        <v>77</v>
      </c>
      <c r="AO232" t="s">
        <v>60</v>
      </c>
      <c r="AP232">
        <v>2002</v>
      </c>
      <c r="AQ232" t="s">
        <v>79</v>
      </c>
      <c r="AR232" t="s">
        <v>305</v>
      </c>
      <c r="AS232" t="s">
        <v>331</v>
      </c>
      <c r="AT232" t="s">
        <v>243</v>
      </c>
      <c r="AU232" t="s">
        <v>329</v>
      </c>
      <c r="AV232">
        <v>62.7</v>
      </c>
    </row>
    <row r="233" spans="40:48" x14ac:dyDescent="0.25">
      <c r="AN233" t="s">
        <v>80</v>
      </c>
      <c r="AO233" t="s">
        <v>60</v>
      </c>
      <c r="AP233">
        <v>2004</v>
      </c>
      <c r="AQ233" t="s">
        <v>62</v>
      </c>
      <c r="AR233" t="s">
        <v>305</v>
      </c>
      <c r="AS233" t="s">
        <v>331</v>
      </c>
      <c r="AT233" t="s">
        <v>218</v>
      </c>
      <c r="AU233" t="s">
        <v>308</v>
      </c>
      <c r="AV233">
        <v>3.6</v>
      </c>
    </row>
    <row r="234" spans="40:48" x14ac:dyDescent="0.25">
      <c r="AN234" t="s">
        <v>80</v>
      </c>
      <c r="AO234" t="s">
        <v>60</v>
      </c>
      <c r="AP234">
        <v>2004</v>
      </c>
      <c r="AQ234" t="s">
        <v>62</v>
      </c>
      <c r="AR234" t="s">
        <v>305</v>
      </c>
      <c r="AS234" t="s">
        <v>331</v>
      </c>
      <c r="AT234" t="s">
        <v>218</v>
      </c>
      <c r="AU234" t="s">
        <v>309</v>
      </c>
      <c r="AV234">
        <v>7.45</v>
      </c>
    </row>
    <row r="235" spans="40:48" x14ac:dyDescent="0.25">
      <c r="AN235" t="s">
        <v>80</v>
      </c>
      <c r="AO235" t="s">
        <v>60</v>
      </c>
      <c r="AP235">
        <v>2004</v>
      </c>
      <c r="AQ235" t="s">
        <v>62</v>
      </c>
      <c r="AR235" t="s">
        <v>305</v>
      </c>
      <c r="AS235" t="s">
        <v>331</v>
      </c>
      <c r="AT235" t="s">
        <v>218</v>
      </c>
      <c r="AU235" t="s">
        <v>268</v>
      </c>
      <c r="AV235">
        <v>11.05</v>
      </c>
    </row>
    <row r="236" spans="40:48" x14ac:dyDescent="0.25">
      <c r="AN236" t="s">
        <v>80</v>
      </c>
      <c r="AO236" t="s">
        <v>60</v>
      </c>
      <c r="AP236">
        <v>2004</v>
      </c>
      <c r="AQ236" t="s">
        <v>62</v>
      </c>
      <c r="AR236" t="s">
        <v>305</v>
      </c>
      <c r="AS236" t="s">
        <v>331</v>
      </c>
      <c r="AT236" t="s">
        <v>238</v>
      </c>
      <c r="AU236" t="s">
        <v>308</v>
      </c>
      <c r="AV236">
        <v>4.0999999999999996</v>
      </c>
    </row>
    <row r="237" spans="40:48" x14ac:dyDescent="0.25">
      <c r="AN237" t="s">
        <v>80</v>
      </c>
      <c r="AO237" t="s">
        <v>60</v>
      </c>
      <c r="AP237">
        <v>2004</v>
      </c>
      <c r="AQ237" t="s">
        <v>62</v>
      </c>
      <c r="AR237" t="s">
        <v>305</v>
      </c>
      <c r="AS237" t="s">
        <v>331</v>
      </c>
      <c r="AT237" t="s">
        <v>238</v>
      </c>
      <c r="AU237" t="s">
        <v>309</v>
      </c>
      <c r="AV237">
        <v>6.7</v>
      </c>
    </row>
    <row r="238" spans="40:48" x14ac:dyDescent="0.25">
      <c r="AN238" t="s">
        <v>80</v>
      </c>
      <c r="AO238" t="s">
        <v>60</v>
      </c>
      <c r="AP238">
        <v>2004</v>
      </c>
      <c r="AQ238" t="s">
        <v>62</v>
      </c>
      <c r="AR238" t="s">
        <v>305</v>
      </c>
      <c r="AS238" t="s">
        <v>331</v>
      </c>
      <c r="AT238" t="s">
        <v>238</v>
      </c>
      <c r="AU238" t="s">
        <v>268</v>
      </c>
      <c r="AV238">
        <v>10.8</v>
      </c>
    </row>
    <row r="239" spans="40:48" x14ac:dyDescent="0.25">
      <c r="AN239" t="s">
        <v>80</v>
      </c>
      <c r="AO239" t="s">
        <v>60</v>
      </c>
      <c r="AP239">
        <v>2004</v>
      </c>
      <c r="AQ239" t="s">
        <v>62</v>
      </c>
      <c r="AR239" t="s">
        <v>305</v>
      </c>
      <c r="AS239" t="s">
        <v>331</v>
      </c>
      <c r="AT239" t="s">
        <v>239</v>
      </c>
      <c r="AU239" t="s">
        <v>308</v>
      </c>
      <c r="AV239">
        <v>3.5</v>
      </c>
    </row>
    <row r="240" spans="40:48" x14ac:dyDescent="0.25">
      <c r="AN240" t="s">
        <v>80</v>
      </c>
      <c r="AO240" t="s">
        <v>60</v>
      </c>
      <c r="AP240">
        <v>2004</v>
      </c>
      <c r="AQ240" t="s">
        <v>62</v>
      </c>
      <c r="AR240" t="s">
        <v>305</v>
      </c>
      <c r="AS240" t="s">
        <v>331</v>
      </c>
      <c r="AT240" t="s">
        <v>239</v>
      </c>
      <c r="AU240" t="s">
        <v>309</v>
      </c>
      <c r="AV240">
        <v>8.3000000000000007</v>
      </c>
    </row>
    <row r="241" spans="40:48" x14ac:dyDescent="0.25">
      <c r="AN241" t="s">
        <v>80</v>
      </c>
      <c r="AO241" t="s">
        <v>60</v>
      </c>
      <c r="AP241">
        <v>2004</v>
      </c>
      <c r="AQ241" t="s">
        <v>62</v>
      </c>
      <c r="AR241" t="s">
        <v>305</v>
      </c>
      <c r="AS241" t="s">
        <v>331</v>
      </c>
      <c r="AT241" t="s">
        <v>239</v>
      </c>
      <c r="AU241" t="s">
        <v>268</v>
      </c>
      <c r="AV241">
        <v>11.8</v>
      </c>
    </row>
    <row r="242" spans="40:48" x14ac:dyDescent="0.25">
      <c r="AN242" t="s">
        <v>80</v>
      </c>
      <c r="AO242" t="s">
        <v>60</v>
      </c>
      <c r="AP242">
        <v>2004</v>
      </c>
      <c r="AQ242" t="s">
        <v>62</v>
      </c>
      <c r="AR242" t="s">
        <v>305</v>
      </c>
      <c r="AS242" t="s">
        <v>331</v>
      </c>
      <c r="AT242" t="s">
        <v>240</v>
      </c>
      <c r="AU242" t="s">
        <v>308</v>
      </c>
      <c r="AV242">
        <v>2.4</v>
      </c>
    </row>
    <row r="243" spans="40:48" x14ac:dyDescent="0.25">
      <c r="AN243" t="s">
        <v>80</v>
      </c>
      <c r="AO243" t="s">
        <v>60</v>
      </c>
      <c r="AP243">
        <v>2004</v>
      </c>
      <c r="AQ243" t="s">
        <v>62</v>
      </c>
      <c r="AR243" t="s">
        <v>305</v>
      </c>
      <c r="AS243" t="s">
        <v>331</v>
      </c>
      <c r="AT243" t="s">
        <v>240</v>
      </c>
      <c r="AU243" t="s">
        <v>309</v>
      </c>
      <c r="AV243">
        <v>8.3000000000000007</v>
      </c>
    </row>
    <row r="244" spans="40:48" x14ac:dyDescent="0.25">
      <c r="AN244" t="s">
        <v>80</v>
      </c>
      <c r="AO244" t="s">
        <v>60</v>
      </c>
      <c r="AP244">
        <v>2004</v>
      </c>
      <c r="AQ244" t="s">
        <v>62</v>
      </c>
      <c r="AR244" t="s">
        <v>305</v>
      </c>
      <c r="AS244" t="s">
        <v>331</v>
      </c>
      <c r="AT244" t="s">
        <v>240</v>
      </c>
      <c r="AU244" t="s">
        <v>268</v>
      </c>
      <c r="AV244">
        <v>10.7</v>
      </c>
    </row>
    <row r="245" spans="40:48" x14ac:dyDescent="0.25">
      <c r="AN245" t="s">
        <v>80</v>
      </c>
      <c r="AO245" t="s">
        <v>60</v>
      </c>
      <c r="AP245">
        <v>2004</v>
      </c>
      <c r="AQ245" t="s">
        <v>62</v>
      </c>
      <c r="AR245" t="s">
        <v>305</v>
      </c>
      <c r="AS245" t="s">
        <v>331</v>
      </c>
      <c r="AT245" t="s">
        <v>314</v>
      </c>
      <c r="AU245" t="s">
        <v>308</v>
      </c>
      <c r="AV245">
        <v>2.7</v>
      </c>
    </row>
    <row r="246" spans="40:48" x14ac:dyDescent="0.25">
      <c r="AN246" t="s">
        <v>80</v>
      </c>
      <c r="AO246" t="s">
        <v>60</v>
      </c>
      <c r="AP246">
        <v>2004</v>
      </c>
      <c r="AQ246" t="s">
        <v>62</v>
      </c>
      <c r="AR246" t="s">
        <v>305</v>
      </c>
      <c r="AS246" t="s">
        <v>331</v>
      </c>
      <c r="AT246" t="s">
        <v>314</v>
      </c>
      <c r="AU246" t="s">
        <v>309</v>
      </c>
      <c r="AV246">
        <v>6</v>
      </c>
    </row>
    <row r="247" spans="40:48" x14ac:dyDescent="0.25">
      <c r="AN247" t="s">
        <v>80</v>
      </c>
      <c r="AO247" t="s">
        <v>60</v>
      </c>
      <c r="AP247">
        <v>2004</v>
      </c>
      <c r="AQ247" t="s">
        <v>62</v>
      </c>
      <c r="AR247" t="s">
        <v>305</v>
      </c>
      <c r="AS247" t="s">
        <v>331</v>
      </c>
      <c r="AT247" t="s">
        <v>314</v>
      </c>
      <c r="AU247" t="s">
        <v>268</v>
      </c>
      <c r="AV247">
        <v>8.6999999999999993</v>
      </c>
    </row>
    <row r="248" spans="40:48" x14ac:dyDescent="0.25">
      <c r="AN248" t="s">
        <v>80</v>
      </c>
      <c r="AO248" t="s">
        <v>60</v>
      </c>
      <c r="AP248">
        <v>2004</v>
      </c>
      <c r="AQ248" t="s">
        <v>62</v>
      </c>
      <c r="AR248" t="s">
        <v>305</v>
      </c>
      <c r="AS248" t="s">
        <v>331</v>
      </c>
      <c r="AT248" t="s">
        <v>242</v>
      </c>
      <c r="AU248" t="s">
        <v>308</v>
      </c>
      <c r="AV248">
        <v>2.2000000000000002</v>
      </c>
    </row>
    <row r="249" spans="40:48" x14ac:dyDescent="0.25">
      <c r="AN249" t="s">
        <v>80</v>
      </c>
      <c r="AO249" t="s">
        <v>60</v>
      </c>
      <c r="AP249">
        <v>2004</v>
      </c>
      <c r="AQ249" t="s">
        <v>62</v>
      </c>
      <c r="AR249" t="s">
        <v>305</v>
      </c>
      <c r="AS249" t="s">
        <v>331</v>
      </c>
      <c r="AT249" t="s">
        <v>242</v>
      </c>
      <c r="AU249" t="s">
        <v>309</v>
      </c>
      <c r="AV249">
        <v>1</v>
      </c>
    </row>
    <row r="250" spans="40:48" x14ac:dyDescent="0.25">
      <c r="AN250" t="s">
        <v>80</v>
      </c>
      <c r="AO250" t="s">
        <v>60</v>
      </c>
      <c r="AP250">
        <v>2004</v>
      </c>
      <c r="AQ250" t="s">
        <v>62</v>
      </c>
      <c r="AR250" t="s">
        <v>305</v>
      </c>
      <c r="AS250" t="s">
        <v>331</v>
      </c>
      <c r="AT250" t="s">
        <v>242</v>
      </c>
      <c r="AU250" t="s">
        <v>268</v>
      </c>
      <c r="AV250">
        <v>3.2</v>
      </c>
    </row>
    <row r="251" spans="40:48" x14ac:dyDescent="0.25">
      <c r="AN251" t="s">
        <v>80</v>
      </c>
      <c r="AO251" t="s">
        <v>60</v>
      </c>
      <c r="AP251">
        <v>2004</v>
      </c>
      <c r="AQ251" t="s">
        <v>62</v>
      </c>
      <c r="AR251" t="s">
        <v>305</v>
      </c>
      <c r="AS251" t="s">
        <v>331</v>
      </c>
      <c r="AT251" t="s">
        <v>243</v>
      </c>
      <c r="AU251" t="s">
        <v>326</v>
      </c>
      <c r="AV251">
        <v>18.5</v>
      </c>
    </row>
    <row r="252" spans="40:48" x14ac:dyDescent="0.25">
      <c r="AN252" t="s">
        <v>80</v>
      </c>
      <c r="AO252" t="s">
        <v>60</v>
      </c>
      <c r="AP252">
        <v>2004</v>
      </c>
      <c r="AQ252" t="s">
        <v>62</v>
      </c>
      <c r="AR252" t="s">
        <v>305</v>
      </c>
      <c r="AS252" t="s">
        <v>331</v>
      </c>
      <c r="AT252" t="s">
        <v>243</v>
      </c>
      <c r="AU252" t="s">
        <v>327</v>
      </c>
      <c r="AV252">
        <v>37.75</v>
      </c>
    </row>
    <row r="253" spans="40:48" x14ac:dyDescent="0.25">
      <c r="AN253" t="s">
        <v>80</v>
      </c>
      <c r="AO253" t="s">
        <v>60</v>
      </c>
      <c r="AP253">
        <v>2004</v>
      </c>
      <c r="AQ253" t="s">
        <v>62</v>
      </c>
      <c r="AR253" t="s">
        <v>305</v>
      </c>
      <c r="AS253" t="s">
        <v>331</v>
      </c>
      <c r="AT253" t="s">
        <v>243</v>
      </c>
      <c r="AU253" t="s">
        <v>329</v>
      </c>
      <c r="AV253">
        <v>56.25</v>
      </c>
    </row>
    <row r="254" spans="40:48" x14ac:dyDescent="0.25">
      <c r="AN254" t="s">
        <v>88</v>
      </c>
      <c r="AO254" t="s">
        <v>60</v>
      </c>
      <c r="AP254">
        <v>2003</v>
      </c>
      <c r="AQ254" t="s">
        <v>36</v>
      </c>
      <c r="AR254" t="s">
        <v>305</v>
      </c>
      <c r="AS254" t="s">
        <v>331</v>
      </c>
      <c r="AT254" t="s">
        <v>218</v>
      </c>
      <c r="AU254" t="s">
        <v>308</v>
      </c>
      <c r="AV254">
        <v>3.2</v>
      </c>
    </row>
    <row r="255" spans="40:48" x14ac:dyDescent="0.25">
      <c r="AN255" t="s">
        <v>88</v>
      </c>
      <c r="AO255" t="s">
        <v>60</v>
      </c>
      <c r="AP255">
        <v>2003</v>
      </c>
      <c r="AQ255" t="s">
        <v>36</v>
      </c>
      <c r="AR255" t="s">
        <v>305</v>
      </c>
      <c r="AS255" t="s">
        <v>331</v>
      </c>
      <c r="AT255" t="s">
        <v>218</v>
      </c>
      <c r="AU255" t="s">
        <v>309</v>
      </c>
      <c r="AV255">
        <v>7</v>
      </c>
    </row>
    <row r="256" spans="40:48" x14ac:dyDescent="0.25">
      <c r="AN256" t="s">
        <v>88</v>
      </c>
      <c r="AO256" t="s">
        <v>60</v>
      </c>
      <c r="AP256">
        <v>2003</v>
      </c>
      <c r="AQ256" t="s">
        <v>36</v>
      </c>
      <c r="AR256" t="s">
        <v>305</v>
      </c>
      <c r="AS256" t="s">
        <v>331</v>
      </c>
      <c r="AT256" t="s">
        <v>218</v>
      </c>
      <c r="AU256" t="s">
        <v>268</v>
      </c>
      <c r="AV256">
        <v>10.199999999999999</v>
      </c>
    </row>
    <row r="257" spans="40:48" x14ac:dyDescent="0.25">
      <c r="AN257" t="s">
        <v>88</v>
      </c>
      <c r="AO257" t="s">
        <v>60</v>
      </c>
      <c r="AP257">
        <v>2003</v>
      </c>
      <c r="AQ257" t="s">
        <v>36</v>
      </c>
      <c r="AR257" t="s">
        <v>305</v>
      </c>
      <c r="AS257" t="s">
        <v>331</v>
      </c>
      <c r="AT257" t="s">
        <v>238</v>
      </c>
      <c r="AU257" t="s">
        <v>308</v>
      </c>
      <c r="AV257">
        <v>2.4</v>
      </c>
    </row>
    <row r="258" spans="40:48" x14ac:dyDescent="0.25">
      <c r="AN258" t="s">
        <v>88</v>
      </c>
      <c r="AO258" t="s">
        <v>60</v>
      </c>
      <c r="AP258">
        <v>2003</v>
      </c>
      <c r="AQ258" t="s">
        <v>36</v>
      </c>
      <c r="AR258" t="s">
        <v>305</v>
      </c>
      <c r="AS258" t="s">
        <v>331</v>
      </c>
      <c r="AT258" t="s">
        <v>238</v>
      </c>
      <c r="AU258" t="s">
        <v>309</v>
      </c>
      <c r="AV258">
        <v>5.8</v>
      </c>
    </row>
    <row r="259" spans="40:48" x14ac:dyDescent="0.25">
      <c r="AN259" t="s">
        <v>88</v>
      </c>
      <c r="AO259" t="s">
        <v>60</v>
      </c>
      <c r="AP259">
        <v>2003</v>
      </c>
      <c r="AQ259" t="s">
        <v>36</v>
      </c>
      <c r="AR259" t="s">
        <v>305</v>
      </c>
      <c r="AS259" t="s">
        <v>331</v>
      </c>
      <c r="AT259" t="s">
        <v>238</v>
      </c>
      <c r="AU259" t="s">
        <v>268</v>
      </c>
      <c r="AV259">
        <v>8.1999999999999993</v>
      </c>
    </row>
    <row r="260" spans="40:48" x14ac:dyDescent="0.25">
      <c r="AN260" t="s">
        <v>88</v>
      </c>
      <c r="AO260" t="s">
        <v>60</v>
      </c>
      <c r="AP260">
        <v>2003</v>
      </c>
      <c r="AQ260" t="s">
        <v>36</v>
      </c>
      <c r="AR260" t="s">
        <v>305</v>
      </c>
      <c r="AS260" t="s">
        <v>331</v>
      </c>
      <c r="AT260" t="s">
        <v>239</v>
      </c>
      <c r="AU260" t="s">
        <v>308</v>
      </c>
      <c r="AV260">
        <v>2.2000000000000002</v>
      </c>
    </row>
    <row r="261" spans="40:48" x14ac:dyDescent="0.25">
      <c r="AN261" t="s">
        <v>88</v>
      </c>
      <c r="AO261" t="s">
        <v>60</v>
      </c>
      <c r="AP261">
        <v>2003</v>
      </c>
      <c r="AQ261" t="s">
        <v>36</v>
      </c>
      <c r="AR261" t="s">
        <v>305</v>
      </c>
      <c r="AS261" t="s">
        <v>331</v>
      </c>
      <c r="AT261" t="s">
        <v>239</v>
      </c>
      <c r="AU261" t="s">
        <v>309</v>
      </c>
      <c r="AV261">
        <v>7.7</v>
      </c>
    </row>
    <row r="262" spans="40:48" x14ac:dyDescent="0.25">
      <c r="AN262" t="s">
        <v>88</v>
      </c>
      <c r="AO262" t="s">
        <v>60</v>
      </c>
      <c r="AP262">
        <v>2003</v>
      </c>
      <c r="AQ262" t="s">
        <v>36</v>
      </c>
      <c r="AR262" t="s">
        <v>305</v>
      </c>
      <c r="AS262" t="s">
        <v>331</v>
      </c>
      <c r="AT262" t="s">
        <v>239</v>
      </c>
      <c r="AU262" t="s">
        <v>268</v>
      </c>
      <c r="AV262">
        <v>9.9</v>
      </c>
    </row>
    <row r="263" spans="40:48" x14ac:dyDescent="0.25">
      <c r="AN263" t="s">
        <v>88</v>
      </c>
      <c r="AO263" t="s">
        <v>60</v>
      </c>
      <c r="AP263">
        <v>2003</v>
      </c>
      <c r="AQ263" t="s">
        <v>36</v>
      </c>
      <c r="AR263" t="s">
        <v>305</v>
      </c>
      <c r="AS263" t="s">
        <v>331</v>
      </c>
      <c r="AT263" t="s">
        <v>240</v>
      </c>
      <c r="AU263" t="s">
        <v>308</v>
      </c>
      <c r="AV263">
        <v>2.4</v>
      </c>
    </row>
    <row r="264" spans="40:48" x14ac:dyDescent="0.25">
      <c r="AN264" t="s">
        <v>88</v>
      </c>
      <c r="AO264" t="s">
        <v>60</v>
      </c>
      <c r="AP264">
        <v>2003</v>
      </c>
      <c r="AQ264" t="s">
        <v>36</v>
      </c>
      <c r="AR264" t="s">
        <v>305</v>
      </c>
      <c r="AS264" t="s">
        <v>331</v>
      </c>
      <c r="AT264" t="s">
        <v>240</v>
      </c>
      <c r="AU264" t="s">
        <v>309</v>
      </c>
      <c r="AV264">
        <v>8</v>
      </c>
    </row>
    <row r="265" spans="40:48" x14ac:dyDescent="0.25">
      <c r="AN265" t="s">
        <v>88</v>
      </c>
      <c r="AO265" t="s">
        <v>60</v>
      </c>
      <c r="AP265">
        <v>2003</v>
      </c>
      <c r="AQ265" t="s">
        <v>36</v>
      </c>
      <c r="AR265" t="s">
        <v>305</v>
      </c>
      <c r="AS265" t="s">
        <v>331</v>
      </c>
      <c r="AT265" t="s">
        <v>240</v>
      </c>
      <c r="AU265" t="s">
        <v>268</v>
      </c>
      <c r="AV265">
        <v>10.4</v>
      </c>
    </row>
    <row r="266" spans="40:48" x14ac:dyDescent="0.25">
      <c r="AN266" t="s">
        <v>88</v>
      </c>
      <c r="AO266" t="s">
        <v>60</v>
      </c>
      <c r="AP266">
        <v>2003</v>
      </c>
      <c r="AQ266" t="s">
        <v>36</v>
      </c>
      <c r="AR266" t="s">
        <v>305</v>
      </c>
      <c r="AS266" t="s">
        <v>331</v>
      </c>
      <c r="AT266" t="s">
        <v>314</v>
      </c>
      <c r="AU266" t="s">
        <v>308</v>
      </c>
      <c r="AV266">
        <v>2.7</v>
      </c>
    </row>
    <row r="267" spans="40:48" x14ac:dyDescent="0.25">
      <c r="AN267" t="s">
        <v>88</v>
      </c>
      <c r="AO267" t="s">
        <v>60</v>
      </c>
      <c r="AP267">
        <v>2003</v>
      </c>
      <c r="AQ267" t="s">
        <v>36</v>
      </c>
      <c r="AR267" t="s">
        <v>305</v>
      </c>
      <c r="AS267" t="s">
        <v>331</v>
      </c>
      <c r="AT267" t="s">
        <v>314</v>
      </c>
      <c r="AU267" t="s">
        <v>309</v>
      </c>
      <c r="AV267">
        <v>7.9</v>
      </c>
    </row>
    <row r="268" spans="40:48" x14ac:dyDescent="0.25">
      <c r="AN268" t="s">
        <v>88</v>
      </c>
      <c r="AO268" t="s">
        <v>60</v>
      </c>
      <c r="AP268">
        <v>2003</v>
      </c>
      <c r="AQ268" t="s">
        <v>36</v>
      </c>
      <c r="AR268" t="s">
        <v>305</v>
      </c>
      <c r="AS268" t="s">
        <v>331</v>
      </c>
      <c r="AT268" t="s">
        <v>314</v>
      </c>
      <c r="AU268" t="s">
        <v>268</v>
      </c>
      <c r="AV268">
        <v>10.6</v>
      </c>
    </row>
    <row r="269" spans="40:48" x14ac:dyDescent="0.25">
      <c r="AN269" t="s">
        <v>88</v>
      </c>
      <c r="AO269" t="s">
        <v>60</v>
      </c>
      <c r="AP269">
        <v>2003</v>
      </c>
      <c r="AQ269" t="s">
        <v>36</v>
      </c>
      <c r="AR269" t="s">
        <v>305</v>
      </c>
      <c r="AS269" t="s">
        <v>331</v>
      </c>
      <c r="AT269" t="s">
        <v>242</v>
      </c>
      <c r="AU269" t="s">
        <v>308</v>
      </c>
      <c r="AV269">
        <v>1.9</v>
      </c>
    </row>
    <row r="270" spans="40:48" x14ac:dyDescent="0.25">
      <c r="AN270" t="s">
        <v>88</v>
      </c>
      <c r="AO270" t="s">
        <v>60</v>
      </c>
      <c r="AP270">
        <v>2003</v>
      </c>
      <c r="AQ270" t="s">
        <v>36</v>
      </c>
      <c r="AR270" t="s">
        <v>305</v>
      </c>
      <c r="AS270" t="s">
        <v>331</v>
      </c>
      <c r="AT270" t="s">
        <v>242</v>
      </c>
      <c r="AU270" t="s">
        <v>309</v>
      </c>
      <c r="AV270">
        <v>4.2</v>
      </c>
    </row>
    <row r="271" spans="40:48" x14ac:dyDescent="0.25">
      <c r="AN271" t="s">
        <v>88</v>
      </c>
      <c r="AO271" t="s">
        <v>60</v>
      </c>
      <c r="AP271">
        <v>2003</v>
      </c>
      <c r="AQ271" t="s">
        <v>36</v>
      </c>
      <c r="AR271" t="s">
        <v>305</v>
      </c>
      <c r="AS271" t="s">
        <v>331</v>
      </c>
      <c r="AT271" t="s">
        <v>242</v>
      </c>
      <c r="AU271" t="s">
        <v>268</v>
      </c>
      <c r="AV271">
        <v>6.1</v>
      </c>
    </row>
    <row r="272" spans="40:48" x14ac:dyDescent="0.25">
      <c r="AN272" t="s">
        <v>88</v>
      </c>
      <c r="AO272" t="s">
        <v>60</v>
      </c>
      <c r="AP272">
        <v>2003</v>
      </c>
      <c r="AQ272" t="s">
        <v>36</v>
      </c>
      <c r="AR272" t="s">
        <v>305</v>
      </c>
      <c r="AS272" t="s">
        <v>331</v>
      </c>
      <c r="AT272" t="s">
        <v>243</v>
      </c>
      <c r="AU272" t="s">
        <v>326</v>
      </c>
      <c r="AV272">
        <v>14.799999999999999</v>
      </c>
    </row>
    <row r="273" spans="40:48" x14ac:dyDescent="0.25">
      <c r="AN273" t="s">
        <v>88</v>
      </c>
      <c r="AO273" t="s">
        <v>60</v>
      </c>
      <c r="AP273">
        <v>2003</v>
      </c>
      <c r="AQ273" t="s">
        <v>36</v>
      </c>
      <c r="AR273" t="s">
        <v>305</v>
      </c>
      <c r="AS273" t="s">
        <v>331</v>
      </c>
      <c r="AT273" t="s">
        <v>243</v>
      </c>
      <c r="AU273" t="s">
        <v>327</v>
      </c>
      <c r="AV273">
        <v>40.6</v>
      </c>
    </row>
    <row r="274" spans="40:48" x14ac:dyDescent="0.25">
      <c r="AN274" t="s">
        <v>88</v>
      </c>
      <c r="AO274" t="s">
        <v>60</v>
      </c>
      <c r="AP274">
        <v>2003</v>
      </c>
      <c r="AQ274" t="s">
        <v>36</v>
      </c>
      <c r="AR274" t="s">
        <v>305</v>
      </c>
      <c r="AS274" t="s">
        <v>331</v>
      </c>
      <c r="AT274" t="s">
        <v>243</v>
      </c>
      <c r="AU274" t="s">
        <v>329</v>
      </c>
      <c r="AV274">
        <v>55.4</v>
      </c>
    </row>
    <row r="275" spans="40:48" x14ac:dyDescent="0.25">
      <c r="AN275" t="s">
        <v>86</v>
      </c>
      <c r="AO275" t="s">
        <v>60</v>
      </c>
      <c r="AP275">
        <v>2003</v>
      </c>
      <c r="AQ275" t="s">
        <v>72</v>
      </c>
      <c r="AR275" t="s">
        <v>306</v>
      </c>
      <c r="AS275" t="s">
        <v>331</v>
      </c>
      <c r="AT275" t="s">
        <v>218</v>
      </c>
      <c r="AU275" t="s">
        <v>308</v>
      </c>
      <c r="AV275">
        <v>3.9</v>
      </c>
    </row>
    <row r="276" spans="40:48" x14ac:dyDescent="0.25">
      <c r="AN276" t="s">
        <v>86</v>
      </c>
      <c r="AO276" t="s">
        <v>60</v>
      </c>
      <c r="AP276">
        <v>2003</v>
      </c>
      <c r="AQ276" t="s">
        <v>72</v>
      </c>
      <c r="AR276" t="s">
        <v>306</v>
      </c>
      <c r="AS276" t="s">
        <v>331</v>
      </c>
      <c r="AT276" t="s">
        <v>218</v>
      </c>
      <c r="AU276" t="s">
        <v>309</v>
      </c>
      <c r="AV276">
        <v>7.2</v>
      </c>
    </row>
    <row r="277" spans="40:48" x14ac:dyDescent="0.25">
      <c r="AN277" t="s">
        <v>86</v>
      </c>
      <c r="AO277" t="s">
        <v>60</v>
      </c>
      <c r="AP277">
        <v>2003</v>
      </c>
      <c r="AQ277" t="s">
        <v>72</v>
      </c>
      <c r="AR277" t="s">
        <v>306</v>
      </c>
      <c r="AS277" t="s">
        <v>331</v>
      </c>
      <c r="AT277" t="s">
        <v>218</v>
      </c>
      <c r="AU277" t="s">
        <v>268</v>
      </c>
      <c r="AV277">
        <v>11.1</v>
      </c>
    </row>
    <row r="278" spans="40:48" x14ac:dyDescent="0.25">
      <c r="AN278" t="s">
        <v>86</v>
      </c>
      <c r="AO278" t="s">
        <v>60</v>
      </c>
      <c r="AP278">
        <v>2003</v>
      </c>
      <c r="AQ278" t="s">
        <v>72</v>
      </c>
      <c r="AR278" t="s">
        <v>306</v>
      </c>
      <c r="AS278" t="s">
        <v>331</v>
      </c>
      <c r="AT278" t="s">
        <v>238</v>
      </c>
      <c r="AU278" t="s">
        <v>308</v>
      </c>
      <c r="AV278">
        <v>3.8</v>
      </c>
    </row>
    <row r="279" spans="40:48" x14ac:dyDescent="0.25">
      <c r="AN279" t="s">
        <v>86</v>
      </c>
      <c r="AO279" t="s">
        <v>60</v>
      </c>
      <c r="AP279">
        <v>2003</v>
      </c>
      <c r="AQ279" t="s">
        <v>72</v>
      </c>
      <c r="AR279" t="s">
        <v>306</v>
      </c>
      <c r="AS279" t="s">
        <v>331</v>
      </c>
      <c r="AT279" t="s">
        <v>238</v>
      </c>
      <c r="AU279" t="s">
        <v>309</v>
      </c>
      <c r="AV279">
        <v>7.6</v>
      </c>
    </row>
    <row r="280" spans="40:48" x14ac:dyDescent="0.25">
      <c r="AN280" t="s">
        <v>86</v>
      </c>
      <c r="AO280" t="s">
        <v>60</v>
      </c>
      <c r="AP280">
        <v>2003</v>
      </c>
      <c r="AQ280" t="s">
        <v>72</v>
      </c>
      <c r="AR280" t="s">
        <v>306</v>
      </c>
      <c r="AS280" t="s">
        <v>331</v>
      </c>
      <c r="AT280" t="s">
        <v>238</v>
      </c>
      <c r="AU280" t="s">
        <v>268</v>
      </c>
      <c r="AV280">
        <v>11.4</v>
      </c>
    </row>
    <row r="281" spans="40:48" x14ac:dyDescent="0.25">
      <c r="AN281" t="s">
        <v>86</v>
      </c>
      <c r="AO281" t="s">
        <v>60</v>
      </c>
      <c r="AP281">
        <v>2003</v>
      </c>
      <c r="AQ281" t="s">
        <v>72</v>
      </c>
      <c r="AR281" t="s">
        <v>306</v>
      </c>
      <c r="AS281" t="s">
        <v>331</v>
      </c>
      <c r="AT281" t="s">
        <v>239</v>
      </c>
      <c r="AU281" t="s">
        <v>308</v>
      </c>
      <c r="AV281">
        <v>2.7</v>
      </c>
    </row>
    <row r="282" spans="40:48" x14ac:dyDescent="0.25">
      <c r="AN282" t="s">
        <v>86</v>
      </c>
      <c r="AO282" t="s">
        <v>60</v>
      </c>
      <c r="AP282">
        <v>2003</v>
      </c>
      <c r="AQ282" t="s">
        <v>72</v>
      </c>
      <c r="AR282" t="s">
        <v>306</v>
      </c>
      <c r="AS282" t="s">
        <v>331</v>
      </c>
      <c r="AT282" t="s">
        <v>239</v>
      </c>
      <c r="AU282" t="s">
        <v>309</v>
      </c>
      <c r="AV282">
        <v>6</v>
      </c>
    </row>
    <row r="283" spans="40:48" x14ac:dyDescent="0.25">
      <c r="AN283" t="s">
        <v>86</v>
      </c>
      <c r="AO283" t="s">
        <v>60</v>
      </c>
      <c r="AP283">
        <v>2003</v>
      </c>
      <c r="AQ283" t="s">
        <v>72</v>
      </c>
      <c r="AR283" t="s">
        <v>306</v>
      </c>
      <c r="AS283" t="s">
        <v>331</v>
      </c>
      <c r="AT283" t="s">
        <v>239</v>
      </c>
      <c r="AU283" t="s">
        <v>268</v>
      </c>
      <c r="AV283">
        <v>8.6999999999999993</v>
      </c>
    </row>
    <row r="284" spans="40:48" x14ac:dyDescent="0.25">
      <c r="AN284" t="s">
        <v>86</v>
      </c>
      <c r="AO284" t="s">
        <v>60</v>
      </c>
      <c r="AP284">
        <v>2003</v>
      </c>
      <c r="AQ284" t="s">
        <v>72</v>
      </c>
      <c r="AR284" t="s">
        <v>306</v>
      </c>
      <c r="AS284" t="s">
        <v>331</v>
      </c>
      <c r="AT284" t="s">
        <v>240</v>
      </c>
      <c r="AU284" t="s">
        <v>308</v>
      </c>
      <c r="AV284">
        <v>2.8</v>
      </c>
    </row>
    <row r="285" spans="40:48" x14ac:dyDescent="0.25">
      <c r="AN285" t="s">
        <v>86</v>
      </c>
      <c r="AO285" t="s">
        <v>60</v>
      </c>
      <c r="AP285">
        <v>2003</v>
      </c>
      <c r="AQ285" t="s">
        <v>72</v>
      </c>
      <c r="AR285" t="s">
        <v>306</v>
      </c>
      <c r="AS285" t="s">
        <v>331</v>
      </c>
      <c r="AT285" t="s">
        <v>240</v>
      </c>
      <c r="AU285" t="s">
        <v>309</v>
      </c>
      <c r="AV285">
        <v>8.3000000000000007</v>
      </c>
    </row>
    <row r="286" spans="40:48" x14ac:dyDescent="0.25">
      <c r="AN286" t="s">
        <v>86</v>
      </c>
      <c r="AO286" t="s">
        <v>60</v>
      </c>
      <c r="AP286">
        <v>2003</v>
      </c>
      <c r="AQ286" t="s">
        <v>72</v>
      </c>
      <c r="AR286" t="s">
        <v>306</v>
      </c>
      <c r="AS286" t="s">
        <v>331</v>
      </c>
      <c r="AT286" t="s">
        <v>240</v>
      </c>
      <c r="AU286" t="s">
        <v>268</v>
      </c>
      <c r="AV286">
        <v>11.1</v>
      </c>
    </row>
    <row r="287" spans="40:48" x14ac:dyDescent="0.25">
      <c r="AN287" t="s">
        <v>86</v>
      </c>
      <c r="AO287" t="s">
        <v>60</v>
      </c>
      <c r="AP287">
        <v>2003</v>
      </c>
      <c r="AQ287" t="s">
        <v>72</v>
      </c>
      <c r="AR287" t="s">
        <v>306</v>
      </c>
      <c r="AS287" t="s">
        <v>331</v>
      </c>
      <c r="AT287" t="s">
        <v>314</v>
      </c>
      <c r="AU287" t="s">
        <v>308</v>
      </c>
      <c r="AV287">
        <v>2.4</v>
      </c>
    </row>
    <row r="288" spans="40:48" x14ac:dyDescent="0.25">
      <c r="AN288" t="s">
        <v>86</v>
      </c>
      <c r="AO288" t="s">
        <v>60</v>
      </c>
      <c r="AP288">
        <v>2003</v>
      </c>
      <c r="AQ288" t="s">
        <v>72</v>
      </c>
      <c r="AR288" t="s">
        <v>306</v>
      </c>
      <c r="AS288" t="s">
        <v>331</v>
      </c>
      <c r="AT288" t="s">
        <v>314</v>
      </c>
      <c r="AU288" t="s">
        <v>309</v>
      </c>
      <c r="AV288">
        <v>4</v>
      </c>
    </row>
    <row r="289" spans="40:48" x14ac:dyDescent="0.25">
      <c r="AN289" t="s">
        <v>86</v>
      </c>
      <c r="AO289" t="s">
        <v>60</v>
      </c>
      <c r="AP289">
        <v>2003</v>
      </c>
      <c r="AQ289" t="s">
        <v>72</v>
      </c>
      <c r="AR289" t="s">
        <v>306</v>
      </c>
      <c r="AS289" t="s">
        <v>331</v>
      </c>
      <c r="AT289" t="s">
        <v>314</v>
      </c>
      <c r="AU289" t="s">
        <v>268</v>
      </c>
      <c r="AV289">
        <v>6.4</v>
      </c>
    </row>
    <row r="290" spans="40:48" x14ac:dyDescent="0.25">
      <c r="AN290" t="s">
        <v>86</v>
      </c>
      <c r="AO290" t="s">
        <v>60</v>
      </c>
      <c r="AP290">
        <v>2003</v>
      </c>
      <c r="AQ290" t="s">
        <v>72</v>
      </c>
      <c r="AR290" t="s">
        <v>306</v>
      </c>
      <c r="AS290" t="s">
        <v>331</v>
      </c>
      <c r="AT290" t="s">
        <v>242</v>
      </c>
      <c r="AU290" t="s">
        <v>308</v>
      </c>
      <c r="AV290">
        <v>0</v>
      </c>
    </row>
    <row r="291" spans="40:48" x14ac:dyDescent="0.25">
      <c r="AN291" t="s">
        <v>86</v>
      </c>
      <c r="AO291" t="s">
        <v>60</v>
      </c>
      <c r="AP291">
        <v>2003</v>
      </c>
      <c r="AQ291" t="s">
        <v>72</v>
      </c>
      <c r="AR291" t="s">
        <v>306</v>
      </c>
      <c r="AS291" t="s">
        <v>331</v>
      </c>
      <c r="AT291" t="s">
        <v>242</v>
      </c>
      <c r="AU291" t="s">
        <v>309</v>
      </c>
      <c r="AV291">
        <v>0</v>
      </c>
    </row>
    <row r="292" spans="40:48" x14ac:dyDescent="0.25">
      <c r="AN292" t="s">
        <v>86</v>
      </c>
      <c r="AO292" t="s">
        <v>60</v>
      </c>
      <c r="AP292">
        <v>2003</v>
      </c>
      <c r="AQ292" t="s">
        <v>72</v>
      </c>
      <c r="AR292" t="s">
        <v>306</v>
      </c>
      <c r="AS292" t="s">
        <v>331</v>
      </c>
      <c r="AT292" t="s">
        <v>242</v>
      </c>
      <c r="AU292" t="s">
        <v>268</v>
      </c>
      <c r="AV292">
        <v>0</v>
      </c>
    </row>
    <row r="293" spans="40:48" x14ac:dyDescent="0.25">
      <c r="AN293" t="s">
        <v>86</v>
      </c>
      <c r="AO293" t="s">
        <v>60</v>
      </c>
      <c r="AP293">
        <v>2003</v>
      </c>
      <c r="AQ293" t="s">
        <v>72</v>
      </c>
      <c r="AR293" t="s">
        <v>306</v>
      </c>
      <c r="AS293" t="s">
        <v>331</v>
      </c>
      <c r="AT293" t="s">
        <v>243</v>
      </c>
      <c r="AU293" t="s">
        <v>326</v>
      </c>
      <c r="AV293">
        <v>0</v>
      </c>
    </row>
    <row r="294" spans="40:48" x14ac:dyDescent="0.25">
      <c r="AN294" t="s">
        <v>86</v>
      </c>
      <c r="AO294" t="s">
        <v>60</v>
      </c>
      <c r="AP294">
        <v>2003</v>
      </c>
      <c r="AQ294" t="s">
        <v>72</v>
      </c>
      <c r="AR294" t="s">
        <v>306</v>
      </c>
      <c r="AS294" t="s">
        <v>331</v>
      </c>
      <c r="AT294" t="s">
        <v>243</v>
      </c>
      <c r="AU294" t="s">
        <v>327</v>
      </c>
      <c r="AV294">
        <v>0</v>
      </c>
    </row>
    <row r="295" spans="40:48" x14ac:dyDescent="0.25">
      <c r="AN295" t="s">
        <v>86</v>
      </c>
      <c r="AO295" t="s">
        <v>60</v>
      </c>
      <c r="AP295">
        <v>2003</v>
      </c>
      <c r="AQ295" t="s">
        <v>72</v>
      </c>
      <c r="AR295" t="s">
        <v>306</v>
      </c>
      <c r="AS295" t="s">
        <v>331</v>
      </c>
      <c r="AT295" t="s">
        <v>243</v>
      </c>
      <c r="AU295" t="s">
        <v>329</v>
      </c>
      <c r="AV295">
        <v>48.7</v>
      </c>
    </row>
    <row r="296" spans="40:48" x14ac:dyDescent="0.25">
      <c r="AN296" t="s">
        <v>90</v>
      </c>
      <c r="AO296" t="s">
        <v>60</v>
      </c>
      <c r="AP296">
        <v>2004</v>
      </c>
      <c r="AQ296" t="s">
        <v>36</v>
      </c>
      <c r="AR296" t="s">
        <v>306</v>
      </c>
      <c r="AS296" t="s">
        <v>331</v>
      </c>
      <c r="AT296" t="s">
        <v>218</v>
      </c>
      <c r="AU296" t="s">
        <v>308</v>
      </c>
      <c r="AV296">
        <v>3.6</v>
      </c>
    </row>
    <row r="297" spans="40:48" x14ac:dyDescent="0.25">
      <c r="AN297" t="s">
        <v>90</v>
      </c>
      <c r="AO297" t="s">
        <v>60</v>
      </c>
      <c r="AP297">
        <v>2004</v>
      </c>
      <c r="AQ297" t="s">
        <v>36</v>
      </c>
      <c r="AR297" t="s">
        <v>306</v>
      </c>
      <c r="AS297" t="s">
        <v>331</v>
      </c>
      <c r="AT297" t="s">
        <v>218</v>
      </c>
      <c r="AU297" t="s">
        <v>309</v>
      </c>
      <c r="AV297">
        <v>5.7</v>
      </c>
    </row>
    <row r="298" spans="40:48" x14ac:dyDescent="0.25">
      <c r="AN298" t="s">
        <v>90</v>
      </c>
      <c r="AO298" t="s">
        <v>60</v>
      </c>
      <c r="AP298">
        <v>2004</v>
      </c>
      <c r="AQ298" t="s">
        <v>36</v>
      </c>
      <c r="AR298" t="s">
        <v>306</v>
      </c>
      <c r="AS298" t="s">
        <v>331</v>
      </c>
      <c r="AT298" t="s">
        <v>218</v>
      </c>
      <c r="AU298" t="s">
        <v>268</v>
      </c>
      <c r="AV298">
        <v>9.3000000000000007</v>
      </c>
    </row>
    <row r="299" spans="40:48" x14ac:dyDescent="0.25">
      <c r="AN299" t="s">
        <v>90</v>
      </c>
      <c r="AO299" t="s">
        <v>60</v>
      </c>
      <c r="AP299">
        <v>2004</v>
      </c>
      <c r="AQ299" t="s">
        <v>36</v>
      </c>
      <c r="AR299" t="s">
        <v>306</v>
      </c>
      <c r="AS299" t="s">
        <v>331</v>
      </c>
      <c r="AT299" t="s">
        <v>238</v>
      </c>
      <c r="AU299" t="s">
        <v>308</v>
      </c>
      <c r="AV299">
        <v>3.4</v>
      </c>
    </row>
    <row r="300" spans="40:48" x14ac:dyDescent="0.25">
      <c r="AN300" t="s">
        <v>90</v>
      </c>
      <c r="AO300" t="s">
        <v>60</v>
      </c>
      <c r="AP300">
        <v>2004</v>
      </c>
      <c r="AQ300" t="s">
        <v>36</v>
      </c>
      <c r="AR300" t="s">
        <v>306</v>
      </c>
      <c r="AS300" t="s">
        <v>331</v>
      </c>
      <c r="AT300" t="s">
        <v>238</v>
      </c>
      <c r="AU300" t="s">
        <v>309</v>
      </c>
      <c r="AV300">
        <v>8.4</v>
      </c>
    </row>
    <row r="301" spans="40:48" x14ac:dyDescent="0.25">
      <c r="AN301" t="s">
        <v>90</v>
      </c>
      <c r="AO301" t="s">
        <v>60</v>
      </c>
      <c r="AP301">
        <v>2004</v>
      </c>
      <c r="AQ301" t="s">
        <v>36</v>
      </c>
      <c r="AR301" t="s">
        <v>306</v>
      </c>
      <c r="AS301" t="s">
        <v>331</v>
      </c>
      <c r="AT301" t="s">
        <v>238</v>
      </c>
      <c r="AU301" t="s">
        <v>268</v>
      </c>
      <c r="AV301">
        <v>11.8</v>
      </c>
    </row>
    <row r="302" spans="40:48" x14ac:dyDescent="0.25">
      <c r="AN302" t="s">
        <v>90</v>
      </c>
      <c r="AO302" t="s">
        <v>60</v>
      </c>
      <c r="AP302">
        <v>2004</v>
      </c>
      <c r="AQ302" t="s">
        <v>36</v>
      </c>
      <c r="AR302" t="s">
        <v>306</v>
      </c>
      <c r="AS302" t="s">
        <v>331</v>
      </c>
      <c r="AT302" t="s">
        <v>239</v>
      </c>
      <c r="AU302" t="s">
        <v>308</v>
      </c>
      <c r="AV302">
        <v>0</v>
      </c>
    </row>
    <row r="303" spans="40:48" x14ac:dyDescent="0.25">
      <c r="AN303" t="s">
        <v>90</v>
      </c>
      <c r="AO303" t="s">
        <v>60</v>
      </c>
      <c r="AP303">
        <v>2004</v>
      </c>
      <c r="AQ303" t="s">
        <v>36</v>
      </c>
      <c r="AR303" t="s">
        <v>306</v>
      </c>
      <c r="AS303" t="s">
        <v>331</v>
      </c>
      <c r="AT303" t="s">
        <v>239</v>
      </c>
      <c r="AU303" t="s">
        <v>309</v>
      </c>
      <c r="AV303">
        <v>0</v>
      </c>
    </row>
    <row r="304" spans="40:48" x14ac:dyDescent="0.25">
      <c r="AN304" t="s">
        <v>90</v>
      </c>
      <c r="AO304" t="s">
        <v>60</v>
      </c>
      <c r="AP304">
        <v>2004</v>
      </c>
      <c r="AQ304" t="s">
        <v>36</v>
      </c>
      <c r="AR304" t="s">
        <v>306</v>
      </c>
      <c r="AS304" t="s">
        <v>331</v>
      </c>
      <c r="AT304" t="s">
        <v>239</v>
      </c>
      <c r="AU304" t="s">
        <v>268</v>
      </c>
      <c r="AV304">
        <v>0</v>
      </c>
    </row>
    <row r="305" spans="40:48" x14ac:dyDescent="0.25">
      <c r="AN305" t="s">
        <v>90</v>
      </c>
      <c r="AO305" t="s">
        <v>60</v>
      </c>
      <c r="AP305">
        <v>2004</v>
      </c>
      <c r="AQ305" t="s">
        <v>36</v>
      </c>
      <c r="AR305" t="s">
        <v>306</v>
      </c>
      <c r="AS305" t="s">
        <v>331</v>
      </c>
      <c r="AT305" t="s">
        <v>240</v>
      </c>
      <c r="AU305" t="s">
        <v>308</v>
      </c>
      <c r="AV305">
        <v>4</v>
      </c>
    </row>
    <row r="306" spans="40:48" x14ac:dyDescent="0.25">
      <c r="AN306" t="s">
        <v>90</v>
      </c>
      <c r="AO306" t="s">
        <v>60</v>
      </c>
      <c r="AP306">
        <v>2004</v>
      </c>
      <c r="AQ306" t="s">
        <v>36</v>
      </c>
      <c r="AR306" t="s">
        <v>306</v>
      </c>
      <c r="AS306" t="s">
        <v>331</v>
      </c>
      <c r="AT306" t="s">
        <v>240</v>
      </c>
      <c r="AU306" t="s">
        <v>309</v>
      </c>
      <c r="AV306">
        <v>8.9</v>
      </c>
    </row>
    <row r="307" spans="40:48" x14ac:dyDescent="0.25">
      <c r="AN307" t="s">
        <v>90</v>
      </c>
      <c r="AO307" t="s">
        <v>60</v>
      </c>
      <c r="AP307">
        <v>2004</v>
      </c>
      <c r="AQ307" t="s">
        <v>36</v>
      </c>
      <c r="AR307" t="s">
        <v>306</v>
      </c>
      <c r="AS307" t="s">
        <v>331</v>
      </c>
      <c r="AT307" t="s">
        <v>240</v>
      </c>
      <c r="AU307" t="s">
        <v>268</v>
      </c>
      <c r="AV307">
        <v>12.9</v>
      </c>
    </row>
    <row r="308" spans="40:48" x14ac:dyDescent="0.25">
      <c r="AN308" t="s">
        <v>90</v>
      </c>
      <c r="AO308" t="s">
        <v>60</v>
      </c>
      <c r="AP308">
        <v>2004</v>
      </c>
      <c r="AQ308" t="s">
        <v>36</v>
      </c>
      <c r="AR308" t="s">
        <v>306</v>
      </c>
      <c r="AS308" t="s">
        <v>331</v>
      </c>
      <c r="AT308" t="s">
        <v>314</v>
      </c>
      <c r="AU308" t="s">
        <v>308</v>
      </c>
      <c r="AV308">
        <v>0</v>
      </c>
    </row>
    <row r="309" spans="40:48" x14ac:dyDescent="0.25">
      <c r="AN309" t="s">
        <v>90</v>
      </c>
      <c r="AO309" t="s">
        <v>60</v>
      </c>
      <c r="AP309">
        <v>2004</v>
      </c>
      <c r="AQ309" t="s">
        <v>36</v>
      </c>
      <c r="AR309" t="s">
        <v>306</v>
      </c>
      <c r="AS309" t="s">
        <v>331</v>
      </c>
      <c r="AT309" t="s">
        <v>314</v>
      </c>
      <c r="AU309" t="s">
        <v>309</v>
      </c>
      <c r="AV309">
        <v>0</v>
      </c>
    </row>
    <row r="310" spans="40:48" x14ac:dyDescent="0.25">
      <c r="AN310" t="s">
        <v>90</v>
      </c>
      <c r="AO310" t="s">
        <v>60</v>
      </c>
      <c r="AP310">
        <v>2004</v>
      </c>
      <c r="AQ310" t="s">
        <v>36</v>
      </c>
      <c r="AR310" t="s">
        <v>306</v>
      </c>
      <c r="AS310" t="s">
        <v>331</v>
      </c>
      <c r="AT310" t="s">
        <v>314</v>
      </c>
      <c r="AU310" t="s">
        <v>268</v>
      </c>
      <c r="AV310">
        <v>0</v>
      </c>
    </row>
    <row r="311" spans="40:48" x14ac:dyDescent="0.25">
      <c r="AN311" t="s">
        <v>90</v>
      </c>
      <c r="AO311" t="s">
        <v>60</v>
      </c>
      <c r="AP311">
        <v>2004</v>
      </c>
      <c r="AQ311" t="s">
        <v>36</v>
      </c>
      <c r="AR311" t="s">
        <v>306</v>
      </c>
      <c r="AS311" t="s">
        <v>331</v>
      </c>
      <c r="AT311" t="s">
        <v>242</v>
      </c>
      <c r="AU311" t="s">
        <v>308</v>
      </c>
      <c r="AV311">
        <v>0</v>
      </c>
    </row>
    <row r="312" spans="40:48" x14ac:dyDescent="0.25">
      <c r="AN312" t="s">
        <v>90</v>
      </c>
      <c r="AO312" t="s">
        <v>60</v>
      </c>
      <c r="AP312">
        <v>2004</v>
      </c>
      <c r="AQ312" t="s">
        <v>36</v>
      </c>
      <c r="AR312" t="s">
        <v>306</v>
      </c>
      <c r="AS312" t="s">
        <v>331</v>
      </c>
      <c r="AT312" t="s">
        <v>242</v>
      </c>
      <c r="AU312" t="s">
        <v>309</v>
      </c>
      <c r="AV312">
        <v>0</v>
      </c>
    </row>
    <row r="313" spans="40:48" x14ac:dyDescent="0.25">
      <c r="AN313" t="s">
        <v>90</v>
      </c>
      <c r="AO313" t="s">
        <v>60</v>
      </c>
      <c r="AP313">
        <v>2004</v>
      </c>
      <c r="AQ313" t="s">
        <v>36</v>
      </c>
      <c r="AR313" t="s">
        <v>306</v>
      </c>
      <c r="AS313" t="s">
        <v>331</v>
      </c>
      <c r="AT313" t="s">
        <v>242</v>
      </c>
      <c r="AU313" t="s">
        <v>268</v>
      </c>
      <c r="AV313">
        <v>0</v>
      </c>
    </row>
    <row r="314" spans="40:48" x14ac:dyDescent="0.25">
      <c r="AN314" t="s">
        <v>90</v>
      </c>
      <c r="AO314" t="s">
        <v>60</v>
      </c>
      <c r="AP314">
        <v>2004</v>
      </c>
      <c r="AQ314" t="s">
        <v>36</v>
      </c>
      <c r="AR314" t="s">
        <v>306</v>
      </c>
      <c r="AS314" t="s">
        <v>331</v>
      </c>
      <c r="AT314" t="s">
        <v>243</v>
      </c>
      <c r="AU314" t="s">
        <v>326</v>
      </c>
      <c r="AV314">
        <v>0</v>
      </c>
    </row>
    <row r="315" spans="40:48" x14ac:dyDescent="0.25">
      <c r="AN315" t="s">
        <v>90</v>
      </c>
      <c r="AO315" t="s">
        <v>60</v>
      </c>
      <c r="AP315">
        <v>2004</v>
      </c>
      <c r="AQ315" t="s">
        <v>36</v>
      </c>
      <c r="AR315" t="s">
        <v>306</v>
      </c>
      <c r="AS315" t="s">
        <v>331</v>
      </c>
      <c r="AT315" t="s">
        <v>243</v>
      </c>
      <c r="AU315" t="s">
        <v>327</v>
      </c>
      <c r="AV315">
        <v>0</v>
      </c>
    </row>
    <row r="316" spans="40:48" x14ac:dyDescent="0.25">
      <c r="AN316" t="s">
        <v>90</v>
      </c>
      <c r="AO316" t="s">
        <v>60</v>
      </c>
      <c r="AP316">
        <v>2004</v>
      </c>
      <c r="AQ316" t="s">
        <v>36</v>
      </c>
      <c r="AR316" t="s">
        <v>306</v>
      </c>
      <c r="AS316" t="s">
        <v>331</v>
      </c>
      <c r="AT316" t="s">
        <v>243</v>
      </c>
      <c r="AU316" t="s">
        <v>329</v>
      </c>
      <c r="AV316">
        <v>34</v>
      </c>
    </row>
    <row r="317" spans="40:48" x14ac:dyDescent="0.25">
      <c r="AN317" t="s">
        <v>98</v>
      </c>
      <c r="AO317" t="s">
        <v>60</v>
      </c>
      <c r="AP317">
        <v>2003</v>
      </c>
      <c r="AQ317" t="s">
        <v>72</v>
      </c>
      <c r="AR317" t="s">
        <v>306</v>
      </c>
      <c r="AS317" t="s">
        <v>331</v>
      </c>
      <c r="AT317" t="s">
        <v>218</v>
      </c>
      <c r="AU317" t="s">
        <v>308</v>
      </c>
      <c r="AV317">
        <v>3.5</v>
      </c>
    </row>
    <row r="318" spans="40:48" x14ac:dyDescent="0.25">
      <c r="AN318" t="s">
        <v>98</v>
      </c>
      <c r="AO318" t="s">
        <v>60</v>
      </c>
      <c r="AP318">
        <v>2003</v>
      </c>
      <c r="AQ318" t="s">
        <v>72</v>
      </c>
      <c r="AR318" t="s">
        <v>306</v>
      </c>
      <c r="AS318" t="s">
        <v>331</v>
      </c>
      <c r="AT318" t="s">
        <v>218</v>
      </c>
      <c r="AU318" t="s">
        <v>309</v>
      </c>
      <c r="AV318">
        <v>7.1</v>
      </c>
    </row>
    <row r="319" spans="40:48" x14ac:dyDescent="0.25">
      <c r="AN319" t="s">
        <v>98</v>
      </c>
      <c r="AO319" t="s">
        <v>60</v>
      </c>
      <c r="AP319">
        <v>2003</v>
      </c>
      <c r="AQ319" t="s">
        <v>72</v>
      </c>
      <c r="AR319" t="s">
        <v>306</v>
      </c>
      <c r="AS319" t="s">
        <v>331</v>
      </c>
      <c r="AT319" t="s">
        <v>218</v>
      </c>
      <c r="AU319" t="s">
        <v>268</v>
      </c>
      <c r="AV319">
        <v>10.6</v>
      </c>
    </row>
    <row r="320" spans="40:48" x14ac:dyDescent="0.25">
      <c r="AN320" t="s">
        <v>98</v>
      </c>
      <c r="AO320" t="s">
        <v>60</v>
      </c>
      <c r="AP320">
        <v>2003</v>
      </c>
      <c r="AQ320" t="s">
        <v>72</v>
      </c>
      <c r="AR320" t="s">
        <v>306</v>
      </c>
      <c r="AS320" t="s">
        <v>331</v>
      </c>
      <c r="AT320" t="s">
        <v>238</v>
      </c>
      <c r="AU320" t="s">
        <v>308</v>
      </c>
      <c r="AV320">
        <v>2.6</v>
      </c>
    </row>
    <row r="321" spans="40:48" x14ac:dyDescent="0.25">
      <c r="AN321" t="s">
        <v>98</v>
      </c>
      <c r="AO321" t="s">
        <v>60</v>
      </c>
      <c r="AP321">
        <v>2003</v>
      </c>
      <c r="AQ321" t="s">
        <v>72</v>
      </c>
      <c r="AR321" t="s">
        <v>306</v>
      </c>
      <c r="AS321" t="s">
        <v>331</v>
      </c>
      <c r="AT321" t="s">
        <v>238</v>
      </c>
      <c r="AU321" t="s">
        <v>309</v>
      </c>
      <c r="AV321">
        <v>4.4000000000000004</v>
      </c>
    </row>
    <row r="322" spans="40:48" x14ac:dyDescent="0.25">
      <c r="AN322" t="s">
        <v>98</v>
      </c>
      <c r="AO322" t="s">
        <v>60</v>
      </c>
      <c r="AP322">
        <v>2003</v>
      </c>
      <c r="AQ322" t="s">
        <v>72</v>
      </c>
      <c r="AR322" t="s">
        <v>306</v>
      </c>
      <c r="AS322" t="s">
        <v>331</v>
      </c>
      <c r="AT322" t="s">
        <v>238</v>
      </c>
      <c r="AU322" t="s">
        <v>268</v>
      </c>
      <c r="AV322">
        <v>7</v>
      </c>
    </row>
    <row r="323" spans="40:48" x14ac:dyDescent="0.25">
      <c r="AN323" t="s">
        <v>98</v>
      </c>
      <c r="AO323" t="s">
        <v>60</v>
      </c>
      <c r="AP323">
        <v>2003</v>
      </c>
      <c r="AQ323" t="s">
        <v>72</v>
      </c>
      <c r="AR323" t="s">
        <v>306</v>
      </c>
      <c r="AS323" t="s">
        <v>331</v>
      </c>
      <c r="AT323" t="s">
        <v>239</v>
      </c>
      <c r="AU323" t="s">
        <v>308</v>
      </c>
      <c r="AV323">
        <v>0</v>
      </c>
    </row>
    <row r="324" spans="40:48" x14ac:dyDescent="0.25">
      <c r="AN324" t="s">
        <v>98</v>
      </c>
      <c r="AO324" t="s">
        <v>60</v>
      </c>
      <c r="AP324">
        <v>2003</v>
      </c>
      <c r="AQ324" t="s">
        <v>72</v>
      </c>
      <c r="AR324" t="s">
        <v>306</v>
      </c>
      <c r="AS324" t="s">
        <v>331</v>
      </c>
      <c r="AT324" t="s">
        <v>239</v>
      </c>
      <c r="AU324" t="s">
        <v>309</v>
      </c>
      <c r="AV324">
        <v>0</v>
      </c>
    </row>
    <row r="325" spans="40:48" x14ac:dyDescent="0.25">
      <c r="AN325" t="s">
        <v>98</v>
      </c>
      <c r="AO325" t="s">
        <v>60</v>
      </c>
      <c r="AP325">
        <v>2003</v>
      </c>
      <c r="AQ325" t="s">
        <v>72</v>
      </c>
      <c r="AR325" t="s">
        <v>306</v>
      </c>
      <c r="AS325" t="s">
        <v>331</v>
      </c>
      <c r="AT325" t="s">
        <v>239</v>
      </c>
      <c r="AU325" t="s">
        <v>268</v>
      </c>
      <c r="AV325">
        <v>0</v>
      </c>
    </row>
    <row r="326" spans="40:48" x14ac:dyDescent="0.25">
      <c r="AN326" t="s">
        <v>98</v>
      </c>
      <c r="AO326" t="s">
        <v>60</v>
      </c>
      <c r="AP326">
        <v>2003</v>
      </c>
      <c r="AQ326" t="s">
        <v>72</v>
      </c>
      <c r="AR326" t="s">
        <v>306</v>
      </c>
      <c r="AS326" t="s">
        <v>331</v>
      </c>
      <c r="AT326" t="s">
        <v>240</v>
      </c>
      <c r="AU326" t="s">
        <v>308</v>
      </c>
      <c r="AV326">
        <v>0</v>
      </c>
    </row>
    <row r="327" spans="40:48" x14ac:dyDescent="0.25">
      <c r="AN327" t="s">
        <v>98</v>
      </c>
      <c r="AO327" t="s">
        <v>60</v>
      </c>
      <c r="AP327">
        <v>2003</v>
      </c>
      <c r="AQ327" t="s">
        <v>72</v>
      </c>
      <c r="AR327" t="s">
        <v>306</v>
      </c>
      <c r="AS327" t="s">
        <v>331</v>
      </c>
      <c r="AT327" t="s">
        <v>240</v>
      </c>
      <c r="AU327" t="s">
        <v>309</v>
      </c>
      <c r="AV327">
        <v>0</v>
      </c>
    </row>
    <row r="328" spans="40:48" x14ac:dyDescent="0.25">
      <c r="AN328" t="s">
        <v>98</v>
      </c>
      <c r="AO328" t="s">
        <v>60</v>
      </c>
      <c r="AP328">
        <v>2003</v>
      </c>
      <c r="AQ328" t="s">
        <v>72</v>
      </c>
      <c r="AR328" t="s">
        <v>306</v>
      </c>
      <c r="AS328" t="s">
        <v>331</v>
      </c>
      <c r="AT328" t="s">
        <v>240</v>
      </c>
      <c r="AU328" t="s">
        <v>268</v>
      </c>
      <c r="AV328">
        <v>0</v>
      </c>
    </row>
    <row r="329" spans="40:48" x14ac:dyDescent="0.25">
      <c r="AN329" t="s">
        <v>98</v>
      </c>
      <c r="AO329" t="s">
        <v>60</v>
      </c>
      <c r="AP329">
        <v>2003</v>
      </c>
      <c r="AQ329" t="s">
        <v>72</v>
      </c>
      <c r="AR329" t="s">
        <v>306</v>
      </c>
      <c r="AS329" t="s">
        <v>331</v>
      </c>
      <c r="AT329" t="s">
        <v>314</v>
      </c>
      <c r="AU329" t="s">
        <v>308</v>
      </c>
      <c r="AV329">
        <v>2.5</v>
      </c>
    </row>
    <row r="330" spans="40:48" x14ac:dyDescent="0.25">
      <c r="AN330" t="s">
        <v>98</v>
      </c>
      <c r="AO330" t="s">
        <v>60</v>
      </c>
      <c r="AP330">
        <v>2003</v>
      </c>
      <c r="AQ330" t="s">
        <v>72</v>
      </c>
      <c r="AR330" t="s">
        <v>306</v>
      </c>
      <c r="AS330" t="s">
        <v>331</v>
      </c>
      <c r="AT330" t="s">
        <v>314</v>
      </c>
      <c r="AU330" t="s">
        <v>309</v>
      </c>
      <c r="AV330">
        <v>8.4</v>
      </c>
    </row>
    <row r="331" spans="40:48" x14ac:dyDescent="0.25">
      <c r="AN331" t="s">
        <v>98</v>
      </c>
      <c r="AO331" t="s">
        <v>60</v>
      </c>
      <c r="AP331">
        <v>2003</v>
      </c>
      <c r="AQ331" t="s">
        <v>72</v>
      </c>
      <c r="AR331" t="s">
        <v>306</v>
      </c>
      <c r="AS331" t="s">
        <v>331</v>
      </c>
      <c r="AT331" t="s">
        <v>314</v>
      </c>
      <c r="AU331" t="s">
        <v>268</v>
      </c>
      <c r="AV331">
        <v>10.9</v>
      </c>
    </row>
    <row r="332" spans="40:48" x14ac:dyDescent="0.25">
      <c r="AN332" t="s">
        <v>98</v>
      </c>
      <c r="AO332" t="s">
        <v>60</v>
      </c>
      <c r="AP332">
        <v>2003</v>
      </c>
      <c r="AQ332" t="s">
        <v>72</v>
      </c>
      <c r="AR332" t="s">
        <v>306</v>
      </c>
      <c r="AS332" t="s">
        <v>331</v>
      </c>
      <c r="AT332" t="s">
        <v>242</v>
      </c>
      <c r="AU332" t="s">
        <v>308</v>
      </c>
      <c r="AV332">
        <v>0</v>
      </c>
    </row>
    <row r="333" spans="40:48" x14ac:dyDescent="0.25">
      <c r="AN333" t="s">
        <v>98</v>
      </c>
      <c r="AO333" t="s">
        <v>60</v>
      </c>
      <c r="AP333">
        <v>2003</v>
      </c>
      <c r="AQ333" t="s">
        <v>72</v>
      </c>
      <c r="AR333" t="s">
        <v>306</v>
      </c>
      <c r="AS333" t="s">
        <v>331</v>
      </c>
      <c r="AT333" t="s">
        <v>242</v>
      </c>
      <c r="AU333" t="s">
        <v>309</v>
      </c>
      <c r="AV333">
        <v>0</v>
      </c>
    </row>
    <row r="334" spans="40:48" x14ac:dyDescent="0.25">
      <c r="AN334" t="s">
        <v>98</v>
      </c>
      <c r="AO334" t="s">
        <v>60</v>
      </c>
      <c r="AP334">
        <v>2003</v>
      </c>
      <c r="AQ334" t="s">
        <v>72</v>
      </c>
      <c r="AR334" t="s">
        <v>306</v>
      </c>
      <c r="AS334" t="s">
        <v>331</v>
      </c>
      <c r="AT334" t="s">
        <v>242</v>
      </c>
      <c r="AU334" t="s">
        <v>268</v>
      </c>
      <c r="AV334">
        <v>0</v>
      </c>
    </row>
    <row r="335" spans="40:48" x14ac:dyDescent="0.25">
      <c r="AN335" t="s">
        <v>98</v>
      </c>
      <c r="AO335" t="s">
        <v>60</v>
      </c>
      <c r="AP335">
        <v>2003</v>
      </c>
      <c r="AQ335" t="s">
        <v>72</v>
      </c>
      <c r="AR335" t="s">
        <v>306</v>
      </c>
      <c r="AS335" t="s">
        <v>331</v>
      </c>
      <c r="AT335" t="s">
        <v>243</v>
      </c>
      <c r="AU335" t="s">
        <v>326</v>
      </c>
      <c r="AV335">
        <v>0</v>
      </c>
    </row>
    <row r="336" spans="40:48" x14ac:dyDescent="0.25">
      <c r="AN336" t="s">
        <v>98</v>
      </c>
      <c r="AO336" t="s">
        <v>60</v>
      </c>
      <c r="AP336">
        <v>2003</v>
      </c>
      <c r="AQ336" t="s">
        <v>72</v>
      </c>
      <c r="AR336" t="s">
        <v>306</v>
      </c>
      <c r="AS336" t="s">
        <v>331</v>
      </c>
      <c r="AT336" t="s">
        <v>243</v>
      </c>
      <c r="AU336" t="s">
        <v>327</v>
      </c>
      <c r="AV336">
        <v>0</v>
      </c>
    </row>
    <row r="337" spans="40:48" x14ac:dyDescent="0.25">
      <c r="AN337" t="s">
        <v>98</v>
      </c>
      <c r="AO337" t="s">
        <v>60</v>
      </c>
      <c r="AP337">
        <v>2003</v>
      </c>
      <c r="AQ337" t="s">
        <v>72</v>
      </c>
      <c r="AR337" t="s">
        <v>306</v>
      </c>
      <c r="AS337" t="s">
        <v>331</v>
      </c>
      <c r="AT337" t="s">
        <v>243</v>
      </c>
      <c r="AU337" t="s">
        <v>329</v>
      </c>
      <c r="AV337">
        <v>28.5</v>
      </c>
    </row>
    <row r="338" spans="40:48" x14ac:dyDescent="0.25">
      <c r="AN338" t="s">
        <v>75</v>
      </c>
      <c r="AO338" t="s">
        <v>60</v>
      </c>
      <c r="AP338">
        <v>2003</v>
      </c>
      <c r="AQ338" t="s">
        <v>28</v>
      </c>
      <c r="AR338" t="s">
        <v>306</v>
      </c>
      <c r="AS338" t="s">
        <v>331</v>
      </c>
      <c r="AT338" t="s">
        <v>218</v>
      </c>
      <c r="AU338" t="s">
        <v>308</v>
      </c>
      <c r="AV338">
        <v>0</v>
      </c>
    </row>
    <row r="339" spans="40:48" x14ac:dyDescent="0.25">
      <c r="AN339" t="s">
        <v>75</v>
      </c>
      <c r="AO339" t="s">
        <v>60</v>
      </c>
      <c r="AP339">
        <v>2003</v>
      </c>
      <c r="AQ339" t="s">
        <v>28</v>
      </c>
      <c r="AR339" t="s">
        <v>306</v>
      </c>
      <c r="AS339" t="s">
        <v>331</v>
      </c>
      <c r="AT339" t="s">
        <v>218</v>
      </c>
      <c r="AU339" t="s">
        <v>309</v>
      </c>
      <c r="AV339">
        <v>0</v>
      </c>
    </row>
    <row r="340" spans="40:48" x14ac:dyDescent="0.25">
      <c r="AN340" t="s">
        <v>75</v>
      </c>
      <c r="AO340" t="s">
        <v>60</v>
      </c>
      <c r="AP340">
        <v>2003</v>
      </c>
      <c r="AQ340" t="s">
        <v>28</v>
      </c>
      <c r="AR340" t="s">
        <v>306</v>
      </c>
      <c r="AS340" t="s">
        <v>331</v>
      </c>
      <c r="AT340" t="s">
        <v>218</v>
      </c>
      <c r="AU340" t="s">
        <v>268</v>
      </c>
      <c r="AV340">
        <v>0</v>
      </c>
    </row>
    <row r="341" spans="40:48" x14ac:dyDescent="0.25">
      <c r="AN341" t="s">
        <v>75</v>
      </c>
      <c r="AO341" t="s">
        <v>60</v>
      </c>
      <c r="AP341">
        <v>2003</v>
      </c>
      <c r="AQ341" t="s">
        <v>28</v>
      </c>
      <c r="AR341" t="s">
        <v>306</v>
      </c>
      <c r="AS341" t="s">
        <v>331</v>
      </c>
      <c r="AT341" t="s">
        <v>238</v>
      </c>
      <c r="AU341" t="s">
        <v>308</v>
      </c>
      <c r="AV341">
        <v>4.2</v>
      </c>
    </row>
    <row r="342" spans="40:48" x14ac:dyDescent="0.25">
      <c r="AN342" t="s">
        <v>75</v>
      </c>
      <c r="AO342" t="s">
        <v>60</v>
      </c>
      <c r="AP342">
        <v>2003</v>
      </c>
      <c r="AQ342" t="s">
        <v>28</v>
      </c>
      <c r="AR342" t="s">
        <v>306</v>
      </c>
      <c r="AS342" t="s">
        <v>331</v>
      </c>
      <c r="AT342" t="s">
        <v>238</v>
      </c>
      <c r="AU342" t="s">
        <v>309</v>
      </c>
      <c r="AV342">
        <v>8.3000000000000007</v>
      </c>
    </row>
    <row r="343" spans="40:48" x14ac:dyDescent="0.25">
      <c r="AN343" t="s">
        <v>75</v>
      </c>
      <c r="AO343" t="s">
        <v>60</v>
      </c>
      <c r="AP343">
        <v>2003</v>
      </c>
      <c r="AQ343" t="s">
        <v>28</v>
      </c>
      <c r="AR343" t="s">
        <v>306</v>
      </c>
      <c r="AS343" t="s">
        <v>331</v>
      </c>
      <c r="AT343" t="s">
        <v>238</v>
      </c>
      <c r="AU343" t="s">
        <v>268</v>
      </c>
      <c r="AV343">
        <v>12.5</v>
      </c>
    </row>
    <row r="344" spans="40:48" x14ac:dyDescent="0.25">
      <c r="AN344" t="s">
        <v>75</v>
      </c>
      <c r="AO344" t="s">
        <v>60</v>
      </c>
      <c r="AP344">
        <v>2003</v>
      </c>
      <c r="AQ344" t="s">
        <v>28</v>
      </c>
      <c r="AR344" t="s">
        <v>306</v>
      </c>
      <c r="AS344" t="s">
        <v>331</v>
      </c>
      <c r="AT344" t="s">
        <v>239</v>
      </c>
      <c r="AU344" t="s">
        <v>308</v>
      </c>
      <c r="AV344">
        <v>0</v>
      </c>
    </row>
    <row r="345" spans="40:48" x14ac:dyDescent="0.25">
      <c r="AN345" t="s">
        <v>75</v>
      </c>
      <c r="AO345" t="s">
        <v>60</v>
      </c>
      <c r="AP345">
        <v>2003</v>
      </c>
      <c r="AQ345" t="s">
        <v>28</v>
      </c>
      <c r="AR345" t="s">
        <v>306</v>
      </c>
      <c r="AS345" t="s">
        <v>331</v>
      </c>
      <c r="AT345" t="s">
        <v>239</v>
      </c>
      <c r="AU345" t="s">
        <v>309</v>
      </c>
      <c r="AV345">
        <v>0</v>
      </c>
    </row>
    <row r="346" spans="40:48" x14ac:dyDescent="0.25">
      <c r="AN346" t="s">
        <v>75</v>
      </c>
      <c r="AO346" t="s">
        <v>60</v>
      </c>
      <c r="AP346">
        <v>2003</v>
      </c>
      <c r="AQ346" t="s">
        <v>28</v>
      </c>
      <c r="AR346" t="s">
        <v>306</v>
      </c>
      <c r="AS346" t="s">
        <v>331</v>
      </c>
      <c r="AT346" t="s">
        <v>239</v>
      </c>
      <c r="AU346" t="s">
        <v>268</v>
      </c>
      <c r="AV346">
        <v>0</v>
      </c>
    </row>
    <row r="347" spans="40:48" x14ac:dyDescent="0.25">
      <c r="AN347" t="s">
        <v>75</v>
      </c>
      <c r="AO347" t="s">
        <v>60</v>
      </c>
      <c r="AP347">
        <v>2003</v>
      </c>
      <c r="AQ347" t="s">
        <v>28</v>
      </c>
      <c r="AR347" t="s">
        <v>306</v>
      </c>
      <c r="AS347" t="s">
        <v>331</v>
      </c>
      <c r="AT347" t="s">
        <v>240</v>
      </c>
      <c r="AU347" t="s">
        <v>308</v>
      </c>
      <c r="AV347">
        <v>0</v>
      </c>
    </row>
    <row r="348" spans="40:48" x14ac:dyDescent="0.25">
      <c r="AN348" t="s">
        <v>75</v>
      </c>
      <c r="AO348" t="s">
        <v>60</v>
      </c>
      <c r="AP348">
        <v>2003</v>
      </c>
      <c r="AQ348" t="s">
        <v>28</v>
      </c>
      <c r="AR348" t="s">
        <v>306</v>
      </c>
      <c r="AS348" t="s">
        <v>331</v>
      </c>
      <c r="AT348" t="s">
        <v>240</v>
      </c>
      <c r="AU348" t="s">
        <v>309</v>
      </c>
      <c r="AV348">
        <v>0</v>
      </c>
    </row>
    <row r="349" spans="40:48" x14ac:dyDescent="0.25">
      <c r="AN349" t="s">
        <v>75</v>
      </c>
      <c r="AO349" t="s">
        <v>60</v>
      </c>
      <c r="AP349">
        <v>2003</v>
      </c>
      <c r="AQ349" t="s">
        <v>28</v>
      </c>
      <c r="AR349" t="s">
        <v>306</v>
      </c>
      <c r="AS349" t="s">
        <v>331</v>
      </c>
      <c r="AT349" t="s">
        <v>240</v>
      </c>
      <c r="AU349" t="s">
        <v>268</v>
      </c>
      <c r="AV349">
        <v>0</v>
      </c>
    </row>
    <row r="350" spans="40:48" x14ac:dyDescent="0.25">
      <c r="AN350" t="s">
        <v>75</v>
      </c>
      <c r="AO350" t="s">
        <v>60</v>
      </c>
      <c r="AP350">
        <v>2003</v>
      </c>
      <c r="AQ350" t="s">
        <v>28</v>
      </c>
      <c r="AR350" t="s">
        <v>306</v>
      </c>
      <c r="AS350" t="s">
        <v>331</v>
      </c>
      <c r="AT350" t="s">
        <v>314</v>
      </c>
      <c r="AU350" t="s">
        <v>308</v>
      </c>
      <c r="AV350">
        <v>3.1</v>
      </c>
    </row>
    <row r="351" spans="40:48" x14ac:dyDescent="0.25">
      <c r="AN351" t="s">
        <v>75</v>
      </c>
      <c r="AO351" t="s">
        <v>60</v>
      </c>
      <c r="AP351">
        <v>2003</v>
      </c>
      <c r="AQ351" t="s">
        <v>28</v>
      </c>
      <c r="AR351" t="s">
        <v>306</v>
      </c>
      <c r="AS351" t="s">
        <v>331</v>
      </c>
      <c r="AT351" t="s">
        <v>314</v>
      </c>
      <c r="AU351" t="s">
        <v>309</v>
      </c>
      <c r="AV351">
        <v>9</v>
      </c>
    </row>
    <row r="352" spans="40:48" x14ac:dyDescent="0.25">
      <c r="AN352" t="s">
        <v>75</v>
      </c>
      <c r="AO352" t="s">
        <v>60</v>
      </c>
      <c r="AP352">
        <v>2003</v>
      </c>
      <c r="AQ352" t="s">
        <v>28</v>
      </c>
      <c r="AR352" t="s">
        <v>306</v>
      </c>
      <c r="AS352" t="s">
        <v>331</v>
      </c>
      <c r="AT352" t="s">
        <v>314</v>
      </c>
      <c r="AU352" t="s">
        <v>268</v>
      </c>
      <c r="AV352">
        <v>12.1</v>
      </c>
    </row>
    <row r="353" spans="40:48" x14ac:dyDescent="0.25">
      <c r="AN353" t="s">
        <v>75</v>
      </c>
      <c r="AO353" t="s">
        <v>60</v>
      </c>
      <c r="AP353">
        <v>2003</v>
      </c>
      <c r="AQ353" t="s">
        <v>28</v>
      </c>
      <c r="AR353" t="s">
        <v>306</v>
      </c>
      <c r="AS353" t="s">
        <v>331</v>
      </c>
      <c r="AT353" t="s">
        <v>242</v>
      </c>
      <c r="AU353" t="s">
        <v>308</v>
      </c>
      <c r="AV353">
        <v>0</v>
      </c>
    </row>
    <row r="354" spans="40:48" x14ac:dyDescent="0.25">
      <c r="AN354" t="s">
        <v>75</v>
      </c>
      <c r="AO354" t="s">
        <v>60</v>
      </c>
      <c r="AP354">
        <v>2003</v>
      </c>
      <c r="AQ354" t="s">
        <v>28</v>
      </c>
      <c r="AR354" t="s">
        <v>306</v>
      </c>
      <c r="AS354" t="s">
        <v>331</v>
      </c>
      <c r="AT354" t="s">
        <v>242</v>
      </c>
      <c r="AU354" t="s">
        <v>309</v>
      </c>
      <c r="AV354">
        <v>0</v>
      </c>
    </row>
    <row r="355" spans="40:48" x14ac:dyDescent="0.25">
      <c r="AN355" t="s">
        <v>75</v>
      </c>
      <c r="AO355" t="s">
        <v>60</v>
      </c>
      <c r="AP355">
        <v>2003</v>
      </c>
      <c r="AQ355" t="s">
        <v>28</v>
      </c>
      <c r="AR355" t="s">
        <v>306</v>
      </c>
      <c r="AS355" t="s">
        <v>331</v>
      </c>
      <c r="AT355" t="s">
        <v>242</v>
      </c>
      <c r="AU355" t="s">
        <v>268</v>
      </c>
      <c r="AV355">
        <v>0</v>
      </c>
    </row>
    <row r="356" spans="40:48" x14ac:dyDescent="0.25">
      <c r="AN356" t="s">
        <v>75</v>
      </c>
      <c r="AO356" t="s">
        <v>60</v>
      </c>
      <c r="AP356">
        <v>2003</v>
      </c>
      <c r="AQ356" t="s">
        <v>28</v>
      </c>
      <c r="AR356" t="s">
        <v>306</v>
      </c>
      <c r="AS356" t="s">
        <v>331</v>
      </c>
      <c r="AT356" t="s">
        <v>243</v>
      </c>
      <c r="AU356" t="s">
        <v>326</v>
      </c>
      <c r="AV356">
        <v>0</v>
      </c>
    </row>
    <row r="357" spans="40:48" x14ac:dyDescent="0.25">
      <c r="AN357" t="s">
        <v>75</v>
      </c>
      <c r="AO357" t="s">
        <v>60</v>
      </c>
      <c r="AP357">
        <v>2003</v>
      </c>
      <c r="AQ357" t="s">
        <v>28</v>
      </c>
      <c r="AR357" t="s">
        <v>306</v>
      </c>
      <c r="AS357" t="s">
        <v>331</v>
      </c>
      <c r="AT357" t="s">
        <v>243</v>
      </c>
      <c r="AU357" t="s">
        <v>327</v>
      </c>
      <c r="AV357">
        <v>0</v>
      </c>
    </row>
    <row r="358" spans="40:48" x14ac:dyDescent="0.25">
      <c r="AN358" t="s">
        <v>75</v>
      </c>
      <c r="AO358" t="s">
        <v>60</v>
      </c>
      <c r="AP358">
        <v>2003</v>
      </c>
      <c r="AQ358" t="s">
        <v>28</v>
      </c>
      <c r="AR358" t="s">
        <v>306</v>
      </c>
      <c r="AS358" t="s">
        <v>331</v>
      </c>
      <c r="AT358" t="s">
        <v>243</v>
      </c>
      <c r="AU358" t="s">
        <v>329</v>
      </c>
      <c r="AV358">
        <v>24.6</v>
      </c>
    </row>
    <row r="359" spans="40:48" x14ac:dyDescent="0.25">
      <c r="AN359" t="s">
        <v>96</v>
      </c>
      <c r="AO359" t="s">
        <v>60</v>
      </c>
      <c r="AP359">
        <v>2002</v>
      </c>
      <c r="AQ359" t="s">
        <v>62</v>
      </c>
      <c r="AR359" t="s">
        <v>306</v>
      </c>
      <c r="AS359" t="s">
        <v>331</v>
      </c>
      <c r="AT359" t="s">
        <v>218</v>
      </c>
      <c r="AU359" t="s">
        <v>308</v>
      </c>
      <c r="AV359">
        <v>0</v>
      </c>
    </row>
    <row r="360" spans="40:48" x14ac:dyDescent="0.25">
      <c r="AN360" t="s">
        <v>96</v>
      </c>
      <c r="AO360" t="s">
        <v>60</v>
      </c>
      <c r="AP360">
        <v>2002</v>
      </c>
      <c r="AQ360" t="s">
        <v>62</v>
      </c>
      <c r="AR360" t="s">
        <v>306</v>
      </c>
      <c r="AS360" t="s">
        <v>331</v>
      </c>
      <c r="AT360" t="s">
        <v>218</v>
      </c>
      <c r="AU360" t="s">
        <v>309</v>
      </c>
      <c r="AV360">
        <v>0</v>
      </c>
    </row>
    <row r="361" spans="40:48" x14ac:dyDescent="0.25">
      <c r="AN361" t="s">
        <v>96</v>
      </c>
      <c r="AO361" t="s">
        <v>60</v>
      </c>
      <c r="AP361">
        <v>2002</v>
      </c>
      <c r="AQ361" t="s">
        <v>62</v>
      </c>
      <c r="AR361" t="s">
        <v>306</v>
      </c>
      <c r="AS361" t="s">
        <v>331</v>
      </c>
      <c r="AT361" t="s">
        <v>218</v>
      </c>
      <c r="AU361" t="s">
        <v>268</v>
      </c>
      <c r="AV361">
        <v>0</v>
      </c>
    </row>
    <row r="362" spans="40:48" x14ac:dyDescent="0.25">
      <c r="AN362" t="s">
        <v>96</v>
      </c>
      <c r="AO362" t="s">
        <v>60</v>
      </c>
      <c r="AP362">
        <v>2002</v>
      </c>
      <c r="AQ362" t="s">
        <v>62</v>
      </c>
      <c r="AR362" t="s">
        <v>306</v>
      </c>
      <c r="AS362" t="s">
        <v>331</v>
      </c>
      <c r="AT362" t="s">
        <v>238</v>
      </c>
      <c r="AU362" t="s">
        <v>308</v>
      </c>
      <c r="AV362">
        <v>4.5</v>
      </c>
    </row>
    <row r="363" spans="40:48" x14ac:dyDescent="0.25">
      <c r="AN363" t="s">
        <v>96</v>
      </c>
      <c r="AO363" t="s">
        <v>60</v>
      </c>
      <c r="AP363">
        <v>2002</v>
      </c>
      <c r="AQ363" t="s">
        <v>62</v>
      </c>
      <c r="AR363" t="s">
        <v>306</v>
      </c>
      <c r="AS363" t="s">
        <v>331</v>
      </c>
      <c r="AT363" t="s">
        <v>238</v>
      </c>
      <c r="AU363" t="s">
        <v>309</v>
      </c>
      <c r="AV363">
        <v>6.3</v>
      </c>
    </row>
    <row r="364" spans="40:48" x14ac:dyDescent="0.25">
      <c r="AN364" t="s">
        <v>96</v>
      </c>
      <c r="AO364" t="s">
        <v>60</v>
      </c>
      <c r="AP364">
        <v>2002</v>
      </c>
      <c r="AQ364" t="s">
        <v>62</v>
      </c>
      <c r="AR364" t="s">
        <v>306</v>
      </c>
      <c r="AS364" t="s">
        <v>331</v>
      </c>
      <c r="AT364" t="s">
        <v>238</v>
      </c>
      <c r="AU364" t="s">
        <v>268</v>
      </c>
      <c r="AV364">
        <v>10.8</v>
      </c>
    </row>
    <row r="365" spans="40:48" x14ac:dyDescent="0.25">
      <c r="AN365" t="s">
        <v>96</v>
      </c>
      <c r="AO365" t="s">
        <v>60</v>
      </c>
      <c r="AP365">
        <v>2002</v>
      </c>
      <c r="AQ365" t="s">
        <v>62</v>
      </c>
      <c r="AR365" t="s">
        <v>306</v>
      </c>
      <c r="AS365" t="s">
        <v>331</v>
      </c>
      <c r="AT365" t="s">
        <v>239</v>
      </c>
      <c r="AU365" t="s">
        <v>308</v>
      </c>
      <c r="AV365">
        <v>0</v>
      </c>
    </row>
    <row r="366" spans="40:48" x14ac:dyDescent="0.25">
      <c r="AN366" t="s">
        <v>96</v>
      </c>
      <c r="AO366" t="s">
        <v>60</v>
      </c>
      <c r="AP366">
        <v>2002</v>
      </c>
      <c r="AQ366" t="s">
        <v>62</v>
      </c>
      <c r="AR366" t="s">
        <v>306</v>
      </c>
      <c r="AS366" t="s">
        <v>331</v>
      </c>
      <c r="AT366" t="s">
        <v>239</v>
      </c>
      <c r="AU366" t="s">
        <v>309</v>
      </c>
      <c r="AV366">
        <v>0</v>
      </c>
    </row>
    <row r="367" spans="40:48" x14ac:dyDescent="0.25">
      <c r="AN367" t="s">
        <v>96</v>
      </c>
      <c r="AO367" t="s">
        <v>60</v>
      </c>
      <c r="AP367">
        <v>2002</v>
      </c>
      <c r="AQ367" t="s">
        <v>62</v>
      </c>
      <c r="AR367" t="s">
        <v>306</v>
      </c>
      <c r="AS367" t="s">
        <v>331</v>
      </c>
      <c r="AT367" t="s">
        <v>239</v>
      </c>
      <c r="AU367" t="s">
        <v>268</v>
      </c>
      <c r="AV367">
        <v>0</v>
      </c>
    </row>
    <row r="368" spans="40:48" x14ac:dyDescent="0.25">
      <c r="AN368" t="s">
        <v>96</v>
      </c>
      <c r="AO368" t="s">
        <v>60</v>
      </c>
      <c r="AP368">
        <v>2002</v>
      </c>
      <c r="AQ368" t="s">
        <v>62</v>
      </c>
      <c r="AR368" t="s">
        <v>306</v>
      </c>
      <c r="AS368" t="s">
        <v>331</v>
      </c>
      <c r="AT368" t="s">
        <v>240</v>
      </c>
      <c r="AU368" t="s">
        <v>308</v>
      </c>
      <c r="AV368">
        <v>0</v>
      </c>
    </row>
    <row r="369" spans="40:48" x14ac:dyDescent="0.25">
      <c r="AN369" t="s">
        <v>96</v>
      </c>
      <c r="AO369" t="s">
        <v>60</v>
      </c>
      <c r="AP369">
        <v>2002</v>
      </c>
      <c r="AQ369" t="s">
        <v>62</v>
      </c>
      <c r="AR369" t="s">
        <v>306</v>
      </c>
      <c r="AS369" t="s">
        <v>331</v>
      </c>
      <c r="AT369" t="s">
        <v>240</v>
      </c>
      <c r="AU369" t="s">
        <v>309</v>
      </c>
      <c r="AV369">
        <v>0</v>
      </c>
    </row>
    <row r="370" spans="40:48" x14ac:dyDescent="0.25">
      <c r="AN370" t="s">
        <v>96</v>
      </c>
      <c r="AO370" t="s">
        <v>60</v>
      </c>
      <c r="AP370">
        <v>2002</v>
      </c>
      <c r="AQ370" t="s">
        <v>62</v>
      </c>
      <c r="AR370" t="s">
        <v>306</v>
      </c>
      <c r="AS370" t="s">
        <v>331</v>
      </c>
      <c r="AT370" t="s">
        <v>240</v>
      </c>
      <c r="AU370" t="s">
        <v>268</v>
      </c>
      <c r="AV370">
        <v>0</v>
      </c>
    </row>
    <row r="371" spans="40:48" x14ac:dyDescent="0.25">
      <c r="AN371" t="s">
        <v>96</v>
      </c>
      <c r="AO371" t="s">
        <v>60</v>
      </c>
      <c r="AP371">
        <v>2002</v>
      </c>
      <c r="AQ371" t="s">
        <v>62</v>
      </c>
      <c r="AR371" t="s">
        <v>306</v>
      </c>
      <c r="AS371" t="s">
        <v>331</v>
      </c>
      <c r="AT371" t="s">
        <v>314</v>
      </c>
      <c r="AU371" t="s">
        <v>308</v>
      </c>
      <c r="AV371">
        <v>3.5</v>
      </c>
    </row>
    <row r="372" spans="40:48" x14ac:dyDescent="0.25">
      <c r="AN372" t="s">
        <v>96</v>
      </c>
      <c r="AO372" t="s">
        <v>60</v>
      </c>
      <c r="AP372">
        <v>2002</v>
      </c>
      <c r="AQ372" t="s">
        <v>62</v>
      </c>
      <c r="AR372" t="s">
        <v>306</v>
      </c>
      <c r="AS372" t="s">
        <v>331</v>
      </c>
      <c r="AT372" t="s">
        <v>314</v>
      </c>
      <c r="AU372" t="s">
        <v>309</v>
      </c>
      <c r="AV372">
        <v>3</v>
      </c>
    </row>
    <row r="373" spans="40:48" x14ac:dyDescent="0.25">
      <c r="AN373" t="s">
        <v>96</v>
      </c>
      <c r="AO373" t="s">
        <v>60</v>
      </c>
      <c r="AP373">
        <v>2002</v>
      </c>
      <c r="AQ373" t="s">
        <v>62</v>
      </c>
      <c r="AR373" t="s">
        <v>306</v>
      </c>
      <c r="AS373" t="s">
        <v>331</v>
      </c>
      <c r="AT373" t="s">
        <v>314</v>
      </c>
      <c r="AU373" t="s">
        <v>268</v>
      </c>
      <c r="AV373">
        <v>6.5</v>
      </c>
    </row>
    <row r="374" spans="40:48" x14ac:dyDescent="0.25">
      <c r="AN374" t="s">
        <v>96</v>
      </c>
      <c r="AO374" t="s">
        <v>60</v>
      </c>
      <c r="AP374">
        <v>2002</v>
      </c>
      <c r="AQ374" t="s">
        <v>62</v>
      </c>
      <c r="AR374" t="s">
        <v>306</v>
      </c>
      <c r="AS374" t="s">
        <v>331</v>
      </c>
      <c r="AT374" t="s">
        <v>242</v>
      </c>
      <c r="AU374" t="s">
        <v>308</v>
      </c>
      <c r="AV374">
        <v>0</v>
      </c>
    </row>
    <row r="375" spans="40:48" x14ac:dyDescent="0.25">
      <c r="AN375" t="s">
        <v>96</v>
      </c>
      <c r="AO375" t="s">
        <v>60</v>
      </c>
      <c r="AP375">
        <v>2002</v>
      </c>
      <c r="AQ375" t="s">
        <v>62</v>
      </c>
      <c r="AR375" t="s">
        <v>306</v>
      </c>
      <c r="AS375" t="s">
        <v>331</v>
      </c>
      <c r="AT375" t="s">
        <v>242</v>
      </c>
      <c r="AU375" t="s">
        <v>309</v>
      </c>
      <c r="AV375">
        <v>0</v>
      </c>
    </row>
    <row r="376" spans="40:48" x14ac:dyDescent="0.25">
      <c r="AN376" t="s">
        <v>96</v>
      </c>
      <c r="AO376" t="s">
        <v>60</v>
      </c>
      <c r="AP376">
        <v>2002</v>
      </c>
      <c r="AQ376" t="s">
        <v>62</v>
      </c>
      <c r="AR376" t="s">
        <v>306</v>
      </c>
      <c r="AS376" t="s">
        <v>331</v>
      </c>
      <c r="AT376" t="s">
        <v>242</v>
      </c>
      <c r="AU376" t="s">
        <v>268</v>
      </c>
      <c r="AV376">
        <v>0</v>
      </c>
    </row>
    <row r="377" spans="40:48" x14ac:dyDescent="0.25">
      <c r="AN377" t="s">
        <v>96</v>
      </c>
      <c r="AO377" t="s">
        <v>60</v>
      </c>
      <c r="AP377">
        <v>2002</v>
      </c>
      <c r="AQ377" t="s">
        <v>62</v>
      </c>
      <c r="AR377" t="s">
        <v>306</v>
      </c>
      <c r="AS377" t="s">
        <v>331</v>
      </c>
      <c r="AT377" t="s">
        <v>243</v>
      </c>
      <c r="AU377" t="s">
        <v>326</v>
      </c>
      <c r="AV377">
        <v>0</v>
      </c>
    </row>
    <row r="378" spans="40:48" x14ac:dyDescent="0.25">
      <c r="AN378" t="s">
        <v>96</v>
      </c>
      <c r="AO378" t="s">
        <v>60</v>
      </c>
      <c r="AP378">
        <v>2002</v>
      </c>
      <c r="AQ378" t="s">
        <v>62</v>
      </c>
      <c r="AR378" t="s">
        <v>306</v>
      </c>
      <c r="AS378" t="s">
        <v>331</v>
      </c>
      <c r="AT378" t="s">
        <v>243</v>
      </c>
      <c r="AU378" t="s">
        <v>327</v>
      </c>
      <c r="AV378">
        <v>0</v>
      </c>
    </row>
    <row r="379" spans="40:48" x14ac:dyDescent="0.25">
      <c r="AN379" t="s">
        <v>96</v>
      </c>
      <c r="AO379" t="s">
        <v>60</v>
      </c>
      <c r="AP379">
        <v>2002</v>
      </c>
      <c r="AQ379" t="s">
        <v>62</v>
      </c>
      <c r="AR379" t="s">
        <v>306</v>
      </c>
      <c r="AS379" t="s">
        <v>331</v>
      </c>
      <c r="AT379" t="s">
        <v>243</v>
      </c>
      <c r="AU379" t="s">
        <v>329</v>
      </c>
      <c r="AV379">
        <v>17.3</v>
      </c>
    </row>
    <row r="380" spans="40:48" x14ac:dyDescent="0.25">
      <c r="AN380" t="s">
        <v>94</v>
      </c>
      <c r="AO380" t="s">
        <v>60</v>
      </c>
      <c r="AP380">
        <v>2002</v>
      </c>
      <c r="AQ380" t="s">
        <v>72</v>
      </c>
      <c r="AR380" t="s">
        <v>306</v>
      </c>
      <c r="AS380" t="s">
        <v>331</v>
      </c>
      <c r="AT380" t="s">
        <v>218</v>
      </c>
      <c r="AU380" t="s">
        <v>308</v>
      </c>
      <c r="AV380">
        <v>0</v>
      </c>
    </row>
    <row r="381" spans="40:48" x14ac:dyDescent="0.25">
      <c r="AN381" t="s">
        <v>94</v>
      </c>
      <c r="AO381" t="s">
        <v>60</v>
      </c>
      <c r="AP381">
        <v>2002</v>
      </c>
      <c r="AQ381" t="s">
        <v>72</v>
      </c>
      <c r="AR381" t="s">
        <v>306</v>
      </c>
      <c r="AS381" t="s">
        <v>331</v>
      </c>
      <c r="AT381" t="s">
        <v>218</v>
      </c>
      <c r="AU381" t="s">
        <v>309</v>
      </c>
      <c r="AV381">
        <v>0</v>
      </c>
    </row>
    <row r="382" spans="40:48" x14ac:dyDescent="0.25">
      <c r="AN382" t="s">
        <v>94</v>
      </c>
      <c r="AO382" t="s">
        <v>60</v>
      </c>
      <c r="AP382">
        <v>2002</v>
      </c>
      <c r="AQ382" t="s">
        <v>72</v>
      </c>
      <c r="AR382" t="s">
        <v>306</v>
      </c>
      <c r="AS382" t="s">
        <v>331</v>
      </c>
      <c r="AT382" t="s">
        <v>218</v>
      </c>
      <c r="AU382" t="s">
        <v>268</v>
      </c>
      <c r="AV382">
        <v>0</v>
      </c>
    </row>
    <row r="383" spans="40:48" x14ac:dyDescent="0.25">
      <c r="AN383" t="s">
        <v>94</v>
      </c>
      <c r="AO383" t="s">
        <v>60</v>
      </c>
      <c r="AP383">
        <v>2002</v>
      </c>
      <c r="AQ383" t="s">
        <v>72</v>
      </c>
      <c r="AR383" t="s">
        <v>306</v>
      </c>
      <c r="AS383" t="s">
        <v>331</v>
      </c>
      <c r="AT383" t="s">
        <v>238</v>
      </c>
      <c r="AU383" t="s">
        <v>308</v>
      </c>
      <c r="AV383">
        <v>0</v>
      </c>
    </row>
    <row r="384" spans="40:48" x14ac:dyDescent="0.25">
      <c r="AN384" t="s">
        <v>94</v>
      </c>
      <c r="AO384" t="s">
        <v>60</v>
      </c>
      <c r="AP384">
        <v>2002</v>
      </c>
      <c r="AQ384" t="s">
        <v>72</v>
      </c>
      <c r="AR384" t="s">
        <v>306</v>
      </c>
      <c r="AS384" t="s">
        <v>331</v>
      </c>
      <c r="AT384" t="s">
        <v>238</v>
      </c>
      <c r="AU384" t="s">
        <v>309</v>
      </c>
      <c r="AV384">
        <v>0</v>
      </c>
    </row>
    <row r="385" spans="40:48" x14ac:dyDescent="0.25">
      <c r="AN385" t="s">
        <v>94</v>
      </c>
      <c r="AO385" t="s">
        <v>60</v>
      </c>
      <c r="AP385">
        <v>2002</v>
      </c>
      <c r="AQ385" t="s">
        <v>72</v>
      </c>
      <c r="AR385" t="s">
        <v>306</v>
      </c>
      <c r="AS385" t="s">
        <v>331</v>
      </c>
      <c r="AT385" t="s">
        <v>238</v>
      </c>
      <c r="AU385" t="s">
        <v>268</v>
      </c>
      <c r="AV385">
        <v>0</v>
      </c>
    </row>
    <row r="386" spans="40:48" x14ac:dyDescent="0.25">
      <c r="AN386" t="s">
        <v>94</v>
      </c>
      <c r="AO386" t="s">
        <v>60</v>
      </c>
      <c r="AP386">
        <v>2002</v>
      </c>
      <c r="AQ386" t="s">
        <v>72</v>
      </c>
      <c r="AR386" t="s">
        <v>306</v>
      </c>
      <c r="AS386" t="s">
        <v>331</v>
      </c>
      <c r="AT386" t="s">
        <v>239</v>
      </c>
      <c r="AU386" t="s">
        <v>308</v>
      </c>
      <c r="AV386">
        <v>4.3</v>
      </c>
    </row>
    <row r="387" spans="40:48" x14ac:dyDescent="0.25">
      <c r="AN387" t="s">
        <v>94</v>
      </c>
      <c r="AO387" t="s">
        <v>60</v>
      </c>
      <c r="AP387">
        <v>2002</v>
      </c>
      <c r="AQ387" t="s">
        <v>72</v>
      </c>
      <c r="AR387" t="s">
        <v>306</v>
      </c>
      <c r="AS387" t="s">
        <v>331</v>
      </c>
      <c r="AT387" t="s">
        <v>239</v>
      </c>
      <c r="AU387" t="s">
        <v>309</v>
      </c>
      <c r="AV387">
        <v>7.2</v>
      </c>
    </row>
    <row r="388" spans="40:48" x14ac:dyDescent="0.25">
      <c r="AN388" t="s">
        <v>94</v>
      </c>
      <c r="AO388" t="s">
        <v>60</v>
      </c>
      <c r="AP388">
        <v>2002</v>
      </c>
      <c r="AQ388" t="s">
        <v>72</v>
      </c>
      <c r="AR388" t="s">
        <v>306</v>
      </c>
      <c r="AS388" t="s">
        <v>331</v>
      </c>
      <c r="AT388" t="s">
        <v>239</v>
      </c>
      <c r="AU388" t="s">
        <v>268</v>
      </c>
      <c r="AV388">
        <v>11.5</v>
      </c>
    </row>
    <row r="389" spans="40:48" x14ac:dyDescent="0.25">
      <c r="AN389" t="s">
        <v>94</v>
      </c>
      <c r="AO389" t="s">
        <v>60</v>
      </c>
      <c r="AP389">
        <v>2002</v>
      </c>
      <c r="AQ389" t="s">
        <v>72</v>
      </c>
      <c r="AR389" t="s">
        <v>306</v>
      </c>
      <c r="AS389" t="s">
        <v>331</v>
      </c>
      <c r="AT389" t="s">
        <v>240</v>
      </c>
      <c r="AU389" t="s">
        <v>308</v>
      </c>
      <c r="AV389">
        <v>0</v>
      </c>
    </row>
    <row r="390" spans="40:48" x14ac:dyDescent="0.25">
      <c r="AN390" t="s">
        <v>94</v>
      </c>
      <c r="AO390" t="s">
        <v>60</v>
      </c>
      <c r="AP390">
        <v>2002</v>
      </c>
      <c r="AQ390" t="s">
        <v>72</v>
      </c>
      <c r="AR390" t="s">
        <v>306</v>
      </c>
      <c r="AS390" t="s">
        <v>331</v>
      </c>
      <c r="AT390" t="s">
        <v>240</v>
      </c>
      <c r="AU390" t="s">
        <v>309</v>
      </c>
      <c r="AV390">
        <v>0</v>
      </c>
    </row>
    <row r="391" spans="40:48" x14ac:dyDescent="0.25">
      <c r="AN391" t="s">
        <v>94</v>
      </c>
      <c r="AO391" t="s">
        <v>60</v>
      </c>
      <c r="AP391">
        <v>2002</v>
      </c>
      <c r="AQ391" t="s">
        <v>72</v>
      </c>
      <c r="AR391" t="s">
        <v>306</v>
      </c>
      <c r="AS391" t="s">
        <v>331</v>
      </c>
      <c r="AT391" t="s">
        <v>240</v>
      </c>
      <c r="AU391" t="s">
        <v>268</v>
      </c>
      <c r="AV391">
        <v>0</v>
      </c>
    </row>
    <row r="392" spans="40:48" x14ac:dyDescent="0.25">
      <c r="AN392" t="s">
        <v>94</v>
      </c>
      <c r="AO392" t="s">
        <v>60</v>
      </c>
      <c r="AP392">
        <v>2002</v>
      </c>
      <c r="AQ392" t="s">
        <v>72</v>
      </c>
      <c r="AR392" t="s">
        <v>306</v>
      </c>
      <c r="AS392" t="s">
        <v>331</v>
      </c>
      <c r="AT392" t="s">
        <v>314</v>
      </c>
      <c r="AU392" t="s">
        <v>308</v>
      </c>
      <c r="AV392">
        <v>0</v>
      </c>
    </row>
    <row r="393" spans="40:48" x14ac:dyDescent="0.25">
      <c r="AN393" t="s">
        <v>94</v>
      </c>
      <c r="AO393" t="s">
        <v>60</v>
      </c>
      <c r="AP393">
        <v>2002</v>
      </c>
      <c r="AQ393" t="s">
        <v>72</v>
      </c>
      <c r="AR393" t="s">
        <v>306</v>
      </c>
      <c r="AS393" t="s">
        <v>331</v>
      </c>
      <c r="AT393" t="s">
        <v>314</v>
      </c>
      <c r="AU393" t="s">
        <v>309</v>
      </c>
      <c r="AV393">
        <v>0</v>
      </c>
    </row>
    <row r="394" spans="40:48" x14ac:dyDescent="0.25">
      <c r="AN394" t="s">
        <v>94</v>
      </c>
      <c r="AO394" t="s">
        <v>60</v>
      </c>
      <c r="AP394">
        <v>2002</v>
      </c>
      <c r="AQ394" t="s">
        <v>72</v>
      </c>
      <c r="AR394" t="s">
        <v>306</v>
      </c>
      <c r="AS394" t="s">
        <v>331</v>
      </c>
      <c r="AT394" t="s">
        <v>314</v>
      </c>
      <c r="AU394" t="s">
        <v>268</v>
      </c>
      <c r="AV394">
        <v>0</v>
      </c>
    </row>
    <row r="395" spans="40:48" x14ac:dyDescent="0.25">
      <c r="AN395" t="s">
        <v>94</v>
      </c>
      <c r="AO395" t="s">
        <v>60</v>
      </c>
      <c r="AP395">
        <v>2002</v>
      </c>
      <c r="AQ395" t="s">
        <v>72</v>
      </c>
      <c r="AR395" t="s">
        <v>306</v>
      </c>
      <c r="AS395" t="s">
        <v>331</v>
      </c>
      <c r="AT395" t="s">
        <v>242</v>
      </c>
      <c r="AU395" t="s">
        <v>308</v>
      </c>
      <c r="AV395">
        <v>0</v>
      </c>
    </row>
    <row r="396" spans="40:48" x14ac:dyDescent="0.25">
      <c r="AN396" t="s">
        <v>94</v>
      </c>
      <c r="AO396" t="s">
        <v>60</v>
      </c>
      <c r="AP396">
        <v>2002</v>
      </c>
      <c r="AQ396" t="s">
        <v>72</v>
      </c>
      <c r="AR396" t="s">
        <v>306</v>
      </c>
      <c r="AS396" t="s">
        <v>331</v>
      </c>
      <c r="AT396" t="s">
        <v>242</v>
      </c>
      <c r="AU396" t="s">
        <v>309</v>
      </c>
      <c r="AV396">
        <v>0</v>
      </c>
    </row>
    <row r="397" spans="40:48" x14ac:dyDescent="0.25">
      <c r="AN397" t="s">
        <v>94</v>
      </c>
      <c r="AO397" t="s">
        <v>60</v>
      </c>
      <c r="AP397">
        <v>2002</v>
      </c>
      <c r="AQ397" t="s">
        <v>72</v>
      </c>
      <c r="AR397" t="s">
        <v>306</v>
      </c>
      <c r="AS397" t="s">
        <v>331</v>
      </c>
      <c r="AT397" t="s">
        <v>242</v>
      </c>
      <c r="AU397" t="s">
        <v>268</v>
      </c>
      <c r="AV397">
        <v>0</v>
      </c>
    </row>
    <row r="398" spans="40:48" x14ac:dyDescent="0.25">
      <c r="AN398" t="s">
        <v>94</v>
      </c>
      <c r="AO398" t="s">
        <v>60</v>
      </c>
      <c r="AP398">
        <v>2002</v>
      </c>
      <c r="AQ398" t="s">
        <v>72</v>
      </c>
      <c r="AR398" t="s">
        <v>306</v>
      </c>
      <c r="AS398" t="s">
        <v>331</v>
      </c>
      <c r="AT398" t="s">
        <v>243</v>
      </c>
      <c r="AU398" t="s">
        <v>326</v>
      </c>
      <c r="AV398">
        <v>0</v>
      </c>
    </row>
    <row r="399" spans="40:48" x14ac:dyDescent="0.25">
      <c r="AN399" t="s">
        <v>94</v>
      </c>
      <c r="AO399" t="s">
        <v>60</v>
      </c>
      <c r="AP399">
        <v>2002</v>
      </c>
      <c r="AQ399" t="s">
        <v>72</v>
      </c>
      <c r="AR399" t="s">
        <v>306</v>
      </c>
      <c r="AS399" t="s">
        <v>331</v>
      </c>
      <c r="AT399" t="s">
        <v>243</v>
      </c>
      <c r="AU399" t="s">
        <v>327</v>
      </c>
      <c r="AV399">
        <v>0</v>
      </c>
    </row>
    <row r="400" spans="40:48" x14ac:dyDescent="0.25">
      <c r="AN400" t="s">
        <v>94</v>
      </c>
      <c r="AO400" t="s">
        <v>60</v>
      </c>
      <c r="AP400">
        <v>2002</v>
      </c>
      <c r="AQ400" t="s">
        <v>72</v>
      </c>
      <c r="AR400" t="s">
        <v>306</v>
      </c>
      <c r="AS400" t="s">
        <v>331</v>
      </c>
      <c r="AT400" t="s">
        <v>243</v>
      </c>
      <c r="AU400" t="s">
        <v>329</v>
      </c>
      <c r="AV400">
        <v>11.5</v>
      </c>
    </row>
    <row r="401" spans="40:48" x14ac:dyDescent="0.25">
      <c r="AN401" t="s">
        <v>104</v>
      </c>
      <c r="AO401" t="s">
        <v>60</v>
      </c>
      <c r="AP401">
        <v>2004</v>
      </c>
      <c r="AQ401" t="s">
        <v>28</v>
      </c>
      <c r="AR401" t="s">
        <v>306</v>
      </c>
      <c r="AS401" t="s">
        <v>331</v>
      </c>
      <c r="AT401" t="s">
        <v>218</v>
      </c>
      <c r="AU401" t="s">
        <v>308</v>
      </c>
      <c r="AV401">
        <v>4.4000000000000004</v>
      </c>
    </row>
    <row r="402" spans="40:48" x14ac:dyDescent="0.25">
      <c r="AN402" t="s">
        <v>104</v>
      </c>
      <c r="AO402" t="s">
        <v>60</v>
      </c>
      <c r="AP402">
        <v>2004</v>
      </c>
      <c r="AQ402" t="s">
        <v>28</v>
      </c>
      <c r="AR402" t="s">
        <v>306</v>
      </c>
      <c r="AS402" t="s">
        <v>331</v>
      </c>
      <c r="AT402" t="s">
        <v>218</v>
      </c>
      <c r="AU402" t="s">
        <v>309</v>
      </c>
      <c r="AV402">
        <v>4.5</v>
      </c>
    </row>
    <row r="403" spans="40:48" x14ac:dyDescent="0.25">
      <c r="AN403" t="s">
        <v>104</v>
      </c>
      <c r="AO403" t="s">
        <v>60</v>
      </c>
      <c r="AP403">
        <v>2004</v>
      </c>
      <c r="AQ403" t="s">
        <v>28</v>
      </c>
      <c r="AR403" t="s">
        <v>306</v>
      </c>
      <c r="AS403" t="s">
        <v>331</v>
      </c>
      <c r="AT403" t="s">
        <v>218</v>
      </c>
      <c r="AU403" t="s">
        <v>268</v>
      </c>
      <c r="AV403">
        <v>8.9</v>
      </c>
    </row>
    <row r="404" spans="40:48" x14ac:dyDescent="0.25">
      <c r="AN404" t="s">
        <v>104</v>
      </c>
      <c r="AO404" t="s">
        <v>60</v>
      </c>
      <c r="AP404">
        <v>2004</v>
      </c>
      <c r="AQ404" t="s">
        <v>28</v>
      </c>
      <c r="AR404" t="s">
        <v>306</v>
      </c>
      <c r="AS404" t="s">
        <v>331</v>
      </c>
      <c r="AT404" t="s">
        <v>238</v>
      </c>
      <c r="AU404" t="s">
        <v>308</v>
      </c>
      <c r="AV404">
        <v>0</v>
      </c>
    </row>
    <row r="405" spans="40:48" x14ac:dyDescent="0.25">
      <c r="AN405" t="s">
        <v>104</v>
      </c>
      <c r="AO405" t="s">
        <v>60</v>
      </c>
      <c r="AP405">
        <v>2004</v>
      </c>
      <c r="AQ405" t="s">
        <v>28</v>
      </c>
      <c r="AR405" t="s">
        <v>306</v>
      </c>
      <c r="AS405" t="s">
        <v>331</v>
      </c>
      <c r="AT405" t="s">
        <v>238</v>
      </c>
      <c r="AU405" t="s">
        <v>309</v>
      </c>
      <c r="AV405">
        <v>0</v>
      </c>
    </row>
    <row r="406" spans="40:48" x14ac:dyDescent="0.25">
      <c r="AN406" t="s">
        <v>104</v>
      </c>
      <c r="AO406" t="s">
        <v>60</v>
      </c>
      <c r="AP406">
        <v>2004</v>
      </c>
      <c r="AQ406" t="s">
        <v>28</v>
      </c>
      <c r="AR406" t="s">
        <v>306</v>
      </c>
      <c r="AS406" t="s">
        <v>331</v>
      </c>
      <c r="AT406" t="s">
        <v>238</v>
      </c>
      <c r="AU406" t="s">
        <v>268</v>
      </c>
      <c r="AV406">
        <v>0</v>
      </c>
    </row>
    <row r="407" spans="40:48" x14ac:dyDescent="0.25">
      <c r="AN407" t="s">
        <v>104</v>
      </c>
      <c r="AO407" t="s">
        <v>60</v>
      </c>
      <c r="AP407">
        <v>2004</v>
      </c>
      <c r="AQ407" t="s">
        <v>28</v>
      </c>
      <c r="AR407" t="s">
        <v>306</v>
      </c>
      <c r="AS407" t="s">
        <v>331</v>
      </c>
      <c r="AT407" t="s">
        <v>239</v>
      </c>
      <c r="AU407" t="s">
        <v>308</v>
      </c>
      <c r="AV407">
        <v>0</v>
      </c>
    </row>
    <row r="408" spans="40:48" x14ac:dyDescent="0.25">
      <c r="AN408" t="s">
        <v>104</v>
      </c>
      <c r="AO408" t="s">
        <v>60</v>
      </c>
      <c r="AP408">
        <v>2004</v>
      </c>
      <c r="AQ408" t="s">
        <v>28</v>
      </c>
      <c r="AR408" t="s">
        <v>306</v>
      </c>
      <c r="AS408" t="s">
        <v>331</v>
      </c>
      <c r="AT408" t="s">
        <v>239</v>
      </c>
      <c r="AU408" t="s">
        <v>309</v>
      </c>
      <c r="AV408">
        <v>0</v>
      </c>
    </row>
    <row r="409" spans="40:48" x14ac:dyDescent="0.25">
      <c r="AN409" t="s">
        <v>104</v>
      </c>
      <c r="AO409" t="s">
        <v>60</v>
      </c>
      <c r="AP409">
        <v>2004</v>
      </c>
      <c r="AQ409" t="s">
        <v>28</v>
      </c>
      <c r="AR409" t="s">
        <v>306</v>
      </c>
      <c r="AS409" t="s">
        <v>331</v>
      </c>
      <c r="AT409" t="s">
        <v>239</v>
      </c>
      <c r="AU409" t="s">
        <v>268</v>
      </c>
      <c r="AV409">
        <v>0</v>
      </c>
    </row>
    <row r="410" spans="40:48" x14ac:dyDescent="0.25">
      <c r="AN410" t="s">
        <v>104</v>
      </c>
      <c r="AO410" t="s">
        <v>60</v>
      </c>
      <c r="AP410">
        <v>2004</v>
      </c>
      <c r="AQ410" t="s">
        <v>28</v>
      </c>
      <c r="AR410" t="s">
        <v>306</v>
      </c>
      <c r="AS410" t="s">
        <v>331</v>
      </c>
      <c r="AT410" t="s">
        <v>240</v>
      </c>
      <c r="AU410" t="s">
        <v>308</v>
      </c>
      <c r="AV410">
        <v>0</v>
      </c>
    </row>
    <row r="411" spans="40:48" x14ac:dyDescent="0.25">
      <c r="AN411" t="s">
        <v>104</v>
      </c>
      <c r="AO411" t="s">
        <v>60</v>
      </c>
      <c r="AP411">
        <v>2004</v>
      </c>
      <c r="AQ411" t="s">
        <v>28</v>
      </c>
      <c r="AR411" t="s">
        <v>306</v>
      </c>
      <c r="AS411" t="s">
        <v>331</v>
      </c>
      <c r="AT411" t="s">
        <v>240</v>
      </c>
      <c r="AU411" t="s">
        <v>309</v>
      </c>
      <c r="AV411">
        <v>0</v>
      </c>
    </row>
    <row r="412" spans="40:48" x14ac:dyDescent="0.25">
      <c r="AN412" t="s">
        <v>104</v>
      </c>
      <c r="AO412" t="s">
        <v>60</v>
      </c>
      <c r="AP412">
        <v>2004</v>
      </c>
      <c r="AQ412" t="s">
        <v>28</v>
      </c>
      <c r="AR412" t="s">
        <v>306</v>
      </c>
      <c r="AS412" t="s">
        <v>331</v>
      </c>
      <c r="AT412" t="s">
        <v>240</v>
      </c>
      <c r="AU412" t="s">
        <v>268</v>
      </c>
      <c r="AV412">
        <v>0</v>
      </c>
    </row>
    <row r="413" spans="40:48" x14ac:dyDescent="0.25">
      <c r="AN413" t="s">
        <v>104</v>
      </c>
      <c r="AO413" t="s">
        <v>60</v>
      </c>
      <c r="AP413">
        <v>2004</v>
      </c>
      <c r="AQ413" t="s">
        <v>28</v>
      </c>
      <c r="AR413" t="s">
        <v>306</v>
      </c>
      <c r="AS413" t="s">
        <v>331</v>
      </c>
      <c r="AT413" t="s">
        <v>314</v>
      </c>
      <c r="AU413" t="s">
        <v>308</v>
      </c>
      <c r="AV413">
        <v>0</v>
      </c>
    </row>
    <row r="414" spans="40:48" x14ac:dyDescent="0.25">
      <c r="AN414" t="s">
        <v>104</v>
      </c>
      <c r="AO414" t="s">
        <v>60</v>
      </c>
      <c r="AP414">
        <v>2004</v>
      </c>
      <c r="AQ414" t="s">
        <v>28</v>
      </c>
      <c r="AR414" t="s">
        <v>306</v>
      </c>
      <c r="AS414" t="s">
        <v>331</v>
      </c>
      <c r="AT414" t="s">
        <v>314</v>
      </c>
      <c r="AU414" t="s">
        <v>309</v>
      </c>
      <c r="AV414">
        <v>0</v>
      </c>
    </row>
    <row r="415" spans="40:48" x14ac:dyDescent="0.25">
      <c r="AN415" t="s">
        <v>104</v>
      </c>
      <c r="AO415" t="s">
        <v>60</v>
      </c>
      <c r="AP415">
        <v>2004</v>
      </c>
      <c r="AQ415" t="s">
        <v>28</v>
      </c>
      <c r="AR415" t="s">
        <v>306</v>
      </c>
      <c r="AS415" t="s">
        <v>331</v>
      </c>
      <c r="AT415" t="s">
        <v>314</v>
      </c>
      <c r="AU415" t="s">
        <v>268</v>
      </c>
      <c r="AV415">
        <v>0</v>
      </c>
    </row>
    <row r="416" spans="40:48" x14ac:dyDescent="0.25">
      <c r="AN416" t="s">
        <v>104</v>
      </c>
      <c r="AO416" t="s">
        <v>60</v>
      </c>
      <c r="AP416">
        <v>2004</v>
      </c>
      <c r="AQ416" t="s">
        <v>28</v>
      </c>
      <c r="AR416" t="s">
        <v>306</v>
      </c>
      <c r="AS416" t="s">
        <v>331</v>
      </c>
      <c r="AT416" t="s">
        <v>242</v>
      </c>
      <c r="AU416" t="s">
        <v>308</v>
      </c>
      <c r="AV416">
        <v>0</v>
      </c>
    </row>
    <row r="417" spans="40:48" x14ac:dyDescent="0.25">
      <c r="AN417" t="s">
        <v>104</v>
      </c>
      <c r="AO417" t="s">
        <v>60</v>
      </c>
      <c r="AP417">
        <v>2004</v>
      </c>
      <c r="AQ417" t="s">
        <v>28</v>
      </c>
      <c r="AR417" t="s">
        <v>306</v>
      </c>
      <c r="AS417" t="s">
        <v>331</v>
      </c>
      <c r="AT417" t="s">
        <v>242</v>
      </c>
      <c r="AU417" t="s">
        <v>309</v>
      </c>
      <c r="AV417">
        <v>0</v>
      </c>
    </row>
    <row r="418" spans="40:48" x14ac:dyDescent="0.25">
      <c r="AN418" t="s">
        <v>104</v>
      </c>
      <c r="AO418" t="s">
        <v>60</v>
      </c>
      <c r="AP418">
        <v>2004</v>
      </c>
      <c r="AQ418" t="s">
        <v>28</v>
      </c>
      <c r="AR418" t="s">
        <v>306</v>
      </c>
      <c r="AS418" t="s">
        <v>331</v>
      </c>
      <c r="AT418" t="s">
        <v>242</v>
      </c>
      <c r="AU418" t="s">
        <v>268</v>
      </c>
      <c r="AV418">
        <v>0</v>
      </c>
    </row>
    <row r="419" spans="40:48" x14ac:dyDescent="0.25">
      <c r="AN419" t="s">
        <v>104</v>
      </c>
      <c r="AO419" t="s">
        <v>60</v>
      </c>
      <c r="AP419">
        <v>2004</v>
      </c>
      <c r="AQ419" t="s">
        <v>28</v>
      </c>
      <c r="AR419" t="s">
        <v>306</v>
      </c>
      <c r="AS419" t="s">
        <v>331</v>
      </c>
      <c r="AT419" t="s">
        <v>243</v>
      </c>
      <c r="AU419" t="s">
        <v>326</v>
      </c>
      <c r="AV419">
        <v>0</v>
      </c>
    </row>
    <row r="420" spans="40:48" x14ac:dyDescent="0.25">
      <c r="AN420" t="s">
        <v>104</v>
      </c>
      <c r="AO420" t="s">
        <v>60</v>
      </c>
      <c r="AP420">
        <v>2004</v>
      </c>
      <c r="AQ420" t="s">
        <v>28</v>
      </c>
      <c r="AR420" t="s">
        <v>306</v>
      </c>
      <c r="AS420" t="s">
        <v>331</v>
      </c>
      <c r="AT420" t="s">
        <v>243</v>
      </c>
      <c r="AU420" t="s">
        <v>327</v>
      </c>
      <c r="AV420">
        <v>0</v>
      </c>
    </row>
    <row r="421" spans="40:48" x14ac:dyDescent="0.25">
      <c r="AN421" t="s">
        <v>104</v>
      </c>
      <c r="AO421" t="s">
        <v>60</v>
      </c>
      <c r="AP421">
        <v>2004</v>
      </c>
      <c r="AQ421" t="s">
        <v>28</v>
      </c>
      <c r="AR421" t="s">
        <v>306</v>
      </c>
      <c r="AS421" t="s">
        <v>331</v>
      </c>
      <c r="AT421" t="s">
        <v>243</v>
      </c>
      <c r="AU421" t="s">
        <v>329</v>
      </c>
      <c r="AV421">
        <v>8.9</v>
      </c>
    </row>
    <row r="422" spans="40:48" x14ac:dyDescent="0.25">
      <c r="AN422" t="s">
        <v>25</v>
      </c>
      <c r="AO422" t="s">
        <v>26</v>
      </c>
      <c r="AP422">
        <v>2008</v>
      </c>
      <c r="AQ422" t="s">
        <v>28</v>
      </c>
      <c r="AR422" t="s">
        <v>305</v>
      </c>
      <c r="AS422" t="s">
        <v>331</v>
      </c>
      <c r="AT422" t="s">
        <v>218</v>
      </c>
      <c r="AU422" t="s">
        <v>308</v>
      </c>
      <c r="AV422">
        <v>4</v>
      </c>
    </row>
    <row r="423" spans="40:48" x14ac:dyDescent="0.25">
      <c r="AN423" t="s">
        <v>25</v>
      </c>
      <c r="AO423" t="s">
        <v>26</v>
      </c>
      <c r="AP423">
        <v>2008</v>
      </c>
      <c r="AQ423" t="s">
        <v>28</v>
      </c>
      <c r="AR423" t="s">
        <v>305</v>
      </c>
      <c r="AS423" t="s">
        <v>331</v>
      </c>
      <c r="AT423" t="s">
        <v>218</v>
      </c>
      <c r="AU423" t="s">
        <v>309</v>
      </c>
      <c r="AV423">
        <v>7.9</v>
      </c>
    </row>
    <row r="424" spans="40:48" x14ac:dyDescent="0.25">
      <c r="AN424" t="s">
        <v>25</v>
      </c>
      <c r="AO424" t="s">
        <v>26</v>
      </c>
      <c r="AP424">
        <v>2008</v>
      </c>
      <c r="AQ424" t="s">
        <v>28</v>
      </c>
      <c r="AR424" t="s">
        <v>305</v>
      </c>
      <c r="AS424" t="s">
        <v>331</v>
      </c>
      <c r="AT424" t="s">
        <v>218</v>
      </c>
      <c r="AU424" t="s">
        <v>268</v>
      </c>
      <c r="AV424">
        <v>11.9</v>
      </c>
    </row>
    <row r="425" spans="40:48" x14ac:dyDescent="0.25">
      <c r="AN425" t="s">
        <v>25</v>
      </c>
      <c r="AO425" t="s">
        <v>26</v>
      </c>
      <c r="AP425">
        <v>2008</v>
      </c>
      <c r="AQ425" t="s">
        <v>28</v>
      </c>
      <c r="AR425" t="s">
        <v>305</v>
      </c>
      <c r="AS425" t="s">
        <v>331</v>
      </c>
      <c r="AT425" t="s">
        <v>238</v>
      </c>
      <c r="AU425" t="s">
        <v>308</v>
      </c>
      <c r="AV425">
        <v>3.7</v>
      </c>
    </row>
    <row r="426" spans="40:48" x14ac:dyDescent="0.25">
      <c r="AN426" t="s">
        <v>25</v>
      </c>
      <c r="AO426" t="s">
        <v>26</v>
      </c>
      <c r="AP426">
        <v>2008</v>
      </c>
      <c r="AQ426" t="s">
        <v>28</v>
      </c>
      <c r="AR426" t="s">
        <v>305</v>
      </c>
      <c r="AS426" t="s">
        <v>331</v>
      </c>
      <c r="AT426" t="s">
        <v>238</v>
      </c>
      <c r="AU426" t="s">
        <v>309</v>
      </c>
      <c r="AV426">
        <v>8.8000000000000007</v>
      </c>
    </row>
    <row r="427" spans="40:48" x14ac:dyDescent="0.25">
      <c r="AN427" t="s">
        <v>25</v>
      </c>
      <c r="AO427" t="s">
        <v>26</v>
      </c>
      <c r="AP427">
        <v>2008</v>
      </c>
      <c r="AQ427" t="s">
        <v>28</v>
      </c>
      <c r="AR427" t="s">
        <v>305</v>
      </c>
      <c r="AS427" t="s">
        <v>331</v>
      </c>
      <c r="AT427" t="s">
        <v>238</v>
      </c>
      <c r="AU427" t="s">
        <v>268</v>
      </c>
      <c r="AV427">
        <v>12.5</v>
      </c>
    </row>
    <row r="428" spans="40:48" x14ac:dyDescent="0.25">
      <c r="AN428" t="s">
        <v>25</v>
      </c>
      <c r="AO428" t="s">
        <v>26</v>
      </c>
      <c r="AP428">
        <v>2008</v>
      </c>
      <c r="AQ428" t="s">
        <v>28</v>
      </c>
      <c r="AR428" t="s">
        <v>305</v>
      </c>
      <c r="AS428" t="s">
        <v>331</v>
      </c>
      <c r="AT428" t="s">
        <v>239</v>
      </c>
      <c r="AU428" t="s">
        <v>308</v>
      </c>
      <c r="AV428">
        <v>2.8</v>
      </c>
    </row>
    <row r="429" spans="40:48" x14ac:dyDescent="0.25">
      <c r="AN429" t="s">
        <v>25</v>
      </c>
      <c r="AO429" t="s">
        <v>26</v>
      </c>
      <c r="AP429">
        <v>2008</v>
      </c>
      <c r="AQ429" t="s">
        <v>28</v>
      </c>
      <c r="AR429" t="s">
        <v>305</v>
      </c>
      <c r="AS429" t="s">
        <v>331</v>
      </c>
      <c r="AT429" t="s">
        <v>239</v>
      </c>
      <c r="AU429" t="s">
        <v>309</v>
      </c>
      <c r="AV429">
        <v>8.4</v>
      </c>
    </row>
    <row r="430" spans="40:48" x14ac:dyDescent="0.25">
      <c r="AN430" t="s">
        <v>25</v>
      </c>
      <c r="AO430" t="s">
        <v>26</v>
      </c>
      <c r="AP430">
        <v>2008</v>
      </c>
      <c r="AQ430" t="s">
        <v>28</v>
      </c>
      <c r="AR430" t="s">
        <v>305</v>
      </c>
      <c r="AS430" t="s">
        <v>331</v>
      </c>
      <c r="AT430" t="s">
        <v>239</v>
      </c>
      <c r="AU430" t="s">
        <v>268</v>
      </c>
      <c r="AV430">
        <v>11.2</v>
      </c>
    </row>
    <row r="431" spans="40:48" x14ac:dyDescent="0.25">
      <c r="AN431" t="s">
        <v>25</v>
      </c>
      <c r="AO431" t="s">
        <v>26</v>
      </c>
      <c r="AP431">
        <v>2008</v>
      </c>
      <c r="AQ431" t="s">
        <v>28</v>
      </c>
      <c r="AR431" t="s">
        <v>305</v>
      </c>
      <c r="AS431" t="s">
        <v>331</v>
      </c>
      <c r="AT431" t="s">
        <v>240</v>
      </c>
      <c r="AU431" t="s">
        <v>308</v>
      </c>
      <c r="AV431">
        <v>2.2000000000000002</v>
      </c>
    </row>
    <row r="432" spans="40:48" x14ac:dyDescent="0.25">
      <c r="AN432" t="s">
        <v>25</v>
      </c>
      <c r="AO432" t="s">
        <v>26</v>
      </c>
      <c r="AP432">
        <v>2008</v>
      </c>
      <c r="AQ432" t="s">
        <v>28</v>
      </c>
      <c r="AR432" t="s">
        <v>305</v>
      </c>
      <c r="AS432" t="s">
        <v>331</v>
      </c>
      <c r="AT432" t="s">
        <v>240</v>
      </c>
      <c r="AU432" t="s">
        <v>309</v>
      </c>
      <c r="AV432">
        <v>8.3000000000000007</v>
      </c>
    </row>
    <row r="433" spans="40:48" x14ac:dyDescent="0.25">
      <c r="AN433" t="s">
        <v>25</v>
      </c>
      <c r="AO433" t="s">
        <v>26</v>
      </c>
      <c r="AP433">
        <v>2008</v>
      </c>
      <c r="AQ433" t="s">
        <v>28</v>
      </c>
      <c r="AR433" t="s">
        <v>305</v>
      </c>
      <c r="AS433" t="s">
        <v>331</v>
      </c>
      <c r="AT433" t="s">
        <v>240</v>
      </c>
      <c r="AU433" t="s">
        <v>268</v>
      </c>
      <c r="AV433">
        <v>10.5</v>
      </c>
    </row>
    <row r="434" spans="40:48" x14ac:dyDescent="0.25">
      <c r="AN434" t="s">
        <v>25</v>
      </c>
      <c r="AO434" t="s">
        <v>26</v>
      </c>
      <c r="AP434">
        <v>2008</v>
      </c>
      <c r="AQ434" t="s">
        <v>28</v>
      </c>
      <c r="AR434" t="s">
        <v>305</v>
      </c>
      <c r="AS434" t="s">
        <v>331</v>
      </c>
      <c r="AT434" t="s">
        <v>314</v>
      </c>
      <c r="AU434" t="s">
        <v>308</v>
      </c>
      <c r="AV434">
        <v>4.2</v>
      </c>
    </row>
    <row r="435" spans="40:48" x14ac:dyDescent="0.25">
      <c r="AN435" t="s">
        <v>25</v>
      </c>
      <c r="AO435" t="s">
        <v>26</v>
      </c>
      <c r="AP435">
        <v>2008</v>
      </c>
      <c r="AQ435" t="s">
        <v>28</v>
      </c>
      <c r="AR435" t="s">
        <v>305</v>
      </c>
      <c r="AS435" t="s">
        <v>331</v>
      </c>
      <c r="AT435" t="s">
        <v>314</v>
      </c>
      <c r="AU435" t="s">
        <v>309</v>
      </c>
      <c r="AV435">
        <v>7.7</v>
      </c>
    </row>
    <row r="436" spans="40:48" x14ac:dyDescent="0.25">
      <c r="AN436" t="s">
        <v>25</v>
      </c>
      <c r="AO436" t="s">
        <v>26</v>
      </c>
      <c r="AP436">
        <v>2008</v>
      </c>
      <c r="AQ436" t="s">
        <v>28</v>
      </c>
      <c r="AR436" t="s">
        <v>305</v>
      </c>
      <c r="AS436" t="s">
        <v>331</v>
      </c>
      <c r="AT436" t="s">
        <v>314</v>
      </c>
      <c r="AU436" t="s">
        <v>268</v>
      </c>
      <c r="AV436">
        <v>11.9</v>
      </c>
    </row>
    <row r="437" spans="40:48" x14ac:dyDescent="0.25">
      <c r="AN437" t="s">
        <v>25</v>
      </c>
      <c r="AO437" t="s">
        <v>26</v>
      </c>
      <c r="AP437">
        <v>2008</v>
      </c>
      <c r="AQ437" t="s">
        <v>28</v>
      </c>
      <c r="AR437" t="s">
        <v>305</v>
      </c>
      <c r="AS437" t="s">
        <v>331</v>
      </c>
      <c r="AT437" t="s">
        <v>242</v>
      </c>
      <c r="AU437" t="s">
        <v>308</v>
      </c>
      <c r="AV437">
        <v>2.7</v>
      </c>
    </row>
    <row r="438" spans="40:48" x14ac:dyDescent="0.25">
      <c r="AN438" t="s">
        <v>25</v>
      </c>
      <c r="AO438" t="s">
        <v>26</v>
      </c>
      <c r="AP438">
        <v>2008</v>
      </c>
      <c r="AQ438" t="s">
        <v>28</v>
      </c>
      <c r="AR438" t="s">
        <v>305</v>
      </c>
      <c r="AS438" t="s">
        <v>331</v>
      </c>
      <c r="AT438" t="s">
        <v>242</v>
      </c>
      <c r="AU438" t="s">
        <v>309</v>
      </c>
      <c r="AV438">
        <v>9.3000000000000007</v>
      </c>
    </row>
    <row r="439" spans="40:48" x14ac:dyDescent="0.25">
      <c r="AN439" t="s">
        <v>25</v>
      </c>
      <c r="AO439" t="s">
        <v>26</v>
      </c>
      <c r="AP439">
        <v>2008</v>
      </c>
      <c r="AQ439" t="s">
        <v>28</v>
      </c>
      <c r="AR439" t="s">
        <v>305</v>
      </c>
      <c r="AS439" t="s">
        <v>331</v>
      </c>
      <c r="AT439" t="s">
        <v>242</v>
      </c>
      <c r="AU439" t="s">
        <v>268</v>
      </c>
      <c r="AV439">
        <v>12</v>
      </c>
    </row>
    <row r="440" spans="40:48" x14ac:dyDescent="0.25">
      <c r="AN440" t="s">
        <v>25</v>
      </c>
      <c r="AO440" t="s">
        <v>26</v>
      </c>
      <c r="AP440">
        <v>2008</v>
      </c>
      <c r="AQ440" t="s">
        <v>28</v>
      </c>
      <c r="AR440" t="s">
        <v>305</v>
      </c>
      <c r="AS440" t="s">
        <v>331</v>
      </c>
      <c r="AT440" t="s">
        <v>243</v>
      </c>
      <c r="AU440" t="s">
        <v>326</v>
      </c>
      <c r="AV440">
        <v>19.599999999999998</v>
      </c>
    </row>
    <row r="441" spans="40:48" x14ac:dyDescent="0.25">
      <c r="AN441" t="s">
        <v>25</v>
      </c>
      <c r="AO441" t="s">
        <v>26</v>
      </c>
      <c r="AP441">
        <v>2008</v>
      </c>
      <c r="AQ441" t="s">
        <v>28</v>
      </c>
      <c r="AR441" t="s">
        <v>305</v>
      </c>
      <c r="AS441" t="s">
        <v>331</v>
      </c>
      <c r="AT441" t="s">
        <v>243</v>
      </c>
      <c r="AU441" t="s">
        <v>327</v>
      </c>
      <c r="AV441">
        <v>50.400000000000006</v>
      </c>
    </row>
    <row r="442" spans="40:48" x14ac:dyDescent="0.25">
      <c r="AN442" t="s">
        <v>25</v>
      </c>
      <c r="AO442" t="s">
        <v>26</v>
      </c>
      <c r="AP442">
        <v>2008</v>
      </c>
      <c r="AQ442" t="s">
        <v>28</v>
      </c>
      <c r="AR442" t="s">
        <v>305</v>
      </c>
      <c r="AS442" t="s">
        <v>331</v>
      </c>
      <c r="AT442" t="s">
        <v>243</v>
      </c>
      <c r="AU442" t="s">
        <v>329</v>
      </c>
      <c r="AV442">
        <v>70</v>
      </c>
    </row>
    <row r="443" spans="40:48" x14ac:dyDescent="0.25">
      <c r="AN443" t="s">
        <v>32</v>
      </c>
      <c r="AO443" t="s">
        <v>26</v>
      </c>
      <c r="AP443">
        <v>2005</v>
      </c>
      <c r="AQ443" t="s">
        <v>31</v>
      </c>
      <c r="AR443" t="s">
        <v>305</v>
      </c>
      <c r="AS443" t="s">
        <v>331</v>
      </c>
      <c r="AT443" t="s">
        <v>218</v>
      </c>
      <c r="AU443" t="s">
        <v>308</v>
      </c>
      <c r="AV443">
        <v>4.0999999999999996</v>
      </c>
    </row>
    <row r="444" spans="40:48" x14ac:dyDescent="0.25">
      <c r="AN444" t="s">
        <v>32</v>
      </c>
      <c r="AO444" t="s">
        <v>26</v>
      </c>
      <c r="AP444">
        <v>2005</v>
      </c>
      <c r="AQ444" t="s">
        <v>31</v>
      </c>
      <c r="AR444" t="s">
        <v>305</v>
      </c>
      <c r="AS444" t="s">
        <v>331</v>
      </c>
      <c r="AT444" t="s">
        <v>218</v>
      </c>
      <c r="AU444" t="s">
        <v>309</v>
      </c>
      <c r="AV444">
        <v>7.8</v>
      </c>
    </row>
    <row r="445" spans="40:48" x14ac:dyDescent="0.25">
      <c r="AN445" t="s">
        <v>32</v>
      </c>
      <c r="AO445" t="s">
        <v>26</v>
      </c>
      <c r="AP445">
        <v>2005</v>
      </c>
      <c r="AQ445" t="s">
        <v>31</v>
      </c>
      <c r="AR445" t="s">
        <v>305</v>
      </c>
      <c r="AS445" t="s">
        <v>331</v>
      </c>
      <c r="AT445" t="s">
        <v>218</v>
      </c>
      <c r="AU445" t="s">
        <v>268</v>
      </c>
      <c r="AV445">
        <v>11.9</v>
      </c>
    </row>
    <row r="446" spans="40:48" x14ac:dyDescent="0.25">
      <c r="AN446" t="s">
        <v>32</v>
      </c>
      <c r="AO446" t="s">
        <v>26</v>
      </c>
      <c r="AP446">
        <v>2005</v>
      </c>
      <c r="AQ446" t="s">
        <v>31</v>
      </c>
      <c r="AR446" t="s">
        <v>305</v>
      </c>
      <c r="AS446" t="s">
        <v>331</v>
      </c>
      <c r="AT446" t="s">
        <v>238</v>
      </c>
      <c r="AU446" t="s">
        <v>308</v>
      </c>
      <c r="AV446">
        <v>3.6</v>
      </c>
    </row>
    <row r="447" spans="40:48" x14ac:dyDescent="0.25">
      <c r="AN447" t="s">
        <v>32</v>
      </c>
      <c r="AO447" t="s">
        <v>26</v>
      </c>
      <c r="AP447">
        <v>2005</v>
      </c>
      <c r="AQ447" t="s">
        <v>31</v>
      </c>
      <c r="AR447" t="s">
        <v>305</v>
      </c>
      <c r="AS447" t="s">
        <v>331</v>
      </c>
      <c r="AT447" t="s">
        <v>238</v>
      </c>
      <c r="AU447" t="s">
        <v>309</v>
      </c>
      <c r="AV447">
        <v>8.3000000000000007</v>
      </c>
    </row>
    <row r="448" spans="40:48" x14ac:dyDescent="0.25">
      <c r="AN448" t="s">
        <v>32</v>
      </c>
      <c r="AO448" t="s">
        <v>26</v>
      </c>
      <c r="AP448">
        <v>2005</v>
      </c>
      <c r="AQ448" t="s">
        <v>31</v>
      </c>
      <c r="AR448" t="s">
        <v>305</v>
      </c>
      <c r="AS448" t="s">
        <v>331</v>
      </c>
      <c r="AT448" t="s">
        <v>238</v>
      </c>
      <c r="AU448" t="s">
        <v>268</v>
      </c>
      <c r="AV448">
        <v>11.9</v>
      </c>
    </row>
    <row r="449" spans="40:48" x14ac:dyDescent="0.25">
      <c r="AN449" t="s">
        <v>32</v>
      </c>
      <c r="AO449" t="s">
        <v>26</v>
      </c>
      <c r="AP449">
        <v>2005</v>
      </c>
      <c r="AQ449" t="s">
        <v>31</v>
      </c>
      <c r="AR449" t="s">
        <v>305</v>
      </c>
      <c r="AS449" t="s">
        <v>331</v>
      </c>
      <c r="AT449" t="s">
        <v>239</v>
      </c>
      <c r="AU449" t="s">
        <v>308</v>
      </c>
      <c r="AV449">
        <v>3.3</v>
      </c>
    </row>
    <row r="450" spans="40:48" x14ac:dyDescent="0.25">
      <c r="AN450" t="s">
        <v>32</v>
      </c>
      <c r="AO450" t="s">
        <v>26</v>
      </c>
      <c r="AP450">
        <v>2005</v>
      </c>
      <c r="AQ450" t="s">
        <v>31</v>
      </c>
      <c r="AR450" t="s">
        <v>305</v>
      </c>
      <c r="AS450" t="s">
        <v>331</v>
      </c>
      <c r="AT450" t="s">
        <v>239</v>
      </c>
      <c r="AU450" t="s">
        <v>309</v>
      </c>
      <c r="AV450">
        <v>7.9</v>
      </c>
    </row>
    <row r="451" spans="40:48" x14ac:dyDescent="0.25">
      <c r="AN451" t="s">
        <v>32</v>
      </c>
      <c r="AO451" t="s">
        <v>26</v>
      </c>
      <c r="AP451">
        <v>2005</v>
      </c>
      <c r="AQ451" t="s">
        <v>31</v>
      </c>
      <c r="AR451" t="s">
        <v>305</v>
      </c>
      <c r="AS451" t="s">
        <v>331</v>
      </c>
      <c r="AT451" t="s">
        <v>239</v>
      </c>
      <c r="AU451" t="s">
        <v>268</v>
      </c>
      <c r="AV451">
        <v>11.2</v>
      </c>
    </row>
    <row r="452" spans="40:48" x14ac:dyDescent="0.25">
      <c r="AN452" t="s">
        <v>32</v>
      </c>
      <c r="AO452" t="s">
        <v>26</v>
      </c>
      <c r="AP452">
        <v>2005</v>
      </c>
      <c r="AQ452" t="s">
        <v>31</v>
      </c>
      <c r="AR452" t="s">
        <v>305</v>
      </c>
      <c r="AS452" t="s">
        <v>331</v>
      </c>
      <c r="AT452" t="s">
        <v>240</v>
      </c>
      <c r="AU452" t="s">
        <v>308</v>
      </c>
      <c r="AV452">
        <v>2.8</v>
      </c>
    </row>
    <row r="453" spans="40:48" x14ac:dyDescent="0.25">
      <c r="AN453" t="s">
        <v>32</v>
      </c>
      <c r="AO453" t="s">
        <v>26</v>
      </c>
      <c r="AP453">
        <v>2005</v>
      </c>
      <c r="AQ453" t="s">
        <v>31</v>
      </c>
      <c r="AR453" t="s">
        <v>305</v>
      </c>
      <c r="AS453" t="s">
        <v>331</v>
      </c>
      <c r="AT453" t="s">
        <v>240</v>
      </c>
      <c r="AU453" t="s">
        <v>309</v>
      </c>
      <c r="AV453">
        <v>8.8000000000000007</v>
      </c>
    </row>
    <row r="454" spans="40:48" x14ac:dyDescent="0.25">
      <c r="AN454" t="s">
        <v>32</v>
      </c>
      <c r="AO454" t="s">
        <v>26</v>
      </c>
      <c r="AP454">
        <v>2005</v>
      </c>
      <c r="AQ454" t="s">
        <v>31</v>
      </c>
      <c r="AR454" t="s">
        <v>305</v>
      </c>
      <c r="AS454" t="s">
        <v>331</v>
      </c>
      <c r="AT454" t="s">
        <v>240</v>
      </c>
      <c r="AU454" t="s">
        <v>268</v>
      </c>
      <c r="AV454">
        <v>11.6</v>
      </c>
    </row>
    <row r="455" spans="40:48" x14ac:dyDescent="0.25">
      <c r="AN455" t="s">
        <v>32</v>
      </c>
      <c r="AO455" t="s">
        <v>26</v>
      </c>
      <c r="AP455">
        <v>2005</v>
      </c>
      <c r="AQ455" t="s">
        <v>31</v>
      </c>
      <c r="AR455" t="s">
        <v>305</v>
      </c>
      <c r="AS455" t="s">
        <v>331</v>
      </c>
      <c r="AT455" t="s">
        <v>314</v>
      </c>
      <c r="AU455" t="s">
        <v>308</v>
      </c>
      <c r="AV455">
        <v>3.4</v>
      </c>
    </row>
    <row r="456" spans="40:48" x14ac:dyDescent="0.25">
      <c r="AN456" t="s">
        <v>32</v>
      </c>
      <c r="AO456" t="s">
        <v>26</v>
      </c>
      <c r="AP456">
        <v>2005</v>
      </c>
      <c r="AQ456" t="s">
        <v>31</v>
      </c>
      <c r="AR456" t="s">
        <v>305</v>
      </c>
      <c r="AS456" t="s">
        <v>331</v>
      </c>
      <c r="AT456" t="s">
        <v>314</v>
      </c>
      <c r="AU456" t="s">
        <v>309</v>
      </c>
      <c r="AV456">
        <v>7.3</v>
      </c>
    </row>
    <row r="457" spans="40:48" x14ac:dyDescent="0.25">
      <c r="AN457" t="s">
        <v>32</v>
      </c>
      <c r="AO457" t="s">
        <v>26</v>
      </c>
      <c r="AP457">
        <v>2005</v>
      </c>
      <c r="AQ457" t="s">
        <v>31</v>
      </c>
      <c r="AR457" t="s">
        <v>305</v>
      </c>
      <c r="AS457" t="s">
        <v>331</v>
      </c>
      <c r="AT457" t="s">
        <v>314</v>
      </c>
      <c r="AU457" t="s">
        <v>268</v>
      </c>
      <c r="AV457">
        <v>10.7</v>
      </c>
    </row>
    <row r="458" spans="40:48" x14ac:dyDescent="0.25">
      <c r="AN458" t="s">
        <v>32</v>
      </c>
      <c r="AO458" t="s">
        <v>26</v>
      </c>
      <c r="AP458">
        <v>2005</v>
      </c>
      <c r="AQ458" t="s">
        <v>31</v>
      </c>
      <c r="AR458" t="s">
        <v>305</v>
      </c>
      <c r="AS458" t="s">
        <v>331</v>
      </c>
      <c r="AT458" t="s">
        <v>242</v>
      </c>
      <c r="AU458" t="s">
        <v>308</v>
      </c>
      <c r="AV458">
        <v>2.9</v>
      </c>
    </row>
    <row r="459" spans="40:48" x14ac:dyDescent="0.25">
      <c r="AN459" t="s">
        <v>32</v>
      </c>
      <c r="AO459" t="s">
        <v>26</v>
      </c>
      <c r="AP459">
        <v>2005</v>
      </c>
      <c r="AQ459" t="s">
        <v>31</v>
      </c>
      <c r="AR459" t="s">
        <v>305</v>
      </c>
      <c r="AS459" t="s">
        <v>331</v>
      </c>
      <c r="AT459" t="s">
        <v>242</v>
      </c>
      <c r="AU459" t="s">
        <v>309</v>
      </c>
      <c r="AV459">
        <v>6.2</v>
      </c>
    </row>
    <row r="460" spans="40:48" x14ac:dyDescent="0.25">
      <c r="AN460" t="s">
        <v>32</v>
      </c>
      <c r="AO460" t="s">
        <v>26</v>
      </c>
      <c r="AP460">
        <v>2005</v>
      </c>
      <c r="AQ460" t="s">
        <v>31</v>
      </c>
      <c r="AR460" t="s">
        <v>305</v>
      </c>
      <c r="AS460" t="s">
        <v>331</v>
      </c>
      <c r="AT460" t="s">
        <v>242</v>
      </c>
      <c r="AU460" t="s">
        <v>268</v>
      </c>
      <c r="AV460">
        <v>9.1</v>
      </c>
    </row>
    <row r="461" spans="40:48" x14ac:dyDescent="0.25">
      <c r="AN461" t="s">
        <v>32</v>
      </c>
      <c r="AO461" t="s">
        <v>26</v>
      </c>
      <c r="AP461">
        <v>2005</v>
      </c>
      <c r="AQ461" t="s">
        <v>31</v>
      </c>
      <c r="AR461" t="s">
        <v>305</v>
      </c>
      <c r="AS461" t="s">
        <v>331</v>
      </c>
      <c r="AT461" t="s">
        <v>243</v>
      </c>
      <c r="AU461" t="s">
        <v>326</v>
      </c>
      <c r="AV461">
        <v>20.099999999999998</v>
      </c>
    </row>
    <row r="462" spans="40:48" x14ac:dyDescent="0.25">
      <c r="AN462" t="s">
        <v>32</v>
      </c>
      <c r="AO462" t="s">
        <v>26</v>
      </c>
      <c r="AP462">
        <v>2005</v>
      </c>
      <c r="AQ462" t="s">
        <v>31</v>
      </c>
      <c r="AR462" t="s">
        <v>305</v>
      </c>
      <c r="AS462" t="s">
        <v>331</v>
      </c>
      <c r="AT462" t="s">
        <v>243</v>
      </c>
      <c r="AU462" t="s">
        <v>327</v>
      </c>
      <c r="AV462">
        <v>46.3</v>
      </c>
    </row>
    <row r="463" spans="40:48" x14ac:dyDescent="0.25">
      <c r="AN463" t="s">
        <v>32</v>
      </c>
      <c r="AO463" t="s">
        <v>26</v>
      </c>
      <c r="AP463">
        <v>2005</v>
      </c>
      <c r="AQ463" t="s">
        <v>31</v>
      </c>
      <c r="AR463" t="s">
        <v>305</v>
      </c>
      <c r="AS463" t="s">
        <v>331</v>
      </c>
      <c r="AT463" t="s">
        <v>243</v>
      </c>
      <c r="AU463" t="s">
        <v>329</v>
      </c>
      <c r="AV463">
        <v>66.400000000000006</v>
      </c>
    </row>
    <row r="464" spans="40:48" x14ac:dyDescent="0.25">
      <c r="AN464" t="s">
        <v>29</v>
      </c>
      <c r="AO464" t="s">
        <v>26</v>
      </c>
      <c r="AP464">
        <v>2005</v>
      </c>
      <c r="AQ464" t="s">
        <v>31</v>
      </c>
      <c r="AR464" t="s">
        <v>305</v>
      </c>
      <c r="AS464" t="s">
        <v>331</v>
      </c>
      <c r="AT464" t="s">
        <v>218</v>
      </c>
      <c r="AU464" t="s">
        <v>308</v>
      </c>
      <c r="AV464">
        <v>4.4000000000000004</v>
      </c>
    </row>
    <row r="465" spans="40:48" x14ac:dyDescent="0.25">
      <c r="AN465" t="s">
        <v>29</v>
      </c>
      <c r="AO465" t="s">
        <v>26</v>
      </c>
      <c r="AP465">
        <v>2005</v>
      </c>
      <c r="AQ465" t="s">
        <v>31</v>
      </c>
      <c r="AR465" t="s">
        <v>305</v>
      </c>
      <c r="AS465" t="s">
        <v>331</v>
      </c>
      <c r="AT465" t="s">
        <v>218</v>
      </c>
      <c r="AU465" t="s">
        <v>309</v>
      </c>
      <c r="AV465">
        <v>7.5</v>
      </c>
    </row>
    <row r="466" spans="40:48" x14ac:dyDescent="0.25">
      <c r="AN466" t="s">
        <v>29</v>
      </c>
      <c r="AO466" t="s">
        <v>26</v>
      </c>
      <c r="AP466">
        <v>2005</v>
      </c>
      <c r="AQ466" t="s">
        <v>31</v>
      </c>
      <c r="AR466" t="s">
        <v>305</v>
      </c>
      <c r="AS466" t="s">
        <v>331</v>
      </c>
      <c r="AT466" t="s">
        <v>218</v>
      </c>
      <c r="AU466" t="s">
        <v>268</v>
      </c>
      <c r="AV466">
        <v>11.9</v>
      </c>
    </row>
    <row r="467" spans="40:48" x14ac:dyDescent="0.25">
      <c r="AN467" t="s">
        <v>29</v>
      </c>
      <c r="AO467" t="s">
        <v>26</v>
      </c>
      <c r="AP467">
        <v>2005</v>
      </c>
      <c r="AQ467" t="s">
        <v>31</v>
      </c>
      <c r="AR467" t="s">
        <v>305</v>
      </c>
      <c r="AS467" t="s">
        <v>331</v>
      </c>
      <c r="AT467" t="s">
        <v>238</v>
      </c>
      <c r="AU467" t="s">
        <v>308</v>
      </c>
      <c r="AV467">
        <v>3.6</v>
      </c>
    </row>
    <row r="468" spans="40:48" x14ac:dyDescent="0.25">
      <c r="AN468" t="s">
        <v>29</v>
      </c>
      <c r="AO468" t="s">
        <v>26</v>
      </c>
      <c r="AP468">
        <v>2005</v>
      </c>
      <c r="AQ468" t="s">
        <v>31</v>
      </c>
      <c r="AR468" t="s">
        <v>305</v>
      </c>
      <c r="AS468" t="s">
        <v>331</v>
      </c>
      <c r="AT468" t="s">
        <v>238</v>
      </c>
      <c r="AU468" t="s">
        <v>309</v>
      </c>
      <c r="AV468">
        <v>6.3</v>
      </c>
    </row>
    <row r="469" spans="40:48" x14ac:dyDescent="0.25">
      <c r="AN469" t="s">
        <v>29</v>
      </c>
      <c r="AO469" t="s">
        <v>26</v>
      </c>
      <c r="AP469">
        <v>2005</v>
      </c>
      <c r="AQ469" t="s">
        <v>31</v>
      </c>
      <c r="AR469" t="s">
        <v>305</v>
      </c>
      <c r="AS469" t="s">
        <v>331</v>
      </c>
      <c r="AT469" t="s">
        <v>238</v>
      </c>
      <c r="AU469" t="s">
        <v>268</v>
      </c>
      <c r="AV469">
        <v>9.9</v>
      </c>
    </row>
    <row r="470" spans="40:48" x14ac:dyDescent="0.25">
      <c r="AN470" t="s">
        <v>29</v>
      </c>
      <c r="AO470" t="s">
        <v>26</v>
      </c>
      <c r="AP470">
        <v>2005</v>
      </c>
      <c r="AQ470" t="s">
        <v>31</v>
      </c>
      <c r="AR470" t="s">
        <v>305</v>
      </c>
      <c r="AS470" t="s">
        <v>331</v>
      </c>
      <c r="AT470" t="s">
        <v>239</v>
      </c>
      <c r="AU470" t="s">
        <v>308</v>
      </c>
      <c r="AV470">
        <v>2.2999999999999998</v>
      </c>
    </row>
    <row r="471" spans="40:48" x14ac:dyDescent="0.25">
      <c r="AN471" t="s">
        <v>29</v>
      </c>
      <c r="AO471" t="s">
        <v>26</v>
      </c>
      <c r="AP471">
        <v>2005</v>
      </c>
      <c r="AQ471" t="s">
        <v>31</v>
      </c>
      <c r="AR471" t="s">
        <v>305</v>
      </c>
      <c r="AS471" t="s">
        <v>331</v>
      </c>
      <c r="AT471" t="s">
        <v>239</v>
      </c>
      <c r="AU471" t="s">
        <v>309</v>
      </c>
      <c r="AV471">
        <v>8.6</v>
      </c>
    </row>
    <row r="472" spans="40:48" x14ac:dyDescent="0.25">
      <c r="AN472" t="s">
        <v>29</v>
      </c>
      <c r="AO472" t="s">
        <v>26</v>
      </c>
      <c r="AP472">
        <v>2005</v>
      </c>
      <c r="AQ472" t="s">
        <v>31</v>
      </c>
      <c r="AR472" t="s">
        <v>305</v>
      </c>
      <c r="AS472" t="s">
        <v>331</v>
      </c>
      <c r="AT472" t="s">
        <v>239</v>
      </c>
      <c r="AU472" t="s">
        <v>268</v>
      </c>
      <c r="AV472">
        <v>10.9</v>
      </c>
    </row>
    <row r="473" spans="40:48" x14ac:dyDescent="0.25">
      <c r="AN473" t="s">
        <v>29</v>
      </c>
      <c r="AO473" t="s">
        <v>26</v>
      </c>
      <c r="AP473">
        <v>2005</v>
      </c>
      <c r="AQ473" t="s">
        <v>31</v>
      </c>
      <c r="AR473" t="s">
        <v>305</v>
      </c>
      <c r="AS473" t="s">
        <v>331</v>
      </c>
      <c r="AT473" t="s">
        <v>240</v>
      </c>
      <c r="AU473" t="s">
        <v>308</v>
      </c>
      <c r="AV473">
        <v>4</v>
      </c>
    </row>
    <row r="474" spans="40:48" x14ac:dyDescent="0.25">
      <c r="AN474" t="s">
        <v>29</v>
      </c>
      <c r="AO474" t="s">
        <v>26</v>
      </c>
      <c r="AP474">
        <v>2005</v>
      </c>
      <c r="AQ474" t="s">
        <v>31</v>
      </c>
      <c r="AR474" t="s">
        <v>305</v>
      </c>
      <c r="AS474" t="s">
        <v>331</v>
      </c>
      <c r="AT474" t="s">
        <v>240</v>
      </c>
      <c r="AU474" t="s">
        <v>309</v>
      </c>
      <c r="AV474">
        <v>8.6</v>
      </c>
    </row>
    <row r="475" spans="40:48" x14ac:dyDescent="0.25">
      <c r="AN475" t="s">
        <v>29</v>
      </c>
      <c r="AO475" t="s">
        <v>26</v>
      </c>
      <c r="AP475">
        <v>2005</v>
      </c>
      <c r="AQ475" t="s">
        <v>31</v>
      </c>
      <c r="AR475" t="s">
        <v>305</v>
      </c>
      <c r="AS475" t="s">
        <v>331</v>
      </c>
      <c r="AT475" t="s">
        <v>240</v>
      </c>
      <c r="AU475" t="s">
        <v>268</v>
      </c>
      <c r="AV475">
        <v>12.6</v>
      </c>
    </row>
    <row r="476" spans="40:48" x14ac:dyDescent="0.25">
      <c r="AN476" t="s">
        <v>29</v>
      </c>
      <c r="AO476" t="s">
        <v>26</v>
      </c>
      <c r="AP476">
        <v>2005</v>
      </c>
      <c r="AQ476" t="s">
        <v>31</v>
      </c>
      <c r="AR476" t="s">
        <v>305</v>
      </c>
      <c r="AS476" t="s">
        <v>331</v>
      </c>
      <c r="AT476" t="s">
        <v>314</v>
      </c>
      <c r="AU476" t="s">
        <v>308</v>
      </c>
      <c r="AV476">
        <v>3.4</v>
      </c>
    </row>
    <row r="477" spans="40:48" x14ac:dyDescent="0.25">
      <c r="AN477" t="s">
        <v>29</v>
      </c>
      <c r="AO477" t="s">
        <v>26</v>
      </c>
      <c r="AP477">
        <v>2005</v>
      </c>
      <c r="AQ477" t="s">
        <v>31</v>
      </c>
      <c r="AR477" t="s">
        <v>305</v>
      </c>
      <c r="AS477" t="s">
        <v>331</v>
      </c>
      <c r="AT477" t="s">
        <v>314</v>
      </c>
      <c r="AU477" t="s">
        <v>309</v>
      </c>
      <c r="AV477">
        <v>8.1999999999999993</v>
      </c>
    </row>
    <row r="478" spans="40:48" x14ac:dyDescent="0.25">
      <c r="AN478" t="s">
        <v>29</v>
      </c>
      <c r="AO478" t="s">
        <v>26</v>
      </c>
      <c r="AP478">
        <v>2005</v>
      </c>
      <c r="AQ478" t="s">
        <v>31</v>
      </c>
      <c r="AR478" t="s">
        <v>305</v>
      </c>
      <c r="AS478" t="s">
        <v>331</v>
      </c>
      <c r="AT478" t="s">
        <v>314</v>
      </c>
      <c r="AU478" t="s">
        <v>268</v>
      </c>
      <c r="AV478">
        <v>11.6</v>
      </c>
    </row>
    <row r="479" spans="40:48" x14ac:dyDescent="0.25">
      <c r="AN479" t="s">
        <v>29</v>
      </c>
      <c r="AO479" t="s">
        <v>26</v>
      </c>
      <c r="AP479">
        <v>2005</v>
      </c>
      <c r="AQ479" t="s">
        <v>31</v>
      </c>
      <c r="AR479" t="s">
        <v>305</v>
      </c>
      <c r="AS479" t="s">
        <v>331</v>
      </c>
      <c r="AT479" t="s">
        <v>242</v>
      </c>
      <c r="AU479" t="s">
        <v>308</v>
      </c>
      <c r="AV479">
        <v>2.7</v>
      </c>
    </row>
    <row r="480" spans="40:48" x14ac:dyDescent="0.25">
      <c r="AN480" t="s">
        <v>29</v>
      </c>
      <c r="AO480" t="s">
        <v>26</v>
      </c>
      <c r="AP480">
        <v>2005</v>
      </c>
      <c r="AQ480" t="s">
        <v>31</v>
      </c>
      <c r="AR480" t="s">
        <v>305</v>
      </c>
      <c r="AS480" t="s">
        <v>331</v>
      </c>
      <c r="AT480" t="s">
        <v>242</v>
      </c>
      <c r="AU480" t="s">
        <v>309</v>
      </c>
      <c r="AV480">
        <v>6.7</v>
      </c>
    </row>
    <row r="481" spans="40:48" x14ac:dyDescent="0.25">
      <c r="AN481" t="s">
        <v>29</v>
      </c>
      <c r="AO481" t="s">
        <v>26</v>
      </c>
      <c r="AP481">
        <v>2005</v>
      </c>
      <c r="AQ481" t="s">
        <v>31</v>
      </c>
      <c r="AR481" t="s">
        <v>305</v>
      </c>
      <c r="AS481" t="s">
        <v>331</v>
      </c>
      <c r="AT481" t="s">
        <v>242</v>
      </c>
      <c r="AU481" t="s">
        <v>268</v>
      </c>
      <c r="AV481">
        <v>9.4</v>
      </c>
    </row>
    <row r="482" spans="40:48" x14ac:dyDescent="0.25">
      <c r="AN482" t="s">
        <v>29</v>
      </c>
      <c r="AO482" t="s">
        <v>26</v>
      </c>
      <c r="AP482">
        <v>2005</v>
      </c>
      <c r="AQ482" t="s">
        <v>31</v>
      </c>
      <c r="AR482" t="s">
        <v>305</v>
      </c>
      <c r="AS482" t="s">
        <v>331</v>
      </c>
      <c r="AT482" t="s">
        <v>243</v>
      </c>
      <c r="AU482" t="s">
        <v>326</v>
      </c>
      <c r="AV482">
        <v>20.399999999999999</v>
      </c>
    </row>
    <row r="483" spans="40:48" x14ac:dyDescent="0.25">
      <c r="AN483" t="s">
        <v>29</v>
      </c>
      <c r="AO483" t="s">
        <v>26</v>
      </c>
      <c r="AP483">
        <v>2005</v>
      </c>
      <c r="AQ483" t="s">
        <v>31</v>
      </c>
      <c r="AR483" t="s">
        <v>305</v>
      </c>
      <c r="AS483" t="s">
        <v>331</v>
      </c>
      <c r="AT483" t="s">
        <v>243</v>
      </c>
      <c r="AU483" t="s">
        <v>327</v>
      </c>
      <c r="AV483">
        <v>45.900000000000006</v>
      </c>
    </row>
    <row r="484" spans="40:48" x14ac:dyDescent="0.25">
      <c r="AN484" t="s">
        <v>29</v>
      </c>
      <c r="AO484" t="s">
        <v>26</v>
      </c>
      <c r="AP484">
        <v>2005</v>
      </c>
      <c r="AQ484" t="s">
        <v>31</v>
      </c>
      <c r="AR484" t="s">
        <v>305</v>
      </c>
      <c r="AS484" t="s">
        <v>331</v>
      </c>
      <c r="AT484" t="s">
        <v>243</v>
      </c>
      <c r="AU484" t="s">
        <v>329</v>
      </c>
      <c r="AV484">
        <v>66.3</v>
      </c>
    </row>
    <row r="485" spans="40:48" x14ac:dyDescent="0.25">
      <c r="AN485" t="s">
        <v>34</v>
      </c>
      <c r="AO485" t="s">
        <v>26</v>
      </c>
      <c r="AP485">
        <v>2006</v>
      </c>
      <c r="AQ485" t="s">
        <v>36</v>
      </c>
      <c r="AR485" t="s">
        <v>305</v>
      </c>
      <c r="AS485" t="s">
        <v>331</v>
      </c>
      <c r="AT485" t="s">
        <v>218</v>
      </c>
      <c r="AU485" t="s">
        <v>308</v>
      </c>
      <c r="AV485">
        <v>3.6</v>
      </c>
    </row>
    <row r="486" spans="40:48" x14ac:dyDescent="0.25">
      <c r="AN486" t="s">
        <v>34</v>
      </c>
      <c r="AO486" t="s">
        <v>26</v>
      </c>
      <c r="AP486">
        <v>2006</v>
      </c>
      <c r="AQ486" t="s">
        <v>36</v>
      </c>
      <c r="AR486" t="s">
        <v>305</v>
      </c>
      <c r="AS486" t="s">
        <v>331</v>
      </c>
      <c r="AT486" t="s">
        <v>218</v>
      </c>
      <c r="AU486" t="s">
        <v>309</v>
      </c>
      <c r="AV486">
        <v>7.4</v>
      </c>
    </row>
    <row r="487" spans="40:48" x14ac:dyDescent="0.25">
      <c r="AN487" t="s">
        <v>34</v>
      </c>
      <c r="AO487" t="s">
        <v>26</v>
      </c>
      <c r="AP487">
        <v>2006</v>
      </c>
      <c r="AQ487" t="s">
        <v>36</v>
      </c>
      <c r="AR487" t="s">
        <v>305</v>
      </c>
      <c r="AS487" t="s">
        <v>331</v>
      </c>
      <c r="AT487" t="s">
        <v>218</v>
      </c>
      <c r="AU487" t="s">
        <v>268</v>
      </c>
      <c r="AV487">
        <v>11</v>
      </c>
    </row>
    <row r="488" spans="40:48" x14ac:dyDescent="0.25">
      <c r="AN488" t="s">
        <v>34</v>
      </c>
      <c r="AO488" t="s">
        <v>26</v>
      </c>
      <c r="AP488">
        <v>2006</v>
      </c>
      <c r="AQ488" t="s">
        <v>36</v>
      </c>
      <c r="AR488" t="s">
        <v>305</v>
      </c>
      <c r="AS488" t="s">
        <v>331</v>
      </c>
      <c r="AT488" t="s">
        <v>238</v>
      </c>
      <c r="AU488" t="s">
        <v>308</v>
      </c>
      <c r="AV488">
        <v>3.6</v>
      </c>
    </row>
    <row r="489" spans="40:48" x14ac:dyDescent="0.25">
      <c r="AN489" t="s">
        <v>34</v>
      </c>
      <c r="AO489" t="s">
        <v>26</v>
      </c>
      <c r="AP489">
        <v>2006</v>
      </c>
      <c r="AQ489" t="s">
        <v>36</v>
      </c>
      <c r="AR489" t="s">
        <v>305</v>
      </c>
      <c r="AS489" t="s">
        <v>331</v>
      </c>
      <c r="AT489" t="s">
        <v>238</v>
      </c>
      <c r="AU489" t="s">
        <v>309</v>
      </c>
      <c r="AV489">
        <v>8.3000000000000007</v>
      </c>
    </row>
    <row r="490" spans="40:48" x14ac:dyDescent="0.25">
      <c r="AN490" t="s">
        <v>34</v>
      </c>
      <c r="AO490" t="s">
        <v>26</v>
      </c>
      <c r="AP490">
        <v>2006</v>
      </c>
      <c r="AQ490" t="s">
        <v>36</v>
      </c>
      <c r="AR490" t="s">
        <v>305</v>
      </c>
      <c r="AS490" t="s">
        <v>331</v>
      </c>
      <c r="AT490" t="s">
        <v>238</v>
      </c>
      <c r="AU490" t="s">
        <v>268</v>
      </c>
      <c r="AV490">
        <v>11.9</v>
      </c>
    </row>
    <row r="491" spans="40:48" x14ac:dyDescent="0.25">
      <c r="AN491" t="s">
        <v>34</v>
      </c>
      <c r="AO491" t="s">
        <v>26</v>
      </c>
      <c r="AP491">
        <v>2006</v>
      </c>
      <c r="AQ491" t="s">
        <v>36</v>
      </c>
      <c r="AR491" t="s">
        <v>305</v>
      </c>
      <c r="AS491" t="s">
        <v>331</v>
      </c>
      <c r="AT491" t="s">
        <v>239</v>
      </c>
      <c r="AU491" t="s">
        <v>308</v>
      </c>
      <c r="AV491">
        <v>3.4</v>
      </c>
    </row>
    <row r="492" spans="40:48" x14ac:dyDescent="0.25">
      <c r="AN492" t="s">
        <v>34</v>
      </c>
      <c r="AO492" t="s">
        <v>26</v>
      </c>
      <c r="AP492">
        <v>2006</v>
      </c>
      <c r="AQ492" t="s">
        <v>36</v>
      </c>
      <c r="AR492" t="s">
        <v>305</v>
      </c>
      <c r="AS492" t="s">
        <v>331</v>
      </c>
      <c r="AT492" t="s">
        <v>239</v>
      </c>
      <c r="AU492" t="s">
        <v>309</v>
      </c>
      <c r="AV492">
        <v>7.7</v>
      </c>
    </row>
    <row r="493" spans="40:48" x14ac:dyDescent="0.25">
      <c r="AN493" t="s">
        <v>34</v>
      </c>
      <c r="AO493" t="s">
        <v>26</v>
      </c>
      <c r="AP493">
        <v>2006</v>
      </c>
      <c r="AQ493" t="s">
        <v>36</v>
      </c>
      <c r="AR493" t="s">
        <v>305</v>
      </c>
      <c r="AS493" t="s">
        <v>331</v>
      </c>
      <c r="AT493" t="s">
        <v>239</v>
      </c>
      <c r="AU493" t="s">
        <v>268</v>
      </c>
      <c r="AV493">
        <v>11.1</v>
      </c>
    </row>
    <row r="494" spans="40:48" x14ac:dyDescent="0.25">
      <c r="AN494" t="s">
        <v>34</v>
      </c>
      <c r="AO494" t="s">
        <v>26</v>
      </c>
      <c r="AP494">
        <v>2006</v>
      </c>
      <c r="AQ494" t="s">
        <v>36</v>
      </c>
      <c r="AR494" t="s">
        <v>305</v>
      </c>
      <c r="AS494" t="s">
        <v>331</v>
      </c>
      <c r="AT494" t="s">
        <v>240</v>
      </c>
      <c r="AU494" t="s">
        <v>308</v>
      </c>
      <c r="AV494">
        <v>2.4</v>
      </c>
    </row>
    <row r="495" spans="40:48" x14ac:dyDescent="0.25">
      <c r="AN495" t="s">
        <v>34</v>
      </c>
      <c r="AO495" t="s">
        <v>26</v>
      </c>
      <c r="AP495">
        <v>2006</v>
      </c>
      <c r="AQ495" t="s">
        <v>36</v>
      </c>
      <c r="AR495" t="s">
        <v>305</v>
      </c>
      <c r="AS495" t="s">
        <v>331</v>
      </c>
      <c r="AT495" t="s">
        <v>240</v>
      </c>
      <c r="AU495" t="s">
        <v>309</v>
      </c>
      <c r="AV495">
        <v>7.2</v>
      </c>
    </row>
    <row r="496" spans="40:48" x14ac:dyDescent="0.25">
      <c r="AN496" t="s">
        <v>34</v>
      </c>
      <c r="AO496" t="s">
        <v>26</v>
      </c>
      <c r="AP496">
        <v>2006</v>
      </c>
      <c r="AQ496" t="s">
        <v>36</v>
      </c>
      <c r="AR496" t="s">
        <v>305</v>
      </c>
      <c r="AS496" t="s">
        <v>331</v>
      </c>
      <c r="AT496" t="s">
        <v>240</v>
      </c>
      <c r="AU496" t="s">
        <v>268</v>
      </c>
      <c r="AV496">
        <v>9.6</v>
      </c>
    </row>
    <row r="497" spans="40:48" x14ac:dyDescent="0.25">
      <c r="AN497" t="s">
        <v>34</v>
      </c>
      <c r="AO497" t="s">
        <v>26</v>
      </c>
      <c r="AP497">
        <v>2006</v>
      </c>
      <c r="AQ497" t="s">
        <v>36</v>
      </c>
      <c r="AR497" t="s">
        <v>305</v>
      </c>
      <c r="AS497" t="s">
        <v>331</v>
      </c>
      <c r="AT497" t="s">
        <v>314</v>
      </c>
      <c r="AU497" t="s">
        <v>308</v>
      </c>
      <c r="AV497">
        <v>3.4</v>
      </c>
    </row>
    <row r="498" spans="40:48" x14ac:dyDescent="0.25">
      <c r="AN498" t="s">
        <v>34</v>
      </c>
      <c r="AO498" t="s">
        <v>26</v>
      </c>
      <c r="AP498">
        <v>2006</v>
      </c>
      <c r="AQ498" t="s">
        <v>36</v>
      </c>
      <c r="AR498" t="s">
        <v>305</v>
      </c>
      <c r="AS498" t="s">
        <v>331</v>
      </c>
      <c r="AT498" t="s">
        <v>314</v>
      </c>
      <c r="AU498" t="s">
        <v>309</v>
      </c>
      <c r="AV498">
        <v>7.3</v>
      </c>
    </row>
    <row r="499" spans="40:48" x14ac:dyDescent="0.25">
      <c r="AN499" t="s">
        <v>34</v>
      </c>
      <c r="AO499" t="s">
        <v>26</v>
      </c>
      <c r="AP499">
        <v>2006</v>
      </c>
      <c r="AQ499" t="s">
        <v>36</v>
      </c>
      <c r="AR499" t="s">
        <v>305</v>
      </c>
      <c r="AS499" t="s">
        <v>331</v>
      </c>
      <c r="AT499" t="s">
        <v>314</v>
      </c>
      <c r="AU499" t="s">
        <v>268</v>
      </c>
      <c r="AV499">
        <v>10.7</v>
      </c>
    </row>
    <row r="500" spans="40:48" x14ac:dyDescent="0.25">
      <c r="AN500" t="s">
        <v>34</v>
      </c>
      <c r="AO500" t="s">
        <v>26</v>
      </c>
      <c r="AP500">
        <v>2006</v>
      </c>
      <c r="AQ500" t="s">
        <v>36</v>
      </c>
      <c r="AR500" t="s">
        <v>305</v>
      </c>
      <c r="AS500" t="s">
        <v>331</v>
      </c>
      <c r="AT500" t="s">
        <v>242</v>
      </c>
      <c r="AU500" t="s">
        <v>308</v>
      </c>
      <c r="AV500">
        <v>2.7</v>
      </c>
    </row>
    <row r="501" spans="40:48" x14ac:dyDescent="0.25">
      <c r="AN501" t="s">
        <v>34</v>
      </c>
      <c r="AO501" t="s">
        <v>26</v>
      </c>
      <c r="AP501">
        <v>2006</v>
      </c>
      <c r="AQ501" t="s">
        <v>36</v>
      </c>
      <c r="AR501" t="s">
        <v>305</v>
      </c>
      <c r="AS501" t="s">
        <v>331</v>
      </c>
      <c r="AT501" t="s">
        <v>242</v>
      </c>
      <c r="AU501" t="s">
        <v>309</v>
      </c>
      <c r="AV501">
        <v>7.5</v>
      </c>
    </row>
    <row r="502" spans="40:48" x14ac:dyDescent="0.25">
      <c r="AN502" t="s">
        <v>34</v>
      </c>
      <c r="AO502" t="s">
        <v>26</v>
      </c>
      <c r="AP502">
        <v>2006</v>
      </c>
      <c r="AQ502" t="s">
        <v>36</v>
      </c>
      <c r="AR502" t="s">
        <v>305</v>
      </c>
      <c r="AS502" t="s">
        <v>331</v>
      </c>
      <c r="AT502" t="s">
        <v>242</v>
      </c>
      <c r="AU502" t="s">
        <v>268</v>
      </c>
      <c r="AV502">
        <v>10.199999999999999</v>
      </c>
    </row>
    <row r="503" spans="40:48" x14ac:dyDescent="0.25">
      <c r="AN503" t="s">
        <v>34</v>
      </c>
      <c r="AO503" t="s">
        <v>26</v>
      </c>
      <c r="AP503">
        <v>2006</v>
      </c>
      <c r="AQ503" t="s">
        <v>36</v>
      </c>
      <c r="AR503" t="s">
        <v>305</v>
      </c>
      <c r="AS503" t="s">
        <v>331</v>
      </c>
      <c r="AT503" t="s">
        <v>243</v>
      </c>
      <c r="AU503" t="s">
        <v>326</v>
      </c>
      <c r="AV503">
        <v>19.099999999999998</v>
      </c>
    </row>
    <row r="504" spans="40:48" x14ac:dyDescent="0.25">
      <c r="AN504" t="s">
        <v>34</v>
      </c>
      <c r="AO504" t="s">
        <v>26</v>
      </c>
      <c r="AP504">
        <v>2006</v>
      </c>
      <c r="AQ504" t="s">
        <v>36</v>
      </c>
      <c r="AR504" t="s">
        <v>305</v>
      </c>
      <c r="AS504" t="s">
        <v>331</v>
      </c>
      <c r="AT504" t="s">
        <v>243</v>
      </c>
      <c r="AU504" t="s">
        <v>327</v>
      </c>
      <c r="AV504">
        <v>45.4</v>
      </c>
    </row>
    <row r="505" spans="40:48" x14ac:dyDescent="0.25">
      <c r="AN505" t="s">
        <v>34</v>
      </c>
      <c r="AO505" t="s">
        <v>26</v>
      </c>
      <c r="AP505">
        <v>2006</v>
      </c>
      <c r="AQ505" t="s">
        <v>36</v>
      </c>
      <c r="AR505" t="s">
        <v>305</v>
      </c>
      <c r="AS505" t="s">
        <v>331</v>
      </c>
      <c r="AT505" t="s">
        <v>243</v>
      </c>
      <c r="AU505" t="s">
        <v>329</v>
      </c>
      <c r="AV505">
        <v>64.5</v>
      </c>
    </row>
    <row r="506" spans="40:48" x14ac:dyDescent="0.25">
      <c r="AN506" t="s">
        <v>44</v>
      </c>
      <c r="AO506" t="s">
        <v>26</v>
      </c>
      <c r="AP506">
        <v>2007</v>
      </c>
      <c r="AQ506" t="s">
        <v>39</v>
      </c>
      <c r="AR506" t="s">
        <v>305</v>
      </c>
      <c r="AS506" t="s">
        <v>331</v>
      </c>
      <c r="AT506" t="s">
        <v>218</v>
      </c>
      <c r="AU506" t="s">
        <v>308</v>
      </c>
      <c r="AV506">
        <v>3.3</v>
      </c>
    </row>
    <row r="507" spans="40:48" x14ac:dyDescent="0.25">
      <c r="AN507" t="s">
        <v>44</v>
      </c>
      <c r="AO507" t="s">
        <v>26</v>
      </c>
      <c r="AP507">
        <v>2007</v>
      </c>
      <c r="AQ507" t="s">
        <v>39</v>
      </c>
      <c r="AR507" t="s">
        <v>305</v>
      </c>
      <c r="AS507" t="s">
        <v>331</v>
      </c>
      <c r="AT507" t="s">
        <v>218</v>
      </c>
      <c r="AU507" t="s">
        <v>309</v>
      </c>
      <c r="AV507">
        <v>7.2</v>
      </c>
    </row>
    <row r="508" spans="40:48" x14ac:dyDescent="0.25">
      <c r="AN508" t="s">
        <v>44</v>
      </c>
      <c r="AO508" t="s">
        <v>26</v>
      </c>
      <c r="AP508">
        <v>2007</v>
      </c>
      <c r="AQ508" t="s">
        <v>39</v>
      </c>
      <c r="AR508" t="s">
        <v>305</v>
      </c>
      <c r="AS508" t="s">
        <v>331</v>
      </c>
      <c r="AT508" t="s">
        <v>218</v>
      </c>
      <c r="AU508" t="s">
        <v>268</v>
      </c>
      <c r="AV508">
        <v>10.5</v>
      </c>
    </row>
    <row r="509" spans="40:48" x14ac:dyDescent="0.25">
      <c r="AN509" t="s">
        <v>44</v>
      </c>
      <c r="AO509" t="s">
        <v>26</v>
      </c>
      <c r="AP509">
        <v>2007</v>
      </c>
      <c r="AQ509" t="s">
        <v>39</v>
      </c>
      <c r="AR509" t="s">
        <v>305</v>
      </c>
      <c r="AS509" t="s">
        <v>331</v>
      </c>
      <c r="AT509" t="s">
        <v>238</v>
      </c>
      <c r="AU509" t="s">
        <v>308</v>
      </c>
      <c r="AV509">
        <v>2.8</v>
      </c>
    </row>
    <row r="510" spans="40:48" x14ac:dyDescent="0.25">
      <c r="AN510" t="s">
        <v>44</v>
      </c>
      <c r="AO510" t="s">
        <v>26</v>
      </c>
      <c r="AP510">
        <v>2007</v>
      </c>
      <c r="AQ510" t="s">
        <v>39</v>
      </c>
      <c r="AR510" t="s">
        <v>305</v>
      </c>
      <c r="AS510" t="s">
        <v>331</v>
      </c>
      <c r="AT510" t="s">
        <v>238</v>
      </c>
      <c r="AU510" t="s">
        <v>309</v>
      </c>
      <c r="AV510">
        <v>8.5</v>
      </c>
    </row>
    <row r="511" spans="40:48" x14ac:dyDescent="0.25">
      <c r="AN511" t="s">
        <v>44</v>
      </c>
      <c r="AO511" t="s">
        <v>26</v>
      </c>
      <c r="AP511">
        <v>2007</v>
      </c>
      <c r="AQ511" t="s">
        <v>39</v>
      </c>
      <c r="AR511" t="s">
        <v>305</v>
      </c>
      <c r="AS511" t="s">
        <v>331</v>
      </c>
      <c r="AT511" t="s">
        <v>238</v>
      </c>
      <c r="AU511" t="s">
        <v>268</v>
      </c>
      <c r="AV511">
        <v>11.3</v>
      </c>
    </row>
    <row r="512" spans="40:48" x14ac:dyDescent="0.25">
      <c r="AN512" t="s">
        <v>44</v>
      </c>
      <c r="AO512" t="s">
        <v>26</v>
      </c>
      <c r="AP512">
        <v>2007</v>
      </c>
      <c r="AQ512" t="s">
        <v>39</v>
      </c>
      <c r="AR512" t="s">
        <v>305</v>
      </c>
      <c r="AS512" t="s">
        <v>331</v>
      </c>
      <c r="AT512" t="s">
        <v>239</v>
      </c>
      <c r="AU512" t="s">
        <v>308</v>
      </c>
      <c r="AV512">
        <v>2.2999999999999998</v>
      </c>
    </row>
    <row r="513" spans="40:48" x14ac:dyDescent="0.25">
      <c r="AN513" t="s">
        <v>44</v>
      </c>
      <c r="AO513" t="s">
        <v>26</v>
      </c>
      <c r="AP513">
        <v>2007</v>
      </c>
      <c r="AQ513" t="s">
        <v>39</v>
      </c>
      <c r="AR513" t="s">
        <v>305</v>
      </c>
      <c r="AS513" t="s">
        <v>331</v>
      </c>
      <c r="AT513" t="s">
        <v>239</v>
      </c>
      <c r="AU513" t="s">
        <v>309</v>
      </c>
      <c r="AV513">
        <v>8</v>
      </c>
    </row>
    <row r="514" spans="40:48" x14ac:dyDescent="0.25">
      <c r="AN514" t="s">
        <v>44</v>
      </c>
      <c r="AO514" t="s">
        <v>26</v>
      </c>
      <c r="AP514">
        <v>2007</v>
      </c>
      <c r="AQ514" t="s">
        <v>39</v>
      </c>
      <c r="AR514" t="s">
        <v>305</v>
      </c>
      <c r="AS514" t="s">
        <v>331</v>
      </c>
      <c r="AT514" t="s">
        <v>239</v>
      </c>
      <c r="AU514" t="s">
        <v>268</v>
      </c>
      <c r="AV514">
        <v>10.3</v>
      </c>
    </row>
    <row r="515" spans="40:48" x14ac:dyDescent="0.25">
      <c r="AN515" t="s">
        <v>44</v>
      </c>
      <c r="AO515" t="s">
        <v>26</v>
      </c>
      <c r="AP515">
        <v>2007</v>
      </c>
      <c r="AQ515" t="s">
        <v>39</v>
      </c>
      <c r="AR515" t="s">
        <v>305</v>
      </c>
      <c r="AS515" t="s">
        <v>331</v>
      </c>
      <c r="AT515" t="s">
        <v>240</v>
      </c>
      <c r="AU515" t="s">
        <v>308</v>
      </c>
      <c r="AV515">
        <v>2.4</v>
      </c>
    </row>
    <row r="516" spans="40:48" x14ac:dyDescent="0.25">
      <c r="AN516" t="s">
        <v>44</v>
      </c>
      <c r="AO516" t="s">
        <v>26</v>
      </c>
      <c r="AP516">
        <v>2007</v>
      </c>
      <c r="AQ516" t="s">
        <v>39</v>
      </c>
      <c r="AR516" t="s">
        <v>305</v>
      </c>
      <c r="AS516" t="s">
        <v>331</v>
      </c>
      <c r="AT516" t="s">
        <v>240</v>
      </c>
      <c r="AU516" t="s">
        <v>309</v>
      </c>
      <c r="AV516">
        <v>8.4</v>
      </c>
    </row>
    <row r="517" spans="40:48" x14ac:dyDescent="0.25">
      <c r="AN517" t="s">
        <v>44</v>
      </c>
      <c r="AO517" t="s">
        <v>26</v>
      </c>
      <c r="AP517">
        <v>2007</v>
      </c>
      <c r="AQ517" t="s">
        <v>39</v>
      </c>
      <c r="AR517" t="s">
        <v>305</v>
      </c>
      <c r="AS517" t="s">
        <v>331</v>
      </c>
      <c r="AT517" t="s">
        <v>240</v>
      </c>
      <c r="AU517" t="s">
        <v>268</v>
      </c>
      <c r="AV517">
        <v>10.8</v>
      </c>
    </row>
    <row r="518" spans="40:48" x14ac:dyDescent="0.25">
      <c r="AN518" t="s">
        <v>44</v>
      </c>
      <c r="AO518" t="s">
        <v>26</v>
      </c>
      <c r="AP518">
        <v>2007</v>
      </c>
      <c r="AQ518" t="s">
        <v>39</v>
      </c>
      <c r="AR518" t="s">
        <v>305</v>
      </c>
      <c r="AS518" t="s">
        <v>331</v>
      </c>
      <c r="AT518" t="s">
        <v>314</v>
      </c>
      <c r="AU518" t="s">
        <v>308</v>
      </c>
      <c r="AV518">
        <v>2.6</v>
      </c>
    </row>
    <row r="519" spans="40:48" x14ac:dyDescent="0.25">
      <c r="AN519" t="s">
        <v>44</v>
      </c>
      <c r="AO519" t="s">
        <v>26</v>
      </c>
      <c r="AP519">
        <v>2007</v>
      </c>
      <c r="AQ519" t="s">
        <v>39</v>
      </c>
      <c r="AR519" t="s">
        <v>305</v>
      </c>
      <c r="AS519" t="s">
        <v>331</v>
      </c>
      <c r="AT519" t="s">
        <v>314</v>
      </c>
      <c r="AU519" t="s">
        <v>309</v>
      </c>
      <c r="AV519">
        <v>8.9</v>
      </c>
    </row>
    <row r="520" spans="40:48" x14ac:dyDescent="0.25">
      <c r="AN520" t="s">
        <v>44</v>
      </c>
      <c r="AO520" t="s">
        <v>26</v>
      </c>
      <c r="AP520">
        <v>2007</v>
      </c>
      <c r="AQ520" t="s">
        <v>39</v>
      </c>
      <c r="AR520" t="s">
        <v>305</v>
      </c>
      <c r="AS520" t="s">
        <v>331</v>
      </c>
      <c r="AT520" t="s">
        <v>314</v>
      </c>
      <c r="AU520" t="s">
        <v>268</v>
      </c>
      <c r="AV520">
        <v>11.5</v>
      </c>
    </row>
    <row r="521" spans="40:48" x14ac:dyDescent="0.25">
      <c r="AN521" t="s">
        <v>44</v>
      </c>
      <c r="AO521" t="s">
        <v>26</v>
      </c>
      <c r="AP521">
        <v>2007</v>
      </c>
      <c r="AQ521" t="s">
        <v>39</v>
      </c>
      <c r="AR521" t="s">
        <v>305</v>
      </c>
      <c r="AS521" t="s">
        <v>331</v>
      </c>
      <c r="AT521" t="s">
        <v>242</v>
      </c>
      <c r="AU521" t="s">
        <v>308</v>
      </c>
      <c r="AV521">
        <v>2.2999999999999998</v>
      </c>
    </row>
    <row r="522" spans="40:48" x14ac:dyDescent="0.25">
      <c r="AN522" t="s">
        <v>44</v>
      </c>
      <c r="AO522" t="s">
        <v>26</v>
      </c>
      <c r="AP522">
        <v>2007</v>
      </c>
      <c r="AQ522" t="s">
        <v>39</v>
      </c>
      <c r="AR522" t="s">
        <v>305</v>
      </c>
      <c r="AS522" t="s">
        <v>331</v>
      </c>
      <c r="AT522" t="s">
        <v>242</v>
      </c>
      <c r="AU522" t="s">
        <v>309</v>
      </c>
      <c r="AV522">
        <v>7.5</v>
      </c>
    </row>
    <row r="523" spans="40:48" x14ac:dyDescent="0.25">
      <c r="AN523" t="s">
        <v>44</v>
      </c>
      <c r="AO523" t="s">
        <v>26</v>
      </c>
      <c r="AP523">
        <v>2007</v>
      </c>
      <c r="AQ523" t="s">
        <v>39</v>
      </c>
      <c r="AR523" t="s">
        <v>305</v>
      </c>
      <c r="AS523" t="s">
        <v>331</v>
      </c>
      <c r="AT523" t="s">
        <v>242</v>
      </c>
      <c r="AU523" t="s">
        <v>268</v>
      </c>
      <c r="AV523">
        <v>9.8000000000000007</v>
      </c>
    </row>
    <row r="524" spans="40:48" x14ac:dyDescent="0.25">
      <c r="AN524" t="s">
        <v>44</v>
      </c>
      <c r="AO524" t="s">
        <v>26</v>
      </c>
      <c r="AP524">
        <v>2007</v>
      </c>
      <c r="AQ524" t="s">
        <v>39</v>
      </c>
      <c r="AR524" t="s">
        <v>305</v>
      </c>
      <c r="AS524" t="s">
        <v>331</v>
      </c>
      <c r="AT524" t="s">
        <v>243</v>
      </c>
      <c r="AU524" t="s">
        <v>326</v>
      </c>
      <c r="AV524">
        <v>15.7</v>
      </c>
    </row>
    <row r="525" spans="40:48" x14ac:dyDescent="0.25">
      <c r="AN525" t="s">
        <v>44</v>
      </c>
      <c r="AO525" t="s">
        <v>26</v>
      </c>
      <c r="AP525">
        <v>2007</v>
      </c>
      <c r="AQ525" t="s">
        <v>39</v>
      </c>
      <c r="AR525" t="s">
        <v>305</v>
      </c>
      <c r="AS525" t="s">
        <v>331</v>
      </c>
      <c r="AT525" t="s">
        <v>243</v>
      </c>
      <c r="AU525" t="s">
        <v>327</v>
      </c>
      <c r="AV525">
        <v>48.5</v>
      </c>
    </row>
    <row r="526" spans="40:48" x14ac:dyDescent="0.25">
      <c r="AN526" t="s">
        <v>44</v>
      </c>
      <c r="AO526" t="s">
        <v>26</v>
      </c>
      <c r="AP526">
        <v>2007</v>
      </c>
      <c r="AQ526" t="s">
        <v>39</v>
      </c>
      <c r="AR526" t="s">
        <v>305</v>
      </c>
      <c r="AS526" t="s">
        <v>331</v>
      </c>
      <c r="AT526" t="s">
        <v>243</v>
      </c>
      <c r="AU526" t="s">
        <v>329</v>
      </c>
      <c r="AV526">
        <v>64.2</v>
      </c>
    </row>
    <row r="527" spans="40:48" x14ac:dyDescent="0.25">
      <c r="AN527" t="s">
        <v>40</v>
      </c>
      <c r="AO527" t="s">
        <v>26</v>
      </c>
      <c r="AP527">
        <v>2007</v>
      </c>
      <c r="AQ527" t="s">
        <v>39</v>
      </c>
      <c r="AR527" t="s">
        <v>305</v>
      </c>
      <c r="AS527" t="s">
        <v>331</v>
      </c>
      <c r="AT527" t="s">
        <v>218</v>
      </c>
      <c r="AU527" t="s">
        <v>308</v>
      </c>
      <c r="AV527">
        <v>3.1</v>
      </c>
    </row>
    <row r="528" spans="40:48" x14ac:dyDescent="0.25">
      <c r="AN528" t="s">
        <v>40</v>
      </c>
      <c r="AO528" t="s">
        <v>26</v>
      </c>
      <c r="AP528">
        <v>2007</v>
      </c>
      <c r="AQ528" t="s">
        <v>39</v>
      </c>
      <c r="AR528" t="s">
        <v>305</v>
      </c>
      <c r="AS528" t="s">
        <v>331</v>
      </c>
      <c r="AT528" t="s">
        <v>218</v>
      </c>
      <c r="AU528" t="s">
        <v>309</v>
      </c>
      <c r="AV528">
        <v>7.3</v>
      </c>
    </row>
    <row r="529" spans="40:48" x14ac:dyDescent="0.25">
      <c r="AN529" t="s">
        <v>40</v>
      </c>
      <c r="AO529" t="s">
        <v>26</v>
      </c>
      <c r="AP529">
        <v>2007</v>
      </c>
      <c r="AQ529" t="s">
        <v>39</v>
      </c>
      <c r="AR529" t="s">
        <v>305</v>
      </c>
      <c r="AS529" t="s">
        <v>331</v>
      </c>
      <c r="AT529" t="s">
        <v>218</v>
      </c>
      <c r="AU529" t="s">
        <v>268</v>
      </c>
      <c r="AV529">
        <v>10.4</v>
      </c>
    </row>
    <row r="530" spans="40:48" x14ac:dyDescent="0.25">
      <c r="AN530" t="s">
        <v>40</v>
      </c>
      <c r="AO530" t="s">
        <v>26</v>
      </c>
      <c r="AP530">
        <v>2007</v>
      </c>
      <c r="AQ530" t="s">
        <v>39</v>
      </c>
      <c r="AR530" t="s">
        <v>305</v>
      </c>
      <c r="AS530" t="s">
        <v>331</v>
      </c>
      <c r="AT530" t="s">
        <v>238</v>
      </c>
      <c r="AU530" t="s">
        <v>308</v>
      </c>
      <c r="AV530">
        <v>2.9</v>
      </c>
    </row>
    <row r="531" spans="40:48" x14ac:dyDescent="0.25">
      <c r="AN531" t="s">
        <v>40</v>
      </c>
      <c r="AO531" t="s">
        <v>26</v>
      </c>
      <c r="AP531">
        <v>2007</v>
      </c>
      <c r="AQ531" t="s">
        <v>39</v>
      </c>
      <c r="AR531" t="s">
        <v>305</v>
      </c>
      <c r="AS531" t="s">
        <v>331</v>
      </c>
      <c r="AT531" t="s">
        <v>238</v>
      </c>
      <c r="AU531" t="s">
        <v>309</v>
      </c>
      <c r="AV531">
        <v>8.1</v>
      </c>
    </row>
    <row r="532" spans="40:48" x14ac:dyDescent="0.25">
      <c r="AN532" t="s">
        <v>40</v>
      </c>
      <c r="AO532" t="s">
        <v>26</v>
      </c>
      <c r="AP532">
        <v>2007</v>
      </c>
      <c r="AQ532" t="s">
        <v>39</v>
      </c>
      <c r="AR532" t="s">
        <v>305</v>
      </c>
      <c r="AS532" t="s">
        <v>331</v>
      </c>
      <c r="AT532" t="s">
        <v>238</v>
      </c>
      <c r="AU532" t="s">
        <v>268</v>
      </c>
      <c r="AV532">
        <v>11</v>
      </c>
    </row>
    <row r="533" spans="40:48" x14ac:dyDescent="0.25">
      <c r="AN533" t="s">
        <v>40</v>
      </c>
      <c r="AO533" t="s">
        <v>26</v>
      </c>
      <c r="AP533">
        <v>2007</v>
      </c>
      <c r="AQ533" t="s">
        <v>39</v>
      </c>
      <c r="AR533" t="s">
        <v>305</v>
      </c>
      <c r="AS533" t="s">
        <v>331</v>
      </c>
      <c r="AT533" t="s">
        <v>239</v>
      </c>
      <c r="AU533" t="s">
        <v>308</v>
      </c>
      <c r="AV533">
        <v>3.4</v>
      </c>
    </row>
    <row r="534" spans="40:48" x14ac:dyDescent="0.25">
      <c r="AN534" t="s">
        <v>40</v>
      </c>
      <c r="AO534" t="s">
        <v>26</v>
      </c>
      <c r="AP534">
        <v>2007</v>
      </c>
      <c r="AQ534" t="s">
        <v>39</v>
      </c>
      <c r="AR534" t="s">
        <v>305</v>
      </c>
      <c r="AS534" t="s">
        <v>331</v>
      </c>
      <c r="AT534" t="s">
        <v>239</v>
      </c>
      <c r="AU534" t="s">
        <v>309</v>
      </c>
      <c r="AV534">
        <v>6</v>
      </c>
    </row>
    <row r="535" spans="40:48" x14ac:dyDescent="0.25">
      <c r="AN535" t="s">
        <v>40</v>
      </c>
      <c r="AO535" t="s">
        <v>26</v>
      </c>
      <c r="AP535">
        <v>2007</v>
      </c>
      <c r="AQ535" t="s">
        <v>39</v>
      </c>
      <c r="AR535" t="s">
        <v>305</v>
      </c>
      <c r="AS535" t="s">
        <v>331</v>
      </c>
      <c r="AT535" t="s">
        <v>239</v>
      </c>
      <c r="AU535" t="s">
        <v>268</v>
      </c>
      <c r="AV535">
        <v>9.4</v>
      </c>
    </row>
    <row r="536" spans="40:48" x14ac:dyDescent="0.25">
      <c r="AN536" t="s">
        <v>40</v>
      </c>
      <c r="AO536" t="s">
        <v>26</v>
      </c>
      <c r="AP536">
        <v>2007</v>
      </c>
      <c r="AQ536" t="s">
        <v>39</v>
      </c>
      <c r="AR536" t="s">
        <v>305</v>
      </c>
      <c r="AS536" t="s">
        <v>331</v>
      </c>
      <c r="AT536" t="s">
        <v>240</v>
      </c>
      <c r="AU536" t="s">
        <v>308</v>
      </c>
      <c r="AV536">
        <v>2.8</v>
      </c>
    </row>
    <row r="537" spans="40:48" x14ac:dyDescent="0.25">
      <c r="AN537" t="s">
        <v>40</v>
      </c>
      <c r="AO537" t="s">
        <v>26</v>
      </c>
      <c r="AP537">
        <v>2007</v>
      </c>
      <c r="AQ537" t="s">
        <v>39</v>
      </c>
      <c r="AR537" t="s">
        <v>305</v>
      </c>
      <c r="AS537" t="s">
        <v>331</v>
      </c>
      <c r="AT537" t="s">
        <v>240</v>
      </c>
      <c r="AU537" t="s">
        <v>309</v>
      </c>
      <c r="AV537">
        <v>8.6</v>
      </c>
    </row>
    <row r="538" spans="40:48" x14ac:dyDescent="0.25">
      <c r="AN538" t="s">
        <v>40</v>
      </c>
      <c r="AO538" t="s">
        <v>26</v>
      </c>
      <c r="AP538">
        <v>2007</v>
      </c>
      <c r="AQ538" t="s">
        <v>39</v>
      </c>
      <c r="AR538" t="s">
        <v>305</v>
      </c>
      <c r="AS538" t="s">
        <v>331</v>
      </c>
      <c r="AT538" t="s">
        <v>240</v>
      </c>
      <c r="AU538" t="s">
        <v>268</v>
      </c>
      <c r="AV538">
        <v>11.4</v>
      </c>
    </row>
    <row r="539" spans="40:48" x14ac:dyDescent="0.25">
      <c r="AN539" t="s">
        <v>40</v>
      </c>
      <c r="AO539" t="s">
        <v>26</v>
      </c>
      <c r="AP539">
        <v>2007</v>
      </c>
      <c r="AQ539" t="s">
        <v>39</v>
      </c>
      <c r="AR539" t="s">
        <v>305</v>
      </c>
      <c r="AS539" t="s">
        <v>331</v>
      </c>
      <c r="AT539" t="s">
        <v>314</v>
      </c>
      <c r="AU539" t="s">
        <v>308</v>
      </c>
      <c r="AV539">
        <v>3</v>
      </c>
    </row>
    <row r="540" spans="40:48" x14ac:dyDescent="0.25">
      <c r="AN540" t="s">
        <v>40</v>
      </c>
      <c r="AO540" t="s">
        <v>26</v>
      </c>
      <c r="AP540">
        <v>2007</v>
      </c>
      <c r="AQ540" t="s">
        <v>39</v>
      </c>
      <c r="AR540" t="s">
        <v>305</v>
      </c>
      <c r="AS540" t="s">
        <v>331</v>
      </c>
      <c r="AT540" t="s">
        <v>314</v>
      </c>
      <c r="AU540" t="s">
        <v>309</v>
      </c>
      <c r="AV540">
        <v>9</v>
      </c>
    </row>
    <row r="541" spans="40:48" x14ac:dyDescent="0.25">
      <c r="AN541" t="s">
        <v>40</v>
      </c>
      <c r="AO541" t="s">
        <v>26</v>
      </c>
      <c r="AP541">
        <v>2007</v>
      </c>
      <c r="AQ541" t="s">
        <v>39</v>
      </c>
      <c r="AR541" t="s">
        <v>305</v>
      </c>
      <c r="AS541" t="s">
        <v>331</v>
      </c>
      <c r="AT541" t="s">
        <v>314</v>
      </c>
      <c r="AU541" t="s">
        <v>268</v>
      </c>
      <c r="AV541">
        <v>12</v>
      </c>
    </row>
    <row r="542" spans="40:48" x14ac:dyDescent="0.25">
      <c r="AN542" t="s">
        <v>40</v>
      </c>
      <c r="AO542" t="s">
        <v>26</v>
      </c>
      <c r="AP542">
        <v>2007</v>
      </c>
      <c r="AQ542" t="s">
        <v>39</v>
      </c>
      <c r="AR542" t="s">
        <v>305</v>
      </c>
      <c r="AS542" t="s">
        <v>331</v>
      </c>
      <c r="AT542" t="s">
        <v>242</v>
      </c>
      <c r="AU542" t="s">
        <v>308</v>
      </c>
      <c r="AV542">
        <v>2.4</v>
      </c>
    </row>
    <row r="543" spans="40:48" x14ac:dyDescent="0.25">
      <c r="AN543" t="s">
        <v>40</v>
      </c>
      <c r="AO543" t="s">
        <v>26</v>
      </c>
      <c r="AP543">
        <v>2007</v>
      </c>
      <c r="AQ543" t="s">
        <v>39</v>
      </c>
      <c r="AR543" t="s">
        <v>305</v>
      </c>
      <c r="AS543" t="s">
        <v>331</v>
      </c>
      <c r="AT543" t="s">
        <v>242</v>
      </c>
      <c r="AU543" t="s">
        <v>309</v>
      </c>
      <c r="AV543">
        <v>7.2</v>
      </c>
    </row>
    <row r="544" spans="40:48" x14ac:dyDescent="0.25">
      <c r="AN544" t="s">
        <v>40</v>
      </c>
      <c r="AO544" t="s">
        <v>26</v>
      </c>
      <c r="AP544">
        <v>2007</v>
      </c>
      <c r="AQ544" t="s">
        <v>39</v>
      </c>
      <c r="AR544" t="s">
        <v>305</v>
      </c>
      <c r="AS544" t="s">
        <v>331</v>
      </c>
      <c r="AT544" t="s">
        <v>242</v>
      </c>
      <c r="AU544" t="s">
        <v>268</v>
      </c>
      <c r="AV544">
        <v>9.6</v>
      </c>
    </row>
    <row r="545" spans="40:48" x14ac:dyDescent="0.25">
      <c r="AN545" t="s">
        <v>40</v>
      </c>
      <c r="AO545" t="s">
        <v>26</v>
      </c>
      <c r="AP545">
        <v>2007</v>
      </c>
      <c r="AQ545" t="s">
        <v>39</v>
      </c>
      <c r="AR545" t="s">
        <v>305</v>
      </c>
      <c r="AS545" t="s">
        <v>331</v>
      </c>
      <c r="AT545" t="s">
        <v>243</v>
      </c>
      <c r="AU545" t="s">
        <v>326</v>
      </c>
      <c r="AV545">
        <v>17.599999999999998</v>
      </c>
    </row>
    <row r="546" spans="40:48" x14ac:dyDescent="0.25">
      <c r="AN546" t="s">
        <v>40</v>
      </c>
      <c r="AO546" t="s">
        <v>26</v>
      </c>
      <c r="AP546">
        <v>2007</v>
      </c>
      <c r="AQ546" t="s">
        <v>39</v>
      </c>
      <c r="AR546" t="s">
        <v>305</v>
      </c>
      <c r="AS546" t="s">
        <v>331</v>
      </c>
      <c r="AT546" t="s">
        <v>243</v>
      </c>
      <c r="AU546" t="s">
        <v>327</v>
      </c>
      <c r="AV546">
        <v>46.2</v>
      </c>
    </row>
    <row r="547" spans="40:48" x14ac:dyDescent="0.25">
      <c r="AN547" t="s">
        <v>40</v>
      </c>
      <c r="AO547" t="s">
        <v>26</v>
      </c>
      <c r="AP547">
        <v>2007</v>
      </c>
      <c r="AQ547" t="s">
        <v>39</v>
      </c>
      <c r="AR547" t="s">
        <v>305</v>
      </c>
      <c r="AS547" t="s">
        <v>331</v>
      </c>
      <c r="AT547" t="s">
        <v>243</v>
      </c>
      <c r="AU547" t="s">
        <v>329</v>
      </c>
      <c r="AV547">
        <v>63.8</v>
      </c>
    </row>
    <row r="548" spans="40:48" x14ac:dyDescent="0.25">
      <c r="AN548" t="s">
        <v>112</v>
      </c>
      <c r="AO548" t="s">
        <v>26</v>
      </c>
      <c r="AP548">
        <v>2005</v>
      </c>
      <c r="AQ548" t="s">
        <v>31</v>
      </c>
      <c r="AR548" t="s">
        <v>305</v>
      </c>
      <c r="AS548" t="s">
        <v>331</v>
      </c>
      <c r="AT548" t="s">
        <v>218</v>
      </c>
      <c r="AU548" t="s">
        <v>308</v>
      </c>
      <c r="AV548">
        <v>4.2</v>
      </c>
    </row>
    <row r="549" spans="40:48" x14ac:dyDescent="0.25">
      <c r="AN549" t="s">
        <v>112</v>
      </c>
      <c r="AO549" t="s">
        <v>26</v>
      </c>
      <c r="AP549">
        <v>2005</v>
      </c>
      <c r="AQ549" t="s">
        <v>31</v>
      </c>
      <c r="AR549" t="s">
        <v>305</v>
      </c>
      <c r="AS549" t="s">
        <v>331</v>
      </c>
      <c r="AT549" t="s">
        <v>218</v>
      </c>
      <c r="AU549" t="s">
        <v>309</v>
      </c>
      <c r="AV549">
        <v>6.3</v>
      </c>
    </row>
    <row r="550" spans="40:48" x14ac:dyDescent="0.25">
      <c r="AN550" t="s">
        <v>112</v>
      </c>
      <c r="AO550" t="s">
        <v>26</v>
      </c>
      <c r="AP550">
        <v>2005</v>
      </c>
      <c r="AQ550" t="s">
        <v>31</v>
      </c>
      <c r="AR550" t="s">
        <v>305</v>
      </c>
      <c r="AS550" t="s">
        <v>331</v>
      </c>
      <c r="AT550" t="s">
        <v>218</v>
      </c>
      <c r="AU550" t="s">
        <v>268</v>
      </c>
      <c r="AV550">
        <v>10.5</v>
      </c>
    </row>
    <row r="551" spans="40:48" x14ac:dyDescent="0.25">
      <c r="AN551" t="s">
        <v>112</v>
      </c>
      <c r="AO551" t="s">
        <v>26</v>
      </c>
      <c r="AP551">
        <v>2005</v>
      </c>
      <c r="AQ551" t="s">
        <v>31</v>
      </c>
      <c r="AR551" t="s">
        <v>305</v>
      </c>
      <c r="AS551" t="s">
        <v>331</v>
      </c>
      <c r="AT551" t="s">
        <v>238</v>
      </c>
      <c r="AU551" t="s">
        <v>308</v>
      </c>
      <c r="AV551">
        <v>2.7</v>
      </c>
    </row>
    <row r="552" spans="40:48" x14ac:dyDescent="0.25">
      <c r="AN552" t="s">
        <v>112</v>
      </c>
      <c r="AO552" t="s">
        <v>26</v>
      </c>
      <c r="AP552">
        <v>2005</v>
      </c>
      <c r="AQ552" t="s">
        <v>31</v>
      </c>
      <c r="AR552" t="s">
        <v>305</v>
      </c>
      <c r="AS552" t="s">
        <v>331</v>
      </c>
      <c r="AT552" t="s">
        <v>238</v>
      </c>
      <c r="AU552" t="s">
        <v>309</v>
      </c>
      <c r="AV552">
        <v>6</v>
      </c>
    </row>
    <row r="553" spans="40:48" x14ac:dyDescent="0.25">
      <c r="AN553" t="s">
        <v>112</v>
      </c>
      <c r="AO553" t="s">
        <v>26</v>
      </c>
      <c r="AP553">
        <v>2005</v>
      </c>
      <c r="AQ553" t="s">
        <v>31</v>
      </c>
      <c r="AR553" t="s">
        <v>305</v>
      </c>
      <c r="AS553" t="s">
        <v>331</v>
      </c>
      <c r="AT553" t="s">
        <v>238</v>
      </c>
      <c r="AU553" t="s">
        <v>268</v>
      </c>
      <c r="AV553">
        <v>8.6999999999999993</v>
      </c>
    </row>
    <row r="554" spans="40:48" x14ac:dyDescent="0.25">
      <c r="AN554" t="s">
        <v>112</v>
      </c>
      <c r="AO554" t="s">
        <v>26</v>
      </c>
      <c r="AP554">
        <v>2005</v>
      </c>
      <c r="AQ554" t="s">
        <v>31</v>
      </c>
      <c r="AR554" t="s">
        <v>305</v>
      </c>
      <c r="AS554" t="s">
        <v>331</v>
      </c>
      <c r="AT554" t="s">
        <v>239</v>
      </c>
      <c r="AU554" t="s">
        <v>308</v>
      </c>
      <c r="AV554">
        <v>2.2000000000000002</v>
      </c>
    </row>
    <row r="555" spans="40:48" x14ac:dyDescent="0.25">
      <c r="AN555" t="s">
        <v>112</v>
      </c>
      <c r="AO555" t="s">
        <v>26</v>
      </c>
      <c r="AP555">
        <v>2005</v>
      </c>
      <c r="AQ555" t="s">
        <v>31</v>
      </c>
      <c r="AR555" t="s">
        <v>305</v>
      </c>
      <c r="AS555" t="s">
        <v>331</v>
      </c>
      <c r="AT555" t="s">
        <v>239</v>
      </c>
      <c r="AU555" t="s">
        <v>309</v>
      </c>
      <c r="AV555">
        <v>7.7</v>
      </c>
    </row>
    <row r="556" spans="40:48" x14ac:dyDescent="0.25">
      <c r="AN556" t="s">
        <v>112</v>
      </c>
      <c r="AO556" t="s">
        <v>26</v>
      </c>
      <c r="AP556">
        <v>2005</v>
      </c>
      <c r="AQ556" t="s">
        <v>31</v>
      </c>
      <c r="AR556" t="s">
        <v>305</v>
      </c>
      <c r="AS556" t="s">
        <v>331</v>
      </c>
      <c r="AT556" t="s">
        <v>239</v>
      </c>
      <c r="AU556" t="s">
        <v>268</v>
      </c>
      <c r="AV556">
        <v>9.9</v>
      </c>
    </row>
    <row r="557" spans="40:48" x14ac:dyDescent="0.25">
      <c r="AN557" t="s">
        <v>112</v>
      </c>
      <c r="AO557" t="s">
        <v>26</v>
      </c>
      <c r="AP557">
        <v>2005</v>
      </c>
      <c r="AQ557" t="s">
        <v>31</v>
      </c>
      <c r="AR557" t="s">
        <v>305</v>
      </c>
      <c r="AS557" t="s">
        <v>331</v>
      </c>
      <c r="AT557" t="s">
        <v>240</v>
      </c>
      <c r="AU557" t="s">
        <v>308</v>
      </c>
      <c r="AV557">
        <v>4</v>
      </c>
    </row>
    <row r="558" spans="40:48" x14ac:dyDescent="0.25">
      <c r="AN558" t="s">
        <v>112</v>
      </c>
      <c r="AO558" t="s">
        <v>26</v>
      </c>
      <c r="AP558">
        <v>2005</v>
      </c>
      <c r="AQ558" t="s">
        <v>31</v>
      </c>
      <c r="AR558" t="s">
        <v>305</v>
      </c>
      <c r="AS558" t="s">
        <v>331</v>
      </c>
      <c r="AT558" t="s">
        <v>240</v>
      </c>
      <c r="AU558" t="s">
        <v>309</v>
      </c>
      <c r="AV558">
        <v>8.9</v>
      </c>
    </row>
    <row r="559" spans="40:48" x14ac:dyDescent="0.25">
      <c r="AN559" t="s">
        <v>112</v>
      </c>
      <c r="AO559" t="s">
        <v>26</v>
      </c>
      <c r="AP559">
        <v>2005</v>
      </c>
      <c r="AQ559" t="s">
        <v>31</v>
      </c>
      <c r="AR559" t="s">
        <v>305</v>
      </c>
      <c r="AS559" t="s">
        <v>331</v>
      </c>
      <c r="AT559" t="s">
        <v>240</v>
      </c>
      <c r="AU559" t="s">
        <v>268</v>
      </c>
      <c r="AV559">
        <v>12.9</v>
      </c>
    </row>
    <row r="560" spans="40:48" x14ac:dyDescent="0.25">
      <c r="AN560" t="s">
        <v>112</v>
      </c>
      <c r="AO560" t="s">
        <v>26</v>
      </c>
      <c r="AP560">
        <v>2005</v>
      </c>
      <c r="AQ560" t="s">
        <v>31</v>
      </c>
      <c r="AR560" t="s">
        <v>305</v>
      </c>
      <c r="AS560" t="s">
        <v>331</v>
      </c>
      <c r="AT560" t="s">
        <v>314</v>
      </c>
      <c r="AU560" t="s">
        <v>308</v>
      </c>
      <c r="AV560">
        <v>3.2</v>
      </c>
    </row>
    <row r="561" spans="40:48" x14ac:dyDescent="0.25">
      <c r="AN561" t="s">
        <v>112</v>
      </c>
      <c r="AO561" t="s">
        <v>26</v>
      </c>
      <c r="AP561">
        <v>2005</v>
      </c>
      <c r="AQ561" t="s">
        <v>31</v>
      </c>
      <c r="AR561" t="s">
        <v>305</v>
      </c>
      <c r="AS561" t="s">
        <v>331</v>
      </c>
      <c r="AT561" t="s">
        <v>314</v>
      </c>
      <c r="AU561" t="s">
        <v>309</v>
      </c>
      <c r="AV561">
        <v>7.4</v>
      </c>
    </row>
    <row r="562" spans="40:48" x14ac:dyDescent="0.25">
      <c r="AN562" t="s">
        <v>112</v>
      </c>
      <c r="AO562" t="s">
        <v>26</v>
      </c>
      <c r="AP562">
        <v>2005</v>
      </c>
      <c r="AQ562" t="s">
        <v>31</v>
      </c>
      <c r="AR562" t="s">
        <v>305</v>
      </c>
      <c r="AS562" t="s">
        <v>331</v>
      </c>
      <c r="AT562" t="s">
        <v>314</v>
      </c>
      <c r="AU562" t="s">
        <v>268</v>
      </c>
      <c r="AV562">
        <v>10.6</v>
      </c>
    </row>
    <row r="563" spans="40:48" x14ac:dyDescent="0.25">
      <c r="AN563" t="s">
        <v>112</v>
      </c>
      <c r="AO563" t="s">
        <v>26</v>
      </c>
      <c r="AP563">
        <v>2005</v>
      </c>
      <c r="AQ563" t="s">
        <v>31</v>
      </c>
      <c r="AR563" t="s">
        <v>305</v>
      </c>
      <c r="AS563" t="s">
        <v>331</v>
      </c>
      <c r="AT563" t="s">
        <v>242</v>
      </c>
      <c r="AU563" t="s">
        <v>308</v>
      </c>
      <c r="AV563">
        <v>3.2</v>
      </c>
    </row>
    <row r="564" spans="40:48" x14ac:dyDescent="0.25">
      <c r="AN564" t="s">
        <v>112</v>
      </c>
      <c r="AO564" t="s">
        <v>26</v>
      </c>
      <c r="AP564">
        <v>2005</v>
      </c>
      <c r="AQ564" t="s">
        <v>31</v>
      </c>
      <c r="AR564" t="s">
        <v>305</v>
      </c>
      <c r="AS564" t="s">
        <v>331</v>
      </c>
      <c r="AT564" t="s">
        <v>242</v>
      </c>
      <c r="AU564" t="s">
        <v>309</v>
      </c>
      <c r="AV564">
        <v>7.5</v>
      </c>
    </row>
    <row r="565" spans="40:48" x14ac:dyDescent="0.25">
      <c r="AN565" t="s">
        <v>112</v>
      </c>
      <c r="AO565" t="s">
        <v>26</v>
      </c>
      <c r="AP565">
        <v>2005</v>
      </c>
      <c r="AQ565" t="s">
        <v>31</v>
      </c>
      <c r="AR565" t="s">
        <v>305</v>
      </c>
      <c r="AS565" t="s">
        <v>331</v>
      </c>
      <c r="AT565" t="s">
        <v>242</v>
      </c>
      <c r="AU565" t="s">
        <v>268</v>
      </c>
      <c r="AV565">
        <v>10.7</v>
      </c>
    </row>
    <row r="566" spans="40:48" x14ac:dyDescent="0.25">
      <c r="AN566" t="s">
        <v>112</v>
      </c>
      <c r="AO566" t="s">
        <v>26</v>
      </c>
      <c r="AP566">
        <v>2005</v>
      </c>
      <c r="AQ566" t="s">
        <v>31</v>
      </c>
      <c r="AR566" t="s">
        <v>305</v>
      </c>
      <c r="AS566" t="s">
        <v>331</v>
      </c>
      <c r="AT566" t="s">
        <v>243</v>
      </c>
      <c r="AU566" t="s">
        <v>326</v>
      </c>
      <c r="AV566">
        <v>19.5</v>
      </c>
    </row>
    <row r="567" spans="40:48" x14ac:dyDescent="0.25">
      <c r="AN567" t="s">
        <v>112</v>
      </c>
      <c r="AO567" t="s">
        <v>26</v>
      </c>
      <c r="AP567">
        <v>2005</v>
      </c>
      <c r="AQ567" t="s">
        <v>31</v>
      </c>
      <c r="AR567" t="s">
        <v>305</v>
      </c>
      <c r="AS567" t="s">
        <v>331</v>
      </c>
      <c r="AT567" t="s">
        <v>243</v>
      </c>
      <c r="AU567" t="s">
        <v>327</v>
      </c>
      <c r="AV567">
        <v>43.8</v>
      </c>
    </row>
    <row r="568" spans="40:48" x14ac:dyDescent="0.25">
      <c r="AN568" t="s">
        <v>112</v>
      </c>
      <c r="AO568" t="s">
        <v>26</v>
      </c>
      <c r="AP568">
        <v>2005</v>
      </c>
      <c r="AQ568" t="s">
        <v>31</v>
      </c>
      <c r="AR568" t="s">
        <v>305</v>
      </c>
      <c r="AS568" t="s">
        <v>331</v>
      </c>
      <c r="AT568" t="s">
        <v>243</v>
      </c>
      <c r="AU568" t="s">
        <v>329</v>
      </c>
      <c r="AV568">
        <v>63.3</v>
      </c>
    </row>
    <row r="569" spans="40:48" x14ac:dyDescent="0.25">
      <c r="AN569" t="s">
        <v>37</v>
      </c>
      <c r="AO569" t="s">
        <v>26</v>
      </c>
      <c r="AP569">
        <v>2006</v>
      </c>
      <c r="AQ569" t="s">
        <v>39</v>
      </c>
      <c r="AR569" t="s">
        <v>305</v>
      </c>
      <c r="AS569" t="s">
        <v>331</v>
      </c>
      <c r="AT569" t="s">
        <v>218</v>
      </c>
      <c r="AU569" t="s">
        <v>308</v>
      </c>
      <c r="AV569">
        <v>3.3</v>
      </c>
    </row>
    <row r="570" spans="40:48" x14ac:dyDescent="0.25">
      <c r="AN570" t="s">
        <v>37</v>
      </c>
      <c r="AO570" t="s">
        <v>26</v>
      </c>
      <c r="AP570">
        <v>2006</v>
      </c>
      <c r="AQ570" t="s">
        <v>39</v>
      </c>
      <c r="AR570" t="s">
        <v>305</v>
      </c>
      <c r="AS570" t="s">
        <v>331</v>
      </c>
      <c r="AT570" t="s">
        <v>218</v>
      </c>
      <c r="AU570" t="s">
        <v>309</v>
      </c>
      <c r="AV570">
        <v>5.9</v>
      </c>
    </row>
    <row r="571" spans="40:48" x14ac:dyDescent="0.25">
      <c r="AN571" t="s">
        <v>37</v>
      </c>
      <c r="AO571" t="s">
        <v>26</v>
      </c>
      <c r="AP571">
        <v>2006</v>
      </c>
      <c r="AQ571" t="s">
        <v>39</v>
      </c>
      <c r="AR571" t="s">
        <v>305</v>
      </c>
      <c r="AS571" t="s">
        <v>331</v>
      </c>
      <c r="AT571" t="s">
        <v>218</v>
      </c>
      <c r="AU571" t="s">
        <v>268</v>
      </c>
      <c r="AV571">
        <v>9.1999999999999993</v>
      </c>
    </row>
    <row r="572" spans="40:48" x14ac:dyDescent="0.25">
      <c r="AN572" t="s">
        <v>37</v>
      </c>
      <c r="AO572" t="s">
        <v>26</v>
      </c>
      <c r="AP572">
        <v>2006</v>
      </c>
      <c r="AQ572" t="s">
        <v>39</v>
      </c>
      <c r="AR572" t="s">
        <v>305</v>
      </c>
      <c r="AS572" t="s">
        <v>331</v>
      </c>
      <c r="AT572" t="s">
        <v>238</v>
      </c>
      <c r="AU572" t="s">
        <v>308</v>
      </c>
      <c r="AV572">
        <v>3.9</v>
      </c>
    </row>
    <row r="573" spans="40:48" x14ac:dyDescent="0.25">
      <c r="AN573" t="s">
        <v>37</v>
      </c>
      <c r="AO573" t="s">
        <v>26</v>
      </c>
      <c r="AP573">
        <v>2006</v>
      </c>
      <c r="AQ573" t="s">
        <v>39</v>
      </c>
      <c r="AR573" t="s">
        <v>305</v>
      </c>
      <c r="AS573" t="s">
        <v>331</v>
      </c>
      <c r="AT573" t="s">
        <v>238</v>
      </c>
      <c r="AU573" t="s">
        <v>309</v>
      </c>
      <c r="AV573">
        <v>8.1999999999999993</v>
      </c>
    </row>
    <row r="574" spans="40:48" x14ac:dyDescent="0.25">
      <c r="AN574" t="s">
        <v>37</v>
      </c>
      <c r="AO574" t="s">
        <v>26</v>
      </c>
      <c r="AP574">
        <v>2006</v>
      </c>
      <c r="AQ574" t="s">
        <v>39</v>
      </c>
      <c r="AR574" t="s">
        <v>305</v>
      </c>
      <c r="AS574" t="s">
        <v>331</v>
      </c>
      <c r="AT574" t="s">
        <v>238</v>
      </c>
      <c r="AU574" t="s">
        <v>268</v>
      </c>
      <c r="AV574">
        <v>12.1</v>
      </c>
    </row>
    <row r="575" spans="40:48" x14ac:dyDescent="0.25">
      <c r="AN575" t="s">
        <v>37</v>
      </c>
      <c r="AO575" t="s">
        <v>26</v>
      </c>
      <c r="AP575">
        <v>2006</v>
      </c>
      <c r="AQ575" t="s">
        <v>39</v>
      </c>
      <c r="AR575" t="s">
        <v>305</v>
      </c>
      <c r="AS575" t="s">
        <v>331</v>
      </c>
      <c r="AT575" t="s">
        <v>239</v>
      </c>
      <c r="AU575" t="s">
        <v>308</v>
      </c>
      <c r="AV575">
        <v>2.2999999999999998</v>
      </c>
    </row>
    <row r="576" spans="40:48" x14ac:dyDescent="0.25">
      <c r="AN576" t="s">
        <v>37</v>
      </c>
      <c r="AO576" t="s">
        <v>26</v>
      </c>
      <c r="AP576">
        <v>2006</v>
      </c>
      <c r="AQ576" t="s">
        <v>39</v>
      </c>
      <c r="AR576" t="s">
        <v>305</v>
      </c>
      <c r="AS576" t="s">
        <v>331</v>
      </c>
      <c r="AT576" t="s">
        <v>239</v>
      </c>
      <c r="AU576" t="s">
        <v>309</v>
      </c>
      <c r="AV576">
        <v>7.8</v>
      </c>
    </row>
    <row r="577" spans="40:48" x14ac:dyDescent="0.25">
      <c r="AN577" t="s">
        <v>37</v>
      </c>
      <c r="AO577" t="s">
        <v>26</v>
      </c>
      <c r="AP577">
        <v>2006</v>
      </c>
      <c r="AQ577" t="s">
        <v>39</v>
      </c>
      <c r="AR577" t="s">
        <v>305</v>
      </c>
      <c r="AS577" t="s">
        <v>331</v>
      </c>
      <c r="AT577" t="s">
        <v>239</v>
      </c>
      <c r="AU577" t="s">
        <v>268</v>
      </c>
      <c r="AV577">
        <v>10.1</v>
      </c>
    </row>
    <row r="578" spans="40:48" x14ac:dyDescent="0.25">
      <c r="AN578" t="s">
        <v>37</v>
      </c>
      <c r="AO578" t="s">
        <v>26</v>
      </c>
      <c r="AP578">
        <v>2006</v>
      </c>
      <c r="AQ578" t="s">
        <v>39</v>
      </c>
      <c r="AR578" t="s">
        <v>305</v>
      </c>
      <c r="AS578" t="s">
        <v>331</v>
      </c>
      <c r="AT578" t="s">
        <v>240</v>
      </c>
      <c r="AU578" t="s">
        <v>308</v>
      </c>
      <c r="AV578">
        <v>2.4</v>
      </c>
    </row>
    <row r="579" spans="40:48" x14ac:dyDescent="0.25">
      <c r="AN579" t="s">
        <v>37</v>
      </c>
      <c r="AO579" t="s">
        <v>26</v>
      </c>
      <c r="AP579">
        <v>2006</v>
      </c>
      <c r="AQ579" t="s">
        <v>39</v>
      </c>
      <c r="AR579" t="s">
        <v>305</v>
      </c>
      <c r="AS579" t="s">
        <v>331</v>
      </c>
      <c r="AT579" t="s">
        <v>240</v>
      </c>
      <c r="AU579" t="s">
        <v>309</v>
      </c>
      <c r="AV579">
        <v>8.1999999999999993</v>
      </c>
    </row>
    <row r="580" spans="40:48" x14ac:dyDescent="0.25">
      <c r="AN580" t="s">
        <v>37</v>
      </c>
      <c r="AO580" t="s">
        <v>26</v>
      </c>
      <c r="AP580">
        <v>2006</v>
      </c>
      <c r="AQ580" t="s">
        <v>39</v>
      </c>
      <c r="AR580" t="s">
        <v>305</v>
      </c>
      <c r="AS580" t="s">
        <v>331</v>
      </c>
      <c r="AT580" t="s">
        <v>240</v>
      </c>
      <c r="AU580" t="s">
        <v>268</v>
      </c>
      <c r="AV580">
        <v>10.6</v>
      </c>
    </row>
    <row r="581" spans="40:48" x14ac:dyDescent="0.25">
      <c r="AN581" t="s">
        <v>37</v>
      </c>
      <c r="AO581" t="s">
        <v>26</v>
      </c>
      <c r="AP581">
        <v>2006</v>
      </c>
      <c r="AQ581" t="s">
        <v>39</v>
      </c>
      <c r="AR581" t="s">
        <v>305</v>
      </c>
      <c r="AS581" t="s">
        <v>331</v>
      </c>
      <c r="AT581" t="s">
        <v>314</v>
      </c>
      <c r="AU581" t="s">
        <v>308</v>
      </c>
      <c r="AV581">
        <v>3.2</v>
      </c>
    </row>
    <row r="582" spans="40:48" x14ac:dyDescent="0.25">
      <c r="AN582" t="s">
        <v>37</v>
      </c>
      <c r="AO582" t="s">
        <v>26</v>
      </c>
      <c r="AP582">
        <v>2006</v>
      </c>
      <c r="AQ582" t="s">
        <v>39</v>
      </c>
      <c r="AR582" t="s">
        <v>305</v>
      </c>
      <c r="AS582" t="s">
        <v>331</v>
      </c>
      <c r="AT582" t="s">
        <v>314</v>
      </c>
      <c r="AU582" t="s">
        <v>309</v>
      </c>
      <c r="AV582">
        <v>8.6</v>
      </c>
    </row>
    <row r="583" spans="40:48" x14ac:dyDescent="0.25">
      <c r="AN583" t="s">
        <v>37</v>
      </c>
      <c r="AO583" t="s">
        <v>26</v>
      </c>
      <c r="AP583">
        <v>2006</v>
      </c>
      <c r="AQ583" t="s">
        <v>39</v>
      </c>
      <c r="AR583" t="s">
        <v>305</v>
      </c>
      <c r="AS583" t="s">
        <v>331</v>
      </c>
      <c r="AT583" t="s">
        <v>314</v>
      </c>
      <c r="AU583" t="s">
        <v>268</v>
      </c>
      <c r="AV583">
        <v>11.8</v>
      </c>
    </row>
    <row r="584" spans="40:48" x14ac:dyDescent="0.25">
      <c r="AN584" t="s">
        <v>37</v>
      </c>
      <c r="AO584" t="s">
        <v>26</v>
      </c>
      <c r="AP584">
        <v>2006</v>
      </c>
      <c r="AQ584" t="s">
        <v>39</v>
      </c>
      <c r="AR584" t="s">
        <v>305</v>
      </c>
      <c r="AS584" t="s">
        <v>331</v>
      </c>
      <c r="AT584" t="s">
        <v>242</v>
      </c>
      <c r="AU584" t="s">
        <v>308</v>
      </c>
      <c r="AV584">
        <v>2.8</v>
      </c>
    </row>
    <row r="585" spans="40:48" x14ac:dyDescent="0.25">
      <c r="AN585" t="s">
        <v>37</v>
      </c>
      <c r="AO585" t="s">
        <v>26</v>
      </c>
      <c r="AP585">
        <v>2006</v>
      </c>
      <c r="AQ585" t="s">
        <v>39</v>
      </c>
      <c r="AR585" t="s">
        <v>305</v>
      </c>
      <c r="AS585" t="s">
        <v>331</v>
      </c>
      <c r="AT585" t="s">
        <v>242</v>
      </c>
      <c r="AU585" t="s">
        <v>309</v>
      </c>
      <c r="AV585">
        <v>6.5</v>
      </c>
    </row>
    <row r="586" spans="40:48" x14ac:dyDescent="0.25">
      <c r="AN586" t="s">
        <v>37</v>
      </c>
      <c r="AO586" t="s">
        <v>26</v>
      </c>
      <c r="AP586">
        <v>2006</v>
      </c>
      <c r="AQ586" t="s">
        <v>39</v>
      </c>
      <c r="AR586" t="s">
        <v>305</v>
      </c>
      <c r="AS586" t="s">
        <v>331</v>
      </c>
      <c r="AT586" t="s">
        <v>242</v>
      </c>
      <c r="AU586" t="s">
        <v>268</v>
      </c>
      <c r="AV586">
        <v>9.3000000000000007</v>
      </c>
    </row>
    <row r="587" spans="40:48" x14ac:dyDescent="0.25">
      <c r="AN587" t="s">
        <v>37</v>
      </c>
      <c r="AO587" t="s">
        <v>26</v>
      </c>
      <c r="AP587">
        <v>2006</v>
      </c>
      <c r="AQ587" t="s">
        <v>39</v>
      </c>
      <c r="AR587" t="s">
        <v>305</v>
      </c>
      <c r="AS587" t="s">
        <v>331</v>
      </c>
      <c r="AT587" t="s">
        <v>243</v>
      </c>
      <c r="AU587" t="s">
        <v>326</v>
      </c>
      <c r="AV587">
        <v>17.900000000000002</v>
      </c>
    </row>
    <row r="588" spans="40:48" x14ac:dyDescent="0.25">
      <c r="AN588" t="s">
        <v>37</v>
      </c>
      <c r="AO588" t="s">
        <v>26</v>
      </c>
      <c r="AP588">
        <v>2006</v>
      </c>
      <c r="AQ588" t="s">
        <v>39</v>
      </c>
      <c r="AR588" t="s">
        <v>305</v>
      </c>
      <c r="AS588" t="s">
        <v>331</v>
      </c>
      <c r="AT588" t="s">
        <v>243</v>
      </c>
      <c r="AU588" t="s">
        <v>327</v>
      </c>
      <c r="AV588">
        <v>45.199999999999996</v>
      </c>
    </row>
    <row r="589" spans="40:48" x14ac:dyDescent="0.25">
      <c r="AN589" t="s">
        <v>37</v>
      </c>
      <c r="AO589" t="s">
        <v>26</v>
      </c>
      <c r="AP589">
        <v>2006</v>
      </c>
      <c r="AQ589" t="s">
        <v>39</v>
      </c>
      <c r="AR589" t="s">
        <v>305</v>
      </c>
      <c r="AS589" t="s">
        <v>331</v>
      </c>
      <c r="AT589" t="s">
        <v>243</v>
      </c>
      <c r="AU589" t="s">
        <v>329</v>
      </c>
      <c r="AV589">
        <v>63.1</v>
      </c>
    </row>
    <row r="590" spans="40:48" x14ac:dyDescent="0.25">
      <c r="AN590" t="s">
        <v>42</v>
      </c>
      <c r="AO590" t="s">
        <v>26</v>
      </c>
      <c r="AP590">
        <v>2007</v>
      </c>
      <c r="AQ590" t="s">
        <v>36</v>
      </c>
      <c r="AR590" t="s">
        <v>305</v>
      </c>
      <c r="AS590" t="s">
        <v>331</v>
      </c>
      <c r="AT590" t="s">
        <v>218</v>
      </c>
      <c r="AU590" t="s">
        <v>308</v>
      </c>
      <c r="AV590">
        <v>3.4</v>
      </c>
    </row>
    <row r="591" spans="40:48" x14ac:dyDescent="0.25">
      <c r="AN591" t="s">
        <v>42</v>
      </c>
      <c r="AO591" t="s">
        <v>26</v>
      </c>
      <c r="AP591">
        <v>2007</v>
      </c>
      <c r="AQ591" t="s">
        <v>36</v>
      </c>
      <c r="AR591" t="s">
        <v>305</v>
      </c>
      <c r="AS591" t="s">
        <v>331</v>
      </c>
      <c r="AT591" t="s">
        <v>218</v>
      </c>
      <c r="AU591" t="s">
        <v>309</v>
      </c>
      <c r="AV591">
        <v>7.5</v>
      </c>
    </row>
    <row r="592" spans="40:48" x14ac:dyDescent="0.25">
      <c r="AN592" t="s">
        <v>42</v>
      </c>
      <c r="AO592" t="s">
        <v>26</v>
      </c>
      <c r="AP592">
        <v>2007</v>
      </c>
      <c r="AQ592" t="s">
        <v>36</v>
      </c>
      <c r="AR592" t="s">
        <v>305</v>
      </c>
      <c r="AS592" t="s">
        <v>331</v>
      </c>
      <c r="AT592" t="s">
        <v>218</v>
      </c>
      <c r="AU592" t="s">
        <v>268</v>
      </c>
      <c r="AV592">
        <v>10.9</v>
      </c>
    </row>
    <row r="593" spans="40:48" x14ac:dyDescent="0.25">
      <c r="AN593" t="s">
        <v>42</v>
      </c>
      <c r="AO593" t="s">
        <v>26</v>
      </c>
      <c r="AP593">
        <v>2007</v>
      </c>
      <c r="AQ593" t="s">
        <v>36</v>
      </c>
      <c r="AR593" t="s">
        <v>305</v>
      </c>
      <c r="AS593" t="s">
        <v>331</v>
      </c>
      <c r="AT593" t="s">
        <v>238</v>
      </c>
      <c r="AU593" t="s">
        <v>308</v>
      </c>
      <c r="AV593">
        <v>2.6</v>
      </c>
    </row>
    <row r="594" spans="40:48" x14ac:dyDescent="0.25">
      <c r="AN594" t="s">
        <v>42</v>
      </c>
      <c r="AO594" t="s">
        <v>26</v>
      </c>
      <c r="AP594">
        <v>2007</v>
      </c>
      <c r="AQ594" t="s">
        <v>36</v>
      </c>
      <c r="AR594" t="s">
        <v>305</v>
      </c>
      <c r="AS594" t="s">
        <v>331</v>
      </c>
      <c r="AT594" t="s">
        <v>238</v>
      </c>
      <c r="AU594" t="s">
        <v>309</v>
      </c>
      <c r="AV594">
        <v>7.2</v>
      </c>
    </row>
    <row r="595" spans="40:48" x14ac:dyDescent="0.25">
      <c r="AN595" t="s">
        <v>42</v>
      </c>
      <c r="AO595" t="s">
        <v>26</v>
      </c>
      <c r="AP595">
        <v>2007</v>
      </c>
      <c r="AQ595" t="s">
        <v>36</v>
      </c>
      <c r="AR595" t="s">
        <v>305</v>
      </c>
      <c r="AS595" t="s">
        <v>331</v>
      </c>
      <c r="AT595" t="s">
        <v>238</v>
      </c>
      <c r="AU595" t="s">
        <v>268</v>
      </c>
      <c r="AV595">
        <v>9.8000000000000007</v>
      </c>
    </row>
    <row r="596" spans="40:48" x14ac:dyDescent="0.25">
      <c r="AN596" t="s">
        <v>42</v>
      </c>
      <c r="AO596" t="s">
        <v>26</v>
      </c>
      <c r="AP596">
        <v>2007</v>
      </c>
      <c r="AQ596" t="s">
        <v>36</v>
      </c>
      <c r="AR596" t="s">
        <v>305</v>
      </c>
      <c r="AS596" t="s">
        <v>331</v>
      </c>
      <c r="AT596" t="s">
        <v>239</v>
      </c>
      <c r="AU596" t="s">
        <v>308</v>
      </c>
      <c r="AV596">
        <v>2</v>
      </c>
    </row>
    <row r="597" spans="40:48" x14ac:dyDescent="0.25">
      <c r="AN597" t="s">
        <v>42</v>
      </c>
      <c r="AO597" t="s">
        <v>26</v>
      </c>
      <c r="AP597">
        <v>2007</v>
      </c>
      <c r="AQ597" t="s">
        <v>36</v>
      </c>
      <c r="AR597" t="s">
        <v>305</v>
      </c>
      <c r="AS597" t="s">
        <v>331</v>
      </c>
      <c r="AT597" t="s">
        <v>239</v>
      </c>
      <c r="AU597" t="s">
        <v>309</v>
      </c>
      <c r="AV597">
        <v>7.9</v>
      </c>
    </row>
    <row r="598" spans="40:48" x14ac:dyDescent="0.25">
      <c r="AN598" t="s">
        <v>42</v>
      </c>
      <c r="AO598" t="s">
        <v>26</v>
      </c>
      <c r="AP598">
        <v>2007</v>
      </c>
      <c r="AQ598" t="s">
        <v>36</v>
      </c>
      <c r="AR598" t="s">
        <v>305</v>
      </c>
      <c r="AS598" t="s">
        <v>331</v>
      </c>
      <c r="AT598" t="s">
        <v>239</v>
      </c>
      <c r="AU598" t="s">
        <v>268</v>
      </c>
      <c r="AV598">
        <v>9.9</v>
      </c>
    </row>
    <row r="599" spans="40:48" x14ac:dyDescent="0.25">
      <c r="AN599" t="s">
        <v>42</v>
      </c>
      <c r="AO599" t="s">
        <v>26</v>
      </c>
      <c r="AP599">
        <v>2007</v>
      </c>
      <c r="AQ599" t="s">
        <v>36</v>
      </c>
      <c r="AR599" t="s">
        <v>305</v>
      </c>
      <c r="AS599" t="s">
        <v>331</v>
      </c>
      <c r="AT599" t="s">
        <v>240</v>
      </c>
      <c r="AU599" t="s">
        <v>308</v>
      </c>
      <c r="AV599">
        <v>2.8</v>
      </c>
    </row>
    <row r="600" spans="40:48" x14ac:dyDescent="0.25">
      <c r="AN600" t="s">
        <v>42</v>
      </c>
      <c r="AO600" t="s">
        <v>26</v>
      </c>
      <c r="AP600">
        <v>2007</v>
      </c>
      <c r="AQ600" t="s">
        <v>36</v>
      </c>
      <c r="AR600" t="s">
        <v>305</v>
      </c>
      <c r="AS600" t="s">
        <v>331</v>
      </c>
      <c r="AT600" t="s">
        <v>240</v>
      </c>
      <c r="AU600" t="s">
        <v>309</v>
      </c>
      <c r="AV600">
        <v>8.4</v>
      </c>
    </row>
    <row r="601" spans="40:48" x14ac:dyDescent="0.25">
      <c r="AN601" t="s">
        <v>42</v>
      </c>
      <c r="AO601" t="s">
        <v>26</v>
      </c>
      <c r="AP601">
        <v>2007</v>
      </c>
      <c r="AQ601" t="s">
        <v>36</v>
      </c>
      <c r="AR601" t="s">
        <v>305</v>
      </c>
      <c r="AS601" t="s">
        <v>331</v>
      </c>
      <c r="AT601" t="s">
        <v>240</v>
      </c>
      <c r="AU601" t="s">
        <v>268</v>
      </c>
      <c r="AV601">
        <v>11.2</v>
      </c>
    </row>
    <row r="602" spans="40:48" x14ac:dyDescent="0.25">
      <c r="AN602" t="s">
        <v>42</v>
      </c>
      <c r="AO602" t="s">
        <v>26</v>
      </c>
      <c r="AP602">
        <v>2007</v>
      </c>
      <c r="AQ602" t="s">
        <v>36</v>
      </c>
      <c r="AR602" t="s">
        <v>305</v>
      </c>
      <c r="AS602" t="s">
        <v>331</v>
      </c>
      <c r="AT602" t="s">
        <v>314</v>
      </c>
      <c r="AU602" t="s">
        <v>308</v>
      </c>
      <c r="AV602">
        <v>2.4</v>
      </c>
    </row>
    <row r="603" spans="40:48" x14ac:dyDescent="0.25">
      <c r="AN603" t="s">
        <v>42</v>
      </c>
      <c r="AO603" t="s">
        <v>26</v>
      </c>
      <c r="AP603">
        <v>2007</v>
      </c>
      <c r="AQ603" t="s">
        <v>36</v>
      </c>
      <c r="AR603" t="s">
        <v>305</v>
      </c>
      <c r="AS603" t="s">
        <v>331</v>
      </c>
      <c r="AT603" t="s">
        <v>314</v>
      </c>
      <c r="AU603" t="s">
        <v>309</v>
      </c>
      <c r="AV603">
        <v>8.8000000000000007</v>
      </c>
    </row>
    <row r="604" spans="40:48" x14ac:dyDescent="0.25">
      <c r="AN604" t="s">
        <v>42</v>
      </c>
      <c r="AO604" t="s">
        <v>26</v>
      </c>
      <c r="AP604">
        <v>2007</v>
      </c>
      <c r="AQ604" t="s">
        <v>36</v>
      </c>
      <c r="AR604" t="s">
        <v>305</v>
      </c>
      <c r="AS604" t="s">
        <v>331</v>
      </c>
      <c r="AT604" t="s">
        <v>314</v>
      </c>
      <c r="AU604" t="s">
        <v>268</v>
      </c>
      <c r="AV604">
        <v>11.2</v>
      </c>
    </row>
    <row r="605" spans="40:48" x14ac:dyDescent="0.25">
      <c r="AN605" t="s">
        <v>42</v>
      </c>
      <c r="AO605" t="s">
        <v>26</v>
      </c>
      <c r="AP605">
        <v>2007</v>
      </c>
      <c r="AQ605" t="s">
        <v>36</v>
      </c>
      <c r="AR605" t="s">
        <v>305</v>
      </c>
      <c r="AS605" t="s">
        <v>331</v>
      </c>
      <c r="AT605" t="s">
        <v>242</v>
      </c>
      <c r="AU605" t="s">
        <v>308</v>
      </c>
      <c r="AV605">
        <v>1.8</v>
      </c>
    </row>
    <row r="606" spans="40:48" x14ac:dyDescent="0.25">
      <c r="AN606" t="s">
        <v>42</v>
      </c>
      <c r="AO606" t="s">
        <v>26</v>
      </c>
      <c r="AP606">
        <v>2007</v>
      </c>
      <c r="AQ606" t="s">
        <v>36</v>
      </c>
      <c r="AR606" t="s">
        <v>305</v>
      </c>
      <c r="AS606" t="s">
        <v>331</v>
      </c>
      <c r="AT606" t="s">
        <v>242</v>
      </c>
      <c r="AU606" t="s">
        <v>309</v>
      </c>
      <c r="AV606">
        <v>7.9</v>
      </c>
    </row>
    <row r="607" spans="40:48" x14ac:dyDescent="0.25">
      <c r="AN607" t="s">
        <v>42</v>
      </c>
      <c r="AO607" t="s">
        <v>26</v>
      </c>
      <c r="AP607">
        <v>2007</v>
      </c>
      <c r="AQ607" t="s">
        <v>36</v>
      </c>
      <c r="AR607" t="s">
        <v>305</v>
      </c>
      <c r="AS607" t="s">
        <v>331</v>
      </c>
      <c r="AT607" t="s">
        <v>242</v>
      </c>
      <c r="AU607" t="s">
        <v>268</v>
      </c>
      <c r="AV607">
        <v>9.6999999999999993</v>
      </c>
    </row>
    <row r="608" spans="40:48" x14ac:dyDescent="0.25">
      <c r="AN608" t="s">
        <v>42</v>
      </c>
      <c r="AO608" t="s">
        <v>26</v>
      </c>
      <c r="AP608">
        <v>2007</v>
      </c>
      <c r="AQ608" t="s">
        <v>36</v>
      </c>
      <c r="AR608" t="s">
        <v>305</v>
      </c>
      <c r="AS608" t="s">
        <v>331</v>
      </c>
      <c r="AT608" t="s">
        <v>243</v>
      </c>
      <c r="AU608" t="s">
        <v>326</v>
      </c>
      <c r="AV608">
        <v>15.000000000000002</v>
      </c>
    </row>
    <row r="609" spans="40:48" x14ac:dyDescent="0.25">
      <c r="AN609" t="s">
        <v>42</v>
      </c>
      <c r="AO609" t="s">
        <v>26</v>
      </c>
      <c r="AP609">
        <v>2007</v>
      </c>
      <c r="AQ609" t="s">
        <v>36</v>
      </c>
      <c r="AR609" t="s">
        <v>305</v>
      </c>
      <c r="AS609" t="s">
        <v>331</v>
      </c>
      <c r="AT609" t="s">
        <v>243</v>
      </c>
      <c r="AU609" t="s">
        <v>327</v>
      </c>
      <c r="AV609">
        <v>47.699999999999996</v>
      </c>
    </row>
    <row r="610" spans="40:48" x14ac:dyDescent="0.25">
      <c r="AN610" t="s">
        <v>42</v>
      </c>
      <c r="AO610" t="s">
        <v>26</v>
      </c>
      <c r="AP610">
        <v>2007</v>
      </c>
      <c r="AQ610" t="s">
        <v>36</v>
      </c>
      <c r="AR610" t="s">
        <v>305</v>
      </c>
      <c r="AS610" t="s">
        <v>331</v>
      </c>
      <c r="AT610" t="s">
        <v>243</v>
      </c>
      <c r="AU610" t="s">
        <v>329</v>
      </c>
      <c r="AV610">
        <v>62.7</v>
      </c>
    </row>
    <row r="611" spans="40:48" x14ac:dyDescent="0.25">
      <c r="AN611" t="s">
        <v>48</v>
      </c>
      <c r="AO611" t="s">
        <v>26</v>
      </c>
      <c r="AP611">
        <v>2006</v>
      </c>
      <c r="AQ611" t="s">
        <v>36</v>
      </c>
      <c r="AR611" t="s">
        <v>305</v>
      </c>
      <c r="AS611" t="s">
        <v>331</v>
      </c>
      <c r="AT611" t="s">
        <v>218</v>
      </c>
      <c r="AU611" t="s">
        <v>308</v>
      </c>
      <c r="AV611">
        <v>3.2</v>
      </c>
    </row>
    <row r="612" spans="40:48" x14ac:dyDescent="0.25">
      <c r="AN612" t="s">
        <v>48</v>
      </c>
      <c r="AO612" t="s">
        <v>26</v>
      </c>
      <c r="AP612">
        <v>2006</v>
      </c>
      <c r="AQ612" t="s">
        <v>36</v>
      </c>
      <c r="AR612" t="s">
        <v>305</v>
      </c>
      <c r="AS612" t="s">
        <v>331</v>
      </c>
      <c r="AT612" t="s">
        <v>218</v>
      </c>
      <c r="AU612" t="s">
        <v>309</v>
      </c>
      <c r="AV612">
        <v>7.9</v>
      </c>
    </row>
    <row r="613" spans="40:48" x14ac:dyDescent="0.25">
      <c r="AN613" t="s">
        <v>48</v>
      </c>
      <c r="AO613" t="s">
        <v>26</v>
      </c>
      <c r="AP613">
        <v>2006</v>
      </c>
      <c r="AQ613" t="s">
        <v>36</v>
      </c>
      <c r="AR613" t="s">
        <v>305</v>
      </c>
      <c r="AS613" t="s">
        <v>331</v>
      </c>
      <c r="AT613" t="s">
        <v>218</v>
      </c>
      <c r="AU613" t="s">
        <v>268</v>
      </c>
      <c r="AV613">
        <v>11.1</v>
      </c>
    </row>
    <row r="614" spans="40:48" x14ac:dyDescent="0.25">
      <c r="AN614" t="s">
        <v>48</v>
      </c>
      <c r="AO614" t="s">
        <v>26</v>
      </c>
      <c r="AP614">
        <v>2006</v>
      </c>
      <c r="AQ614" t="s">
        <v>36</v>
      </c>
      <c r="AR614" t="s">
        <v>305</v>
      </c>
      <c r="AS614" t="s">
        <v>331</v>
      </c>
      <c r="AT614" t="s">
        <v>238</v>
      </c>
      <c r="AU614" t="s">
        <v>308</v>
      </c>
      <c r="AV614">
        <v>2.6</v>
      </c>
    </row>
    <row r="615" spans="40:48" x14ac:dyDescent="0.25">
      <c r="AN615" t="s">
        <v>48</v>
      </c>
      <c r="AO615" t="s">
        <v>26</v>
      </c>
      <c r="AP615">
        <v>2006</v>
      </c>
      <c r="AQ615" t="s">
        <v>36</v>
      </c>
      <c r="AR615" t="s">
        <v>305</v>
      </c>
      <c r="AS615" t="s">
        <v>331</v>
      </c>
      <c r="AT615" t="s">
        <v>238</v>
      </c>
      <c r="AU615" t="s">
        <v>309</v>
      </c>
      <c r="AV615">
        <v>7</v>
      </c>
    </row>
    <row r="616" spans="40:48" x14ac:dyDescent="0.25">
      <c r="AN616" t="s">
        <v>48</v>
      </c>
      <c r="AO616" t="s">
        <v>26</v>
      </c>
      <c r="AP616">
        <v>2006</v>
      </c>
      <c r="AQ616" t="s">
        <v>36</v>
      </c>
      <c r="AR616" t="s">
        <v>305</v>
      </c>
      <c r="AS616" t="s">
        <v>331</v>
      </c>
      <c r="AT616" t="s">
        <v>238</v>
      </c>
      <c r="AU616" t="s">
        <v>268</v>
      </c>
      <c r="AV616">
        <v>9.6</v>
      </c>
    </row>
    <row r="617" spans="40:48" x14ac:dyDescent="0.25">
      <c r="AN617" t="s">
        <v>48</v>
      </c>
      <c r="AO617" t="s">
        <v>26</v>
      </c>
      <c r="AP617">
        <v>2006</v>
      </c>
      <c r="AQ617" t="s">
        <v>36</v>
      </c>
      <c r="AR617" t="s">
        <v>305</v>
      </c>
      <c r="AS617" t="s">
        <v>331</v>
      </c>
      <c r="AT617" t="s">
        <v>239</v>
      </c>
      <c r="AU617" t="s">
        <v>308</v>
      </c>
      <c r="AV617">
        <v>2.2000000000000002</v>
      </c>
    </row>
    <row r="618" spans="40:48" x14ac:dyDescent="0.25">
      <c r="AN618" t="s">
        <v>48</v>
      </c>
      <c r="AO618" t="s">
        <v>26</v>
      </c>
      <c r="AP618">
        <v>2006</v>
      </c>
      <c r="AQ618" t="s">
        <v>36</v>
      </c>
      <c r="AR618" t="s">
        <v>305</v>
      </c>
      <c r="AS618" t="s">
        <v>331</v>
      </c>
      <c r="AT618" t="s">
        <v>239</v>
      </c>
      <c r="AU618" t="s">
        <v>309</v>
      </c>
      <c r="AV618">
        <v>7.6</v>
      </c>
    </row>
    <row r="619" spans="40:48" x14ac:dyDescent="0.25">
      <c r="AN619" t="s">
        <v>48</v>
      </c>
      <c r="AO619" t="s">
        <v>26</v>
      </c>
      <c r="AP619">
        <v>2006</v>
      </c>
      <c r="AQ619" t="s">
        <v>36</v>
      </c>
      <c r="AR619" t="s">
        <v>305</v>
      </c>
      <c r="AS619" t="s">
        <v>331</v>
      </c>
      <c r="AT619" t="s">
        <v>239</v>
      </c>
      <c r="AU619" t="s">
        <v>268</v>
      </c>
      <c r="AV619">
        <v>9.8000000000000007</v>
      </c>
    </row>
    <row r="620" spans="40:48" x14ac:dyDescent="0.25">
      <c r="AN620" t="s">
        <v>48</v>
      </c>
      <c r="AO620" t="s">
        <v>26</v>
      </c>
      <c r="AP620">
        <v>2006</v>
      </c>
      <c r="AQ620" t="s">
        <v>36</v>
      </c>
      <c r="AR620" t="s">
        <v>305</v>
      </c>
      <c r="AS620" t="s">
        <v>331</v>
      </c>
      <c r="AT620" t="s">
        <v>240</v>
      </c>
      <c r="AU620" t="s">
        <v>308</v>
      </c>
      <c r="AV620">
        <v>1.6</v>
      </c>
    </row>
    <row r="621" spans="40:48" x14ac:dyDescent="0.25">
      <c r="AN621" t="s">
        <v>48</v>
      </c>
      <c r="AO621" t="s">
        <v>26</v>
      </c>
      <c r="AP621">
        <v>2006</v>
      </c>
      <c r="AQ621" t="s">
        <v>36</v>
      </c>
      <c r="AR621" t="s">
        <v>305</v>
      </c>
      <c r="AS621" t="s">
        <v>331</v>
      </c>
      <c r="AT621" t="s">
        <v>240</v>
      </c>
      <c r="AU621" t="s">
        <v>309</v>
      </c>
      <c r="AV621">
        <v>8.5</v>
      </c>
    </row>
    <row r="622" spans="40:48" x14ac:dyDescent="0.25">
      <c r="AN622" t="s">
        <v>48</v>
      </c>
      <c r="AO622" t="s">
        <v>26</v>
      </c>
      <c r="AP622">
        <v>2006</v>
      </c>
      <c r="AQ622" t="s">
        <v>36</v>
      </c>
      <c r="AR622" t="s">
        <v>305</v>
      </c>
      <c r="AS622" t="s">
        <v>331</v>
      </c>
      <c r="AT622" t="s">
        <v>240</v>
      </c>
      <c r="AU622" t="s">
        <v>268</v>
      </c>
      <c r="AV622">
        <v>10.1</v>
      </c>
    </row>
    <row r="623" spans="40:48" x14ac:dyDescent="0.25">
      <c r="AN623" t="s">
        <v>48</v>
      </c>
      <c r="AO623" t="s">
        <v>26</v>
      </c>
      <c r="AP623">
        <v>2006</v>
      </c>
      <c r="AQ623" t="s">
        <v>36</v>
      </c>
      <c r="AR623" t="s">
        <v>305</v>
      </c>
      <c r="AS623" t="s">
        <v>331</v>
      </c>
      <c r="AT623" t="s">
        <v>314</v>
      </c>
      <c r="AU623" t="s">
        <v>308</v>
      </c>
      <c r="AV623">
        <v>2.4</v>
      </c>
    </row>
    <row r="624" spans="40:48" x14ac:dyDescent="0.25">
      <c r="AN624" t="s">
        <v>48</v>
      </c>
      <c r="AO624" t="s">
        <v>26</v>
      </c>
      <c r="AP624">
        <v>2006</v>
      </c>
      <c r="AQ624" t="s">
        <v>36</v>
      </c>
      <c r="AR624" t="s">
        <v>305</v>
      </c>
      <c r="AS624" t="s">
        <v>331</v>
      </c>
      <c r="AT624" t="s">
        <v>314</v>
      </c>
      <c r="AU624" t="s">
        <v>309</v>
      </c>
      <c r="AV624">
        <v>9</v>
      </c>
    </row>
    <row r="625" spans="40:48" x14ac:dyDescent="0.25">
      <c r="AN625" t="s">
        <v>48</v>
      </c>
      <c r="AO625" t="s">
        <v>26</v>
      </c>
      <c r="AP625">
        <v>2006</v>
      </c>
      <c r="AQ625" t="s">
        <v>36</v>
      </c>
      <c r="AR625" t="s">
        <v>305</v>
      </c>
      <c r="AS625" t="s">
        <v>331</v>
      </c>
      <c r="AT625" t="s">
        <v>314</v>
      </c>
      <c r="AU625" t="s">
        <v>268</v>
      </c>
      <c r="AV625">
        <v>11.4</v>
      </c>
    </row>
    <row r="626" spans="40:48" x14ac:dyDescent="0.25">
      <c r="AN626" t="s">
        <v>48</v>
      </c>
      <c r="AO626" t="s">
        <v>26</v>
      </c>
      <c r="AP626">
        <v>2006</v>
      </c>
      <c r="AQ626" t="s">
        <v>36</v>
      </c>
      <c r="AR626" t="s">
        <v>305</v>
      </c>
      <c r="AS626" t="s">
        <v>331</v>
      </c>
      <c r="AT626" t="s">
        <v>242</v>
      </c>
      <c r="AU626" t="s">
        <v>308</v>
      </c>
      <c r="AV626">
        <v>1.9</v>
      </c>
    </row>
    <row r="627" spans="40:48" x14ac:dyDescent="0.25">
      <c r="AN627" t="s">
        <v>48</v>
      </c>
      <c r="AO627" t="s">
        <v>26</v>
      </c>
      <c r="AP627">
        <v>2006</v>
      </c>
      <c r="AQ627" t="s">
        <v>36</v>
      </c>
      <c r="AR627" t="s">
        <v>305</v>
      </c>
      <c r="AS627" t="s">
        <v>331</v>
      </c>
      <c r="AT627" t="s">
        <v>242</v>
      </c>
      <c r="AU627" t="s">
        <v>309</v>
      </c>
      <c r="AV627">
        <v>8.1999999999999993</v>
      </c>
    </row>
    <row r="628" spans="40:48" x14ac:dyDescent="0.25">
      <c r="AN628" t="s">
        <v>48</v>
      </c>
      <c r="AO628" t="s">
        <v>26</v>
      </c>
      <c r="AP628">
        <v>2006</v>
      </c>
      <c r="AQ628" t="s">
        <v>36</v>
      </c>
      <c r="AR628" t="s">
        <v>305</v>
      </c>
      <c r="AS628" t="s">
        <v>331</v>
      </c>
      <c r="AT628" t="s">
        <v>242</v>
      </c>
      <c r="AU628" t="s">
        <v>268</v>
      </c>
      <c r="AV628">
        <v>10.1</v>
      </c>
    </row>
    <row r="629" spans="40:48" x14ac:dyDescent="0.25">
      <c r="AN629" t="s">
        <v>48</v>
      </c>
      <c r="AO629" t="s">
        <v>26</v>
      </c>
      <c r="AP629">
        <v>2006</v>
      </c>
      <c r="AQ629" t="s">
        <v>36</v>
      </c>
      <c r="AR629" t="s">
        <v>305</v>
      </c>
      <c r="AS629" t="s">
        <v>331</v>
      </c>
      <c r="AT629" t="s">
        <v>243</v>
      </c>
      <c r="AU629" t="s">
        <v>326</v>
      </c>
      <c r="AV629">
        <v>13.9</v>
      </c>
    </row>
    <row r="630" spans="40:48" x14ac:dyDescent="0.25">
      <c r="AN630" t="s">
        <v>48</v>
      </c>
      <c r="AO630" t="s">
        <v>26</v>
      </c>
      <c r="AP630">
        <v>2006</v>
      </c>
      <c r="AQ630" t="s">
        <v>36</v>
      </c>
      <c r="AR630" t="s">
        <v>305</v>
      </c>
      <c r="AS630" t="s">
        <v>331</v>
      </c>
      <c r="AT630" t="s">
        <v>243</v>
      </c>
      <c r="AU630" t="s">
        <v>327</v>
      </c>
      <c r="AV630">
        <v>48.2</v>
      </c>
    </row>
    <row r="631" spans="40:48" x14ac:dyDescent="0.25">
      <c r="AN631" t="s">
        <v>48</v>
      </c>
      <c r="AO631" t="s">
        <v>26</v>
      </c>
      <c r="AP631">
        <v>2006</v>
      </c>
      <c r="AQ631" t="s">
        <v>36</v>
      </c>
      <c r="AR631" t="s">
        <v>305</v>
      </c>
      <c r="AS631" t="s">
        <v>331</v>
      </c>
      <c r="AT631" t="s">
        <v>243</v>
      </c>
      <c r="AU631" t="s">
        <v>329</v>
      </c>
      <c r="AV631">
        <v>62.1</v>
      </c>
    </row>
    <row r="632" spans="40:48" x14ac:dyDescent="0.25">
      <c r="AN632" t="s">
        <v>46</v>
      </c>
      <c r="AO632" t="s">
        <v>26</v>
      </c>
      <c r="AP632">
        <v>2006</v>
      </c>
      <c r="AQ632" t="s">
        <v>36</v>
      </c>
      <c r="AR632" t="s">
        <v>305</v>
      </c>
      <c r="AS632" t="s">
        <v>331</v>
      </c>
      <c r="AT632" t="s">
        <v>218</v>
      </c>
      <c r="AU632" t="s">
        <v>308</v>
      </c>
      <c r="AV632">
        <v>2.9</v>
      </c>
    </row>
    <row r="633" spans="40:48" x14ac:dyDescent="0.25">
      <c r="AN633" t="s">
        <v>46</v>
      </c>
      <c r="AO633" t="s">
        <v>26</v>
      </c>
      <c r="AP633">
        <v>2006</v>
      </c>
      <c r="AQ633" t="s">
        <v>36</v>
      </c>
      <c r="AR633" t="s">
        <v>305</v>
      </c>
      <c r="AS633" t="s">
        <v>331</v>
      </c>
      <c r="AT633" t="s">
        <v>218</v>
      </c>
      <c r="AU633" t="s">
        <v>309</v>
      </c>
      <c r="AV633">
        <v>7.8</v>
      </c>
    </row>
    <row r="634" spans="40:48" x14ac:dyDescent="0.25">
      <c r="AN634" t="s">
        <v>46</v>
      </c>
      <c r="AO634" t="s">
        <v>26</v>
      </c>
      <c r="AP634">
        <v>2006</v>
      </c>
      <c r="AQ634" t="s">
        <v>36</v>
      </c>
      <c r="AR634" t="s">
        <v>305</v>
      </c>
      <c r="AS634" t="s">
        <v>331</v>
      </c>
      <c r="AT634" t="s">
        <v>218</v>
      </c>
      <c r="AU634" t="s">
        <v>268</v>
      </c>
      <c r="AV634">
        <v>10.7</v>
      </c>
    </row>
    <row r="635" spans="40:48" x14ac:dyDescent="0.25">
      <c r="AN635" t="s">
        <v>46</v>
      </c>
      <c r="AO635" t="s">
        <v>26</v>
      </c>
      <c r="AP635">
        <v>2006</v>
      </c>
      <c r="AQ635" t="s">
        <v>36</v>
      </c>
      <c r="AR635" t="s">
        <v>305</v>
      </c>
      <c r="AS635" t="s">
        <v>331</v>
      </c>
      <c r="AT635" t="s">
        <v>238</v>
      </c>
      <c r="AU635" t="s">
        <v>308</v>
      </c>
      <c r="AV635">
        <v>2.5</v>
      </c>
    </row>
    <row r="636" spans="40:48" x14ac:dyDescent="0.25">
      <c r="AN636" t="s">
        <v>46</v>
      </c>
      <c r="AO636" t="s">
        <v>26</v>
      </c>
      <c r="AP636">
        <v>2006</v>
      </c>
      <c r="AQ636" t="s">
        <v>36</v>
      </c>
      <c r="AR636" t="s">
        <v>305</v>
      </c>
      <c r="AS636" t="s">
        <v>331</v>
      </c>
      <c r="AT636" t="s">
        <v>238</v>
      </c>
      <c r="AU636" t="s">
        <v>309</v>
      </c>
      <c r="AV636">
        <v>5.5</v>
      </c>
    </row>
    <row r="637" spans="40:48" x14ac:dyDescent="0.25">
      <c r="AN637" t="s">
        <v>46</v>
      </c>
      <c r="AO637" t="s">
        <v>26</v>
      </c>
      <c r="AP637">
        <v>2006</v>
      </c>
      <c r="AQ637" t="s">
        <v>36</v>
      </c>
      <c r="AR637" t="s">
        <v>305</v>
      </c>
      <c r="AS637" t="s">
        <v>331</v>
      </c>
      <c r="AT637" t="s">
        <v>238</v>
      </c>
      <c r="AU637" t="s">
        <v>268</v>
      </c>
      <c r="AV637">
        <v>8</v>
      </c>
    </row>
    <row r="638" spans="40:48" x14ac:dyDescent="0.25">
      <c r="AN638" t="s">
        <v>46</v>
      </c>
      <c r="AO638" t="s">
        <v>26</v>
      </c>
      <c r="AP638">
        <v>2006</v>
      </c>
      <c r="AQ638" t="s">
        <v>36</v>
      </c>
      <c r="AR638" t="s">
        <v>305</v>
      </c>
      <c r="AS638" t="s">
        <v>331</v>
      </c>
      <c r="AT638" t="s">
        <v>239</v>
      </c>
      <c r="AU638" t="s">
        <v>308</v>
      </c>
      <c r="AV638">
        <v>1.7</v>
      </c>
    </row>
    <row r="639" spans="40:48" x14ac:dyDescent="0.25">
      <c r="AN639" t="s">
        <v>46</v>
      </c>
      <c r="AO639" t="s">
        <v>26</v>
      </c>
      <c r="AP639">
        <v>2006</v>
      </c>
      <c r="AQ639" t="s">
        <v>36</v>
      </c>
      <c r="AR639" t="s">
        <v>305</v>
      </c>
      <c r="AS639" t="s">
        <v>331</v>
      </c>
      <c r="AT639" t="s">
        <v>239</v>
      </c>
      <c r="AU639" t="s">
        <v>309</v>
      </c>
      <c r="AV639">
        <v>7.7</v>
      </c>
    </row>
    <row r="640" spans="40:48" x14ac:dyDescent="0.25">
      <c r="AN640" t="s">
        <v>46</v>
      </c>
      <c r="AO640" t="s">
        <v>26</v>
      </c>
      <c r="AP640">
        <v>2006</v>
      </c>
      <c r="AQ640" t="s">
        <v>36</v>
      </c>
      <c r="AR640" t="s">
        <v>305</v>
      </c>
      <c r="AS640" t="s">
        <v>331</v>
      </c>
      <c r="AT640" t="s">
        <v>239</v>
      </c>
      <c r="AU640" t="s">
        <v>268</v>
      </c>
      <c r="AV640">
        <v>9.4</v>
      </c>
    </row>
    <row r="641" spans="40:48" x14ac:dyDescent="0.25">
      <c r="AN641" t="s">
        <v>46</v>
      </c>
      <c r="AO641" t="s">
        <v>26</v>
      </c>
      <c r="AP641">
        <v>2006</v>
      </c>
      <c r="AQ641" t="s">
        <v>36</v>
      </c>
      <c r="AR641" t="s">
        <v>305</v>
      </c>
      <c r="AS641" t="s">
        <v>331</v>
      </c>
      <c r="AT641" t="s">
        <v>240</v>
      </c>
      <c r="AU641" t="s">
        <v>308</v>
      </c>
      <c r="AV641">
        <v>1.6</v>
      </c>
    </row>
    <row r="642" spans="40:48" x14ac:dyDescent="0.25">
      <c r="AN642" t="s">
        <v>46</v>
      </c>
      <c r="AO642" t="s">
        <v>26</v>
      </c>
      <c r="AP642">
        <v>2006</v>
      </c>
      <c r="AQ642" t="s">
        <v>36</v>
      </c>
      <c r="AR642" t="s">
        <v>305</v>
      </c>
      <c r="AS642" t="s">
        <v>331</v>
      </c>
      <c r="AT642" t="s">
        <v>240</v>
      </c>
      <c r="AU642" t="s">
        <v>309</v>
      </c>
      <c r="AV642">
        <v>8.8000000000000007</v>
      </c>
    </row>
    <row r="643" spans="40:48" x14ac:dyDescent="0.25">
      <c r="AN643" t="s">
        <v>46</v>
      </c>
      <c r="AO643" t="s">
        <v>26</v>
      </c>
      <c r="AP643">
        <v>2006</v>
      </c>
      <c r="AQ643" t="s">
        <v>36</v>
      </c>
      <c r="AR643" t="s">
        <v>305</v>
      </c>
      <c r="AS643" t="s">
        <v>331</v>
      </c>
      <c r="AT643" t="s">
        <v>240</v>
      </c>
      <c r="AU643" t="s">
        <v>268</v>
      </c>
      <c r="AV643">
        <v>10.4</v>
      </c>
    </row>
    <row r="644" spans="40:48" x14ac:dyDescent="0.25">
      <c r="AN644" t="s">
        <v>46</v>
      </c>
      <c r="AO644" t="s">
        <v>26</v>
      </c>
      <c r="AP644">
        <v>2006</v>
      </c>
      <c r="AQ644" t="s">
        <v>36</v>
      </c>
      <c r="AR644" t="s">
        <v>305</v>
      </c>
      <c r="AS644" t="s">
        <v>331</v>
      </c>
      <c r="AT644" t="s">
        <v>314</v>
      </c>
      <c r="AU644" t="s">
        <v>308</v>
      </c>
      <c r="AV644">
        <v>2.4</v>
      </c>
    </row>
    <row r="645" spans="40:48" x14ac:dyDescent="0.25">
      <c r="AN645" t="s">
        <v>46</v>
      </c>
      <c r="AO645" t="s">
        <v>26</v>
      </c>
      <c r="AP645">
        <v>2006</v>
      </c>
      <c r="AQ645" t="s">
        <v>36</v>
      </c>
      <c r="AR645" t="s">
        <v>305</v>
      </c>
      <c r="AS645" t="s">
        <v>331</v>
      </c>
      <c r="AT645" t="s">
        <v>314</v>
      </c>
      <c r="AU645" t="s">
        <v>309</v>
      </c>
      <c r="AV645">
        <v>8</v>
      </c>
    </row>
    <row r="646" spans="40:48" x14ac:dyDescent="0.25">
      <c r="AN646" t="s">
        <v>46</v>
      </c>
      <c r="AO646" t="s">
        <v>26</v>
      </c>
      <c r="AP646">
        <v>2006</v>
      </c>
      <c r="AQ646" t="s">
        <v>36</v>
      </c>
      <c r="AR646" t="s">
        <v>305</v>
      </c>
      <c r="AS646" t="s">
        <v>331</v>
      </c>
      <c r="AT646" t="s">
        <v>314</v>
      </c>
      <c r="AU646" t="s">
        <v>268</v>
      </c>
      <c r="AV646">
        <v>10.4</v>
      </c>
    </row>
    <row r="647" spans="40:48" x14ac:dyDescent="0.25">
      <c r="AN647" t="s">
        <v>46</v>
      </c>
      <c r="AO647" t="s">
        <v>26</v>
      </c>
      <c r="AP647">
        <v>2006</v>
      </c>
      <c r="AQ647" t="s">
        <v>36</v>
      </c>
      <c r="AR647" t="s">
        <v>305</v>
      </c>
      <c r="AS647" t="s">
        <v>331</v>
      </c>
      <c r="AT647" t="s">
        <v>242</v>
      </c>
      <c r="AU647" t="s">
        <v>308</v>
      </c>
      <c r="AV647">
        <v>1.5</v>
      </c>
    </row>
    <row r="648" spans="40:48" x14ac:dyDescent="0.25">
      <c r="AN648" t="s">
        <v>46</v>
      </c>
      <c r="AO648" t="s">
        <v>26</v>
      </c>
      <c r="AP648">
        <v>2006</v>
      </c>
      <c r="AQ648" t="s">
        <v>36</v>
      </c>
      <c r="AR648" t="s">
        <v>305</v>
      </c>
      <c r="AS648" t="s">
        <v>331</v>
      </c>
      <c r="AT648" t="s">
        <v>242</v>
      </c>
      <c r="AU648" t="s">
        <v>309</v>
      </c>
      <c r="AV648">
        <v>2.5</v>
      </c>
    </row>
    <row r="649" spans="40:48" x14ac:dyDescent="0.25">
      <c r="AN649" t="s">
        <v>46</v>
      </c>
      <c r="AO649" t="s">
        <v>26</v>
      </c>
      <c r="AP649">
        <v>2006</v>
      </c>
      <c r="AQ649" t="s">
        <v>36</v>
      </c>
      <c r="AR649" t="s">
        <v>305</v>
      </c>
      <c r="AS649" t="s">
        <v>331</v>
      </c>
      <c r="AT649" t="s">
        <v>242</v>
      </c>
      <c r="AU649" t="s">
        <v>268</v>
      </c>
      <c r="AV649">
        <v>4</v>
      </c>
    </row>
    <row r="650" spans="40:48" x14ac:dyDescent="0.25">
      <c r="AN650" t="s">
        <v>46</v>
      </c>
      <c r="AO650" t="s">
        <v>26</v>
      </c>
      <c r="AP650">
        <v>2006</v>
      </c>
      <c r="AQ650" t="s">
        <v>36</v>
      </c>
      <c r="AR650" t="s">
        <v>305</v>
      </c>
      <c r="AS650" t="s">
        <v>331</v>
      </c>
      <c r="AT650" t="s">
        <v>243</v>
      </c>
      <c r="AU650" t="s">
        <v>326</v>
      </c>
      <c r="AV650">
        <v>12.600000000000001</v>
      </c>
    </row>
    <row r="651" spans="40:48" x14ac:dyDescent="0.25">
      <c r="AN651" t="s">
        <v>46</v>
      </c>
      <c r="AO651" t="s">
        <v>26</v>
      </c>
      <c r="AP651">
        <v>2006</v>
      </c>
      <c r="AQ651" t="s">
        <v>36</v>
      </c>
      <c r="AR651" t="s">
        <v>305</v>
      </c>
      <c r="AS651" t="s">
        <v>331</v>
      </c>
      <c r="AT651" t="s">
        <v>243</v>
      </c>
      <c r="AU651" t="s">
        <v>327</v>
      </c>
      <c r="AV651">
        <v>40.299999999999997</v>
      </c>
    </row>
    <row r="652" spans="40:48" x14ac:dyDescent="0.25">
      <c r="AN652" t="s">
        <v>46</v>
      </c>
      <c r="AO652" t="s">
        <v>26</v>
      </c>
      <c r="AP652">
        <v>2006</v>
      </c>
      <c r="AQ652" t="s">
        <v>36</v>
      </c>
      <c r="AR652" t="s">
        <v>305</v>
      </c>
      <c r="AS652" t="s">
        <v>331</v>
      </c>
      <c r="AT652" t="s">
        <v>243</v>
      </c>
      <c r="AU652" t="s">
        <v>329</v>
      </c>
      <c r="AV652">
        <v>52.9</v>
      </c>
    </row>
    <row r="653" spans="40:48" x14ac:dyDescent="0.25">
      <c r="AN653" t="s">
        <v>114</v>
      </c>
      <c r="AO653" t="s">
        <v>26</v>
      </c>
      <c r="AP653">
        <v>2006</v>
      </c>
      <c r="AQ653" t="s">
        <v>36</v>
      </c>
      <c r="AR653" t="s">
        <v>306</v>
      </c>
      <c r="AS653" t="s">
        <v>331</v>
      </c>
      <c r="AT653" t="s">
        <v>218</v>
      </c>
      <c r="AU653" t="s">
        <v>308</v>
      </c>
      <c r="AV653">
        <v>3.4</v>
      </c>
    </row>
    <row r="654" spans="40:48" x14ac:dyDescent="0.25">
      <c r="AN654" t="s">
        <v>114</v>
      </c>
      <c r="AO654" t="s">
        <v>26</v>
      </c>
      <c r="AP654">
        <v>2006</v>
      </c>
      <c r="AQ654" t="s">
        <v>36</v>
      </c>
      <c r="AR654" t="s">
        <v>306</v>
      </c>
      <c r="AS654" t="s">
        <v>331</v>
      </c>
      <c r="AT654" t="s">
        <v>218</v>
      </c>
      <c r="AU654" t="s">
        <v>309</v>
      </c>
      <c r="AV654">
        <v>7.1</v>
      </c>
    </row>
    <row r="655" spans="40:48" x14ac:dyDescent="0.25">
      <c r="AN655" t="s">
        <v>114</v>
      </c>
      <c r="AO655" t="s">
        <v>26</v>
      </c>
      <c r="AP655">
        <v>2006</v>
      </c>
      <c r="AQ655" t="s">
        <v>36</v>
      </c>
      <c r="AR655" t="s">
        <v>306</v>
      </c>
      <c r="AS655" t="s">
        <v>331</v>
      </c>
      <c r="AT655" t="s">
        <v>218</v>
      </c>
      <c r="AU655" t="s">
        <v>268</v>
      </c>
      <c r="AV655">
        <v>10.5</v>
      </c>
    </row>
    <row r="656" spans="40:48" x14ac:dyDescent="0.25">
      <c r="AN656" t="s">
        <v>114</v>
      </c>
      <c r="AO656" t="s">
        <v>26</v>
      </c>
      <c r="AP656">
        <v>2006</v>
      </c>
      <c r="AQ656" t="s">
        <v>36</v>
      </c>
      <c r="AR656" t="s">
        <v>306</v>
      </c>
      <c r="AS656" t="s">
        <v>331</v>
      </c>
      <c r="AT656" t="s">
        <v>238</v>
      </c>
      <c r="AU656" t="s">
        <v>308</v>
      </c>
      <c r="AV656">
        <v>2.6</v>
      </c>
    </row>
    <row r="657" spans="40:48" x14ac:dyDescent="0.25">
      <c r="AN657" t="s">
        <v>114</v>
      </c>
      <c r="AO657" t="s">
        <v>26</v>
      </c>
      <c r="AP657">
        <v>2006</v>
      </c>
      <c r="AQ657" t="s">
        <v>36</v>
      </c>
      <c r="AR657" t="s">
        <v>306</v>
      </c>
      <c r="AS657" t="s">
        <v>331</v>
      </c>
      <c r="AT657" t="s">
        <v>238</v>
      </c>
      <c r="AU657" t="s">
        <v>309</v>
      </c>
      <c r="AV657">
        <v>6.5</v>
      </c>
    </row>
    <row r="658" spans="40:48" x14ac:dyDescent="0.25">
      <c r="AN658" t="s">
        <v>114</v>
      </c>
      <c r="AO658" t="s">
        <v>26</v>
      </c>
      <c r="AP658">
        <v>2006</v>
      </c>
      <c r="AQ658" t="s">
        <v>36</v>
      </c>
      <c r="AR658" t="s">
        <v>306</v>
      </c>
      <c r="AS658" t="s">
        <v>331</v>
      </c>
      <c r="AT658" t="s">
        <v>238</v>
      </c>
      <c r="AU658" t="s">
        <v>268</v>
      </c>
      <c r="AV658">
        <v>9.1</v>
      </c>
    </row>
    <row r="659" spans="40:48" x14ac:dyDescent="0.25">
      <c r="AN659" t="s">
        <v>114</v>
      </c>
      <c r="AO659" t="s">
        <v>26</v>
      </c>
      <c r="AP659">
        <v>2006</v>
      </c>
      <c r="AQ659" t="s">
        <v>36</v>
      </c>
      <c r="AR659" t="s">
        <v>306</v>
      </c>
      <c r="AS659" t="s">
        <v>331</v>
      </c>
      <c r="AT659" t="s">
        <v>239</v>
      </c>
      <c r="AU659" t="s">
        <v>308</v>
      </c>
      <c r="AV659">
        <v>0</v>
      </c>
    </row>
    <row r="660" spans="40:48" x14ac:dyDescent="0.25">
      <c r="AN660" t="s">
        <v>114</v>
      </c>
      <c r="AO660" t="s">
        <v>26</v>
      </c>
      <c r="AP660">
        <v>2006</v>
      </c>
      <c r="AQ660" t="s">
        <v>36</v>
      </c>
      <c r="AR660" t="s">
        <v>306</v>
      </c>
      <c r="AS660" t="s">
        <v>331</v>
      </c>
      <c r="AT660" t="s">
        <v>239</v>
      </c>
      <c r="AU660" t="s">
        <v>309</v>
      </c>
      <c r="AV660">
        <v>0</v>
      </c>
    </row>
    <row r="661" spans="40:48" x14ac:dyDescent="0.25">
      <c r="AN661" t="s">
        <v>114</v>
      </c>
      <c r="AO661" t="s">
        <v>26</v>
      </c>
      <c r="AP661">
        <v>2006</v>
      </c>
      <c r="AQ661" t="s">
        <v>36</v>
      </c>
      <c r="AR661" t="s">
        <v>306</v>
      </c>
      <c r="AS661" t="s">
        <v>331</v>
      </c>
      <c r="AT661" t="s">
        <v>239</v>
      </c>
      <c r="AU661" t="s">
        <v>268</v>
      </c>
      <c r="AV661">
        <v>0</v>
      </c>
    </row>
    <row r="662" spans="40:48" x14ac:dyDescent="0.25">
      <c r="AN662" t="s">
        <v>114</v>
      </c>
      <c r="AO662" t="s">
        <v>26</v>
      </c>
      <c r="AP662">
        <v>2006</v>
      </c>
      <c r="AQ662" t="s">
        <v>36</v>
      </c>
      <c r="AR662" t="s">
        <v>306</v>
      </c>
      <c r="AS662" t="s">
        <v>331</v>
      </c>
      <c r="AT662" t="s">
        <v>240</v>
      </c>
      <c r="AU662" t="s">
        <v>308</v>
      </c>
      <c r="AV662">
        <v>1.6</v>
      </c>
    </row>
    <row r="663" spans="40:48" x14ac:dyDescent="0.25">
      <c r="AN663" t="s">
        <v>114</v>
      </c>
      <c r="AO663" t="s">
        <v>26</v>
      </c>
      <c r="AP663">
        <v>2006</v>
      </c>
      <c r="AQ663" t="s">
        <v>36</v>
      </c>
      <c r="AR663" t="s">
        <v>306</v>
      </c>
      <c r="AS663" t="s">
        <v>331</v>
      </c>
      <c r="AT663" t="s">
        <v>240</v>
      </c>
      <c r="AU663" t="s">
        <v>309</v>
      </c>
      <c r="AV663">
        <v>8.8000000000000007</v>
      </c>
    </row>
    <row r="664" spans="40:48" x14ac:dyDescent="0.25">
      <c r="AN664" t="s">
        <v>114</v>
      </c>
      <c r="AO664" t="s">
        <v>26</v>
      </c>
      <c r="AP664">
        <v>2006</v>
      </c>
      <c r="AQ664" t="s">
        <v>36</v>
      </c>
      <c r="AR664" t="s">
        <v>306</v>
      </c>
      <c r="AS664" t="s">
        <v>331</v>
      </c>
      <c r="AT664" t="s">
        <v>240</v>
      </c>
      <c r="AU664" t="s">
        <v>268</v>
      </c>
      <c r="AV664">
        <v>10.4</v>
      </c>
    </row>
    <row r="665" spans="40:48" x14ac:dyDescent="0.25">
      <c r="AN665" t="s">
        <v>114</v>
      </c>
      <c r="AO665" t="s">
        <v>26</v>
      </c>
      <c r="AP665">
        <v>2006</v>
      </c>
      <c r="AQ665" t="s">
        <v>36</v>
      </c>
      <c r="AR665" t="s">
        <v>306</v>
      </c>
      <c r="AS665" t="s">
        <v>331</v>
      </c>
      <c r="AT665" t="s">
        <v>314</v>
      </c>
      <c r="AU665" t="s">
        <v>308</v>
      </c>
      <c r="AV665">
        <v>2.4</v>
      </c>
    </row>
    <row r="666" spans="40:48" x14ac:dyDescent="0.25">
      <c r="AN666" t="s">
        <v>114</v>
      </c>
      <c r="AO666" t="s">
        <v>26</v>
      </c>
      <c r="AP666">
        <v>2006</v>
      </c>
      <c r="AQ666" t="s">
        <v>36</v>
      </c>
      <c r="AR666" t="s">
        <v>306</v>
      </c>
      <c r="AS666" t="s">
        <v>331</v>
      </c>
      <c r="AT666" t="s">
        <v>314</v>
      </c>
      <c r="AU666" t="s">
        <v>309</v>
      </c>
      <c r="AV666">
        <v>8.8000000000000007</v>
      </c>
    </row>
    <row r="667" spans="40:48" x14ac:dyDescent="0.25">
      <c r="AN667" t="s">
        <v>114</v>
      </c>
      <c r="AO667" t="s">
        <v>26</v>
      </c>
      <c r="AP667">
        <v>2006</v>
      </c>
      <c r="AQ667" t="s">
        <v>36</v>
      </c>
      <c r="AR667" t="s">
        <v>306</v>
      </c>
      <c r="AS667" t="s">
        <v>331</v>
      </c>
      <c r="AT667" t="s">
        <v>314</v>
      </c>
      <c r="AU667" t="s">
        <v>268</v>
      </c>
      <c r="AV667">
        <v>11.2</v>
      </c>
    </row>
    <row r="668" spans="40:48" x14ac:dyDescent="0.25">
      <c r="AN668" t="s">
        <v>114</v>
      </c>
      <c r="AO668" t="s">
        <v>26</v>
      </c>
      <c r="AP668">
        <v>2006</v>
      </c>
      <c r="AQ668" t="s">
        <v>36</v>
      </c>
      <c r="AR668" t="s">
        <v>306</v>
      </c>
      <c r="AS668" t="s">
        <v>331</v>
      </c>
      <c r="AT668" t="s">
        <v>242</v>
      </c>
      <c r="AU668" t="s">
        <v>308</v>
      </c>
      <c r="AV668">
        <v>1.8</v>
      </c>
    </row>
    <row r="669" spans="40:48" x14ac:dyDescent="0.25">
      <c r="AN669" t="s">
        <v>114</v>
      </c>
      <c r="AO669" t="s">
        <v>26</v>
      </c>
      <c r="AP669">
        <v>2006</v>
      </c>
      <c r="AQ669" t="s">
        <v>36</v>
      </c>
      <c r="AR669" t="s">
        <v>306</v>
      </c>
      <c r="AS669" t="s">
        <v>331</v>
      </c>
      <c r="AT669" t="s">
        <v>242</v>
      </c>
      <c r="AU669" t="s">
        <v>309</v>
      </c>
      <c r="AV669">
        <v>7.8</v>
      </c>
    </row>
    <row r="670" spans="40:48" x14ac:dyDescent="0.25">
      <c r="AN670" t="s">
        <v>114</v>
      </c>
      <c r="AO670" t="s">
        <v>26</v>
      </c>
      <c r="AP670">
        <v>2006</v>
      </c>
      <c r="AQ670" t="s">
        <v>36</v>
      </c>
      <c r="AR670" t="s">
        <v>306</v>
      </c>
      <c r="AS670" t="s">
        <v>331</v>
      </c>
      <c r="AT670" t="s">
        <v>242</v>
      </c>
      <c r="AU670" t="s">
        <v>268</v>
      </c>
      <c r="AV670">
        <v>9.6</v>
      </c>
    </row>
    <row r="671" spans="40:48" x14ac:dyDescent="0.25">
      <c r="AN671" t="s">
        <v>114</v>
      </c>
      <c r="AO671" t="s">
        <v>26</v>
      </c>
      <c r="AP671">
        <v>2006</v>
      </c>
      <c r="AQ671" t="s">
        <v>36</v>
      </c>
      <c r="AR671" t="s">
        <v>306</v>
      </c>
      <c r="AS671" t="s">
        <v>331</v>
      </c>
      <c r="AT671" t="s">
        <v>243</v>
      </c>
      <c r="AU671" t="s">
        <v>326</v>
      </c>
      <c r="AV671">
        <v>0</v>
      </c>
    </row>
    <row r="672" spans="40:48" x14ac:dyDescent="0.25">
      <c r="AN672" t="s">
        <v>114</v>
      </c>
      <c r="AO672" t="s">
        <v>26</v>
      </c>
      <c r="AP672">
        <v>2006</v>
      </c>
      <c r="AQ672" t="s">
        <v>36</v>
      </c>
      <c r="AR672" t="s">
        <v>306</v>
      </c>
      <c r="AS672" t="s">
        <v>331</v>
      </c>
      <c r="AT672" t="s">
        <v>243</v>
      </c>
      <c r="AU672" t="s">
        <v>327</v>
      </c>
      <c r="AV672">
        <v>0</v>
      </c>
    </row>
    <row r="673" spans="40:48" x14ac:dyDescent="0.25">
      <c r="AN673" t="s">
        <v>114</v>
      </c>
      <c r="AO673" t="s">
        <v>26</v>
      </c>
      <c r="AP673">
        <v>2006</v>
      </c>
      <c r="AQ673" t="s">
        <v>36</v>
      </c>
      <c r="AR673" t="s">
        <v>306</v>
      </c>
      <c r="AS673" t="s">
        <v>331</v>
      </c>
      <c r="AT673" t="s">
        <v>243</v>
      </c>
      <c r="AU673" t="s">
        <v>329</v>
      </c>
      <c r="AV673">
        <v>50.8</v>
      </c>
    </row>
    <row r="674" spans="40:48" x14ac:dyDescent="0.25">
      <c r="AN674" t="s">
        <v>52</v>
      </c>
      <c r="AO674" t="s">
        <v>26</v>
      </c>
      <c r="AP674">
        <v>2006</v>
      </c>
      <c r="AQ674" t="s">
        <v>36</v>
      </c>
      <c r="AR674" t="s">
        <v>306</v>
      </c>
      <c r="AS674" t="s">
        <v>331</v>
      </c>
      <c r="AT674" t="s">
        <v>218</v>
      </c>
      <c r="AU674" t="s">
        <v>308</v>
      </c>
      <c r="AV674">
        <v>3.2</v>
      </c>
    </row>
    <row r="675" spans="40:48" x14ac:dyDescent="0.25">
      <c r="AN675" t="s">
        <v>52</v>
      </c>
      <c r="AO675" t="s">
        <v>26</v>
      </c>
      <c r="AP675">
        <v>2006</v>
      </c>
      <c r="AQ675" t="s">
        <v>36</v>
      </c>
      <c r="AR675" t="s">
        <v>306</v>
      </c>
      <c r="AS675" t="s">
        <v>331</v>
      </c>
      <c r="AT675" t="s">
        <v>218</v>
      </c>
      <c r="AU675" t="s">
        <v>309</v>
      </c>
      <c r="AV675">
        <v>6.9</v>
      </c>
    </row>
    <row r="676" spans="40:48" x14ac:dyDescent="0.25">
      <c r="AN676" t="s">
        <v>52</v>
      </c>
      <c r="AO676" t="s">
        <v>26</v>
      </c>
      <c r="AP676">
        <v>2006</v>
      </c>
      <c r="AQ676" t="s">
        <v>36</v>
      </c>
      <c r="AR676" t="s">
        <v>306</v>
      </c>
      <c r="AS676" t="s">
        <v>331</v>
      </c>
      <c r="AT676" t="s">
        <v>218</v>
      </c>
      <c r="AU676" t="s">
        <v>268</v>
      </c>
      <c r="AV676">
        <v>10.1</v>
      </c>
    </row>
    <row r="677" spans="40:48" x14ac:dyDescent="0.25">
      <c r="AN677" t="s">
        <v>52</v>
      </c>
      <c r="AO677" t="s">
        <v>26</v>
      </c>
      <c r="AP677">
        <v>2006</v>
      </c>
      <c r="AQ677" t="s">
        <v>36</v>
      </c>
      <c r="AR677" t="s">
        <v>306</v>
      </c>
      <c r="AS677" t="s">
        <v>331</v>
      </c>
      <c r="AT677" t="s">
        <v>238</v>
      </c>
      <c r="AU677" t="s">
        <v>308</v>
      </c>
      <c r="AV677">
        <v>2</v>
      </c>
    </row>
    <row r="678" spans="40:48" x14ac:dyDescent="0.25">
      <c r="AN678" t="s">
        <v>52</v>
      </c>
      <c r="AO678" t="s">
        <v>26</v>
      </c>
      <c r="AP678">
        <v>2006</v>
      </c>
      <c r="AQ678" t="s">
        <v>36</v>
      </c>
      <c r="AR678" t="s">
        <v>306</v>
      </c>
      <c r="AS678" t="s">
        <v>331</v>
      </c>
      <c r="AT678" t="s">
        <v>238</v>
      </c>
      <c r="AU678" t="s">
        <v>309</v>
      </c>
      <c r="AV678">
        <v>3.5</v>
      </c>
    </row>
    <row r="679" spans="40:48" x14ac:dyDescent="0.25">
      <c r="AN679" t="s">
        <v>52</v>
      </c>
      <c r="AO679" t="s">
        <v>26</v>
      </c>
      <c r="AP679">
        <v>2006</v>
      </c>
      <c r="AQ679" t="s">
        <v>36</v>
      </c>
      <c r="AR679" t="s">
        <v>306</v>
      </c>
      <c r="AS679" t="s">
        <v>331</v>
      </c>
      <c r="AT679" t="s">
        <v>238</v>
      </c>
      <c r="AU679" t="s">
        <v>268</v>
      </c>
      <c r="AV679">
        <v>5.5</v>
      </c>
    </row>
    <row r="680" spans="40:48" x14ac:dyDescent="0.25">
      <c r="AN680" t="s">
        <v>52</v>
      </c>
      <c r="AO680" t="s">
        <v>26</v>
      </c>
      <c r="AP680">
        <v>2006</v>
      </c>
      <c r="AQ680" t="s">
        <v>36</v>
      </c>
      <c r="AR680" t="s">
        <v>306</v>
      </c>
      <c r="AS680" t="s">
        <v>331</v>
      </c>
      <c r="AT680" t="s">
        <v>239</v>
      </c>
      <c r="AU680" t="s">
        <v>308</v>
      </c>
      <c r="AV680">
        <v>0</v>
      </c>
    </row>
    <row r="681" spans="40:48" x14ac:dyDescent="0.25">
      <c r="AN681" t="s">
        <v>52</v>
      </c>
      <c r="AO681" t="s">
        <v>26</v>
      </c>
      <c r="AP681">
        <v>2006</v>
      </c>
      <c r="AQ681" t="s">
        <v>36</v>
      </c>
      <c r="AR681" t="s">
        <v>306</v>
      </c>
      <c r="AS681" t="s">
        <v>331</v>
      </c>
      <c r="AT681" t="s">
        <v>239</v>
      </c>
      <c r="AU681" t="s">
        <v>309</v>
      </c>
      <c r="AV681">
        <v>0</v>
      </c>
    </row>
    <row r="682" spans="40:48" x14ac:dyDescent="0.25">
      <c r="AN682" t="s">
        <v>52</v>
      </c>
      <c r="AO682" t="s">
        <v>26</v>
      </c>
      <c r="AP682">
        <v>2006</v>
      </c>
      <c r="AQ682" t="s">
        <v>36</v>
      </c>
      <c r="AR682" t="s">
        <v>306</v>
      </c>
      <c r="AS682" t="s">
        <v>331</v>
      </c>
      <c r="AT682" t="s">
        <v>239</v>
      </c>
      <c r="AU682" t="s">
        <v>268</v>
      </c>
      <c r="AV682">
        <v>0</v>
      </c>
    </row>
    <row r="683" spans="40:48" x14ac:dyDescent="0.25">
      <c r="AN683" t="s">
        <v>52</v>
      </c>
      <c r="AO683" t="s">
        <v>26</v>
      </c>
      <c r="AP683">
        <v>2006</v>
      </c>
      <c r="AQ683" t="s">
        <v>36</v>
      </c>
      <c r="AR683" t="s">
        <v>306</v>
      </c>
      <c r="AS683" t="s">
        <v>331</v>
      </c>
      <c r="AT683" t="s">
        <v>240</v>
      </c>
      <c r="AU683" t="s">
        <v>308</v>
      </c>
      <c r="AV683">
        <v>2.4</v>
      </c>
    </row>
    <row r="684" spans="40:48" x14ac:dyDescent="0.25">
      <c r="AN684" t="s">
        <v>52</v>
      </c>
      <c r="AO684" t="s">
        <v>26</v>
      </c>
      <c r="AP684">
        <v>2006</v>
      </c>
      <c r="AQ684" t="s">
        <v>36</v>
      </c>
      <c r="AR684" t="s">
        <v>306</v>
      </c>
      <c r="AS684" t="s">
        <v>331</v>
      </c>
      <c r="AT684" t="s">
        <v>240</v>
      </c>
      <c r="AU684" t="s">
        <v>309</v>
      </c>
      <c r="AV684">
        <v>8.1999999999999993</v>
      </c>
    </row>
    <row r="685" spans="40:48" x14ac:dyDescent="0.25">
      <c r="AN685" t="s">
        <v>52</v>
      </c>
      <c r="AO685" t="s">
        <v>26</v>
      </c>
      <c r="AP685">
        <v>2006</v>
      </c>
      <c r="AQ685" t="s">
        <v>36</v>
      </c>
      <c r="AR685" t="s">
        <v>306</v>
      </c>
      <c r="AS685" t="s">
        <v>331</v>
      </c>
      <c r="AT685" t="s">
        <v>240</v>
      </c>
      <c r="AU685" t="s">
        <v>268</v>
      </c>
      <c r="AV685">
        <v>10.6</v>
      </c>
    </row>
    <row r="686" spans="40:48" x14ac:dyDescent="0.25">
      <c r="AN686" t="s">
        <v>52</v>
      </c>
      <c r="AO686" t="s">
        <v>26</v>
      </c>
      <c r="AP686">
        <v>2006</v>
      </c>
      <c r="AQ686" t="s">
        <v>36</v>
      </c>
      <c r="AR686" t="s">
        <v>306</v>
      </c>
      <c r="AS686" t="s">
        <v>331</v>
      </c>
      <c r="AT686" t="s">
        <v>314</v>
      </c>
      <c r="AU686" t="s">
        <v>308</v>
      </c>
      <c r="AV686">
        <v>2.4</v>
      </c>
    </row>
    <row r="687" spans="40:48" x14ac:dyDescent="0.25">
      <c r="AN687" t="s">
        <v>52</v>
      </c>
      <c r="AO687" t="s">
        <v>26</v>
      </c>
      <c r="AP687">
        <v>2006</v>
      </c>
      <c r="AQ687" t="s">
        <v>36</v>
      </c>
      <c r="AR687" t="s">
        <v>306</v>
      </c>
      <c r="AS687" t="s">
        <v>331</v>
      </c>
      <c r="AT687" t="s">
        <v>314</v>
      </c>
      <c r="AU687" t="s">
        <v>309</v>
      </c>
      <c r="AV687">
        <v>8.5</v>
      </c>
    </row>
    <row r="688" spans="40:48" x14ac:dyDescent="0.25">
      <c r="AN688" t="s">
        <v>52</v>
      </c>
      <c r="AO688" t="s">
        <v>26</v>
      </c>
      <c r="AP688">
        <v>2006</v>
      </c>
      <c r="AQ688" t="s">
        <v>36</v>
      </c>
      <c r="AR688" t="s">
        <v>306</v>
      </c>
      <c r="AS688" t="s">
        <v>331</v>
      </c>
      <c r="AT688" t="s">
        <v>314</v>
      </c>
      <c r="AU688" t="s">
        <v>268</v>
      </c>
      <c r="AV688">
        <v>10.9</v>
      </c>
    </row>
    <row r="689" spans="40:48" x14ac:dyDescent="0.25">
      <c r="AN689" t="s">
        <v>52</v>
      </c>
      <c r="AO689" t="s">
        <v>26</v>
      </c>
      <c r="AP689">
        <v>2006</v>
      </c>
      <c r="AQ689" t="s">
        <v>36</v>
      </c>
      <c r="AR689" t="s">
        <v>306</v>
      </c>
      <c r="AS689" t="s">
        <v>331</v>
      </c>
      <c r="AT689" t="s">
        <v>242</v>
      </c>
      <c r="AU689" t="s">
        <v>308</v>
      </c>
      <c r="AV689">
        <v>0</v>
      </c>
    </row>
    <row r="690" spans="40:48" x14ac:dyDescent="0.25">
      <c r="AN690" t="s">
        <v>52</v>
      </c>
      <c r="AO690" t="s">
        <v>26</v>
      </c>
      <c r="AP690">
        <v>2006</v>
      </c>
      <c r="AQ690" t="s">
        <v>36</v>
      </c>
      <c r="AR690" t="s">
        <v>306</v>
      </c>
      <c r="AS690" t="s">
        <v>331</v>
      </c>
      <c r="AT690" t="s">
        <v>242</v>
      </c>
      <c r="AU690" t="s">
        <v>309</v>
      </c>
      <c r="AV690">
        <v>0</v>
      </c>
    </row>
    <row r="691" spans="40:48" x14ac:dyDescent="0.25">
      <c r="AN691" t="s">
        <v>52</v>
      </c>
      <c r="AO691" t="s">
        <v>26</v>
      </c>
      <c r="AP691">
        <v>2006</v>
      </c>
      <c r="AQ691" t="s">
        <v>36</v>
      </c>
      <c r="AR691" t="s">
        <v>306</v>
      </c>
      <c r="AS691" t="s">
        <v>331</v>
      </c>
      <c r="AT691" t="s">
        <v>242</v>
      </c>
      <c r="AU691" t="s">
        <v>268</v>
      </c>
      <c r="AV691">
        <v>0</v>
      </c>
    </row>
    <row r="692" spans="40:48" x14ac:dyDescent="0.25">
      <c r="AN692" t="s">
        <v>52</v>
      </c>
      <c r="AO692" t="s">
        <v>26</v>
      </c>
      <c r="AP692">
        <v>2006</v>
      </c>
      <c r="AQ692" t="s">
        <v>36</v>
      </c>
      <c r="AR692" t="s">
        <v>306</v>
      </c>
      <c r="AS692" t="s">
        <v>331</v>
      </c>
      <c r="AT692" t="s">
        <v>243</v>
      </c>
      <c r="AU692" t="s">
        <v>326</v>
      </c>
      <c r="AV692">
        <v>0</v>
      </c>
    </row>
    <row r="693" spans="40:48" x14ac:dyDescent="0.25">
      <c r="AN693" t="s">
        <v>52</v>
      </c>
      <c r="AO693" t="s">
        <v>26</v>
      </c>
      <c r="AP693">
        <v>2006</v>
      </c>
      <c r="AQ693" t="s">
        <v>36</v>
      </c>
      <c r="AR693" t="s">
        <v>306</v>
      </c>
      <c r="AS693" t="s">
        <v>331</v>
      </c>
      <c r="AT693" t="s">
        <v>243</v>
      </c>
      <c r="AU693" t="s">
        <v>327</v>
      </c>
      <c r="AV693">
        <v>0</v>
      </c>
    </row>
    <row r="694" spans="40:48" x14ac:dyDescent="0.25">
      <c r="AN694" t="s">
        <v>52</v>
      </c>
      <c r="AO694" t="s">
        <v>26</v>
      </c>
      <c r="AP694">
        <v>2006</v>
      </c>
      <c r="AQ694" t="s">
        <v>36</v>
      </c>
      <c r="AR694" t="s">
        <v>306</v>
      </c>
      <c r="AS694" t="s">
        <v>331</v>
      </c>
      <c r="AT694" t="s">
        <v>243</v>
      </c>
      <c r="AU694" t="s">
        <v>329</v>
      </c>
      <c r="AV694">
        <v>37.1</v>
      </c>
    </row>
  </sheetData>
  <mergeCells count="2">
    <mergeCell ref="AD2:AD8"/>
    <mergeCell ref="AD9:AD15"/>
  </mergeCells>
  <phoneticPr fontId="1" type="noConversion"/>
  <conditionalFormatting sqref="B2:B34">
    <cfRule type="expression" dxfId="630" priority="332">
      <formula>IF($C2="junior",$AB2=MAX(_xlfn._xlws.FILTER($AB$2:$AB$39,$C$2:$C$39="junior")),$AB2=MAX(_xlfn._xlws.FILTER($AB$2:$AB$39,$C$2:$C$39="senior")))</formula>
    </cfRule>
    <cfRule type="expression" dxfId="629" priority="333">
      <formula>IF($C2="junior",$AB2=LARGE(_xlfn._xlws.FILTER($AB$2:$AB$39,$C$2:$C$39="junior"),2),$AB2=LARGE(_xlfn._xlws.FILTER($AB$2:$AB$39,$C$2:$C$39="senior"),2))</formula>
    </cfRule>
    <cfRule type="expression" dxfId="628" priority="334">
      <formula>IF($C2="junior",$AB2=LARGE(_xlfn._xlws.FILTER($AB$2:$AB$39,$C$2:$C$39="junior"),3),$AB2=LARGE(_xlfn._xlws.FILTER($AB$2:$AB$39,$C$2:$C$39="senior"),3))</formula>
    </cfRule>
    <cfRule type="expression" dxfId="627" priority="335">
      <formula>IF($C2="junior",Z2=MAX(_xlfn._xlws.FILTER($Z$2:$Z$39,$C$2:$C$39="junior")),Z2=MAX(_xlfn._xlws.FILTER($Z$2:$Z$39,$C$2:$C$39="senior")))</formula>
    </cfRule>
    <cfRule type="expression" dxfId="626" priority="336">
      <formula>IF($C2="junior",$AA2=MAX(_xlfn._xlws.FILTER($AA$2:$AA$39,$C$2:$C$39="junior")),$AA2=MAX(_xlfn._xlws.FILTER($AA$2:$AA$39,$C$2:$C$39="junior")))</formula>
    </cfRule>
  </conditionalFormatting>
  <conditionalFormatting sqref="H2:H34 K2:K34 N1:N34 Q1:Q34 T1:T34 W1:W34">
    <cfRule type="expression" dxfId="625" priority="28">
      <formula>AND(AND($C1="junior",H1&lt;2.6),H1&gt;0)</formula>
    </cfRule>
    <cfRule type="expression" dxfId="624" priority="29">
      <formula>AND(AND($C1="senior",H1&lt;2.9),H1&gt;0)</formula>
    </cfRule>
  </conditionalFormatting>
  <conditionalFormatting sqref="H2:H34">
    <cfRule type="expression" dxfId="623" priority="26">
      <formula>IF($C2="junior",H2&gt;=$AF$10+$AG$10,H2&gt;=$AF$3+$AG$3)</formula>
    </cfRule>
  </conditionalFormatting>
  <conditionalFormatting sqref="H2:AB34">
    <cfRule type="cellIs" dxfId="622" priority="30" operator="equal">
      <formula>0</formula>
    </cfRule>
  </conditionalFormatting>
  <conditionalFormatting sqref="J2:J34">
    <cfRule type="expression" dxfId="621" priority="206">
      <formula>IF($C2="junior",J2=MAX(_xlfn._xlws.FILTER(J$2:J$39,$C$2:$C$39="junior")),J2=MAX(_xlfn._xlws.FILTER(J$2:J$39,$C$2:$C$39="senior")))</formula>
    </cfRule>
    <cfRule type="expression" dxfId="620" priority="207">
      <formula>IF($C2="junior",J2&gt;=$AJ$10+$AK$10,J2&gt;=$AJ$3+$AK$3)</formula>
    </cfRule>
  </conditionalFormatting>
  <conditionalFormatting sqref="K2:K34">
    <cfRule type="expression" dxfId="619" priority="11">
      <formula>IF($C2="junior",K2&gt;=$AF$13+$AG$13,K2&gt;=$AF$6+$AG$6)</formula>
    </cfRule>
  </conditionalFormatting>
  <conditionalFormatting sqref="M2:M34">
    <cfRule type="expression" dxfId="618" priority="224">
      <formula>IF($C2="junior",M2=MAX(_xlfn._xlws.FILTER(M$2:M$39,$C$2:$C$39="junior")),M2=MAX(_xlfn._xlws.FILTER(M$2:M$39,$C$2:$C$39="senior")))</formula>
    </cfRule>
    <cfRule type="expression" dxfId="617" priority="225">
      <formula>IF($C2="junior",M2&gt;=$AJ$13+$AK$13,M2&gt;=$AJ$6+$AK$6)</formula>
    </cfRule>
  </conditionalFormatting>
  <conditionalFormatting sqref="N2:N34">
    <cfRule type="expression" dxfId="616" priority="10">
      <formula>IF($C2="junior",N2&gt;=$AF$14+$AG$14,N2&gt;=$AF$7+$AG$7)</formula>
    </cfRule>
  </conditionalFormatting>
  <conditionalFormatting sqref="N35 Q35 T35 W35 N53:N1048576 Q53:Q1048576 T53:T1048576 W53:W1048576">
    <cfRule type="expression" dxfId="615" priority="54">
      <formula>AND(AND($C35="junior",N35&lt;2.6),N35&gt;0)</formula>
    </cfRule>
    <cfRule type="expression" dxfId="614" priority="55">
      <formula>AND(AND($C35="senior",N35&lt;2.9),N35&gt;0)</formula>
    </cfRule>
  </conditionalFormatting>
  <conditionalFormatting sqref="N36:N49 Q36:Q49 T36:T49 W36:W49">
    <cfRule type="expression" dxfId="613" priority="128">
      <formula>AND(AND($C38="junior",N36&lt;2.6),N36&gt;0)</formula>
    </cfRule>
    <cfRule type="expression" dxfId="612" priority="129">
      <formula>AND(AND($C38="senior",N36&lt;2.9),N36&gt;0)</formula>
    </cfRule>
  </conditionalFormatting>
  <conditionalFormatting sqref="N50:N52 Q50:Q52 T50:T52 W50:W52">
    <cfRule type="expression" dxfId="611" priority="118">
      <formula>AND(AND(#REF!="junior",N50&lt;2.6),N50&gt;0)</formula>
    </cfRule>
    <cfRule type="expression" dxfId="610" priority="119">
      <formula>AND(AND(#REF!="senior",N50&lt;2.9),N50&gt;0)</formula>
    </cfRule>
  </conditionalFormatting>
  <conditionalFormatting sqref="P2:P34">
    <cfRule type="expression" dxfId="609" priority="242">
      <formula>IF($C2="junior",P2=MAX(_xlfn._xlws.FILTER(P$2:P$39,$C$2:$C$39="junior")),P2=MAX(_xlfn._xlws.FILTER(P$2:P$39,$C$2:$C$39="senior")))</formula>
    </cfRule>
    <cfRule type="expression" dxfId="608" priority="243">
      <formula>IF($C2="junior",P2&gt;=$AJ$14+$AK$14,P2&gt;=$AJ$7+$AK$7)</formula>
    </cfRule>
  </conditionalFormatting>
  <conditionalFormatting sqref="Q2:Q34">
    <cfRule type="expression" dxfId="607" priority="9">
      <formula>IF($C2="junior",Q2&gt;=$AF$15+$AG$15,Q2&gt;=$AF$8+$AG$8)</formula>
    </cfRule>
  </conditionalFormatting>
  <conditionalFormatting sqref="S2:S34">
    <cfRule type="expression" dxfId="606" priority="260">
      <formula>IF($C2="junior",S2=MAX(_xlfn._xlws.FILTER(S$2:S$39,$C$2:$C$39="junior")),S2=MAX(_xlfn._xlws.FILTER(S$2:S$39,$C$2:$C$39="senior")))</formula>
    </cfRule>
    <cfRule type="expression" dxfId="605" priority="261">
      <formula>IF($C2="junior",S2&gt;=$AJ$15+$AK$15,S2&gt;=$AJ$8+$AK$8)</formula>
    </cfRule>
  </conditionalFormatting>
  <conditionalFormatting sqref="T2:T34">
    <cfRule type="expression" dxfId="604" priority="8">
      <formula>IF($C2="junior",T2&gt;=$AF$12+$AG$12,T2&gt;=$AF$5+$AG$5)</formula>
    </cfRule>
  </conditionalFormatting>
  <conditionalFormatting sqref="V2:V34">
    <cfRule type="expression" dxfId="603" priority="278">
      <formula>IF($C2="junior",V2=MAX(_xlfn._xlws.FILTER(V$2:V$39,$C$2:$C$39="junior")),V2=MAX(_xlfn._xlws.FILTER(V$2:V$39,$C$2:$C$39="senior")))</formula>
    </cfRule>
    <cfRule type="expression" dxfId="602" priority="279">
      <formula>IF($C2="junior",V2&gt;=$AJ$12+$AK$12,V2&gt;=$AJ$5+$AK$5)</formula>
    </cfRule>
  </conditionalFormatting>
  <conditionalFormatting sqref="W2:W34">
    <cfRule type="expression" dxfId="601" priority="7">
      <formula>IF($C2="junior",W2&gt;=$AF$11+$AG$11,W2&gt;=$AF$4+$AG$4)</formula>
    </cfRule>
  </conditionalFormatting>
  <conditionalFormatting sqref="Y2:Y34">
    <cfRule type="expression" dxfId="600" priority="296">
      <formula>IF($C2="junior",Y2=MAX(_xlfn._xlws.FILTER(Y$2:Y$39,$C$2:$C$39="junior")),Y2=MAX(_xlfn._xlws.FILTER(Y$2:Y$39,$C$2:$C$39="senior")))</formula>
    </cfRule>
    <cfRule type="expression" dxfId="599" priority="297">
      <formula>IF($C2="junior",Y2&gt;=$AJ$11+$AK$11,Y2&gt;=$AJ$4+$AK$4)</formula>
    </cfRule>
  </conditionalFormatting>
  <conditionalFormatting sqref="Z2:Z34">
    <cfRule type="expression" dxfId="598" priority="6">
      <formula>IF($C2="junior",Z2&gt;=$AF$9+$AG$9,Z2&gt;=$AF$2+$AG$2)</formula>
    </cfRule>
  </conditionalFormatting>
  <conditionalFormatting sqref="AA2:AA34">
    <cfRule type="expression" dxfId="597" priority="12">
      <formula>IF($C2="junior",AA2&gt;=$AH$9+$AI$9,AA2&gt;=$AH$2+$AI$2)</formula>
    </cfRule>
  </conditionalFormatting>
  <conditionalFormatting sqref="AB2:AB34">
    <cfRule type="expression" dxfId="596" priority="314">
      <formula>IF($C2="junior",AB2=MAX(_xlfn._xlws.FILTER(AB$2:AB$39,$C$2:$C$39="junior",$G$2:$G$33="Yes")),AB2=MAX(_xlfn._xlws.FILTER(AB$2:AB$39,$C$2:$C$39="senior",$G$2:$G$39="Yes")))</formula>
    </cfRule>
    <cfRule type="expression" dxfId="595" priority="315">
      <formula>IF($C2="junior",AB2&gt;=$AJ$9+$AK$9,AB2&gt;=$AJ$2+$AK$2)</formula>
    </cfRule>
  </conditionalFormatting>
  <pageMargins left="0.7" right="0.7" top="0.75" bottom="0.75" header="0.3" footer="0.3"/>
  <drawing r:id="rId2"/>
  <tableParts count="3">
    <tablePart r:id="rId3"/>
    <tablePart r:id="rId4"/>
    <tablePart r:id="rId5"/>
  </tablePart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99E64-90DF-5040-A1C2-836D3D85C530}">
  <sheetPr codeName="Arkusz6">
    <tabColor theme="5" tint="0.39997558519241921"/>
  </sheetPr>
  <dimension ref="A1:AK829"/>
  <sheetViews>
    <sheetView topLeftCell="G4" zoomScale="70" zoomScaleNormal="70" workbookViewId="0">
      <selection activeCell="Z49" sqref="Z49"/>
    </sheetView>
  </sheetViews>
  <sheetFormatPr defaultColWidth="11" defaultRowHeight="15.75" x14ac:dyDescent="0.25"/>
  <cols>
    <col min="1" max="1" width="23.125" bestFit="1" customWidth="1"/>
    <col min="2" max="2" width="18.5" style="2" customWidth="1"/>
    <col min="3" max="3" width="17" style="2" bestFit="1" customWidth="1"/>
    <col min="4" max="4" width="17.625" customWidth="1"/>
    <col min="5" max="5" width="27.125" style="2" bestFit="1" customWidth="1"/>
    <col min="6" max="6" width="25" style="2" bestFit="1" customWidth="1"/>
    <col min="7" max="7" width="24.375" style="7" bestFit="1" customWidth="1"/>
    <col min="8" max="8" width="28.875" style="7" bestFit="1" customWidth="1"/>
    <col min="9" max="9" width="21.75" style="2" bestFit="1" customWidth="1"/>
    <col min="10" max="10" width="21.375" style="7" bestFit="1" customWidth="1"/>
    <col min="11" max="11" width="12.375" style="7" customWidth="1"/>
    <col min="12" max="12" width="7.625" style="2" customWidth="1"/>
    <col min="13" max="13" width="7.625" style="7" customWidth="1"/>
    <col min="14" max="14" width="11" style="7" customWidth="1"/>
    <col min="15" max="15" width="7.625" style="2" customWidth="1"/>
    <col min="16" max="17" width="7.625" style="7" customWidth="1"/>
    <col min="18" max="20" width="7.625" style="2" customWidth="1"/>
    <col min="21" max="21" width="10.125" style="2" customWidth="1"/>
    <col min="22" max="23" width="7.625" style="2" customWidth="1"/>
    <col min="24" max="24" width="8.625" customWidth="1"/>
    <col min="25" max="25" width="17.625" bestFit="1" customWidth="1"/>
    <col min="26" max="26" width="18.875" bestFit="1" customWidth="1"/>
    <col min="27" max="27" width="15.625" bestFit="1" customWidth="1"/>
    <col min="28" max="28" width="14" bestFit="1" customWidth="1"/>
    <col min="29" max="30" width="11" customWidth="1"/>
    <col min="31" max="31" width="19.75" customWidth="1"/>
    <col min="32" max="32" width="6.75" customWidth="1"/>
    <col min="33" max="33" width="7.125" customWidth="1"/>
    <col min="34" max="34" width="20.375" customWidth="1"/>
    <col min="37" max="37" width="15.625" bestFit="1" customWidth="1"/>
    <col min="40" max="40" width="18.875" bestFit="1" customWidth="1"/>
    <col min="41" max="41" width="17.5" bestFit="1" customWidth="1"/>
    <col min="42" max="42" width="6.375" bestFit="1" customWidth="1"/>
    <col min="43" max="43" width="14" bestFit="1" customWidth="1"/>
  </cols>
  <sheetData>
    <row r="1" spans="1:37" s="2" customFormat="1" x14ac:dyDescent="0.25">
      <c r="A1" s="2" t="s">
        <v>1</v>
      </c>
      <c r="B1" s="2" t="s">
        <v>2</v>
      </c>
      <c r="C1" s="2" t="s">
        <v>4</v>
      </c>
      <c r="D1" s="2" t="s">
        <v>5</v>
      </c>
      <c r="E1" s="2" t="s">
        <v>227</v>
      </c>
      <c r="F1" s="2" t="s">
        <v>145</v>
      </c>
      <c r="G1" s="2" t="s">
        <v>146</v>
      </c>
      <c r="H1" s="2" t="s">
        <v>147</v>
      </c>
      <c r="I1" s="2" t="s">
        <v>148</v>
      </c>
      <c r="J1" s="2" t="s">
        <v>149</v>
      </c>
      <c r="K1" s="2" t="s">
        <v>150</v>
      </c>
      <c r="L1" s="2" t="s">
        <v>151</v>
      </c>
      <c r="M1" s="2" t="s">
        <v>152</v>
      </c>
      <c r="N1" s="2" t="s">
        <v>153</v>
      </c>
      <c r="O1" s="2" t="s">
        <v>154</v>
      </c>
      <c r="P1" s="2" t="s">
        <v>155</v>
      </c>
      <c r="Q1" s="2" t="s">
        <v>156</v>
      </c>
      <c r="R1" s="2" t="s">
        <v>219</v>
      </c>
      <c r="S1" s="2" t="s">
        <v>220</v>
      </c>
      <c r="T1" s="2" t="s">
        <v>221</v>
      </c>
      <c r="U1" s="2" t="s">
        <v>235</v>
      </c>
      <c r="V1" s="2" t="s">
        <v>236</v>
      </c>
      <c r="W1" s="2" t="s">
        <v>237</v>
      </c>
      <c r="AA1" s="20" t="s">
        <v>273</v>
      </c>
      <c r="AB1" s="20" t="s">
        <v>272</v>
      </c>
      <c r="AC1" s="20" t="s">
        <v>274</v>
      </c>
      <c r="AE1" t="s">
        <v>1</v>
      </c>
      <c r="AF1" t="s">
        <v>2</v>
      </c>
      <c r="AG1" t="s">
        <v>5</v>
      </c>
      <c r="AH1" t="s">
        <v>227</v>
      </c>
      <c r="AI1" t="s">
        <v>333</v>
      </c>
      <c r="AJ1" t="s">
        <v>266</v>
      </c>
      <c r="AK1" t="s">
        <v>307</v>
      </c>
    </row>
    <row r="2" spans="1:37" x14ac:dyDescent="0.25">
      <c r="A2" t="s">
        <v>63</v>
      </c>
      <c r="B2" s="2" t="s">
        <v>60</v>
      </c>
      <c r="C2" s="2" t="s">
        <v>64</v>
      </c>
      <c r="D2" t="s">
        <v>39</v>
      </c>
      <c r="E2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2" s="4">
        <v>5.8</v>
      </c>
      <c r="G2" s="7">
        <v>7.8</v>
      </c>
      <c r="H2" s="7">
        <v>13.6</v>
      </c>
      <c r="I2" s="4">
        <v>6</v>
      </c>
      <c r="J2" s="7">
        <v>6.6</v>
      </c>
      <c r="K2" s="7">
        <v>12.6</v>
      </c>
      <c r="L2" s="4">
        <v>5.6</v>
      </c>
      <c r="M2" s="7">
        <v>7.65</v>
      </c>
      <c r="N2" s="7">
        <v>13.25</v>
      </c>
      <c r="O2" s="4">
        <v>5.6</v>
      </c>
      <c r="P2" s="7">
        <v>6.65</v>
      </c>
      <c r="Q2" s="7">
        <v>12.25</v>
      </c>
      <c r="R2" s="4">
        <f>LARGE(CHOOSE({1;2;3;4},F2,I2,L2,O2),1)+LARGE(CHOOSE({1;2;3;4},F2,I2,L2,O2),2)+LARGE(CHOOSE({1;2;3;4},F2,I2,L2,O2),3)</f>
        <v>17.399999999999999</v>
      </c>
      <c r="S2" s="7">
        <f>LARGE(CHOOSE({1;2;3;4},G2,J2,M2,P2),1)+LARGE(CHOOSE({1;2;3;4},G2,J2,M2,P2),2)+LARGE(CHOOSE({1;2;3;4},G2,J2,M2,P2),3)</f>
        <v>22.1</v>
      </c>
      <c r="T2" s="7">
        <f>LARGE(CHOOSE({1;2;3;4},H2,K2,N2,Q2),1)+LARGE(CHOOSE({1;2;3;4},H2,K2,N2,Q2),2)+LARGE(CHOOSE({1;2;3;4},H2,K2,N2,Q2),3)</f>
        <v>39.450000000000003</v>
      </c>
      <c r="U2" s="4" cm="1">
        <f t="array" ref="U2">IF(FX[[#This Row],[Number_of_competition]:[Number_of_competition]]&gt;=3,(LARGE(CHOOSE({1;2;3;4},F2,I2,L2,O2),1)+LARGE(CHOOSE({1;2;3;4},F2,I2,L2,O2),2)+LARGE(CHOOSE({1;2;3;4},F2,I2,L2,O2),3))/3,0)</f>
        <v>5.8</v>
      </c>
      <c r="V2" s="7" cm="1">
        <f t="array" ref="V2">IF(FX[[#This Row],[Number_of_competition]:[Number_of_competition]]&gt;=3,(LARGE(CHOOSE({1;2;3;4},G2,J2,M2,P2),1)+LARGE(CHOOSE({1;2;3;4},G2,J2,M2,P2),2)+LARGE(CHOOSE({1;2;3;4},G2,J2,M2,P2),3))/3,0)</f>
        <v>7.3666666666666671</v>
      </c>
      <c r="W2" s="7" cm="1">
        <f t="array" ref="W2">IF(FX[[#This Row],[Number_of_competition]:[Number_of_competition]]&gt;=3,(LARGE(CHOOSE({1;2;3;4},H2,K2,N2,Q2),1)+LARGE(CHOOSE({1;2;3;4},H2,K2,N2,Q2),2)+LARGE(CHOOSE({1;2;3;4},H2,K2,N2,Q2),3))/3,0)</f>
        <v>13.15</v>
      </c>
      <c r="Y2" s="39" t="s">
        <v>60</v>
      </c>
      <c r="Z2" s="20" t="s">
        <v>269</v>
      </c>
      <c r="AA2" s="21" cm="1">
        <f t="array" ref="AA2">SUM(_xlfn._xlws.FILTER(FX[bydgoszcz_FX_Dscore],FX[Category]="senior"),_xlfn._xlws.FILTER(FX[zabrze_FX_Dscore],FX[Category]="senior"),_xlfn._xlws.FILTER(FX[cracow_FX_Dscore],FX[Category]="senior"),_xlfn._xlws.FILTER(FX[gdansk_FX_Dscore],FX[Category]="senior"))/(COUNTIFS(FX[bydgoszcz_FX_Dscore],"&gt;0",FX[Category],"senior")+COUNTIFS(FX[zabrze_FX_Dscore],"&gt;0",FX[Category],"senior")+COUNTIFS(FX[cracow_FX_Dscore],"&gt;0",FX[Category],"senior")+COUNTIFS(FX[gdansk_FX_Dscore],"&gt;0",FX[Category],"senior"))</f>
        <v>4.3048387096774192</v>
      </c>
      <c r="AB2" s="21" cm="1">
        <f t="array" ref="AB2">_xlfn.STDEV.S(_xlfn._xlws.FILTER(FX[bydgoszcz_FX_Dscore],(FX[Category]="senior")*(FX[bydgoszcz_FX_Dscore])&gt;0),_xlfn._xlws.FILTER(FX[zabrze_FX_Dscore],(FX[Category]="senior")*(FX[zabrze_FX_Dscore])&gt;0),_xlfn._xlws.FILTER(FX[cracow_FX_Dscore],(FX[Category]="senior")*(FX[cracow_FX_Dscore])&gt;0),_xlfn._xlws.FILTER(FX[gdansk_FX_Dscore],(FX[Category]="senior")*(FX[gdansk_FX_Dscore])&gt;0))</f>
        <v>0.655975664121489</v>
      </c>
      <c r="AC2" s="21" cm="1">
        <f t="array" ref="AC2">MAX(_xlfn._xlws.FILTER(FX[bydgoszcz_FX_Dscore],FX[Category]="senior"),_xlfn._xlws.FILTER(FX[zabrze_FX_Dscore],FX[Category]="senior"),_xlfn._xlws.FILTER(FX[cracow_FX_Dscore],FX[Category]="senior"),_xlfn._xlws.FILTER(FX[gdansk_FX_Dscore],FX[Category]="senior"))</f>
        <v>6</v>
      </c>
      <c r="AE2" s="43" t="s">
        <v>63</v>
      </c>
      <c r="AF2" s="43" t="s">
        <v>60</v>
      </c>
      <c r="AG2" s="43" t="s">
        <v>39</v>
      </c>
      <c r="AH2">
        <v>4</v>
      </c>
      <c r="AI2" s="43" t="s">
        <v>317</v>
      </c>
      <c r="AJ2" s="43" t="s">
        <v>308</v>
      </c>
      <c r="AK2">
        <v>5.8</v>
      </c>
    </row>
    <row r="3" spans="1:37" x14ac:dyDescent="0.25">
      <c r="A3" t="s">
        <v>73</v>
      </c>
      <c r="B3" s="2" t="s">
        <v>60</v>
      </c>
      <c r="C3" s="2" t="s">
        <v>74</v>
      </c>
      <c r="D3" t="s">
        <v>62</v>
      </c>
      <c r="E3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3" s="4">
        <v>4.7</v>
      </c>
      <c r="G3" s="7">
        <v>8.1</v>
      </c>
      <c r="H3" s="7">
        <v>12.8</v>
      </c>
      <c r="I3" s="4">
        <v>4.7</v>
      </c>
      <c r="J3" s="7">
        <v>8.6999999999999993</v>
      </c>
      <c r="K3" s="7">
        <v>13.4</v>
      </c>
      <c r="L3" s="4">
        <v>4.5</v>
      </c>
      <c r="M3" s="7">
        <v>8.15</v>
      </c>
      <c r="N3" s="7">
        <v>12.65</v>
      </c>
      <c r="O3" s="4">
        <v>4.7</v>
      </c>
      <c r="P3" s="7">
        <v>6.7</v>
      </c>
      <c r="Q3" s="7">
        <v>11.4</v>
      </c>
      <c r="R3" s="4">
        <f>LARGE(CHOOSE({1;2;3;4},F3,I3,L3,O3),1)+LARGE(CHOOSE({1;2;3;4},F3,I3,L3,O3),2)+LARGE(CHOOSE({1;2;3;4},F3,I3,L3,O3),3)</f>
        <v>14.100000000000001</v>
      </c>
      <c r="S3" s="7">
        <f>LARGE(CHOOSE({1;2;3;4},G3,J3,M3,P3),1)+LARGE(CHOOSE({1;2;3;4},G3,J3,M3,P3),2)+LARGE(CHOOSE({1;2;3;4},G3,J3,M3,P3),3)</f>
        <v>24.950000000000003</v>
      </c>
      <c r="T3" s="7">
        <f>LARGE(CHOOSE({1;2;3;4},H3,K3,N3,Q3),1)+LARGE(CHOOSE({1;2;3;4},H3,K3,N3,Q3),2)+LARGE(CHOOSE({1;2;3;4},H3,K3,N3,Q3),3)</f>
        <v>38.85</v>
      </c>
      <c r="U3" s="4" cm="1">
        <f t="array" ref="U3">IF(FX[[#This Row],[Number_of_competition]:[Number_of_competition]]&gt;=3,(LARGE(CHOOSE({1;2;3;4},F3,I3,L3,O3),1)+LARGE(CHOOSE({1;2;3;4},F3,I3,L3,O3),2)+LARGE(CHOOSE({1;2;3;4},F3,I3,L3,O3),3))/3,0)</f>
        <v>4.7</v>
      </c>
      <c r="V3" s="7" cm="1">
        <f t="array" ref="V3">IF(FX[[#This Row],[Number_of_competition]:[Number_of_competition]]&gt;=3,(LARGE(CHOOSE({1;2;3;4},G3,J3,M3,P3),1)+LARGE(CHOOSE({1;2;3;4},G3,J3,M3,P3),2)+LARGE(CHOOSE({1;2;3;4},G3,J3,M3,P3),3))/3,0)</f>
        <v>8.3166666666666682</v>
      </c>
      <c r="W3" s="7" cm="1">
        <f t="array" ref="W3">IF(FX[[#This Row],[Number_of_competition]:[Number_of_competition]]&gt;=3,(LARGE(CHOOSE({1;2;3;4},H3,K3,N3,Q3),1)+LARGE(CHOOSE({1;2;3;4},H3,K3,N3,Q3),2)+LARGE(CHOOSE({1;2;3;4},H3,K3,N3,Q3),3))/3,0)</f>
        <v>12.950000000000001</v>
      </c>
      <c r="Y3" s="40"/>
      <c r="Z3" s="20" t="s">
        <v>267</v>
      </c>
      <c r="AA3" s="22" cm="1">
        <f t="array" ref="AA3">SUM(_xlfn._xlws.FILTER(FX[bydgoszcz_FX_Escore],FX[Category]="senior"),_xlfn._xlws.FILTER(FX[zabrze_FX_Escore],FX[Category]="senior"),_xlfn._xlws.FILTER(FX[cracow_FX_Escore],FX[Category]="senior"),_xlfn._xlws.FILTER(FX[gdansk_FX_Escore],FX[Category]="senior"))/(COUNTIFS(FX[bydgoszcz_FX_Escore],"&gt;0",FX[Category],"senior")+COUNTIFS(FX[zabrze_FX_Escore],"&gt;0",FX[Category],"senior")+COUNTIFS(FX[cracow_FX_Escore],"&gt;0",FX[Category],"senior")+COUNTIFS(FX[gdansk_FX_Escore],"&gt;0",FX[Category],"senior"))</f>
        <v>7.507258064516126</v>
      </c>
      <c r="AB3" s="22" cm="1">
        <f t="array" ref="AB3">_xlfn.STDEV.S(_xlfn._xlws.FILTER(FX[bydgoszcz_FX_Escore],(FX[Category]="senior")*(FX[bydgoszcz_FX_Escore])&gt;0),_xlfn._xlws.FILTER(FX[zabrze_FX_Escore],(FX[Category]="senior")*(FX[zabrze_FX_Escore])&gt;0),_xlfn._xlws.FILTER(FX[cracow_FX_Escore],(FX[Category]="senior")*(FX[cracow_FX_Escore])&gt;0),_xlfn._xlws.FILTER(FX[gdansk_FX_Escore],(FX[Category]="senior")*(FX[gdansk_FX_Escore])&gt;0))</f>
        <v>0.88228683740522262</v>
      </c>
      <c r="AC3" s="22" cm="1">
        <f t="array" ref="AC3">MAX(_xlfn._xlws.FILTER(FX[bydgoszcz_FX_Escore],FX[Category]="senior"),_xlfn._xlws.FILTER(FX[zabrze_FX_Escore],FX[Category]="senior"),_xlfn._xlws.FILTER(FX[cracow_FX_Escore],FX[Category]="senior"),_xlfn._xlws.FILTER(FX[gdansk_FX_Escore],FX[Category]="senior"))</f>
        <v>9</v>
      </c>
      <c r="AE3" s="43" t="s">
        <v>63</v>
      </c>
      <c r="AF3" s="43" t="s">
        <v>60</v>
      </c>
      <c r="AG3" s="43" t="s">
        <v>39</v>
      </c>
      <c r="AH3">
        <v>4</v>
      </c>
      <c r="AI3" s="43" t="s">
        <v>317</v>
      </c>
      <c r="AJ3" s="43" t="s">
        <v>309</v>
      </c>
      <c r="AK3">
        <v>7.8</v>
      </c>
    </row>
    <row r="4" spans="1:37" x14ac:dyDescent="0.25">
      <c r="A4" t="s">
        <v>59</v>
      </c>
      <c r="B4" s="2" t="s">
        <v>60</v>
      </c>
      <c r="C4" s="2" t="s">
        <v>61</v>
      </c>
      <c r="D4" t="s">
        <v>62</v>
      </c>
      <c r="E4" s="6">
        <f>COUNTIF(FX[[#This Row],[bydgoszcz_FX_Total_Score]],"&gt;0")+COUNTIF(FX[[#This Row],[zabrze_FX_Total_Score]],"&gt;0")+COUNTIF(FX[[#This Row],[cracow_FX_Total_Score]],"&gt;0")+COUNTIF(FX[[#This Row],[gdansk_FX_Total_Score]],"&gt;0")</f>
        <v>3</v>
      </c>
      <c r="F4" s="4">
        <v>0</v>
      </c>
      <c r="G4" s="7">
        <v>0</v>
      </c>
      <c r="H4" s="7">
        <v>0</v>
      </c>
      <c r="I4" s="4">
        <v>5.3</v>
      </c>
      <c r="J4" s="7">
        <v>8.15</v>
      </c>
      <c r="K4" s="7">
        <v>13.45</v>
      </c>
      <c r="L4" s="4">
        <v>5.3</v>
      </c>
      <c r="M4" s="7">
        <v>7.25</v>
      </c>
      <c r="N4" s="7">
        <v>12.55</v>
      </c>
      <c r="O4" s="4">
        <v>5.4</v>
      </c>
      <c r="P4" s="7">
        <v>7.4</v>
      </c>
      <c r="Q4" s="7">
        <v>12.8</v>
      </c>
      <c r="R4" s="4">
        <f>LARGE(CHOOSE({1;2;3;4},F4,I4,L4,O4),1)+LARGE(CHOOSE({1;2;3;4},F4,I4,L4,O4),2)+LARGE(CHOOSE({1;2;3;4},F4,I4,L4,O4),3)</f>
        <v>16</v>
      </c>
      <c r="S4" s="7">
        <f>LARGE(CHOOSE({1;2;3;4},G4,J4,M4,P4),1)+LARGE(CHOOSE({1;2;3;4},G4,J4,M4,P4),2)+LARGE(CHOOSE({1;2;3;4},G4,J4,M4,P4),3)</f>
        <v>22.8</v>
      </c>
      <c r="T4" s="7">
        <f>LARGE(CHOOSE({1;2;3;4},H4,K4,N4,Q4),1)+LARGE(CHOOSE({1;2;3;4},H4,K4,N4,Q4),2)+LARGE(CHOOSE({1;2;3;4},H4,K4,N4,Q4),3)</f>
        <v>38.799999999999997</v>
      </c>
      <c r="U4" s="4" cm="1">
        <f t="array" ref="U4">IF(FX[[#This Row],[Number_of_competition]:[Number_of_competition]]&gt;=3,(LARGE(CHOOSE({1;2;3;4},F4,I4,L4,O4),1)+LARGE(CHOOSE({1;2;3;4},F4,I4,L4,O4),2)+LARGE(CHOOSE({1;2;3;4},F4,I4,L4,O4),3))/3,0)</f>
        <v>5.333333333333333</v>
      </c>
      <c r="V4" s="7" cm="1">
        <f t="array" ref="V4">IF(FX[[#This Row],[Number_of_competition]:[Number_of_competition]]&gt;=3,(LARGE(CHOOSE({1;2;3;4},G4,J4,M4,P4),1)+LARGE(CHOOSE({1;2;3;4},G4,J4,M4,P4),2)+LARGE(CHOOSE({1;2;3;4},G4,J4,M4,P4),3))/3,0)</f>
        <v>7.6000000000000005</v>
      </c>
      <c r="W4" s="7" cm="1">
        <f t="array" ref="W4">IF(FX[[#This Row],[Number_of_competition]:[Number_of_competition]]&gt;=3,(LARGE(CHOOSE({1;2;3;4},H4,K4,N4,Q4),1)+LARGE(CHOOSE({1;2;3;4},H4,K4,N4,Q4),2)+LARGE(CHOOSE({1;2;3;4},H4,K4,N4,Q4),3))/3,0)</f>
        <v>12.933333333333332</v>
      </c>
      <c r="Y4" s="40"/>
      <c r="Z4" s="20" t="s">
        <v>268</v>
      </c>
      <c r="AA4" s="22" cm="1">
        <f t="array" ref="AA4">SUM(_xlfn._xlws.FILTER(FX[bydgoszcz_FX_Total_Score],FX[Category]="senior"),_xlfn._xlws.FILTER(FX[zabrze_FX_Total_Score],FX[Category]="senior"),_xlfn._xlws.FILTER(FX[cracow_FX_Total_Score],FX[Category]="senior"),_xlfn._xlws.FILTER(FX[gdansk_FX_Total_Score],FX[Category]="senior"))/(COUNTIFS(FX[bydgoszcz_FX_Total_Score],"&gt;0",FX[Category],"senior")+COUNTIFS(FX[zabrze_FX_Total_Score],"&gt;0",FX[Category],"senior")+COUNTIFS(FX[cracow_FX_Total_Score],"&gt;0",FX[Category],"senior")+COUNTIFS(FX[gdansk_FX_Total_Score],"&gt;0",FX[Category],"senior"))</f>
        <v>11.812096774193545</v>
      </c>
      <c r="AB4" s="22" cm="1">
        <f t="array" ref="AB4">_xlfn.STDEV.S(_xlfn._xlws.FILTER(FX[bydgoszcz_FX_Total_Score],(FX[Category]="senior")*(FX[bydgoszcz_FX_Total_Score])&gt;0),_xlfn._xlws.FILTER(FX[zabrze_FX_Total_Score],(FX[Category]="senior")*(FX[zabrze_FX_Total_Score])&gt;0),_xlfn._xlws.FILTER(FX[cracow_FX_Total_Score],(FX[Category]="senior")*(FX[cracow_FX_Total_Score])&gt;0),_xlfn._xlws.FILTER(FX[gdansk_FX_Total_Score],(FX[Category]="senior")*(FX[gdansk_FX_Total_Score])&gt;0))</f>
        <v>1.0005607232812159</v>
      </c>
      <c r="AC4" s="22" cm="1">
        <f t="array" ref="AC4">MAX(_xlfn._xlws.FILTER(FX[bydgoszcz_FX_Total_Score],FX[Category]="senior"),_xlfn._xlws.FILTER(FX[zabrze_FX_Total_Score],FX[Category]="senior"),_xlfn._xlws.FILTER(FX[cracow_FX_Total_Score],FX[Category]="senior"),_xlfn._xlws.FILTER(FX[gdansk_FX_Total_Score],FX[Category]="senior"))</f>
        <v>13.65</v>
      </c>
      <c r="AE4" s="43" t="s">
        <v>63</v>
      </c>
      <c r="AF4" s="43" t="s">
        <v>60</v>
      </c>
      <c r="AG4" s="43" t="s">
        <v>39</v>
      </c>
      <c r="AH4">
        <v>4</v>
      </c>
      <c r="AI4" s="43" t="s">
        <v>317</v>
      </c>
      <c r="AJ4" s="43" t="s">
        <v>268</v>
      </c>
      <c r="AK4">
        <v>13.6</v>
      </c>
    </row>
    <row r="5" spans="1:37" x14ac:dyDescent="0.25">
      <c r="A5" t="s">
        <v>80</v>
      </c>
      <c r="B5" s="2" t="s">
        <v>60</v>
      </c>
      <c r="C5" s="2" t="s">
        <v>81</v>
      </c>
      <c r="D5" t="s">
        <v>62</v>
      </c>
      <c r="E5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5" s="4">
        <v>3.6</v>
      </c>
      <c r="G5" s="7">
        <v>9</v>
      </c>
      <c r="H5" s="7">
        <v>12.6</v>
      </c>
      <c r="I5" s="4">
        <v>3.4</v>
      </c>
      <c r="J5" s="7">
        <v>8.6999999999999993</v>
      </c>
      <c r="K5" s="7">
        <v>12.1</v>
      </c>
      <c r="L5" s="4">
        <v>3.6</v>
      </c>
      <c r="M5" s="7">
        <v>8.4</v>
      </c>
      <c r="N5" s="7">
        <v>12</v>
      </c>
      <c r="O5" s="4">
        <v>3.6</v>
      </c>
      <c r="P5" s="7">
        <v>7.45</v>
      </c>
      <c r="Q5" s="7">
        <v>11.05</v>
      </c>
      <c r="R5" s="4">
        <f>LARGE(CHOOSE({1;2;3;4},F5,I5,L5,O5),1)+LARGE(CHOOSE({1;2;3;4},F5,I5,L5,O5),2)+LARGE(CHOOSE({1;2;3;4},F5,I5,L5,O5),3)</f>
        <v>10.8</v>
      </c>
      <c r="S5" s="7">
        <f>LARGE(CHOOSE({1;2;3;4},G5,J5,M5,P5),1)+LARGE(CHOOSE({1;2;3;4},G5,J5,M5,P5),2)+LARGE(CHOOSE({1;2;3;4},G5,J5,M5,P5),3)</f>
        <v>26.1</v>
      </c>
      <c r="T5" s="7">
        <f>LARGE(CHOOSE({1;2;3;4},H5,K5,N5,Q5),1)+LARGE(CHOOSE({1;2;3;4},H5,K5,N5,Q5),2)+LARGE(CHOOSE({1;2;3;4},H5,K5,N5,Q5),3)</f>
        <v>36.700000000000003</v>
      </c>
      <c r="U5" s="4" cm="1">
        <f t="array" ref="U5">IF(FX[[#This Row],[Number_of_competition]:[Number_of_competition]]&gt;=3,(LARGE(CHOOSE({1;2;3;4},F5,I5,L5,O5),1)+LARGE(CHOOSE({1;2;3;4},F5,I5,L5,O5),2)+LARGE(CHOOSE({1;2;3;4},F5,I5,L5,O5),3))/3,0)</f>
        <v>3.6</v>
      </c>
      <c r="V5" s="7" cm="1">
        <f t="array" ref="V5">IF(FX[[#This Row],[Number_of_competition]:[Number_of_competition]]&gt;=3,(LARGE(CHOOSE({1;2;3;4},G5,J5,M5,P5),1)+LARGE(CHOOSE({1;2;3;4},G5,J5,M5,P5),2)+LARGE(CHOOSE({1;2;3;4},G5,J5,M5,P5),3))/3,0)</f>
        <v>8.7000000000000011</v>
      </c>
      <c r="W5" s="7" cm="1">
        <f t="array" ref="W5">IF(FX[[#This Row],[Number_of_competition]:[Number_of_competition]]&gt;=3,(LARGE(CHOOSE({1;2;3;4},H5,K5,N5,Q5),1)+LARGE(CHOOSE({1;2;3;4},H5,K5,N5,Q5),2)+LARGE(CHOOSE({1;2;3;4},H5,K5,N5,Q5),3))/3,0)</f>
        <v>12.233333333333334</v>
      </c>
      <c r="Y5" s="40"/>
      <c r="Z5" s="20" t="s">
        <v>275</v>
      </c>
      <c r="AA5" s="21" cm="1">
        <f t="array" ref="AA5">SUM(_xlfn._xlws.FILTER(FX[Year_Dscore],(FX[Category]="senior")*(FX[Number_of_competition]&gt;=3))/COUNTIFS(FX[Number_of_competition],"&gt;=3",FX[Category],"senior"))</f>
        <v>13.049999999999999</v>
      </c>
      <c r="AB5" s="21" cm="1">
        <f t="array" ref="AB5">_xlfn.STDEV.S(_xlfn._xlws.FILTER(FX[Year_Dscore],(FX[Category]="senior")*(FX[Number_of_competition]&gt;=3)))</f>
        <v>1.9085930086656155</v>
      </c>
      <c r="AC5" s="21" cm="1">
        <f t="array" ref="AC5">MAX(_xlfn._xlws.FILTER(FX[Year_Dscore],FX[Category]="senior"))</f>
        <v>17.399999999999999</v>
      </c>
      <c r="AE5" s="43" t="s">
        <v>63</v>
      </c>
      <c r="AF5" s="43" t="s">
        <v>60</v>
      </c>
      <c r="AG5" s="43" t="s">
        <v>39</v>
      </c>
      <c r="AH5">
        <v>4</v>
      </c>
      <c r="AI5" s="43" t="s">
        <v>325</v>
      </c>
      <c r="AJ5" s="43" t="s">
        <v>308</v>
      </c>
      <c r="AK5">
        <v>6</v>
      </c>
    </row>
    <row r="6" spans="1:37" x14ac:dyDescent="0.25">
      <c r="A6" t="s">
        <v>86</v>
      </c>
      <c r="B6" s="2" t="s">
        <v>60</v>
      </c>
      <c r="C6" s="2" t="s">
        <v>87</v>
      </c>
      <c r="D6" t="s">
        <v>72</v>
      </c>
      <c r="E6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6" s="4">
        <v>4.2</v>
      </c>
      <c r="G6" s="7">
        <v>8.6</v>
      </c>
      <c r="H6" s="7">
        <v>12.8</v>
      </c>
      <c r="I6" s="4">
        <v>3.9</v>
      </c>
      <c r="J6" s="7">
        <v>8</v>
      </c>
      <c r="K6" s="7">
        <v>11.9</v>
      </c>
      <c r="L6" s="4">
        <v>4.2</v>
      </c>
      <c r="M6" s="7">
        <v>7.55</v>
      </c>
      <c r="N6" s="7">
        <v>11.75</v>
      </c>
      <c r="O6" s="4">
        <v>3.9</v>
      </c>
      <c r="P6" s="7">
        <v>7.2</v>
      </c>
      <c r="Q6" s="7">
        <v>11.1</v>
      </c>
      <c r="R6" s="4">
        <f>LARGE(CHOOSE({1;2;3;4},F6,I6,L6,O6),1)+LARGE(CHOOSE({1;2;3;4},F6,I6,L6,O6),2)+LARGE(CHOOSE({1;2;3;4},F6,I6,L6,O6),3)</f>
        <v>12.3</v>
      </c>
      <c r="S6" s="7">
        <f>LARGE(CHOOSE({1;2;3;4},G6,J6,M6,P6),1)+LARGE(CHOOSE({1;2;3;4},G6,J6,M6,P6),2)+LARGE(CHOOSE({1;2;3;4},G6,J6,M6,P6),3)</f>
        <v>24.150000000000002</v>
      </c>
      <c r="T6" s="7">
        <f>LARGE(CHOOSE({1;2;3;4},H6,K6,N6,Q6),1)+LARGE(CHOOSE({1;2;3;4},H6,K6,N6,Q6),2)+LARGE(CHOOSE({1;2;3;4},H6,K6,N6,Q6),3)</f>
        <v>36.450000000000003</v>
      </c>
      <c r="U6" s="4" cm="1">
        <f t="array" ref="U6">IF(FX[[#This Row],[Number_of_competition]:[Number_of_competition]]&gt;=3,(LARGE(CHOOSE({1;2;3;4},F6,I6,L6,O6),1)+LARGE(CHOOSE({1;2;3;4},F6,I6,L6,O6),2)+LARGE(CHOOSE({1;2;3;4},F6,I6,L6,O6),3))/3,0)</f>
        <v>4.1000000000000005</v>
      </c>
      <c r="V6" s="7" cm="1">
        <f t="array" ref="V6">IF(FX[[#This Row],[Number_of_competition]:[Number_of_competition]]&gt;=3,(LARGE(CHOOSE({1;2;3;4},G6,J6,M6,P6),1)+LARGE(CHOOSE({1;2;3;4},G6,J6,M6,P6),2)+LARGE(CHOOSE({1;2;3;4},G6,J6,M6,P6),3))/3,0)</f>
        <v>8.0500000000000007</v>
      </c>
      <c r="W6" s="7" cm="1">
        <f t="array" ref="W6">IF(FX[[#This Row],[Number_of_competition]:[Number_of_competition]]&gt;=3,(LARGE(CHOOSE({1;2;3;4},H6,K6,N6,Q6),1)+LARGE(CHOOSE({1;2;3;4},H6,K6,N6,Q6),2)+LARGE(CHOOSE({1;2;3;4},H6,K6,N6,Q6),3))/3,0)</f>
        <v>12.15</v>
      </c>
      <c r="Y6" s="40"/>
      <c r="Z6" s="20" t="s">
        <v>276</v>
      </c>
      <c r="AA6" s="22" cm="1">
        <f t="array" ref="AA6">SUM(_xlfn._xlws.FILTER(FX[Year_Escore],(FX[Category]="senior")*(FX[Number_of_competition]&gt;=3))/COUNTIFS(FX[Number_of_competition],"&gt;=3",FX[Category],"senior"))</f>
        <v>23.108333333333334</v>
      </c>
      <c r="AB6" s="22" cm="1">
        <f t="array" ref="AB6">_xlfn.STDEV.S(_xlfn._xlws.FILTER(FX[Year_Escore],(FX[Category]="senior")*(FX[Number_of_competition]&gt;=3)))</f>
        <v>1.3487086977976945</v>
      </c>
      <c r="AC6" s="22" cm="1">
        <f t="array" ref="AC6">MAX(_xlfn._xlws.FILTER(FX[Year_Escore],FX[Category]="senior"))</f>
        <v>26.1</v>
      </c>
      <c r="AE6" s="43" t="s">
        <v>63</v>
      </c>
      <c r="AF6" s="43" t="s">
        <v>60</v>
      </c>
      <c r="AG6" s="43" t="s">
        <v>39</v>
      </c>
      <c r="AH6">
        <v>4</v>
      </c>
      <c r="AI6" s="43" t="s">
        <v>325</v>
      </c>
      <c r="AJ6" s="43" t="s">
        <v>309</v>
      </c>
      <c r="AK6">
        <v>6.6</v>
      </c>
    </row>
    <row r="7" spans="1:37" x14ac:dyDescent="0.25">
      <c r="A7" t="s">
        <v>84</v>
      </c>
      <c r="B7" s="2" t="s">
        <v>60</v>
      </c>
      <c r="C7" s="2" t="s">
        <v>85</v>
      </c>
      <c r="D7" t="s">
        <v>39</v>
      </c>
      <c r="E7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7" s="4">
        <v>4.5</v>
      </c>
      <c r="G7" s="7">
        <v>7.35</v>
      </c>
      <c r="H7" s="7">
        <v>11.85</v>
      </c>
      <c r="I7" s="4">
        <v>4.0999999999999996</v>
      </c>
      <c r="J7" s="7">
        <v>6.25</v>
      </c>
      <c r="K7" s="7">
        <v>10.35</v>
      </c>
      <c r="L7" s="4">
        <v>4.0999999999999996</v>
      </c>
      <c r="M7" s="7">
        <v>8.4</v>
      </c>
      <c r="N7" s="7">
        <v>12.5</v>
      </c>
      <c r="O7" s="4">
        <v>4.0999999999999996</v>
      </c>
      <c r="P7" s="7">
        <v>7.3</v>
      </c>
      <c r="Q7" s="7">
        <v>11.4</v>
      </c>
      <c r="R7" s="4">
        <f>LARGE(CHOOSE({1;2;3;4},F7,I7,L7,O7),1)+LARGE(CHOOSE({1;2;3;4},F7,I7,L7,O7),2)+LARGE(CHOOSE({1;2;3;4},F7,I7,L7,O7),3)</f>
        <v>12.7</v>
      </c>
      <c r="S7" s="7">
        <f>LARGE(CHOOSE({1;2;3;4},G7,J7,M7,P7),1)+LARGE(CHOOSE({1;2;3;4},G7,J7,M7,P7),2)+LARGE(CHOOSE({1;2;3;4},G7,J7,M7,P7),3)</f>
        <v>23.05</v>
      </c>
      <c r="T7" s="7">
        <f>LARGE(CHOOSE({1;2;3;4},H7,K7,N7,Q7),1)+LARGE(CHOOSE({1;2;3;4},H7,K7,N7,Q7),2)+LARGE(CHOOSE({1;2;3;4},H7,K7,N7,Q7),3)</f>
        <v>35.75</v>
      </c>
      <c r="U7" s="4" cm="1">
        <f t="array" ref="U7">IF(FX[[#This Row],[Number_of_competition]:[Number_of_competition]]&gt;=3,(LARGE(CHOOSE({1;2;3;4},F7,I7,L7,O7),1)+LARGE(CHOOSE({1;2;3;4},F7,I7,L7,O7),2)+LARGE(CHOOSE({1;2;3;4},F7,I7,L7,O7),3))/3,0)</f>
        <v>4.2333333333333334</v>
      </c>
      <c r="V7" s="7" cm="1">
        <f t="array" ref="V7">IF(FX[[#This Row],[Number_of_competition]:[Number_of_competition]]&gt;=3,(LARGE(CHOOSE({1;2;3;4},G7,J7,M7,P7),1)+LARGE(CHOOSE({1;2;3;4},G7,J7,M7,P7),2)+LARGE(CHOOSE({1;2;3;4},G7,J7,M7,P7),3))/3,0)</f>
        <v>7.6833333333333336</v>
      </c>
      <c r="W7" s="7" cm="1">
        <f t="array" ref="W7">IF(FX[[#This Row],[Number_of_competition]:[Number_of_competition]]&gt;=3,(LARGE(CHOOSE({1;2;3;4},H7,K7,N7,Q7),1)+LARGE(CHOOSE({1;2;3;4},H7,K7,N7,Q7),2)+LARGE(CHOOSE({1;2;3;4},H7,K7,N7,Q7),3))/3,0)</f>
        <v>11.916666666666666</v>
      </c>
      <c r="Y7" s="41"/>
      <c r="Z7" s="20" t="s">
        <v>277</v>
      </c>
      <c r="AA7" s="22" cm="1">
        <f t="array" ref="AA7">SUM(_xlfn._xlws.FILTER(FX[Year_Total_Score],(FX[Category]="senior")*(FX[Number_of_competition]&gt;=3))/COUNTIFS(FX[Number_of_competition],"&gt;=3",FX[Category],"senior"))</f>
        <v>36.087499999999991</v>
      </c>
      <c r="AB7" s="22" cm="1">
        <f t="array" ref="AB7">_xlfn.STDEV.S(_xlfn._xlws.FILTER(FX[Year_Total_Score],(FX[Category]="senior")*(FX[Number_of_competition]&gt;=3)))</f>
        <v>2.0562681333823276</v>
      </c>
      <c r="AC7" s="22" cm="1">
        <f t="array" ref="AC7">MAX(_xlfn._xlws.FILTER(FX[Year_Total_Score],FX[Category]="senior"))</f>
        <v>39.450000000000003</v>
      </c>
      <c r="AE7" s="43" t="s">
        <v>63</v>
      </c>
      <c r="AF7" s="43" t="s">
        <v>60</v>
      </c>
      <c r="AG7" s="43" t="s">
        <v>39</v>
      </c>
      <c r="AH7">
        <v>4</v>
      </c>
      <c r="AI7" s="43" t="s">
        <v>325</v>
      </c>
      <c r="AJ7" s="43" t="s">
        <v>268</v>
      </c>
      <c r="AK7">
        <v>12.6</v>
      </c>
    </row>
    <row r="8" spans="1:37" x14ac:dyDescent="0.25">
      <c r="A8" t="s">
        <v>68</v>
      </c>
      <c r="B8" s="2" t="s">
        <v>60</v>
      </c>
      <c r="C8" s="2" t="s">
        <v>69</v>
      </c>
      <c r="D8" t="s">
        <v>31</v>
      </c>
      <c r="E8" s="6">
        <f>COUNTIF(FX[[#This Row],[bydgoszcz_FX_Total_Score]],"&gt;0")+COUNTIF(FX[[#This Row],[zabrze_FX_Total_Score]],"&gt;0")+COUNTIF(FX[[#This Row],[cracow_FX_Total_Score]],"&gt;0")+COUNTIF(FX[[#This Row],[gdansk_FX_Total_Score]],"&gt;0")</f>
        <v>3</v>
      </c>
      <c r="F8" s="4">
        <v>0</v>
      </c>
      <c r="G8" s="7">
        <v>0</v>
      </c>
      <c r="H8" s="7">
        <v>0</v>
      </c>
      <c r="I8" s="4">
        <v>4.2</v>
      </c>
      <c r="J8" s="7">
        <v>8.35</v>
      </c>
      <c r="K8" s="7">
        <v>12.55</v>
      </c>
      <c r="L8" s="4">
        <v>4.5</v>
      </c>
      <c r="M8" s="7">
        <v>8</v>
      </c>
      <c r="N8" s="7">
        <v>12.5</v>
      </c>
      <c r="O8" s="4">
        <v>4</v>
      </c>
      <c r="P8" s="7">
        <v>6.3</v>
      </c>
      <c r="Q8" s="7">
        <v>10.3</v>
      </c>
      <c r="R8" s="4">
        <f>LARGE(CHOOSE({1;2;3;4},F8,I8,L8,O8),1)+LARGE(CHOOSE({1;2;3;4},F8,I8,L8,O8),2)+LARGE(CHOOSE({1;2;3;4},F8,I8,L8,O8),3)</f>
        <v>12.7</v>
      </c>
      <c r="S8" s="7">
        <f>LARGE(CHOOSE({1;2;3;4},G8,J8,M8,P8),1)+LARGE(CHOOSE({1;2;3;4},G8,J8,M8,P8),2)+LARGE(CHOOSE({1;2;3;4},G8,J8,M8,P8),3)</f>
        <v>22.650000000000002</v>
      </c>
      <c r="T8" s="7">
        <f>LARGE(CHOOSE({1;2;3;4},H8,K8,N8,Q8),1)+LARGE(CHOOSE({1;2;3;4},H8,K8,N8,Q8),2)+LARGE(CHOOSE({1;2;3;4},H8,K8,N8,Q8),3)</f>
        <v>35.35</v>
      </c>
      <c r="U8" s="4" cm="1">
        <f t="array" ref="U8">IF(FX[[#This Row],[Number_of_competition]:[Number_of_competition]]&gt;=3,(LARGE(CHOOSE({1;2;3;4},F8,I8,L8,O8),1)+LARGE(CHOOSE({1;2;3;4},F8,I8,L8,O8),2)+LARGE(CHOOSE({1;2;3;4},F8,I8,L8,O8),3))/3,0)</f>
        <v>4.2333333333333334</v>
      </c>
      <c r="V8" s="7" cm="1">
        <f t="array" ref="V8">IF(FX[[#This Row],[Number_of_competition]:[Number_of_competition]]&gt;=3,(LARGE(CHOOSE({1;2;3;4},G8,J8,M8,P8),1)+LARGE(CHOOSE({1;2;3;4},G8,J8,M8,P8),2)+LARGE(CHOOSE({1;2;3;4},G8,J8,M8,P8),3))/3,0)</f>
        <v>7.5500000000000007</v>
      </c>
      <c r="W8" s="7" cm="1">
        <f t="array" ref="W8">IF(FX[[#This Row],[Number_of_competition]:[Number_of_competition]]&gt;=3,(LARGE(CHOOSE({1;2;3;4},H8,K8,N8,Q8),1)+LARGE(CHOOSE({1;2;3;4},H8,K8,N8,Q8),2)+LARGE(CHOOSE({1;2;3;4},H8,K8,N8,Q8),3))/3,0)</f>
        <v>11.783333333333333</v>
      </c>
      <c r="Y8" s="39" t="s">
        <v>26</v>
      </c>
      <c r="Z8" s="20" t="s">
        <v>269</v>
      </c>
      <c r="AA8" s="21" cm="1">
        <f t="array" ref="AA8">SUM(_xlfn._xlws.FILTER(FX[bydgoszcz_FX_Dscore],FX[Category]="junior"),_xlfn._xlws.FILTER(FX[zabrze_FX_Dscore],FX[Category]="junior"),_xlfn._xlws.FILTER(FX[cracow_FX_Dscore],FX[Category]="junior"),_xlfn._xlws.FILTER(FX[gdansk_FX_Dscore],FX[Category]="junior"))/(COUNTIFS(FX[bydgoszcz_FX_Dscore],"&gt;0",FX[Category],"junior")+COUNTIFS(FX[zabrze_FX_Dscore],"&gt;0",FX[Category],"junior")+COUNTIFS(FX[cracow_FX_Dscore],"&gt;0",FX[Category],"junior")+COUNTIFS(FX[gdansk_FX_Dscore],"&gt;0",FX[Category],"junior"))</f>
        <v>3.5288461538461537</v>
      </c>
      <c r="AB8" s="21" cm="1">
        <f t="array" ref="AB8">_xlfn.STDEV.S(_xlfn._xlws.FILTER(FX[bydgoszcz_FX_Dscore],(FX[Category]="junior")*(FX[bydgoszcz_FX_Dscore])&gt;0),_xlfn._xlws.FILTER(FX[zabrze_FX_Dscore],(FX[Category]="junior")*(FX[zabrze_FX_Dscore])&gt;0),_xlfn._xlws.FILTER(FX[cracow_FX_Dscore],(FX[Category]="junior")*(FX[cracow_FX_Dscore])&gt;0),_xlfn._xlws.FILTER(FX[gdansk_FX_Dscore],(FX[Category]="junior")*(FX[gdansk_FX_Dscore])&gt;0))</f>
        <v>0.45818762252585366</v>
      </c>
      <c r="AC8" s="21" cm="1">
        <f t="array" ref="AC8">MAX(_xlfn._xlws.FILTER(FX[bydgoszcz_FX_Dscore],FX[Category]="junior"),_xlfn._xlws.FILTER(FX[zabrze_FX_Dscore],FX[Category]="junior"),_xlfn._xlws.FILTER(FX[cracow_FX_Dscore],FX[Category]="junior"),_xlfn._xlws.FILTER(FX[gdansk_FX_Dscore],FX[Category]="junior"))</f>
        <v>4.4000000000000004</v>
      </c>
      <c r="AE8" s="43" t="s">
        <v>63</v>
      </c>
      <c r="AF8" s="43" t="s">
        <v>60</v>
      </c>
      <c r="AG8" s="43" t="s">
        <v>39</v>
      </c>
      <c r="AH8">
        <v>4</v>
      </c>
      <c r="AI8" s="43" t="s">
        <v>330</v>
      </c>
      <c r="AJ8" s="43" t="s">
        <v>308</v>
      </c>
      <c r="AK8">
        <v>5.6</v>
      </c>
    </row>
    <row r="9" spans="1:37" x14ac:dyDescent="0.25">
      <c r="A9" t="s">
        <v>100</v>
      </c>
      <c r="B9" s="2" t="s">
        <v>60</v>
      </c>
      <c r="C9" s="2" t="s">
        <v>101</v>
      </c>
      <c r="D9" t="s">
        <v>31</v>
      </c>
      <c r="E9" s="6">
        <f>COUNTIF(FX[[#This Row],[bydgoszcz_FX_Total_Score]],"&gt;0")+COUNTIF(FX[[#This Row],[zabrze_FX_Total_Score]],"&gt;0")+COUNTIF(FX[[#This Row],[cracow_FX_Total_Score]],"&gt;0")+COUNTIF(FX[[#This Row],[gdansk_FX_Total_Score]],"&gt;0")</f>
        <v>3</v>
      </c>
      <c r="F9" s="4">
        <v>4.3</v>
      </c>
      <c r="G9" s="7">
        <v>7.4</v>
      </c>
      <c r="H9" s="7">
        <v>11.7</v>
      </c>
      <c r="I9" s="4">
        <v>4.2</v>
      </c>
      <c r="J9" s="7">
        <v>7.3</v>
      </c>
      <c r="K9" s="7">
        <v>11.5</v>
      </c>
      <c r="L9" s="4">
        <v>4.4000000000000004</v>
      </c>
      <c r="M9" s="7">
        <v>7.55</v>
      </c>
      <c r="N9" s="7">
        <v>11.95</v>
      </c>
      <c r="O9" s="4">
        <v>0</v>
      </c>
      <c r="P9" s="7">
        <v>0</v>
      </c>
      <c r="Q9" s="7">
        <v>0</v>
      </c>
      <c r="R9" s="4">
        <f>LARGE(CHOOSE({1;2;3;4},F9,I9,L9,O9),1)+LARGE(CHOOSE({1;2;3;4},F9,I9,L9,O9),2)+LARGE(CHOOSE({1;2;3;4},F9,I9,L9,O9),3)</f>
        <v>12.899999999999999</v>
      </c>
      <c r="S9" s="7">
        <f>LARGE(CHOOSE({1;2;3;4},G9,J9,M9,P9),1)+LARGE(CHOOSE({1;2;3;4},G9,J9,M9,P9),2)+LARGE(CHOOSE({1;2;3;4},G9,J9,M9,P9),3)</f>
        <v>22.25</v>
      </c>
      <c r="T9" s="7">
        <f>LARGE(CHOOSE({1;2;3;4},H9,K9,N9,Q9),1)+LARGE(CHOOSE({1;2;3;4},H9,K9,N9,Q9),2)+LARGE(CHOOSE({1;2;3;4},H9,K9,N9,Q9),3)</f>
        <v>35.15</v>
      </c>
      <c r="U9" s="4" cm="1">
        <f t="array" ref="U9">IF(FX[[#This Row],[Number_of_competition]:[Number_of_competition]]&gt;=3,(LARGE(CHOOSE({1;2;3;4},F9,I9,L9,O9),1)+LARGE(CHOOSE({1;2;3;4},F9,I9,L9,O9),2)+LARGE(CHOOSE({1;2;3;4},F9,I9,L9,O9),3))/3,0)</f>
        <v>4.3</v>
      </c>
      <c r="V9" s="7" cm="1">
        <f t="array" ref="V9">IF(FX[[#This Row],[Number_of_competition]:[Number_of_competition]]&gt;=3,(LARGE(CHOOSE({1;2;3;4},G9,J9,M9,P9),1)+LARGE(CHOOSE({1;2;3;4},G9,J9,M9,P9),2)+LARGE(CHOOSE({1;2;3;4},G9,J9,M9,P9),3))/3,0)</f>
        <v>7.416666666666667</v>
      </c>
      <c r="W9" s="7" cm="1">
        <f t="array" ref="W9">IF(FX[[#This Row],[Number_of_competition]:[Number_of_competition]]&gt;=3,(LARGE(CHOOSE({1;2;3;4},H9,K9,N9,Q9),1)+LARGE(CHOOSE({1;2;3;4},H9,K9,N9,Q9),2)+LARGE(CHOOSE({1;2;3;4},H9,K9,N9,Q9),3))/3,0)</f>
        <v>11.716666666666667</v>
      </c>
      <c r="Y9" s="40"/>
      <c r="Z9" s="20" t="s">
        <v>267</v>
      </c>
      <c r="AA9" s="22" cm="1">
        <f t="array" ref="AA9">SUM(_xlfn._xlws.FILTER(FX[bydgoszcz_FX_Escore],FX[Category]="junior"),_xlfn._xlws.FILTER(FX[zabrze_FX_Escore],FX[Category]="junior"),_xlfn._xlws.FILTER(FX[cracow_FX_Escore],FX[Category]="junior"),_xlfn._xlws.FILTER(FX[gdansk_FX_Escore],FX[Category]="junior"))/(COUNTIFS(FX[bydgoszcz_FX_Escore],"&gt;0",FX[Category],"junior")+COUNTIFS(FX[zabrze_FX_Escore],"&gt;0",FX[Category],"junior")+COUNTIFS(FX[cracow_FX_Escore],"&gt;0",FX[Category],"junior")+COUNTIFS(FX[gdansk_FX_Escore],"&gt;0",FX[Category],"junior"))</f>
        <v>7.8874999999999993</v>
      </c>
      <c r="AB9" s="22" cm="1">
        <f t="array" ref="AB9">_xlfn.STDEV.S(_xlfn._xlws.FILTER(FX[bydgoszcz_FX_Escore],(FX[Category]="junior")*(FX[bydgoszcz_FX_Escore])&gt;0),_xlfn._xlws.FILTER(FX[zabrze_FX_Escore],(FX[Category]="junior")*(FX[zabrze_FX_Escore])&gt;0),_xlfn._xlws.FILTER(FX[cracow_FX_Escore],(FX[Category]="junior")*(FX[cracow_FX_Escore])&gt;0),_xlfn._xlws.FILTER(FX[gdansk_FX_Escore],(FX[Category]="junior")*(FX[gdansk_FX_Escore])&gt;0))</f>
        <v>0.60891055075727629</v>
      </c>
      <c r="AC9" s="22" cm="1">
        <f t="array" ref="AC9">MAX(_xlfn._xlws.FILTER(FX[bydgoszcz_FX_Escore],FX[Category]="junior"),_xlfn._xlws.FILTER(FX[zabrze_FX_Escore],FX[Category]="junior"),_xlfn._xlws.FILTER(FX[cracow_FX_Escore],FX[Category]="junior"),_xlfn._xlws.FILTER(FX[gdansk_FX_Escore],FX[Category]="junior"))</f>
        <v>8.9499999999999993</v>
      </c>
      <c r="AE9" s="43" t="s">
        <v>63</v>
      </c>
      <c r="AF9" s="43" t="s">
        <v>60</v>
      </c>
      <c r="AG9" s="43" t="s">
        <v>39</v>
      </c>
      <c r="AH9">
        <v>4</v>
      </c>
      <c r="AI9" s="43" t="s">
        <v>330</v>
      </c>
      <c r="AJ9" s="43" t="s">
        <v>309</v>
      </c>
      <c r="AK9">
        <v>7.65</v>
      </c>
    </row>
    <row r="10" spans="1:37" x14ac:dyDescent="0.25">
      <c r="A10" t="s">
        <v>82</v>
      </c>
      <c r="B10" s="2" t="s">
        <v>60</v>
      </c>
      <c r="C10" s="2" t="s">
        <v>83</v>
      </c>
      <c r="D10" t="s">
        <v>36</v>
      </c>
      <c r="E10" s="6">
        <f>COUNTIF(FX[[#This Row],[bydgoszcz_FX_Total_Score]],"&gt;0")+COUNTIF(FX[[#This Row],[zabrze_FX_Total_Score]],"&gt;0")+COUNTIF(FX[[#This Row],[cracow_FX_Total_Score]],"&gt;0")+COUNTIF(FX[[#This Row],[gdansk_FX_Total_Score]],"&gt;0")</f>
        <v>3</v>
      </c>
      <c r="F10" s="4">
        <v>0</v>
      </c>
      <c r="G10" s="7">
        <v>0</v>
      </c>
      <c r="H10" s="7">
        <v>0</v>
      </c>
      <c r="I10" s="4">
        <v>4.4000000000000004</v>
      </c>
      <c r="J10" s="7">
        <v>8.1</v>
      </c>
      <c r="K10" s="7">
        <v>12.5</v>
      </c>
      <c r="L10" s="4">
        <v>4.0999999999999996</v>
      </c>
      <c r="M10" s="7">
        <v>6.7</v>
      </c>
      <c r="N10" s="7">
        <v>10.8</v>
      </c>
      <c r="O10" s="4">
        <v>3.9</v>
      </c>
      <c r="P10" s="7">
        <v>7.9</v>
      </c>
      <c r="Q10" s="7">
        <v>11.8</v>
      </c>
      <c r="R10" s="4">
        <f>LARGE(CHOOSE({1;2;3;4},F10,I10,L10,O10),1)+LARGE(CHOOSE({1;2;3;4},F10,I10,L10,O10),2)+LARGE(CHOOSE({1;2;3;4},F10,I10,L10,O10),3)</f>
        <v>12.4</v>
      </c>
      <c r="S10" s="7">
        <f>LARGE(CHOOSE({1;2;3;4},G10,J10,M10,P10),1)+LARGE(CHOOSE({1;2;3;4},G10,J10,M10,P10),2)+LARGE(CHOOSE({1;2;3;4},G10,J10,M10,P10),3)</f>
        <v>22.7</v>
      </c>
      <c r="T10" s="7">
        <f>LARGE(CHOOSE({1;2;3;4},H10,K10,N10,Q10),1)+LARGE(CHOOSE({1;2;3;4},H10,K10,N10,Q10),2)+LARGE(CHOOSE({1;2;3;4},H10,K10,N10,Q10),3)</f>
        <v>35.1</v>
      </c>
      <c r="U10" s="4" cm="1">
        <f t="array" ref="U10">IF(FX[[#This Row],[Number_of_competition]:[Number_of_competition]]&gt;=3,(LARGE(CHOOSE({1;2;3;4},F10,I10,L10,O10),1)+LARGE(CHOOSE({1;2;3;4},F10,I10,L10,O10),2)+LARGE(CHOOSE({1;2;3;4},F10,I10,L10,O10),3))/3,0)</f>
        <v>4.1333333333333337</v>
      </c>
      <c r="V10" s="7" cm="1">
        <f t="array" ref="V10">IF(FX[[#This Row],[Number_of_competition]:[Number_of_competition]]&gt;=3,(LARGE(CHOOSE({1;2;3;4},G10,J10,M10,P10),1)+LARGE(CHOOSE({1;2;3;4},G10,J10,M10,P10),2)+LARGE(CHOOSE({1;2;3;4},G10,J10,M10,P10),3))/3,0)</f>
        <v>7.5666666666666664</v>
      </c>
      <c r="W10" s="7" cm="1">
        <f t="array" ref="W10">IF(FX[[#This Row],[Number_of_competition]:[Number_of_competition]]&gt;=3,(LARGE(CHOOSE({1;2;3;4},H10,K10,N10,Q10),1)+LARGE(CHOOSE({1;2;3;4},H10,K10,N10,Q10),2)+LARGE(CHOOSE({1;2;3;4},H10,K10,N10,Q10),3))/3,0)</f>
        <v>11.700000000000001</v>
      </c>
      <c r="Y10" s="40"/>
      <c r="Z10" s="20" t="s">
        <v>268</v>
      </c>
      <c r="AA10" s="22" cm="1">
        <f t="array" ref="AA10">SUM(_xlfn._xlws.FILTER(FX[bydgoszcz_FX_Total_Score],FX[Category]="junior"),_xlfn._xlws.FILTER(FX[zabrze_FX_Total_Score],FX[Category]="junior"),_xlfn._xlws.FILTER(FX[cracow_FX_Total_Score],FX[Category]="junior"),_xlfn._xlws.FILTER(FX[gdansk_FX_Total_Score],FX[Category]="junior"))/(COUNTIFS(FX[bydgoszcz_FX_Total_Score],"&gt;0",FX[Category],"junior")+COUNTIFS(FX[zabrze_FX_Total_Score],"&gt;0",FX[Category],"junior")+COUNTIFS(FX[cracow_FX_Total_Score],"&gt;0",FX[Category],"junior")+COUNTIFS(FX[gdansk_FX_Total_Score],"&gt;0",FX[Category],"junior"))</f>
        <v>11.416346153846153</v>
      </c>
      <c r="AB10" s="22" cm="1">
        <f t="array" ref="AB10">_xlfn.STDEV.S(_xlfn._xlws.FILTER(FX[bydgoszcz_FX_Total_Score],(FX[Category]="junior")*(FX[bydgoszcz_FX_Total_Score])&gt;0),_xlfn._xlws.FILTER(FX[zabrze_FX_Total_Score],(FX[Category]="junior")*(FX[zabrze_FX_Total_Score])&gt;0),_xlfn._xlws.FILTER(FX[cracow_FX_Total_Score],(FX[Category]="junior")*(FX[cracow_FX_Total_Score])&gt;0),_xlfn._xlws.FILTER(FX[gdansk_FX_Total_Score],(FX[Category]="junior")*(FX[gdansk_FX_Total_Score])&gt;0))</f>
        <v>0.81015135077427824</v>
      </c>
      <c r="AC10" s="22" cm="1">
        <f t="array" ref="AC10">MAX(_xlfn._xlws.FILTER(FX[bydgoszcz_FX_Total_Score],FX[Category]="junior"),_xlfn._xlws.FILTER(FX[zabrze_FX_Total_Score],FX[Category]="junior"),_xlfn._xlws.FILTER(FX[cracow_FX_Total_Score],FX[Category]="junior"),_xlfn._xlws.FILTER(FX[gdansk_FX_Total_Score],FX[Category]="junior"))</f>
        <v>12.95</v>
      </c>
      <c r="AE10" s="43" t="s">
        <v>63</v>
      </c>
      <c r="AF10" s="43" t="s">
        <v>60</v>
      </c>
      <c r="AG10" s="43" t="s">
        <v>39</v>
      </c>
      <c r="AH10">
        <v>4</v>
      </c>
      <c r="AI10" s="43" t="s">
        <v>330</v>
      </c>
      <c r="AJ10" s="43" t="s">
        <v>268</v>
      </c>
      <c r="AK10">
        <v>13.25</v>
      </c>
    </row>
    <row r="11" spans="1:37" ht="21" customHeight="1" x14ac:dyDescent="0.25">
      <c r="A11" t="s">
        <v>77</v>
      </c>
      <c r="B11" s="2" t="s">
        <v>60</v>
      </c>
      <c r="C11" s="2" t="s">
        <v>78</v>
      </c>
      <c r="D11" t="s">
        <v>79</v>
      </c>
      <c r="E11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11" s="4">
        <v>4.2</v>
      </c>
      <c r="G11" s="7">
        <v>6.3</v>
      </c>
      <c r="H11" s="7">
        <v>10.5</v>
      </c>
      <c r="I11" s="4">
        <v>3.9</v>
      </c>
      <c r="J11" s="7">
        <v>7.85</v>
      </c>
      <c r="K11" s="7">
        <v>11.75</v>
      </c>
      <c r="L11" s="4">
        <v>3.9</v>
      </c>
      <c r="M11" s="7">
        <v>8</v>
      </c>
      <c r="N11" s="7">
        <v>11.9</v>
      </c>
      <c r="O11" s="4">
        <v>3.8</v>
      </c>
      <c r="P11" s="7">
        <v>7.4</v>
      </c>
      <c r="Q11" s="7">
        <v>11.2</v>
      </c>
      <c r="R11" s="4">
        <f>LARGE(CHOOSE({1;2;3;4},F11,I11,L11,O11),1)+LARGE(CHOOSE({1;2;3;4},F11,I11,L11,O11),2)+LARGE(CHOOSE({1;2;3;4},F11,I11,L11,O11),3)</f>
        <v>12</v>
      </c>
      <c r="S11" s="7">
        <f>LARGE(CHOOSE({1;2;3;4},G11,J11,M11,P11),1)+LARGE(CHOOSE({1;2;3;4},G11,J11,M11,P11),2)+LARGE(CHOOSE({1;2;3;4},G11,J11,M11,P11),3)</f>
        <v>23.25</v>
      </c>
      <c r="T11" s="7">
        <f>LARGE(CHOOSE({1;2;3;4},H11,K11,N11,Q11),1)+LARGE(CHOOSE({1;2;3;4},H11,K11,N11,Q11),2)+LARGE(CHOOSE({1;2;3;4},H11,K11,N11,Q11),3)</f>
        <v>34.849999999999994</v>
      </c>
      <c r="U11" s="4" cm="1">
        <f t="array" ref="U11">IF(FX[[#This Row],[Number_of_competition]:[Number_of_competition]]&gt;=3,(LARGE(CHOOSE({1;2;3;4},F11,I11,L11,O11),1)+LARGE(CHOOSE({1;2;3;4},F11,I11,L11,O11),2)+LARGE(CHOOSE({1;2;3;4},F11,I11,L11,O11),3))/3,0)</f>
        <v>4</v>
      </c>
      <c r="V11" s="7" cm="1">
        <f t="array" ref="V11">IF(FX[[#This Row],[Number_of_competition]:[Number_of_competition]]&gt;=3,(LARGE(CHOOSE({1;2;3;4},G11,J11,M11,P11),1)+LARGE(CHOOSE({1;2;3;4},G11,J11,M11,P11),2)+LARGE(CHOOSE({1;2;3;4},G11,J11,M11,P11),3))/3,0)</f>
        <v>7.75</v>
      </c>
      <c r="W11" s="7" cm="1">
        <f t="array" ref="W11">IF(FX[[#This Row],[Number_of_competition]:[Number_of_competition]]&gt;=3,(LARGE(CHOOSE({1;2;3;4},H11,K11,N11,Q11),1)+LARGE(CHOOSE({1;2;3;4},H11,K11,N11,Q11),2)+LARGE(CHOOSE({1;2;3;4},H11,K11,N11,Q11),3))/3,0)</f>
        <v>11.616666666666665</v>
      </c>
      <c r="Y11" s="40"/>
      <c r="Z11" s="20" t="s">
        <v>275</v>
      </c>
      <c r="AA11" s="21" cm="1">
        <f t="array" ref="AA11">SUM(_xlfn._xlws.FILTER(FX[Year_Dscore],(FX[Category]="junior")*(FX[Number_of_competition]&gt;=3))/COUNTIFS(FX[Number_of_competition],"&gt;=3",FX[Category],"junior"))</f>
        <v>10.880000000000003</v>
      </c>
      <c r="AB11" s="21" cm="1">
        <f t="array" ref="AB11">_xlfn.STDEV.S(_xlfn._xlws.FILTER(FX[Year_Dscore],(FX[Category]="junior")*(FX[Number_of_competition]&gt;=3)))</f>
        <v>1.2629770825755648</v>
      </c>
      <c r="AC11" s="21" cm="1">
        <f t="array" ref="AC11">MAX(_xlfn._xlws.FILTER(FX[Year_Dscore],FX[Category]="junior"))</f>
        <v>12.7</v>
      </c>
      <c r="AE11" s="43" t="s">
        <v>63</v>
      </c>
      <c r="AF11" s="43" t="s">
        <v>60</v>
      </c>
      <c r="AG11" s="43" t="s">
        <v>39</v>
      </c>
      <c r="AH11">
        <v>4</v>
      </c>
      <c r="AI11" s="43" t="s">
        <v>343</v>
      </c>
      <c r="AJ11" s="43" t="s">
        <v>308</v>
      </c>
      <c r="AK11">
        <v>5.6</v>
      </c>
    </row>
    <row r="12" spans="1:37" x14ac:dyDescent="0.25">
      <c r="A12" t="s">
        <v>106</v>
      </c>
      <c r="B12" s="2" t="s">
        <v>60</v>
      </c>
      <c r="C12" s="2" t="s">
        <v>107</v>
      </c>
      <c r="D12" t="s">
        <v>31</v>
      </c>
      <c r="E12" s="6">
        <f>COUNTIF(FX[[#This Row],[bydgoszcz_FX_Total_Score]],"&gt;0")+COUNTIF(FX[[#This Row],[zabrze_FX_Total_Score]],"&gt;0")+COUNTIF(FX[[#This Row],[cracow_FX_Total_Score]],"&gt;0")+COUNTIF(FX[[#This Row],[gdansk_FX_Total_Score]],"&gt;0")</f>
        <v>3</v>
      </c>
      <c r="F12" s="4">
        <v>3.9</v>
      </c>
      <c r="G12" s="7">
        <v>8.4</v>
      </c>
      <c r="H12" s="7">
        <v>12.3</v>
      </c>
      <c r="I12" s="4">
        <v>4</v>
      </c>
      <c r="J12" s="7">
        <v>6</v>
      </c>
      <c r="K12" s="7">
        <v>10</v>
      </c>
      <c r="L12" s="4">
        <v>3.8</v>
      </c>
      <c r="M12" s="7">
        <v>7.45</v>
      </c>
      <c r="N12" s="7">
        <v>11.25</v>
      </c>
      <c r="O12" s="4">
        <v>0</v>
      </c>
      <c r="P12" s="7">
        <v>0</v>
      </c>
      <c r="Q12" s="7">
        <v>0</v>
      </c>
      <c r="R12" s="4">
        <f>LARGE(CHOOSE({1;2;3;4},F12,I12,L12,O12),1)+LARGE(CHOOSE({1;2;3;4},F12,I12,L12,O12),2)+LARGE(CHOOSE({1;2;3;4},F12,I12,L12,O12),3)</f>
        <v>11.7</v>
      </c>
      <c r="S12" s="7">
        <f>LARGE(CHOOSE({1;2;3;4},G12,J12,M12,P12),1)+LARGE(CHOOSE({1;2;3;4},G12,J12,M12,P12),2)+LARGE(CHOOSE({1;2;3;4},G12,J12,M12,P12),3)</f>
        <v>21.85</v>
      </c>
      <c r="T12" s="7">
        <f>LARGE(CHOOSE({1;2;3;4},H12,K12,N12,Q12),1)+LARGE(CHOOSE({1;2;3;4},H12,K12,N12,Q12),2)+LARGE(CHOOSE({1;2;3;4},H12,K12,N12,Q12),3)</f>
        <v>33.549999999999997</v>
      </c>
      <c r="U12" s="4" cm="1">
        <f t="array" ref="U12">IF(FX[[#This Row],[Number_of_competition]:[Number_of_competition]]&gt;=3,(LARGE(CHOOSE({1;2;3;4},F12,I12,L12,O12),1)+LARGE(CHOOSE({1;2;3;4},F12,I12,L12,O12),2)+LARGE(CHOOSE({1;2;3;4},F12,I12,L12,O12),3))/3,0)</f>
        <v>3.9</v>
      </c>
      <c r="V12" s="7" cm="1">
        <f t="array" ref="V12">IF(FX[[#This Row],[Number_of_competition]:[Number_of_competition]]&gt;=3,(LARGE(CHOOSE({1;2;3;4},G12,J12,M12,P12),1)+LARGE(CHOOSE({1;2;3;4},G12,J12,M12,P12),2)+LARGE(CHOOSE({1;2;3;4},G12,J12,M12,P12),3))/3,0)</f>
        <v>7.2833333333333341</v>
      </c>
      <c r="W12" s="7" cm="1">
        <f t="array" ref="W12">IF(FX[[#This Row],[Number_of_competition]:[Number_of_competition]]&gt;=3,(LARGE(CHOOSE({1;2;3;4},H12,K12,N12,Q12),1)+LARGE(CHOOSE({1;2;3;4},H12,K12,N12,Q12),2)+LARGE(CHOOSE({1;2;3;4},H12,K12,N12,Q12),3))/3,0)</f>
        <v>11.183333333333332</v>
      </c>
      <c r="Y12" s="40"/>
      <c r="Z12" s="20" t="s">
        <v>276</v>
      </c>
      <c r="AA12" s="22" cm="1">
        <f t="array" ref="AA12">SUM(_xlfn._xlws.FILTER(FX[Year_Escore],(FX[Category]="junior")*(FX[Number_of_competition]&gt;=3))/COUNTIFS(FX[Number_of_competition],"&gt;=3",FX[Category],"junior"))</f>
        <v>24.480000000000004</v>
      </c>
      <c r="AB12" s="22" cm="1">
        <f t="array" ref="AB12">_xlfn.STDEV.S(_xlfn._xlws.FILTER(FX[Year_Escore],(FX[Category]="junior")*(FX[Number_of_competition]&gt;=3)))</f>
        <v>0.87088715942103689</v>
      </c>
      <c r="AC12" s="22" cm="1">
        <f t="array" ref="AC12">MAX(_xlfn._xlws.FILTER(FX[Year_Escore],FX[Category]="junior"))</f>
        <v>26.099999999999998</v>
      </c>
      <c r="AE12" s="43" t="s">
        <v>63</v>
      </c>
      <c r="AF12" s="43" t="s">
        <v>60</v>
      </c>
      <c r="AG12" s="43" t="s">
        <v>39</v>
      </c>
      <c r="AH12">
        <v>4</v>
      </c>
      <c r="AI12" s="43" t="s">
        <v>343</v>
      </c>
      <c r="AJ12" s="43" t="s">
        <v>309</v>
      </c>
      <c r="AK12">
        <v>6.65</v>
      </c>
    </row>
    <row r="13" spans="1:37" x14ac:dyDescent="0.25">
      <c r="A13" t="s">
        <v>90</v>
      </c>
      <c r="B13" s="2" t="s">
        <v>60</v>
      </c>
      <c r="C13" s="2" t="s">
        <v>91</v>
      </c>
      <c r="D13" t="s">
        <v>36</v>
      </c>
      <c r="E13" s="6">
        <f>COUNTIF(FX[[#This Row],[bydgoszcz_FX_Total_Score]],"&gt;0")+COUNTIF(FX[[#This Row],[zabrze_FX_Total_Score]],"&gt;0")+COUNTIF(FX[[#This Row],[cracow_FX_Total_Score]],"&gt;0")+COUNTIF(FX[[#This Row],[gdansk_FX_Total_Score]],"&gt;0")</f>
        <v>3</v>
      </c>
      <c r="F13" s="4">
        <v>0</v>
      </c>
      <c r="G13" s="7">
        <v>0</v>
      </c>
      <c r="H13" s="7">
        <v>0</v>
      </c>
      <c r="I13" s="4">
        <v>4</v>
      </c>
      <c r="J13" s="7">
        <v>7.85</v>
      </c>
      <c r="K13" s="7">
        <v>11.85</v>
      </c>
      <c r="L13" s="4">
        <v>4</v>
      </c>
      <c r="M13" s="7">
        <v>7.9</v>
      </c>
      <c r="N13" s="7">
        <v>11.9</v>
      </c>
      <c r="O13" s="4">
        <v>3.6</v>
      </c>
      <c r="P13" s="7">
        <v>5.7</v>
      </c>
      <c r="Q13" s="7">
        <v>9.3000000000000007</v>
      </c>
      <c r="R13" s="4">
        <f>LARGE(CHOOSE({1;2;3;4},F13,I13,L13,O13),1)+LARGE(CHOOSE({1;2;3;4},F13,I13,L13,O13),2)+LARGE(CHOOSE({1;2;3;4},F13,I13,L13,O13),3)</f>
        <v>11.6</v>
      </c>
      <c r="S13" s="7">
        <f>LARGE(CHOOSE({1;2;3;4},G13,J13,M13,P13),1)+LARGE(CHOOSE({1;2;3;4},G13,J13,M13,P13),2)+LARGE(CHOOSE({1;2;3;4},G13,J13,M13,P13),3)</f>
        <v>21.45</v>
      </c>
      <c r="T13" s="7">
        <f>LARGE(CHOOSE({1;2;3;4},H13,K13,N13,Q13),1)+LARGE(CHOOSE({1;2;3;4},H13,K13,N13,Q13),2)+LARGE(CHOOSE({1;2;3;4},H13,K13,N13,Q13),3)</f>
        <v>33.049999999999997</v>
      </c>
      <c r="U13" s="4" cm="1">
        <f t="array" ref="U13">IF(FX[[#This Row],[Number_of_competition]:[Number_of_competition]]&gt;=3,(LARGE(CHOOSE({1;2;3;4},F13,I13,L13,O13),1)+LARGE(CHOOSE({1;2;3;4},F13,I13,L13,O13),2)+LARGE(CHOOSE({1;2;3;4},F13,I13,L13,O13),3))/3,0)</f>
        <v>3.8666666666666667</v>
      </c>
      <c r="V13" s="7" cm="1">
        <f t="array" ref="V13">IF(FX[[#This Row],[Number_of_competition]:[Number_of_competition]]&gt;=3,(LARGE(CHOOSE({1;2;3;4},G13,J13,M13,P13),1)+LARGE(CHOOSE({1;2;3;4},G13,J13,M13,P13),2)+LARGE(CHOOSE({1;2;3;4},G13,J13,M13,P13),3))/3,0)</f>
        <v>7.1499999999999995</v>
      </c>
      <c r="W13" s="7" cm="1">
        <f t="array" ref="W13">IF(FX[[#This Row],[Number_of_competition]:[Number_of_competition]]&gt;=3,(LARGE(CHOOSE({1;2;3;4},H13,K13,N13,Q13),1)+LARGE(CHOOSE({1;2;3;4},H13,K13,N13,Q13),2)+LARGE(CHOOSE({1;2;3;4},H13,K13,N13,Q13),3))/3,0)</f>
        <v>11.016666666666666</v>
      </c>
      <c r="Y13" s="41"/>
      <c r="Z13" s="20" t="s">
        <v>277</v>
      </c>
      <c r="AA13" s="22" cm="1">
        <f t="array" ref="AA13">SUM(_xlfn._xlws.FILTER(FX[Year_Total_Score],(FX[Category]="junior")*(FX[Number_of_competition]&gt;=3))/COUNTIFS(FX[Number_of_competition],"&gt;=3",FX[Category],"junior"))</f>
        <v>35.25</v>
      </c>
      <c r="AB13" s="22" cm="1">
        <f t="array" ref="AB13">_xlfn.STDEV.S(_xlfn._xlws.FILTER(FX[Year_Total_Score],(FX[Category]="junior")*(FX[Number_of_competition]&gt;=3)))</f>
        <v>2.0277245046274563</v>
      </c>
      <c r="AC13" s="22" cm="1">
        <f t="array" ref="AC13">MAX(_xlfn._xlws.FILTER(FX[Year_Total_Score],FX[Category]="junior"))</f>
        <v>38.099999999999994</v>
      </c>
      <c r="AE13" s="43" t="s">
        <v>63</v>
      </c>
      <c r="AF13" s="43" t="s">
        <v>60</v>
      </c>
      <c r="AG13" s="43" t="s">
        <v>39</v>
      </c>
      <c r="AH13">
        <v>4</v>
      </c>
      <c r="AI13" s="43" t="s">
        <v>343</v>
      </c>
      <c r="AJ13" s="43" t="s">
        <v>268</v>
      </c>
      <c r="AK13">
        <v>12.25</v>
      </c>
    </row>
    <row r="14" spans="1:37" x14ac:dyDescent="0.25">
      <c r="A14" t="s">
        <v>116</v>
      </c>
      <c r="B14" s="2" t="s">
        <v>60</v>
      </c>
      <c r="C14" s="2" t="s">
        <v>117</v>
      </c>
      <c r="D14" t="s">
        <v>62</v>
      </c>
      <c r="E14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14" s="4">
        <v>0</v>
      </c>
      <c r="G14" s="7">
        <v>0</v>
      </c>
      <c r="H14" s="7">
        <v>0</v>
      </c>
      <c r="I14" s="4">
        <v>0</v>
      </c>
      <c r="J14" s="7">
        <v>0</v>
      </c>
      <c r="K14" s="7">
        <v>0</v>
      </c>
      <c r="L14" s="4">
        <v>5.4</v>
      </c>
      <c r="M14" s="7">
        <v>8.25</v>
      </c>
      <c r="N14" s="7">
        <v>13.65</v>
      </c>
      <c r="O14" s="4">
        <v>5.8</v>
      </c>
      <c r="P14" s="7">
        <v>5.4</v>
      </c>
      <c r="Q14" s="7">
        <v>11.2</v>
      </c>
      <c r="R14" s="4">
        <f>LARGE(CHOOSE({1;2;3;4},F14,I14,L14,O14),1)+LARGE(CHOOSE({1;2;3;4},F14,I14,L14,O14),2)+LARGE(CHOOSE({1;2;3;4},F14,I14,L14,O14),3)</f>
        <v>11.2</v>
      </c>
      <c r="S14" s="7">
        <f>LARGE(CHOOSE({1;2;3;4},G14,J14,M14,P14),1)+LARGE(CHOOSE({1;2;3;4},G14,J14,M14,P14),2)+LARGE(CHOOSE({1;2;3;4},G14,J14,M14,P14),3)</f>
        <v>13.65</v>
      </c>
      <c r="T14" s="7">
        <f>LARGE(CHOOSE({1;2;3;4},H14,K14,N14,Q14),1)+LARGE(CHOOSE({1;2;3;4},H14,K14,N14,Q14),2)+LARGE(CHOOSE({1;2;3;4},H14,K14,N14,Q14),3)</f>
        <v>24.85</v>
      </c>
      <c r="U14" s="4" cm="1">
        <f t="array" ref="U14">IF(FX[[#This Row],[Number_of_competition]:[Number_of_competition]]&gt;=3,(LARGE(CHOOSE({1;2;3;4},F14,I14,L14,O14),1)+LARGE(CHOOSE({1;2;3;4},F14,I14,L14,O14),2)+LARGE(CHOOSE({1;2;3;4},F14,I14,L14,O14),3))/3,0)</f>
        <v>0</v>
      </c>
      <c r="V14" s="7" cm="1">
        <f t="array" ref="V14">IF(FX[[#This Row],[Number_of_competition]:[Number_of_competition]]&gt;=3,(LARGE(CHOOSE({1;2;3;4},G14,J14,M14,P14),1)+LARGE(CHOOSE({1;2;3;4},G14,J14,M14,P14),2)+LARGE(CHOOSE({1;2;3;4},G14,J14,M14,P14),3))/3,0)</f>
        <v>0</v>
      </c>
      <c r="W14" s="7" cm="1">
        <f t="array" ref="W14">IF(FX[[#This Row],[Number_of_competition]:[Number_of_competition]]&gt;=3,(LARGE(CHOOSE({1;2;3;4},H14,K14,N14,Q14),1)+LARGE(CHOOSE({1;2;3;4},H14,K14,N14,Q14),2)+LARGE(CHOOSE({1;2;3;4},H14,K14,N14,Q14),3))/3,0)</f>
        <v>0</v>
      </c>
      <c r="AE14" s="43" t="s">
        <v>63</v>
      </c>
      <c r="AF14" s="43" t="s">
        <v>60</v>
      </c>
      <c r="AG14" s="43" t="s">
        <v>39</v>
      </c>
      <c r="AH14">
        <v>4</v>
      </c>
      <c r="AI14" s="43" t="s">
        <v>341</v>
      </c>
      <c r="AJ14" s="43" t="s">
        <v>308</v>
      </c>
      <c r="AK14">
        <v>17.399999999999999</v>
      </c>
    </row>
    <row r="15" spans="1:37" x14ac:dyDescent="0.25">
      <c r="A15" t="s">
        <v>70</v>
      </c>
      <c r="B15" s="2" t="s">
        <v>60</v>
      </c>
      <c r="C15" s="2" t="s">
        <v>71</v>
      </c>
      <c r="D15" t="s">
        <v>72</v>
      </c>
      <c r="E15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15" s="4">
        <v>0</v>
      </c>
      <c r="G15" s="7">
        <v>0</v>
      </c>
      <c r="H15" s="7">
        <v>0</v>
      </c>
      <c r="I15" s="4">
        <v>5</v>
      </c>
      <c r="J15" s="7">
        <v>6.8</v>
      </c>
      <c r="K15" s="7">
        <v>11.8</v>
      </c>
      <c r="L15" s="4">
        <v>4.9000000000000004</v>
      </c>
      <c r="M15" s="7">
        <v>7.6</v>
      </c>
      <c r="N15" s="7">
        <v>12.5</v>
      </c>
      <c r="O15" s="4">
        <v>0</v>
      </c>
      <c r="P15" s="7">
        <v>0</v>
      </c>
      <c r="Q15" s="7">
        <v>0</v>
      </c>
      <c r="R15" s="4">
        <f>LARGE(CHOOSE({1;2;3;4},F15,I15,L15,O15),1)+LARGE(CHOOSE({1;2;3;4},F15,I15,L15,O15),2)+LARGE(CHOOSE({1;2;3;4},F15,I15,L15,O15),3)</f>
        <v>9.9</v>
      </c>
      <c r="S15" s="7">
        <f>LARGE(CHOOSE({1;2;3;4},G15,J15,M15,P15),1)+LARGE(CHOOSE({1;2;3;4},G15,J15,M15,P15),2)+LARGE(CHOOSE({1;2;3;4},G15,J15,M15,P15),3)</f>
        <v>14.399999999999999</v>
      </c>
      <c r="T15" s="7">
        <f>LARGE(CHOOSE({1;2;3;4},H15,K15,N15,Q15),1)+LARGE(CHOOSE({1;2;3;4},H15,K15,N15,Q15),2)+LARGE(CHOOSE({1;2;3;4},H15,K15,N15,Q15),3)</f>
        <v>24.3</v>
      </c>
      <c r="U15" s="4" cm="1">
        <f t="array" ref="U15">IF(FX[[#This Row],[Number_of_competition]:[Number_of_competition]]&gt;=3,(LARGE(CHOOSE({1;2;3;4},F15,I15,L15,O15),1)+LARGE(CHOOSE({1;2;3;4},F15,I15,L15,O15),2)+LARGE(CHOOSE({1;2;3;4},F15,I15,L15,O15),3))/3,0)</f>
        <v>0</v>
      </c>
      <c r="V15" s="7" cm="1">
        <f t="array" ref="V15">IF(FX[[#This Row],[Number_of_competition]:[Number_of_competition]]&gt;=3,(LARGE(CHOOSE({1;2;3;4},G15,J15,M15,P15),1)+LARGE(CHOOSE({1;2;3;4},G15,J15,M15,P15),2)+LARGE(CHOOSE({1;2;3;4},G15,J15,M15,P15),3))/3,0)</f>
        <v>0</v>
      </c>
      <c r="W15" s="7" cm="1">
        <f t="array" ref="W15">IF(FX[[#This Row],[Number_of_competition]:[Number_of_competition]]&gt;=3,(LARGE(CHOOSE({1;2;3;4},H15,K15,N15,Q15),1)+LARGE(CHOOSE({1;2;3;4},H15,K15,N15,Q15),2)+LARGE(CHOOSE({1;2;3;4},H15,K15,N15,Q15),3))/3,0)</f>
        <v>0</v>
      </c>
      <c r="Y15" s="28" t="s">
        <v>296</v>
      </c>
      <c r="AE15" s="43" t="s">
        <v>63</v>
      </c>
      <c r="AF15" s="43" t="s">
        <v>60</v>
      </c>
      <c r="AG15" s="43" t="s">
        <v>39</v>
      </c>
      <c r="AH15">
        <v>4</v>
      </c>
      <c r="AI15" s="43" t="s">
        <v>341</v>
      </c>
      <c r="AJ15" s="43" t="s">
        <v>309</v>
      </c>
      <c r="AK15">
        <v>22.1</v>
      </c>
    </row>
    <row r="16" spans="1:37" x14ac:dyDescent="0.25">
      <c r="A16" t="s">
        <v>127</v>
      </c>
      <c r="B16" s="2" t="s">
        <v>60</v>
      </c>
      <c r="C16" s="2" t="s">
        <v>128</v>
      </c>
      <c r="D16" t="s">
        <v>72</v>
      </c>
      <c r="E16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16" s="4">
        <v>4.4000000000000004</v>
      </c>
      <c r="G16" s="7">
        <v>8.6999999999999993</v>
      </c>
      <c r="H16" s="7">
        <v>13.1</v>
      </c>
      <c r="I16" s="4">
        <v>0</v>
      </c>
      <c r="J16" s="7">
        <v>0</v>
      </c>
      <c r="K16" s="7">
        <v>0</v>
      </c>
      <c r="L16" s="4">
        <v>3.7</v>
      </c>
      <c r="M16" s="7">
        <v>7.1</v>
      </c>
      <c r="N16" s="7">
        <v>10.8</v>
      </c>
      <c r="O16" s="4">
        <v>0</v>
      </c>
      <c r="P16" s="7">
        <v>0</v>
      </c>
      <c r="Q16" s="7">
        <v>0</v>
      </c>
      <c r="R16" s="4">
        <f>LARGE(CHOOSE({1;2;3;4},F16,I16,L16,O16),1)+LARGE(CHOOSE({1;2;3;4},F16,I16,L16,O16),2)+LARGE(CHOOSE({1;2;3;4},F16,I16,L16,O16),3)</f>
        <v>8.1000000000000014</v>
      </c>
      <c r="S16" s="7">
        <f>LARGE(CHOOSE({1;2;3;4},G16,J16,M16,P16),1)+LARGE(CHOOSE({1;2;3;4},G16,J16,M16,P16),2)+LARGE(CHOOSE({1;2;3;4},G16,J16,M16,P16),3)</f>
        <v>15.799999999999999</v>
      </c>
      <c r="T16" s="7">
        <f>LARGE(CHOOSE({1;2;3;4},H16,K16,N16,Q16),1)+LARGE(CHOOSE({1;2;3;4},H16,K16,N16,Q16),2)+LARGE(CHOOSE({1;2;3;4},H16,K16,N16,Q16),3)</f>
        <v>23.9</v>
      </c>
      <c r="U16" s="4" cm="1">
        <f t="array" ref="U16">IF(FX[[#This Row],[Number_of_competition]:[Number_of_competition]]&gt;=3,(LARGE(CHOOSE({1;2;3;4},F16,I16,L16,O16),1)+LARGE(CHOOSE({1;2;3;4},F16,I16,L16,O16),2)+LARGE(CHOOSE({1;2;3;4},F16,I16,L16,O16),3))/3,0)</f>
        <v>0</v>
      </c>
      <c r="V16" s="7" cm="1">
        <f t="array" ref="V16">IF(FX[[#This Row],[Number_of_competition]:[Number_of_competition]]&gt;=3,(LARGE(CHOOSE({1;2;3;4},G16,J16,M16,P16),1)+LARGE(CHOOSE({1;2;3;4},G16,J16,M16,P16),2)+LARGE(CHOOSE({1;2;3;4},G16,J16,M16,P16),3))/3,0)</f>
        <v>0</v>
      </c>
      <c r="W16" s="7" cm="1">
        <f t="array" ref="W16">IF(FX[[#This Row],[Number_of_competition]:[Number_of_competition]]&gt;=3,(LARGE(CHOOSE({1;2;3;4},H16,K16,N16,Q16),1)+LARGE(CHOOSE({1;2;3;4},H16,K16,N16,Q16),2)+LARGE(CHOOSE({1;2;3;4},H16,K16,N16,Q16),3))/3,0)</f>
        <v>0</v>
      </c>
      <c r="Y16" s="29" t="s">
        <v>297</v>
      </c>
      <c r="AE16" s="43" t="s">
        <v>63</v>
      </c>
      <c r="AF16" s="43" t="s">
        <v>60</v>
      </c>
      <c r="AG16" s="43" t="s">
        <v>39</v>
      </c>
      <c r="AH16">
        <v>4</v>
      </c>
      <c r="AI16" s="43" t="s">
        <v>341</v>
      </c>
      <c r="AJ16" s="43" t="s">
        <v>268</v>
      </c>
      <c r="AK16">
        <v>39.450000000000003</v>
      </c>
    </row>
    <row r="17" spans="1:37" x14ac:dyDescent="0.25">
      <c r="A17" t="s">
        <v>92</v>
      </c>
      <c r="B17" s="2" t="s">
        <v>60</v>
      </c>
      <c r="C17" s="2" t="s">
        <v>93</v>
      </c>
      <c r="D17" t="s">
        <v>39</v>
      </c>
      <c r="E17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17" s="4">
        <v>0</v>
      </c>
      <c r="G17" s="7">
        <v>0</v>
      </c>
      <c r="H17" s="7">
        <v>0</v>
      </c>
      <c r="I17" s="4">
        <v>3.7</v>
      </c>
      <c r="J17" s="7">
        <v>7.95</v>
      </c>
      <c r="K17" s="7">
        <v>11.65</v>
      </c>
      <c r="L17" s="4">
        <v>4.0999999999999996</v>
      </c>
      <c r="M17" s="7">
        <v>7.95</v>
      </c>
      <c r="N17" s="7">
        <v>12.05</v>
      </c>
      <c r="O17" s="4">
        <v>0</v>
      </c>
      <c r="P17" s="7">
        <v>0</v>
      </c>
      <c r="Q17" s="7">
        <v>0</v>
      </c>
      <c r="R17" s="4">
        <f>LARGE(CHOOSE({1;2;3;4},F17,I17,L17,O17),1)+LARGE(CHOOSE({1;2;3;4},F17,I17,L17,O17),2)+LARGE(CHOOSE({1;2;3;4},F17,I17,L17,O17),3)</f>
        <v>7.8</v>
      </c>
      <c r="S17" s="7">
        <f>LARGE(CHOOSE({1;2;3;4},G17,J17,M17,P17),1)+LARGE(CHOOSE({1;2;3;4},G17,J17,M17,P17),2)+LARGE(CHOOSE({1;2;3;4},G17,J17,M17,P17),3)</f>
        <v>15.9</v>
      </c>
      <c r="T17" s="7">
        <f>LARGE(CHOOSE({1;2;3;4},H17,K17,N17,Q17),1)+LARGE(CHOOSE({1;2;3;4},H17,K17,N17,Q17),2)+LARGE(CHOOSE({1;2;3;4},H17,K17,N17,Q17),3)</f>
        <v>23.700000000000003</v>
      </c>
      <c r="U17" s="4" cm="1">
        <f t="array" ref="U17">IF(FX[[#This Row],[Number_of_competition]:[Number_of_competition]]&gt;=3,(LARGE(CHOOSE({1;2;3;4},F17,I17,L17,O17),1)+LARGE(CHOOSE({1;2;3;4},F17,I17,L17,O17),2)+LARGE(CHOOSE({1;2;3;4},F17,I17,L17,O17),3))/3,0)</f>
        <v>0</v>
      </c>
      <c r="V17" s="7" cm="1">
        <f t="array" ref="V17">IF(FX[[#This Row],[Number_of_competition]:[Number_of_competition]]&gt;=3,(LARGE(CHOOSE({1;2;3;4},G17,J17,M17,P17),1)+LARGE(CHOOSE({1;2;3;4},G17,J17,M17,P17),2)+LARGE(CHOOSE({1;2;3;4},G17,J17,M17,P17),3))/3,0)</f>
        <v>0</v>
      </c>
      <c r="W17" s="7" cm="1">
        <f t="array" ref="W17">IF(FX[[#This Row],[Number_of_competition]:[Number_of_competition]]&gt;=3,(LARGE(CHOOSE({1;2;3;4},H17,K17,N17,Q17),1)+LARGE(CHOOSE({1;2;3;4},H17,K17,N17,Q17),2)+LARGE(CHOOSE({1;2;3;4},H17,K17,N17,Q17),3))/3,0)</f>
        <v>0</v>
      </c>
      <c r="Y17" s="30" t="s">
        <v>298</v>
      </c>
      <c r="AE17" s="43" t="s">
        <v>63</v>
      </c>
      <c r="AF17" s="43" t="s">
        <v>60</v>
      </c>
      <c r="AG17" s="43" t="s">
        <v>39</v>
      </c>
      <c r="AH17">
        <v>4</v>
      </c>
      <c r="AI17" s="43" t="s">
        <v>273</v>
      </c>
      <c r="AJ17" s="43" t="s">
        <v>308</v>
      </c>
      <c r="AK17">
        <v>5.8</v>
      </c>
    </row>
    <row r="18" spans="1:37" x14ac:dyDescent="0.25">
      <c r="A18" t="s">
        <v>65</v>
      </c>
      <c r="B18" s="2" t="s">
        <v>60</v>
      </c>
      <c r="C18" s="2" t="s">
        <v>66</v>
      </c>
      <c r="D18" t="s">
        <v>67</v>
      </c>
      <c r="E18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18" s="4">
        <v>0</v>
      </c>
      <c r="G18" s="7">
        <v>0</v>
      </c>
      <c r="H18" s="7">
        <v>0</v>
      </c>
      <c r="I18" s="4">
        <v>3.8</v>
      </c>
      <c r="J18" s="7">
        <v>8.4</v>
      </c>
      <c r="K18" s="7">
        <v>12.2</v>
      </c>
      <c r="L18" s="4">
        <v>0</v>
      </c>
      <c r="M18" s="7">
        <v>0</v>
      </c>
      <c r="N18" s="7">
        <v>0</v>
      </c>
      <c r="O18" s="4">
        <v>3.9</v>
      </c>
      <c r="P18" s="7">
        <v>7.3</v>
      </c>
      <c r="Q18" s="7">
        <v>11.2</v>
      </c>
      <c r="R18" s="4">
        <f>LARGE(CHOOSE({1;2;3;4},F18,I18,L18,O18),1)+LARGE(CHOOSE({1;2;3;4},F18,I18,L18,O18),2)+LARGE(CHOOSE({1;2;3;4},F18,I18,L18,O18),3)</f>
        <v>7.6999999999999993</v>
      </c>
      <c r="S18" s="7">
        <f>LARGE(CHOOSE({1;2;3;4},G18,J18,M18,P18),1)+LARGE(CHOOSE({1;2;3;4},G18,J18,M18,P18),2)+LARGE(CHOOSE({1;2;3;4},G18,J18,M18,P18),3)</f>
        <v>15.7</v>
      </c>
      <c r="T18" s="7">
        <f>LARGE(CHOOSE({1;2;3;4},H18,K18,N18,Q18),1)+LARGE(CHOOSE({1;2;3;4},H18,K18,N18,Q18),2)+LARGE(CHOOSE({1;2;3;4},H18,K18,N18,Q18),3)</f>
        <v>23.4</v>
      </c>
      <c r="U18" s="4" cm="1">
        <f t="array" ref="U18">IF(FX[[#This Row],[Number_of_competition]:[Number_of_competition]]&gt;=3,(LARGE(CHOOSE({1;2;3;4},F18,I18,L18,O18),1)+LARGE(CHOOSE({1;2;3;4},F18,I18,L18,O18),2)+LARGE(CHOOSE({1;2;3;4},F18,I18,L18,O18),3))/3,0)</f>
        <v>0</v>
      </c>
      <c r="V18" s="7" cm="1">
        <f t="array" ref="V18">IF(FX[[#This Row],[Number_of_competition]:[Number_of_competition]]&gt;=3,(LARGE(CHOOSE({1;2;3;4},G18,J18,M18,P18),1)+LARGE(CHOOSE({1;2;3;4},G18,J18,M18,P18),2)+LARGE(CHOOSE({1;2;3;4},G18,J18,M18,P18),3))/3,0)</f>
        <v>0</v>
      </c>
      <c r="W18" s="7" cm="1">
        <f t="array" ref="W18">IF(FX[[#This Row],[Number_of_competition]:[Number_of_competition]]&gt;=3,(LARGE(CHOOSE({1;2;3;4},H18,K18,N18,Q18),1)+LARGE(CHOOSE({1;2;3;4},H18,K18,N18,Q18),2)+LARGE(CHOOSE({1;2;3;4},H18,K18,N18,Q18),3))/3,0)</f>
        <v>0</v>
      </c>
      <c r="Y18" s="31" t="s">
        <v>300</v>
      </c>
      <c r="AE18" s="43" t="s">
        <v>63</v>
      </c>
      <c r="AF18" s="43" t="s">
        <v>60</v>
      </c>
      <c r="AG18" s="43" t="s">
        <v>39</v>
      </c>
      <c r="AH18">
        <v>4</v>
      </c>
      <c r="AI18" s="43" t="s">
        <v>273</v>
      </c>
      <c r="AJ18" s="43" t="s">
        <v>309</v>
      </c>
      <c r="AK18">
        <v>7.3666666666666671</v>
      </c>
    </row>
    <row r="19" spans="1:37" x14ac:dyDescent="0.25">
      <c r="A19" t="s">
        <v>75</v>
      </c>
      <c r="B19" s="2" t="s">
        <v>60</v>
      </c>
      <c r="C19" s="2" t="s">
        <v>76</v>
      </c>
      <c r="D19" t="s">
        <v>28</v>
      </c>
      <c r="E19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19" s="4">
        <v>0</v>
      </c>
      <c r="G19" s="7">
        <v>0</v>
      </c>
      <c r="H19" s="7">
        <v>0</v>
      </c>
      <c r="I19" s="4">
        <v>3.8</v>
      </c>
      <c r="J19" s="7">
        <v>7.3</v>
      </c>
      <c r="K19" s="7">
        <v>11.1</v>
      </c>
      <c r="L19" s="4">
        <v>3.9</v>
      </c>
      <c r="M19" s="7">
        <v>7.9</v>
      </c>
      <c r="N19" s="7">
        <v>11.8</v>
      </c>
      <c r="O19" s="4">
        <v>0</v>
      </c>
      <c r="P19" s="7">
        <v>0</v>
      </c>
      <c r="Q19" s="7">
        <v>0</v>
      </c>
      <c r="R19" s="4">
        <f>LARGE(CHOOSE({1;2;3;4},F19,I19,L19,O19),1)+LARGE(CHOOSE({1;2;3;4},F19,I19,L19,O19),2)+LARGE(CHOOSE({1;2;3;4},F19,I19,L19,O19),3)</f>
        <v>7.6999999999999993</v>
      </c>
      <c r="S19" s="7">
        <f>LARGE(CHOOSE({1;2;3;4},G19,J19,M19,P19),1)+LARGE(CHOOSE({1;2;3;4},G19,J19,M19,P19),2)+LARGE(CHOOSE({1;2;3;4},G19,J19,M19,P19),3)</f>
        <v>15.2</v>
      </c>
      <c r="T19" s="7">
        <f>LARGE(CHOOSE({1;2;3;4},H19,K19,N19,Q19),1)+LARGE(CHOOSE({1;2;3;4},H19,K19,N19,Q19),2)+LARGE(CHOOSE({1;2;3;4},H19,K19,N19,Q19),3)</f>
        <v>22.9</v>
      </c>
      <c r="U19" s="4" cm="1">
        <f t="array" ref="U19">IF(FX[[#This Row],[Number_of_competition]:[Number_of_competition]]&gt;=3,(LARGE(CHOOSE({1;2;3;4},F19,I19,L19,O19),1)+LARGE(CHOOSE({1;2;3;4},F19,I19,L19,O19),2)+LARGE(CHOOSE({1;2;3;4},F19,I19,L19,O19),3))/3,0)</f>
        <v>0</v>
      </c>
      <c r="V19" s="7" cm="1">
        <f t="array" ref="V19">IF(FX[[#This Row],[Number_of_competition]:[Number_of_competition]]&gt;=3,(LARGE(CHOOSE({1;2;3;4},G19,J19,M19,P19),1)+LARGE(CHOOSE({1;2;3;4},G19,J19,M19,P19),2)+LARGE(CHOOSE({1;2;3;4},G19,J19,M19,P19),3))/3,0)</f>
        <v>0</v>
      </c>
      <c r="W19" s="7" cm="1">
        <f t="array" ref="W19">IF(FX[[#This Row],[Number_of_competition]:[Number_of_competition]]&gt;=3,(LARGE(CHOOSE({1;2;3;4},H19,K19,N19,Q19),1)+LARGE(CHOOSE({1;2;3;4},H19,K19,N19,Q19),2)+LARGE(CHOOSE({1;2;3;4},H19,K19,N19,Q19),3))/3,0)</f>
        <v>0</v>
      </c>
      <c r="Y19" s="32" t="s">
        <v>299</v>
      </c>
      <c r="AE19" s="43" t="s">
        <v>63</v>
      </c>
      <c r="AF19" s="43" t="s">
        <v>60</v>
      </c>
      <c r="AG19" s="43" t="s">
        <v>39</v>
      </c>
      <c r="AH19">
        <v>4</v>
      </c>
      <c r="AI19" s="43" t="s">
        <v>273</v>
      </c>
      <c r="AJ19" s="43" t="s">
        <v>268</v>
      </c>
      <c r="AK19">
        <v>13.15</v>
      </c>
    </row>
    <row r="20" spans="1:37" x14ac:dyDescent="0.25">
      <c r="A20" t="s">
        <v>108</v>
      </c>
      <c r="B20" s="2" t="s">
        <v>60</v>
      </c>
      <c r="C20" s="2" t="s">
        <v>109</v>
      </c>
      <c r="D20" t="s">
        <v>62</v>
      </c>
      <c r="E20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20" s="4">
        <v>0</v>
      </c>
      <c r="G20" s="7">
        <v>0</v>
      </c>
      <c r="H20" s="7">
        <v>0</v>
      </c>
      <c r="I20" s="4">
        <v>3.3</v>
      </c>
      <c r="J20" s="7">
        <v>8.4</v>
      </c>
      <c r="K20" s="7">
        <v>11.7</v>
      </c>
      <c r="L20" s="4">
        <v>3.5</v>
      </c>
      <c r="M20" s="7">
        <v>7.45</v>
      </c>
      <c r="N20" s="7">
        <v>10.95</v>
      </c>
      <c r="O20" s="4">
        <v>0</v>
      </c>
      <c r="P20" s="7">
        <v>0</v>
      </c>
      <c r="Q20" s="7">
        <v>0</v>
      </c>
      <c r="R20" s="4">
        <f>LARGE(CHOOSE({1;2;3;4},F20,I20,L20,O20),1)+LARGE(CHOOSE({1;2;3;4},F20,I20,L20,O20),2)+LARGE(CHOOSE({1;2;3;4},F20,I20,L20,O20),3)</f>
        <v>6.8</v>
      </c>
      <c r="S20" s="7">
        <f>LARGE(CHOOSE({1;2;3;4},G20,J20,M20,P20),1)+LARGE(CHOOSE({1;2;3;4},G20,J20,M20,P20),2)+LARGE(CHOOSE({1;2;3;4},G20,J20,M20,P20),3)</f>
        <v>15.850000000000001</v>
      </c>
      <c r="T20" s="7">
        <f>LARGE(CHOOSE({1;2;3;4},H20,K20,N20,Q20),1)+LARGE(CHOOSE({1;2;3;4},H20,K20,N20,Q20),2)+LARGE(CHOOSE({1;2;3;4},H20,K20,N20,Q20),3)</f>
        <v>22.65</v>
      </c>
      <c r="U20" s="4" cm="1">
        <f t="array" ref="U20">IF(FX[[#This Row],[Number_of_competition]:[Number_of_competition]]&gt;=3,(LARGE(CHOOSE({1;2;3;4},F20,I20,L20,O20),1)+LARGE(CHOOSE({1;2;3;4},F20,I20,L20,O20),2)+LARGE(CHOOSE({1;2;3;4},F20,I20,L20,O20),3))/3,0)</f>
        <v>0</v>
      </c>
      <c r="V20" s="7" cm="1">
        <f t="array" ref="V20">IF(FX[[#This Row],[Number_of_competition]:[Number_of_competition]]&gt;=3,(LARGE(CHOOSE({1;2;3;4},G20,J20,M20,P20),1)+LARGE(CHOOSE({1;2;3;4},G20,J20,M20,P20),2)+LARGE(CHOOSE({1;2;3;4},G20,J20,M20,P20),3))/3,0)</f>
        <v>0</v>
      </c>
      <c r="W20" s="7" cm="1">
        <f t="array" ref="W20">IF(FX[[#This Row],[Number_of_competition]:[Number_of_competition]]&gt;=3,(LARGE(CHOOSE({1;2;3;4},H20,K20,N20,Q20),1)+LARGE(CHOOSE({1;2;3;4},H20,K20,N20,Q20),2)+LARGE(CHOOSE({1;2;3;4},H20,K20,N20,Q20),3))/3,0)</f>
        <v>0</v>
      </c>
      <c r="Y20" s="33" t="s">
        <v>252</v>
      </c>
      <c r="AE20" s="43" t="s">
        <v>73</v>
      </c>
      <c r="AF20" s="43" t="s">
        <v>60</v>
      </c>
      <c r="AG20" s="43" t="s">
        <v>62</v>
      </c>
      <c r="AH20">
        <v>4</v>
      </c>
      <c r="AI20" s="43" t="s">
        <v>317</v>
      </c>
      <c r="AJ20" s="43" t="s">
        <v>308</v>
      </c>
      <c r="AK20">
        <v>4.7</v>
      </c>
    </row>
    <row r="21" spans="1:37" x14ac:dyDescent="0.25">
      <c r="A21" t="s">
        <v>104</v>
      </c>
      <c r="B21" s="2" t="s">
        <v>60</v>
      </c>
      <c r="C21" s="2" t="s">
        <v>105</v>
      </c>
      <c r="D21" t="s">
        <v>28</v>
      </c>
      <c r="E21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21" s="4">
        <v>0</v>
      </c>
      <c r="G21" s="7">
        <v>0</v>
      </c>
      <c r="H21" s="7">
        <v>0</v>
      </c>
      <c r="I21" s="4">
        <v>4.5</v>
      </c>
      <c r="J21" s="7">
        <v>6.2</v>
      </c>
      <c r="K21" s="7">
        <v>10.7</v>
      </c>
      <c r="L21" s="4">
        <v>0</v>
      </c>
      <c r="M21" s="7">
        <v>0</v>
      </c>
      <c r="N21" s="7">
        <v>0</v>
      </c>
      <c r="O21" s="4">
        <v>4.4000000000000004</v>
      </c>
      <c r="P21" s="7">
        <v>4.5</v>
      </c>
      <c r="Q21" s="7">
        <v>8.9</v>
      </c>
      <c r="R21" s="4">
        <f>LARGE(CHOOSE({1;2;3;4},F21,I21,L21,O21),1)+LARGE(CHOOSE({1;2;3;4},F21,I21,L21,O21),2)+LARGE(CHOOSE({1;2;3;4},F21,I21,L21,O21),3)</f>
        <v>8.9</v>
      </c>
      <c r="S21" s="7">
        <f>LARGE(CHOOSE({1;2;3;4},G21,J21,M21,P21),1)+LARGE(CHOOSE({1;2;3;4},G21,J21,M21,P21),2)+LARGE(CHOOSE({1;2;3;4},G21,J21,M21,P21),3)</f>
        <v>10.7</v>
      </c>
      <c r="T21" s="7">
        <f>LARGE(CHOOSE({1;2;3;4},H21,K21,N21,Q21),1)+LARGE(CHOOSE({1;2;3;4},H21,K21,N21,Q21),2)+LARGE(CHOOSE({1;2;3;4},H21,K21,N21,Q21),3)</f>
        <v>19.600000000000001</v>
      </c>
      <c r="U21" s="4" cm="1">
        <f t="array" ref="U21">IF(FX[[#This Row],[Number_of_competition]:[Number_of_competition]]&gt;=3,(LARGE(CHOOSE({1;2;3;4},F21,I21,L21,O21),1)+LARGE(CHOOSE({1;2;3;4},F21,I21,L21,O21),2)+LARGE(CHOOSE({1;2;3;4},F21,I21,L21,O21),3))/3,0)</f>
        <v>0</v>
      </c>
      <c r="V21" s="7" cm="1">
        <f t="array" ref="V21">IF(FX[[#This Row],[Number_of_competition]:[Number_of_competition]]&gt;=3,(LARGE(CHOOSE({1;2;3;4},G21,J21,M21,P21),1)+LARGE(CHOOSE({1;2;3;4},G21,J21,M21,P21),2)+LARGE(CHOOSE({1;2;3;4},G21,J21,M21,P21),3))/3,0)</f>
        <v>0</v>
      </c>
      <c r="W21" s="7" cm="1">
        <f t="array" ref="W21">IF(FX[[#This Row],[Number_of_competition]:[Number_of_competition]]&gt;=3,(LARGE(CHOOSE({1;2;3;4},H21,K21,N21,Q21),1)+LARGE(CHOOSE({1;2;3;4},H21,K21,N21,Q21),2)+LARGE(CHOOSE({1;2;3;4},H21,K21,N21,Q21),3))/3,0)</f>
        <v>0</v>
      </c>
      <c r="Y21" s="34" t="s">
        <v>301</v>
      </c>
      <c r="AE21" s="43" t="s">
        <v>73</v>
      </c>
      <c r="AF21" s="43" t="s">
        <v>60</v>
      </c>
      <c r="AG21" s="43" t="s">
        <v>62</v>
      </c>
      <c r="AH21">
        <v>4</v>
      </c>
      <c r="AI21" s="43" t="s">
        <v>317</v>
      </c>
      <c r="AJ21" s="43" t="s">
        <v>309</v>
      </c>
      <c r="AK21">
        <v>8.1</v>
      </c>
    </row>
    <row r="22" spans="1:37" x14ac:dyDescent="0.25">
      <c r="A22" t="s">
        <v>142</v>
      </c>
      <c r="B22" s="2" t="s">
        <v>60</v>
      </c>
      <c r="C22" s="2" t="s">
        <v>143</v>
      </c>
      <c r="D22" t="s">
        <v>62</v>
      </c>
      <c r="E22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22" s="4">
        <v>4.5</v>
      </c>
      <c r="G22" s="7">
        <v>8.6999999999999993</v>
      </c>
      <c r="H22" s="7">
        <v>13.2</v>
      </c>
      <c r="I22" s="4">
        <v>0</v>
      </c>
      <c r="J22" s="7">
        <v>0</v>
      </c>
      <c r="K22" s="7">
        <v>0</v>
      </c>
      <c r="L22" s="4">
        <v>0</v>
      </c>
      <c r="M22" s="7">
        <v>0</v>
      </c>
      <c r="N22" s="7">
        <v>0</v>
      </c>
      <c r="O22" s="4">
        <v>0</v>
      </c>
      <c r="P22" s="7">
        <v>0</v>
      </c>
      <c r="Q22" s="7">
        <v>0</v>
      </c>
      <c r="R22" s="4">
        <f>LARGE(CHOOSE({1;2;3;4},F22,I22,L22,O22),1)+LARGE(CHOOSE({1;2;3;4},F22,I22,L22,O22),2)+LARGE(CHOOSE({1;2;3;4},F22,I22,L22,O22),3)</f>
        <v>4.5</v>
      </c>
      <c r="S22" s="7">
        <f>LARGE(CHOOSE({1;2;3;4},G22,J22,M22,P22),1)+LARGE(CHOOSE({1;2;3;4},G22,J22,M22,P22),2)+LARGE(CHOOSE({1;2;3;4},G22,J22,M22,P22),3)</f>
        <v>8.6999999999999993</v>
      </c>
      <c r="T22" s="7">
        <f>LARGE(CHOOSE({1;2;3;4},H22,K22,N22,Q22),1)+LARGE(CHOOSE({1;2;3;4},H22,K22,N22,Q22),2)+LARGE(CHOOSE({1;2;3;4},H22,K22,N22,Q22),3)</f>
        <v>13.2</v>
      </c>
      <c r="U22" s="4" cm="1">
        <f t="array" ref="U22">IF(FX[[#This Row],[Number_of_competition]:[Number_of_competition]]&gt;=3,(LARGE(CHOOSE({1;2;3;4},F22,I22,L22,O22),1)+LARGE(CHOOSE({1;2;3;4},F22,I22,L22,O22),2)+LARGE(CHOOSE({1;2;3;4},F22,I22,L22,O22),3))/3,0)</f>
        <v>0</v>
      </c>
      <c r="V22" s="7" cm="1">
        <f t="array" ref="V22">IF(FX[[#This Row],[Number_of_competition]:[Number_of_competition]]&gt;=3,(LARGE(CHOOSE({1;2;3;4},G22,J22,M22,P22),1)+LARGE(CHOOSE({1;2;3;4},G22,J22,M22,P22),2)+LARGE(CHOOSE({1;2;3;4},G22,J22,M22,P22),3))/3,0)</f>
        <v>0</v>
      </c>
      <c r="W22" s="7" cm="1">
        <f t="array" ref="W22">IF(FX[[#This Row],[Number_of_competition]:[Number_of_competition]]&gt;=3,(LARGE(CHOOSE({1;2;3;4},H22,K22,N22,Q22),1)+LARGE(CHOOSE({1;2;3;4},H22,K22,N22,Q22),2)+LARGE(CHOOSE({1;2;3;4},H22,K22,N22,Q22),3))/3,0)</f>
        <v>0</v>
      </c>
      <c r="Y22" s="37" t="s">
        <v>304</v>
      </c>
      <c r="AE22" s="43" t="s">
        <v>73</v>
      </c>
      <c r="AF22" s="43" t="s">
        <v>60</v>
      </c>
      <c r="AG22" s="43" t="s">
        <v>62</v>
      </c>
      <c r="AH22">
        <v>4</v>
      </c>
      <c r="AI22" s="43" t="s">
        <v>317</v>
      </c>
      <c r="AJ22" s="43" t="s">
        <v>268</v>
      </c>
      <c r="AK22">
        <v>12.8</v>
      </c>
    </row>
    <row r="23" spans="1:37" x14ac:dyDescent="0.25">
      <c r="A23" t="s">
        <v>118</v>
      </c>
      <c r="B23" s="2" t="s">
        <v>60</v>
      </c>
      <c r="C23" s="2" t="s">
        <v>119</v>
      </c>
      <c r="D23" t="s">
        <v>31</v>
      </c>
      <c r="E23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23" s="4">
        <v>0</v>
      </c>
      <c r="G23" s="7">
        <v>0</v>
      </c>
      <c r="H23" s="7">
        <v>0</v>
      </c>
      <c r="I23" s="4">
        <v>0</v>
      </c>
      <c r="J23" s="7">
        <v>0</v>
      </c>
      <c r="K23" s="7">
        <v>0</v>
      </c>
      <c r="L23" s="4">
        <v>4.8</v>
      </c>
      <c r="M23" s="7">
        <v>7.7</v>
      </c>
      <c r="N23" s="7">
        <v>12.5</v>
      </c>
      <c r="O23" s="4">
        <v>0</v>
      </c>
      <c r="P23" s="7">
        <v>0</v>
      </c>
      <c r="Q23" s="7">
        <v>0</v>
      </c>
      <c r="R23" s="4">
        <f>LARGE(CHOOSE({1;2;3;4},F23,I23,L23,O23),1)+LARGE(CHOOSE({1;2;3;4},F23,I23,L23,O23),2)+LARGE(CHOOSE({1;2;3;4},F23,I23,L23,O23),3)</f>
        <v>4.8</v>
      </c>
      <c r="S23" s="7">
        <f>LARGE(CHOOSE({1;2;3;4},G23,J23,M23,P23),1)+LARGE(CHOOSE({1;2;3;4},G23,J23,M23,P23),2)+LARGE(CHOOSE({1;2;3;4},G23,J23,M23,P23),3)</f>
        <v>7.7</v>
      </c>
      <c r="T23" s="7">
        <f>LARGE(CHOOSE({1;2;3;4},H23,K23,N23,Q23),1)+LARGE(CHOOSE({1;2;3;4},H23,K23,N23,Q23),2)+LARGE(CHOOSE({1;2;3;4},H23,K23,N23,Q23),3)</f>
        <v>12.5</v>
      </c>
      <c r="U23" s="4" cm="1">
        <f t="array" ref="U23">IF(FX[[#This Row],[Number_of_competition]:[Number_of_competition]]&gt;=3,(LARGE(CHOOSE({1;2;3;4},F23,I23,L23,O23),1)+LARGE(CHOOSE({1;2;3;4},F23,I23,L23,O23),2)+LARGE(CHOOSE({1;2;3;4},F23,I23,L23,O23),3))/3,0)</f>
        <v>0</v>
      </c>
      <c r="V23" s="7" cm="1">
        <f t="array" ref="V23">IF(FX[[#This Row],[Number_of_competition]:[Number_of_competition]]&gt;=3,(LARGE(CHOOSE({1;2;3;4},G23,J23,M23,P23),1)+LARGE(CHOOSE({1;2;3;4},G23,J23,M23,P23),2)+LARGE(CHOOSE({1;2;3;4},G23,J23,M23,P23),3))/3,0)</f>
        <v>0</v>
      </c>
      <c r="W23" s="7" cm="1">
        <f t="array" ref="W23">IF(FX[[#This Row],[Number_of_competition]:[Number_of_competition]]&gt;=3,(LARGE(CHOOSE({1;2;3;4},H23,K23,N23,Q23),1)+LARGE(CHOOSE({1;2;3;4},H23,K23,N23,Q23),2)+LARGE(CHOOSE({1;2;3;4},H23,K23,N23,Q23),3))/3,0)</f>
        <v>0</v>
      </c>
      <c r="Y23" s="35" t="s">
        <v>302</v>
      </c>
      <c r="AE23" s="43" t="s">
        <v>73</v>
      </c>
      <c r="AF23" s="43" t="s">
        <v>60</v>
      </c>
      <c r="AG23" s="43" t="s">
        <v>62</v>
      </c>
      <c r="AH23">
        <v>4</v>
      </c>
      <c r="AI23" s="43" t="s">
        <v>325</v>
      </c>
      <c r="AJ23" s="43" t="s">
        <v>308</v>
      </c>
      <c r="AK23">
        <v>4.7</v>
      </c>
    </row>
    <row r="24" spans="1:37" x14ac:dyDescent="0.25">
      <c r="A24" t="s">
        <v>129</v>
      </c>
      <c r="B24" s="2" t="s">
        <v>60</v>
      </c>
      <c r="C24" s="2" t="s">
        <v>130</v>
      </c>
      <c r="D24" t="s">
        <v>72</v>
      </c>
      <c r="E24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24" s="4">
        <v>0</v>
      </c>
      <c r="G24" s="7">
        <v>0</v>
      </c>
      <c r="H24" s="7">
        <v>0</v>
      </c>
      <c r="I24" s="4">
        <v>0</v>
      </c>
      <c r="J24" s="7">
        <v>0</v>
      </c>
      <c r="K24" s="7">
        <v>0</v>
      </c>
      <c r="L24" s="4">
        <v>4.4000000000000004</v>
      </c>
      <c r="M24" s="7">
        <v>7.05</v>
      </c>
      <c r="N24" s="7">
        <v>11.45</v>
      </c>
      <c r="O24" s="4">
        <v>0</v>
      </c>
      <c r="P24" s="7">
        <v>0</v>
      </c>
      <c r="Q24" s="7">
        <v>0</v>
      </c>
      <c r="R24" s="4">
        <f>LARGE(CHOOSE({1;2;3;4},F24,I24,L24,O24),1)+LARGE(CHOOSE({1;2;3;4},F24,I24,L24,O24),2)+LARGE(CHOOSE({1;2;3;4},F24,I24,L24,O24),3)</f>
        <v>4.4000000000000004</v>
      </c>
      <c r="S24" s="7">
        <f>LARGE(CHOOSE({1;2;3;4},G24,J24,M24,P24),1)+LARGE(CHOOSE({1;2;3;4},G24,J24,M24,P24),2)+LARGE(CHOOSE({1;2;3;4},G24,J24,M24,P24),3)</f>
        <v>7.05</v>
      </c>
      <c r="T24" s="7">
        <f>LARGE(CHOOSE({1;2;3;4},H24,K24,N24,Q24),1)+LARGE(CHOOSE({1;2;3;4},H24,K24,N24,Q24),2)+LARGE(CHOOSE({1;2;3;4},H24,K24,N24,Q24),3)</f>
        <v>11.45</v>
      </c>
      <c r="U24" s="4" cm="1">
        <f t="array" ref="U24">IF(FX[[#This Row],[Number_of_competition]:[Number_of_competition]]&gt;=3,(LARGE(CHOOSE({1;2;3;4},F24,I24,L24,O24),1)+LARGE(CHOOSE({1;2;3;4},F24,I24,L24,O24),2)+LARGE(CHOOSE({1;2;3;4},F24,I24,L24,O24),3))/3,0)</f>
        <v>0</v>
      </c>
      <c r="V24" s="7" cm="1">
        <f t="array" ref="V24">IF(FX[[#This Row],[Number_of_competition]:[Number_of_competition]]&gt;=3,(LARGE(CHOOSE({1;2;3;4},G24,J24,M24,P24),1)+LARGE(CHOOSE({1;2;3;4},G24,J24,M24,P24),2)+LARGE(CHOOSE({1;2;3;4},G24,J24,M24,P24),3))/3,0)</f>
        <v>0</v>
      </c>
      <c r="W24" s="7" cm="1">
        <f t="array" ref="W24">IF(FX[[#This Row],[Number_of_competition]:[Number_of_competition]]&gt;=3,(LARGE(CHOOSE({1;2;3;4},H24,K24,N24,Q24),1)+LARGE(CHOOSE({1;2;3;4},H24,K24,N24,Q24),2)+LARGE(CHOOSE({1;2;3;4},H24,K24,N24,Q24),3))/3,0)</f>
        <v>0</v>
      </c>
      <c r="Y24" s="36" t="s">
        <v>303</v>
      </c>
      <c r="AE24" s="43" t="s">
        <v>73</v>
      </c>
      <c r="AF24" s="43" t="s">
        <v>60</v>
      </c>
      <c r="AG24" s="43" t="s">
        <v>62</v>
      </c>
      <c r="AH24">
        <v>4</v>
      </c>
      <c r="AI24" s="43" t="s">
        <v>325</v>
      </c>
      <c r="AJ24" s="43" t="s">
        <v>309</v>
      </c>
      <c r="AK24">
        <v>8.6999999999999993</v>
      </c>
    </row>
    <row r="25" spans="1:37" x14ac:dyDescent="0.25">
      <c r="A25" t="s">
        <v>88</v>
      </c>
      <c r="B25" s="2" t="s">
        <v>60</v>
      </c>
      <c r="C25" s="2" t="s">
        <v>89</v>
      </c>
      <c r="D25" t="s">
        <v>36</v>
      </c>
      <c r="E25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25" s="4">
        <v>0</v>
      </c>
      <c r="G25" s="7">
        <v>0</v>
      </c>
      <c r="H25" s="7">
        <v>0</v>
      </c>
      <c r="I25" s="4">
        <v>0</v>
      </c>
      <c r="J25" s="7">
        <v>0</v>
      </c>
      <c r="K25" s="7">
        <v>0</v>
      </c>
      <c r="L25" s="4">
        <v>0</v>
      </c>
      <c r="M25" s="7">
        <v>0</v>
      </c>
      <c r="N25" s="7">
        <v>0</v>
      </c>
      <c r="O25" s="4">
        <v>3.2</v>
      </c>
      <c r="P25" s="7">
        <v>7</v>
      </c>
      <c r="Q25" s="7">
        <v>10.199999999999999</v>
      </c>
      <c r="R25" s="4">
        <f>LARGE(CHOOSE({1;2;3;4},F25,I25,L25,O25),1)+LARGE(CHOOSE({1;2;3;4},F25,I25,L25,O25),2)+LARGE(CHOOSE({1;2;3;4},F25,I25,L25,O25),3)</f>
        <v>3.2</v>
      </c>
      <c r="S25" s="7">
        <f>LARGE(CHOOSE({1;2;3;4},G25,J25,M25,P25),1)+LARGE(CHOOSE({1;2;3;4},G25,J25,M25,P25),2)+LARGE(CHOOSE({1;2;3;4},G25,J25,M25,P25),3)</f>
        <v>7</v>
      </c>
      <c r="T25" s="7">
        <f>LARGE(CHOOSE({1;2;3;4},H25,K25,N25,Q25),1)+LARGE(CHOOSE({1;2;3;4},H25,K25,N25,Q25),2)+LARGE(CHOOSE({1;2;3;4},H25,K25,N25,Q25),3)</f>
        <v>10.199999999999999</v>
      </c>
      <c r="U25" s="4" cm="1">
        <f t="array" ref="U25">IF(FX[[#This Row],[Number_of_competition]:[Number_of_competition]]&gt;=3,(LARGE(CHOOSE({1;2;3;4},F25,I25,L25,O25),1)+LARGE(CHOOSE({1;2;3;4},F25,I25,L25,O25),2)+LARGE(CHOOSE({1;2;3;4},F25,I25,L25,O25),3))/3,0)</f>
        <v>0</v>
      </c>
      <c r="V25" s="7" cm="1">
        <f t="array" ref="V25">IF(FX[[#This Row],[Number_of_competition]:[Number_of_competition]]&gt;=3,(LARGE(CHOOSE({1;2;3;4},G25,J25,M25,P25),1)+LARGE(CHOOSE({1;2;3;4},G25,J25,M25,P25),2)+LARGE(CHOOSE({1;2;3;4},G25,J25,M25,P25),3))/3,0)</f>
        <v>0</v>
      </c>
      <c r="W25" s="7" cm="1">
        <f t="array" ref="W25">IF(FX[[#This Row],[Number_of_competition]:[Number_of_competition]]&gt;=3,(LARGE(CHOOSE({1;2;3;4},H25,K25,N25,Q25),1)+LARGE(CHOOSE({1;2;3;4},H25,K25,N25,Q25),2)+LARGE(CHOOSE({1;2;3;4},H25,K25,N25,Q25),3))/3,0)</f>
        <v>0</v>
      </c>
      <c r="AE25" s="43" t="s">
        <v>73</v>
      </c>
      <c r="AF25" s="43" t="s">
        <v>60</v>
      </c>
      <c r="AG25" s="43" t="s">
        <v>62</v>
      </c>
      <c r="AH25">
        <v>4</v>
      </c>
      <c r="AI25" s="43" t="s">
        <v>325</v>
      </c>
      <c r="AJ25" s="43" t="s">
        <v>268</v>
      </c>
      <c r="AK25">
        <v>13.4</v>
      </c>
    </row>
    <row r="26" spans="1:37" x14ac:dyDescent="0.25">
      <c r="A26" t="s">
        <v>29</v>
      </c>
      <c r="B26" s="2" t="s">
        <v>26</v>
      </c>
      <c r="C26" s="2" t="s">
        <v>30</v>
      </c>
      <c r="D26" t="s">
        <v>31</v>
      </c>
      <c r="E26" s="6">
        <f>COUNTIF(FX[[#This Row],[bydgoszcz_FX_Total_Score]],"&gt;0")+COUNTIF(FX[[#This Row],[zabrze_FX_Total_Score]],"&gt;0")+COUNTIF(FX[[#This Row],[cracow_FX_Total_Score]],"&gt;0")+COUNTIF(FX[[#This Row],[gdansk_FX_Total_Score]],"&gt;0")</f>
        <v>3</v>
      </c>
      <c r="F26" s="4">
        <v>4</v>
      </c>
      <c r="G26" s="7">
        <v>8.9499999999999993</v>
      </c>
      <c r="H26" s="7">
        <v>12.95</v>
      </c>
      <c r="I26" s="4">
        <v>4.3</v>
      </c>
      <c r="J26" s="7">
        <v>8.15</v>
      </c>
      <c r="K26" s="7">
        <v>12.45</v>
      </c>
      <c r="L26" s="4">
        <v>0</v>
      </c>
      <c r="M26" s="7">
        <v>0</v>
      </c>
      <c r="N26" s="7">
        <v>0</v>
      </c>
      <c r="O26" s="4">
        <v>4.4000000000000004</v>
      </c>
      <c r="P26" s="7">
        <v>7.5</v>
      </c>
      <c r="Q26" s="7">
        <v>11.9</v>
      </c>
      <c r="R26" s="4">
        <f>LARGE(CHOOSE({1;2;3;4},F26,I26,L26,O26),1)+LARGE(CHOOSE({1;2;3;4},F26,I26,L26,O26),2)+LARGE(CHOOSE({1;2;3;4},F26,I26,L26,O26),3)</f>
        <v>12.7</v>
      </c>
      <c r="S26" s="7">
        <f>LARGE(CHOOSE({1;2;3;4},G26,J26,M26,P26),1)+LARGE(CHOOSE({1;2;3;4},G26,J26,M26,P26),2)+LARGE(CHOOSE({1;2;3;4},G26,J26,M26,P26),3)</f>
        <v>24.6</v>
      </c>
      <c r="T26" s="7">
        <f>LARGE(CHOOSE({1;2;3;4},H26,K26,N26,Q26),1)+LARGE(CHOOSE({1;2;3;4},H26,K26,N26,Q26),2)+LARGE(CHOOSE({1;2;3;4},H26,K26,N26,Q26),3)</f>
        <v>37.299999999999997</v>
      </c>
      <c r="U26" s="4" cm="1">
        <f t="array" ref="U26">IF(FX[[#This Row],[Number_of_competition]:[Number_of_competition]]&gt;=3,(LARGE(CHOOSE({1;2;3;4},F26,I26,L26,O26),1)+LARGE(CHOOSE({1;2;3;4},F26,I26,L26,O26),2)+LARGE(CHOOSE({1;2;3;4},F26,I26,L26,O26),3))/3,0)</f>
        <v>4.2333333333333334</v>
      </c>
      <c r="V26" s="7" cm="1">
        <f t="array" ref="V26">IF(FX[[#This Row],[Number_of_competition]:[Number_of_competition]]&gt;=3,(LARGE(CHOOSE({1;2;3;4},G26,J26,M26,P26),1)+LARGE(CHOOSE({1;2;3;4},G26,J26,M26,P26),2)+LARGE(CHOOSE({1;2;3;4},G26,J26,M26,P26),3))/3,0)</f>
        <v>8.2000000000000011</v>
      </c>
      <c r="W26" s="7" cm="1">
        <f t="array" ref="W26">IF(FX[[#This Row],[Number_of_competition]:[Number_of_competition]]&gt;=3,(LARGE(CHOOSE({1;2;3;4},H26,K26,N26,Q26),1)+LARGE(CHOOSE({1;2;3;4},H26,K26,N26,Q26),2)+LARGE(CHOOSE({1;2;3;4},H26,K26,N26,Q26),3))/3,0)</f>
        <v>12.433333333333332</v>
      </c>
      <c r="AE26" s="43" t="s">
        <v>73</v>
      </c>
      <c r="AF26" s="43" t="s">
        <v>60</v>
      </c>
      <c r="AG26" s="43" t="s">
        <v>62</v>
      </c>
      <c r="AH26">
        <v>4</v>
      </c>
      <c r="AI26" s="43" t="s">
        <v>330</v>
      </c>
      <c r="AJ26" s="43" t="s">
        <v>308</v>
      </c>
      <c r="AK26">
        <v>4.5</v>
      </c>
    </row>
    <row r="27" spans="1:37" ht="23.25" x14ac:dyDescent="0.35">
      <c r="A27" t="s">
        <v>32</v>
      </c>
      <c r="B27" s="2" t="s">
        <v>26</v>
      </c>
      <c r="C27" s="2" t="s">
        <v>33</v>
      </c>
      <c r="D27" t="s">
        <v>31</v>
      </c>
      <c r="E27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27" s="4">
        <v>4.2</v>
      </c>
      <c r="G27" s="7">
        <v>8.6</v>
      </c>
      <c r="H27" s="7">
        <v>12.8</v>
      </c>
      <c r="I27" s="4">
        <v>4.2</v>
      </c>
      <c r="J27" s="7">
        <v>8.5500000000000007</v>
      </c>
      <c r="K27" s="7">
        <v>12.75</v>
      </c>
      <c r="L27" s="4">
        <v>4.2</v>
      </c>
      <c r="M27" s="7">
        <v>8.3000000000000007</v>
      </c>
      <c r="N27" s="7">
        <v>12.5</v>
      </c>
      <c r="O27" s="4">
        <v>4.0999999999999996</v>
      </c>
      <c r="P27" s="7">
        <v>7.8</v>
      </c>
      <c r="Q27" s="7">
        <v>11.9</v>
      </c>
      <c r="R27" s="4">
        <f>LARGE(CHOOSE({1;2;3;4},F27,I27,L27,O27),1)+LARGE(CHOOSE({1;2;3;4},F27,I27,L27,O27),2)+LARGE(CHOOSE({1;2;3;4},F27,I27,L27,O27),3)</f>
        <v>12.600000000000001</v>
      </c>
      <c r="S27" s="7">
        <f>LARGE(CHOOSE({1;2;3;4},G27,J27,M27,P27),1)+LARGE(CHOOSE({1;2;3;4},G27,J27,M27,P27),2)+LARGE(CHOOSE({1;2;3;4},G27,J27,M27,P27),3)</f>
        <v>25.45</v>
      </c>
      <c r="T27" s="7">
        <f>LARGE(CHOOSE({1;2;3;4},H27,K27,N27,Q27),1)+LARGE(CHOOSE({1;2;3;4},H27,K27,N27,Q27),2)+LARGE(CHOOSE({1;2;3;4},H27,K27,N27,Q27),3)</f>
        <v>38.049999999999997</v>
      </c>
      <c r="U27" s="4" cm="1">
        <f t="array" ref="U27">IF(FX[[#This Row],[Number_of_competition]:[Number_of_competition]]&gt;=3,(LARGE(CHOOSE({1;2;3;4},F27,I27,L27,O27),1)+LARGE(CHOOSE({1;2;3;4},F27,I27,L27,O27),2)+LARGE(CHOOSE({1;2;3;4},F27,I27,L27,O27),3))/3,0)</f>
        <v>4.2</v>
      </c>
      <c r="V27" s="7" cm="1">
        <f t="array" ref="V27">IF(FX[[#This Row],[Number_of_competition]:[Number_of_competition]]&gt;=3,(LARGE(CHOOSE({1;2;3;4},G27,J27,M27,P27),1)+LARGE(CHOOSE({1;2;3;4},G27,J27,M27,P27),2)+LARGE(CHOOSE({1;2;3;4},G27,J27,M27,P27),3))/3,0)</f>
        <v>8.4833333333333325</v>
      </c>
      <c r="W27" s="7" cm="1">
        <f t="array" ref="W27">IF(FX[[#This Row],[Number_of_competition]:[Number_of_competition]]&gt;=3,(LARGE(CHOOSE({1;2;3;4},H27,K27,N27,Q27),1)+LARGE(CHOOSE({1;2;3;4},H27,K27,N27,Q27),2)+LARGE(CHOOSE({1;2;3;4},H27,K27,N27,Q27),3))/3,0)</f>
        <v>12.683333333333332</v>
      </c>
      <c r="Z27" s="50" t="s">
        <v>332</v>
      </c>
      <c r="AA27" s="50" t="s">
        <v>2</v>
      </c>
      <c r="AB27" s="51"/>
      <c r="AE27" s="43" t="s">
        <v>73</v>
      </c>
      <c r="AF27" s="43" t="s">
        <v>60</v>
      </c>
      <c r="AG27" s="43" t="s">
        <v>62</v>
      </c>
      <c r="AH27">
        <v>4</v>
      </c>
      <c r="AI27" s="43" t="s">
        <v>330</v>
      </c>
      <c r="AJ27" s="43" t="s">
        <v>309</v>
      </c>
      <c r="AK27">
        <v>8.15</v>
      </c>
    </row>
    <row r="28" spans="1:37" ht="23.25" x14ac:dyDescent="0.35">
      <c r="A28" t="s">
        <v>25</v>
      </c>
      <c r="B28" s="2" t="s">
        <v>26</v>
      </c>
      <c r="C28" s="2" t="s">
        <v>27</v>
      </c>
      <c r="D28" t="s">
        <v>28</v>
      </c>
      <c r="E28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28" s="4">
        <v>4</v>
      </c>
      <c r="G28" s="7">
        <v>8.9499999999999993</v>
      </c>
      <c r="H28" s="7">
        <v>12.95</v>
      </c>
      <c r="I28" s="4">
        <v>4</v>
      </c>
      <c r="J28" s="7">
        <v>8.6999999999999993</v>
      </c>
      <c r="K28" s="7">
        <v>12.7</v>
      </c>
      <c r="L28" s="4">
        <v>4</v>
      </c>
      <c r="M28" s="7">
        <v>8.4499999999999993</v>
      </c>
      <c r="N28" s="7">
        <v>12.45</v>
      </c>
      <c r="O28" s="4">
        <v>4</v>
      </c>
      <c r="P28" s="7">
        <v>7.9</v>
      </c>
      <c r="Q28" s="7">
        <v>11.9</v>
      </c>
      <c r="R28" s="4">
        <f>LARGE(CHOOSE({1;2;3;4},F28,I28,L28,O28),1)+LARGE(CHOOSE({1;2;3;4},F28,I28,L28,O28),2)+LARGE(CHOOSE({1;2;3;4},F28,I28,L28,O28),3)</f>
        <v>12</v>
      </c>
      <c r="S28" s="7">
        <f>LARGE(CHOOSE({1;2;3;4},G28,J28,M28,P28),1)+LARGE(CHOOSE({1;2;3;4},G28,J28,M28,P28),2)+LARGE(CHOOSE({1;2;3;4},G28,J28,M28,P28),3)</f>
        <v>26.099999999999998</v>
      </c>
      <c r="T28" s="7">
        <f>LARGE(CHOOSE({1;2;3;4},H28,K28,N28,Q28),1)+LARGE(CHOOSE({1;2;3;4},H28,K28,N28,Q28),2)+LARGE(CHOOSE({1;2;3;4},H28,K28,N28,Q28),3)</f>
        <v>38.099999999999994</v>
      </c>
      <c r="U28" s="4" cm="1">
        <f t="array" ref="U28">IF(FX[[#This Row],[Number_of_competition]:[Number_of_competition]]&gt;=3,(LARGE(CHOOSE({1;2;3;4},F28,I28,L28,O28),1)+LARGE(CHOOSE({1;2;3;4},F28,I28,L28,O28),2)+LARGE(CHOOSE({1;2;3;4},F28,I28,L28,O28),3))/3,0)</f>
        <v>4</v>
      </c>
      <c r="V28" s="7" cm="1">
        <f t="array" ref="V28">IF(FX[[#This Row],[Number_of_competition]:[Number_of_competition]]&gt;=3,(LARGE(CHOOSE({1;2;3;4},G28,J28,M28,P28),1)+LARGE(CHOOSE({1;2;3;4},G28,J28,M28,P28),2)+LARGE(CHOOSE({1;2;3;4},G28,J28,M28,P28),3))/3,0)</f>
        <v>8.6999999999999993</v>
      </c>
      <c r="W28" s="7" cm="1">
        <f t="array" ref="W28">IF(FX[[#This Row],[Number_of_competition]:[Number_of_competition]]&gt;=3,(LARGE(CHOOSE({1;2;3;4},H28,K28,N28,Q28),1)+LARGE(CHOOSE({1;2;3;4},H28,K28,N28,Q28),2)+LARGE(CHOOSE({1;2;3;4},H28,K28,N28,Q28),3))/3,0)</f>
        <v>12.699999999999998</v>
      </c>
      <c r="Z28" s="52" t="s">
        <v>346</v>
      </c>
      <c r="AA28" s="51" t="s">
        <v>26</v>
      </c>
      <c r="AB28" s="51" t="s">
        <v>60</v>
      </c>
      <c r="AE28" s="43" t="s">
        <v>73</v>
      </c>
      <c r="AF28" s="43" t="s">
        <v>60</v>
      </c>
      <c r="AG28" s="43" t="s">
        <v>62</v>
      </c>
      <c r="AH28">
        <v>4</v>
      </c>
      <c r="AI28" s="43" t="s">
        <v>330</v>
      </c>
      <c r="AJ28" s="43" t="s">
        <v>268</v>
      </c>
      <c r="AK28">
        <v>12.65</v>
      </c>
    </row>
    <row r="29" spans="1:37" ht="23.25" x14ac:dyDescent="0.35">
      <c r="A29" t="s">
        <v>42</v>
      </c>
      <c r="B29" s="2" t="s">
        <v>26</v>
      </c>
      <c r="C29" s="2" t="s">
        <v>43</v>
      </c>
      <c r="D29" t="s">
        <v>36</v>
      </c>
      <c r="E29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29" s="4">
        <v>4</v>
      </c>
      <c r="G29" s="7">
        <v>8.1999999999999993</v>
      </c>
      <c r="H29" s="7">
        <v>12.2</v>
      </c>
      <c r="I29" s="4">
        <v>3.4</v>
      </c>
      <c r="J29" s="7">
        <v>8.4</v>
      </c>
      <c r="K29" s="7">
        <v>11.8</v>
      </c>
      <c r="L29" s="4">
        <v>3.8</v>
      </c>
      <c r="M29" s="7">
        <v>7.1</v>
      </c>
      <c r="N29" s="7">
        <v>10.9</v>
      </c>
      <c r="O29" s="4">
        <v>3.4</v>
      </c>
      <c r="P29" s="7">
        <v>7.5</v>
      </c>
      <c r="Q29" s="7">
        <v>10.9</v>
      </c>
      <c r="R29" s="4">
        <f>LARGE(CHOOSE({1;2;3;4},F29,I29,L29,O29),1)+LARGE(CHOOSE({1;2;3;4},F29,I29,L29,O29),2)+LARGE(CHOOSE({1;2;3;4},F29,I29,L29,O29),3)</f>
        <v>11.2</v>
      </c>
      <c r="S29" s="7">
        <f>LARGE(CHOOSE({1;2;3;4},G29,J29,M29,P29),1)+LARGE(CHOOSE({1;2;3;4},G29,J29,M29,P29),2)+LARGE(CHOOSE({1;2;3;4},G29,J29,M29,P29),3)</f>
        <v>24.1</v>
      </c>
      <c r="T29" s="7">
        <f>LARGE(CHOOSE({1;2;3;4},H29,K29,N29,Q29),1)+LARGE(CHOOSE({1;2;3;4},H29,K29,N29,Q29),2)+LARGE(CHOOSE({1;2;3;4},H29,K29,N29,Q29),3)</f>
        <v>34.9</v>
      </c>
      <c r="U29" s="4" cm="1">
        <f t="array" ref="U29">IF(FX[[#This Row],[Number_of_competition]:[Number_of_competition]]&gt;=3,(LARGE(CHOOSE({1;2;3;4},F29,I29,L29,O29),1)+LARGE(CHOOSE({1;2;3;4},F29,I29,L29,O29),2)+LARGE(CHOOSE({1;2;3;4},F29,I29,L29,O29),3))/3,0)</f>
        <v>3.7333333333333329</v>
      </c>
      <c r="V29" s="7" cm="1">
        <f t="array" ref="V29">IF(FX[[#This Row],[Number_of_competition]:[Number_of_competition]]&gt;=3,(LARGE(CHOOSE({1;2;3;4},G29,J29,M29,P29),1)+LARGE(CHOOSE({1;2;3;4},G29,J29,M29,P29),2)+LARGE(CHOOSE({1;2;3;4},G29,J29,M29,P29),3))/3,0)</f>
        <v>8.0333333333333332</v>
      </c>
      <c r="W29" s="7" cm="1">
        <f t="array" ref="W29">IF(FX[[#This Row],[Number_of_competition]:[Number_of_competition]]&gt;=3,(LARGE(CHOOSE({1;2;3;4},H29,K29,N29,Q29),1)+LARGE(CHOOSE({1;2;3;4},H29,K29,N29,Q29),2)+LARGE(CHOOSE({1;2;3;4},H29,K29,N29,Q29),3))/3,0)</f>
        <v>11.633333333333333</v>
      </c>
      <c r="Z29" s="53" t="s">
        <v>309</v>
      </c>
      <c r="AA29" s="54">
        <v>52</v>
      </c>
      <c r="AB29" s="54">
        <v>62</v>
      </c>
      <c r="AE29" s="43" t="s">
        <v>73</v>
      </c>
      <c r="AF29" s="43" t="s">
        <v>60</v>
      </c>
      <c r="AG29" s="43" t="s">
        <v>62</v>
      </c>
      <c r="AH29">
        <v>4</v>
      </c>
      <c r="AI29" s="43" t="s">
        <v>343</v>
      </c>
      <c r="AJ29" s="43" t="s">
        <v>308</v>
      </c>
      <c r="AK29">
        <v>4.7</v>
      </c>
    </row>
    <row r="30" spans="1:37" ht="23.25" x14ac:dyDescent="0.35">
      <c r="A30" t="s">
        <v>34</v>
      </c>
      <c r="B30" s="2" t="s">
        <v>26</v>
      </c>
      <c r="C30" s="2" t="s">
        <v>35</v>
      </c>
      <c r="D30" t="s">
        <v>36</v>
      </c>
      <c r="E30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30" s="4">
        <v>3.8</v>
      </c>
      <c r="G30" s="7">
        <v>8.6999999999999993</v>
      </c>
      <c r="H30" s="7">
        <v>12.5</v>
      </c>
      <c r="I30" s="4">
        <v>3.7</v>
      </c>
      <c r="J30" s="7">
        <v>8.1</v>
      </c>
      <c r="K30" s="7">
        <v>11.8</v>
      </c>
      <c r="L30" s="4">
        <v>3.6</v>
      </c>
      <c r="M30" s="7">
        <v>8.25</v>
      </c>
      <c r="N30" s="7">
        <v>11.85</v>
      </c>
      <c r="O30" s="4">
        <v>3.6</v>
      </c>
      <c r="P30" s="7">
        <v>7.4</v>
      </c>
      <c r="Q30" s="7">
        <v>11</v>
      </c>
      <c r="R30" s="4">
        <f>LARGE(CHOOSE({1;2;3;4},F30,I30,L30,O30),1)+LARGE(CHOOSE({1;2;3;4},F30,I30,L30,O30),2)+LARGE(CHOOSE({1;2;3;4},F30,I30,L30,O30),3)</f>
        <v>11.1</v>
      </c>
      <c r="S30" s="7">
        <f>LARGE(CHOOSE({1;2;3;4},G30,J30,M30,P30),1)+LARGE(CHOOSE({1;2;3;4},G30,J30,M30,P30),2)+LARGE(CHOOSE({1;2;3;4},G30,J30,M30,P30),3)</f>
        <v>25.049999999999997</v>
      </c>
      <c r="T30" s="7">
        <f>LARGE(CHOOSE({1;2;3;4},H30,K30,N30,Q30),1)+LARGE(CHOOSE({1;2;3;4},H30,K30,N30,Q30),2)+LARGE(CHOOSE({1;2;3;4},H30,K30,N30,Q30),3)</f>
        <v>36.150000000000006</v>
      </c>
      <c r="U30" s="4" cm="1">
        <f t="array" ref="U30">IF(FX[[#This Row],[Number_of_competition]:[Number_of_competition]]&gt;=3,(LARGE(CHOOSE({1;2;3;4},F30,I30,L30,O30),1)+LARGE(CHOOSE({1;2;3;4},F30,I30,L30,O30),2)+LARGE(CHOOSE({1;2;3;4},F30,I30,L30,O30),3))/3,0)</f>
        <v>3.6999999999999997</v>
      </c>
      <c r="V30" s="7" cm="1">
        <f t="array" ref="V30">IF(FX[[#This Row],[Number_of_competition]:[Number_of_competition]]&gt;=3,(LARGE(CHOOSE({1;2;3;4},G30,J30,M30,P30),1)+LARGE(CHOOSE({1;2;3;4},G30,J30,M30,P30),2)+LARGE(CHOOSE({1;2;3;4},G30,J30,M30,P30),3))/3,0)</f>
        <v>8.35</v>
      </c>
      <c r="W30" s="7" cm="1">
        <f t="array" ref="W30">IF(FX[[#This Row],[Number_of_competition]:[Number_of_competition]]&gt;=3,(LARGE(CHOOSE({1;2;3;4},H30,K30,N30,Q30),1)+LARGE(CHOOSE({1;2;3;4},H30,K30,N30,Q30),2)+LARGE(CHOOSE({1;2;3;4},H30,K30,N30,Q30),3))/3,0)</f>
        <v>12.050000000000002</v>
      </c>
      <c r="Z30" s="55" t="s">
        <v>321</v>
      </c>
      <c r="AA30" s="54"/>
      <c r="AB30" s="54">
        <v>1</v>
      </c>
      <c r="AE30" s="43" t="s">
        <v>73</v>
      </c>
      <c r="AF30" s="43" t="s">
        <v>60</v>
      </c>
      <c r="AG30" s="43" t="s">
        <v>62</v>
      </c>
      <c r="AH30">
        <v>4</v>
      </c>
      <c r="AI30" s="43" t="s">
        <v>343</v>
      </c>
      <c r="AJ30" s="43" t="s">
        <v>309</v>
      </c>
      <c r="AK30">
        <v>6.7</v>
      </c>
    </row>
    <row r="31" spans="1:37" ht="23.25" x14ac:dyDescent="0.35">
      <c r="A31" t="s">
        <v>48</v>
      </c>
      <c r="B31" s="2" t="s">
        <v>26</v>
      </c>
      <c r="C31" s="2" t="s">
        <v>49</v>
      </c>
      <c r="D31" t="s">
        <v>36</v>
      </c>
      <c r="E31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31" s="4">
        <v>3.7</v>
      </c>
      <c r="G31" s="7">
        <v>7.4</v>
      </c>
      <c r="H31" s="7">
        <v>11.1</v>
      </c>
      <c r="I31" s="4">
        <v>3.2</v>
      </c>
      <c r="J31" s="7">
        <v>8.15</v>
      </c>
      <c r="K31" s="7">
        <v>11.35</v>
      </c>
      <c r="L31" s="4">
        <v>3.5</v>
      </c>
      <c r="M31" s="7">
        <v>7.65</v>
      </c>
      <c r="N31" s="7">
        <v>11.15</v>
      </c>
      <c r="O31" s="4">
        <v>3.2</v>
      </c>
      <c r="P31" s="7">
        <v>7.9</v>
      </c>
      <c r="Q31" s="7">
        <v>11.1</v>
      </c>
      <c r="R31" s="4">
        <f>LARGE(CHOOSE({1;2;3;4},F31,I31,L31,O31),1)+LARGE(CHOOSE({1;2;3;4},F31,I31,L31,O31),2)+LARGE(CHOOSE({1;2;3;4},F31,I31,L31,O31),3)</f>
        <v>10.4</v>
      </c>
      <c r="S31" s="7">
        <f>LARGE(CHOOSE({1;2;3;4},G31,J31,M31,P31),1)+LARGE(CHOOSE({1;2;3;4},G31,J31,M31,P31),2)+LARGE(CHOOSE({1;2;3;4},G31,J31,M31,P31),3)</f>
        <v>23.700000000000003</v>
      </c>
      <c r="T31" s="7">
        <f>LARGE(CHOOSE({1;2;3;4},H31,K31,N31,Q31),1)+LARGE(CHOOSE({1;2;3;4},H31,K31,N31,Q31),2)+LARGE(CHOOSE({1;2;3;4},H31,K31,N31,Q31),3)</f>
        <v>33.6</v>
      </c>
      <c r="U31" s="4" cm="1">
        <f t="array" ref="U31">IF(FX[[#This Row],[Number_of_competition]:[Number_of_competition]]&gt;=3,(LARGE(CHOOSE({1;2;3;4},F31,I31,L31,O31),1)+LARGE(CHOOSE({1;2;3;4},F31,I31,L31,O31),2)+LARGE(CHOOSE({1;2;3;4},F31,I31,L31,O31),3))/3,0)</f>
        <v>3.4666666666666668</v>
      </c>
      <c r="V31" s="7" cm="1">
        <f t="array" ref="V31">IF(FX[[#This Row],[Number_of_competition]:[Number_of_competition]]&gt;=3,(LARGE(CHOOSE({1;2;3;4},G31,J31,M31,P31),1)+LARGE(CHOOSE({1;2;3;4},G31,J31,M31,P31),2)+LARGE(CHOOSE({1;2;3;4},G31,J31,M31,P31),3))/3,0)</f>
        <v>7.9000000000000012</v>
      </c>
      <c r="W31" s="7" cm="1">
        <f t="array" ref="W31">IF(FX[[#This Row],[Number_of_competition]:[Number_of_competition]]&gt;=3,(LARGE(CHOOSE({1;2;3;4},H31,K31,N31,Q31),1)+LARGE(CHOOSE({1;2;3;4},H31,K31,N31,Q31),2)+LARGE(CHOOSE({1;2;3;4},H31,K31,N31,Q31),3))/3,0)</f>
        <v>11.200000000000001</v>
      </c>
      <c r="Z31" s="55" t="s">
        <v>323</v>
      </c>
      <c r="AA31" s="54"/>
      <c r="AB31" s="54">
        <v>1</v>
      </c>
      <c r="AE31" s="43" t="s">
        <v>73</v>
      </c>
      <c r="AF31" s="43" t="s">
        <v>60</v>
      </c>
      <c r="AG31" s="43" t="s">
        <v>62</v>
      </c>
      <c r="AH31">
        <v>4</v>
      </c>
      <c r="AI31" s="43" t="s">
        <v>343</v>
      </c>
      <c r="AJ31" s="43" t="s">
        <v>268</v>
      </c>
      <c r="AK31">
        <v>11.4</v>
      </c>
    </row>
    <row r="32" spans="1:37" ht="23.25" x14ac:dyDescent="0.35">
      <c r="A32" t="s">
        <v>44</v>
      </c>
      <c r="B32" s="2" t="s">
        <v>26</v>
      </c>
      <c r="C32" s="2" t="s">
        <v>45</v>
      </c>
      <c r="D32" t="s">
        <v>39</v>
      </c>
      <c r="E32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32" s="4">
        <v>3.4</v>
      </c>
      <c r="G32" s="7">
        <v>8.4</v>
      </c>
      <c r="H32" s="7">
        <v>11.8</v>
      </c>
      <c r="I32" s="4">
        <v>3.1</v>
      </c>
      <c r="J32" s="7">
        <v>8.35</v>
      </c>
      <c r="K32" s="7">
        <v>11.45</v>
      </c>
      <c r="L32" s="4">
        <v>3.4</v>
      </c>
      <c r="M32" s="7">
        <v>8.0500000000000007</v>
      </c>
      <c r="N32" s="7">
        <v>11.45</v>
      </c>
      <c r="O32" s="4">
        <v>3.3</v>
      </c>
      <c r="P32" s="7">
        <v>7.2</v>
      </c>
      <c r="Q32" s="7">
        <v>10.5</v>
      </c>
      <c r="R32" s="4">
        <f>LARGE(CHOOSE({1;2;3;4},F32,I32,L32,O32),1)+LARGE(CHOOSE({1;2;3;4},F32,I32,L32,O32),2)+LARGE(CHOOSE({1;2;3;4},F32,I32,L32,O32),3)</f>
        <v>10.1</v>
      </c>
      <c r="S32" s="7">
        <f>LARGE(CHOOSE({1;2;3;4},G32,J32,M32,P32),1)+LARGE(CHOOSE({1;2;3;4},G32,J32,M32,P32),2)+LARGE(CHOOSE({1;2;3;4},G32,J32,M32,P32),3)</f>
        <v>24.8</v>
      </c>
      <c r="T32" s="7">
        <f>LARGE(CHOOSE({1;2;3;4},H32,K32,N32,Q32),1)+LARGE(CHOOSE({1;2;3;4},H32,K32,N32,Q32),2)+LARGE(CHOOSE({1;2;3;4},H32,K32,N32,Q32),3)</f>
        <v>34.700000000000003</v>
      </c>
      <c r="U32" s="4" cm="1">
        <f t="array" ref="U32">IF(FX[[#This Row],[Number_of_competition]:[Number_of_competition]]&gt;=3,(LARGE(CHOOSE({1;2;3;4},F32,I32,L32,O32),1)+LARGE(CHOOSE({1;2;3;4},F32,I32,L32,O32),2)+LARGE(CHOOSE({1;2;3;4},F32,I32,L32,O32),3))/3,0)</f>
        <v>3.3666666666666667</v>
      </c>
      <c r="V32" s="7" cm="1">
        <f t="array" ref="V32">IF(FX[[#This Row],[Number_of_competition]:[Number_of_competition]]&gt;=3,(LARGE(CHOOSE({1;2;3;4},G32,J32,M32,P32),1)+LARGE(CHOOSE({1;2;3;4},G32,J32,M32,P32),2)+LARGE(CHOOSE({1;2;3;4},G32,J32,M32,P32),3))/3,0)</f>
        <v>8.2666666666666675</v>
      </c>
      <c r="W32" s="7" cm="1">
        <f t="array" ref="W32">IF(FX[[#This Row],[Number_of_competition]:[Number_of_competition]]&gt;=3,(LARGE(CHOOSE({1;2;3;4},H32,K32,N32,Q32),1)+LARGE(CHOOSE({1;2;3;4},H32,K32,N32,Q32),2)+LARGE(CHOOSE({1;2;3;4},H32,K32,N32,Q32),3))/3,0)</f>
        <v>11.566666666666668</v>
      </c>
      <c r="Z32" s="55" t="s">
        <v>324</v>
      </c>
      <c r="AA32" s="54">
        <v>1</v>
      </c>
      <c r="AB32" s="54">
        <v>2</v>
      </c>
      <c r="AE32" s="43" t="s">
        <v>73</v>
      </c>
      <c r="AF32" s="43" t="s">
        <v>60</v>
      </c>
      <c r="AG32" s="43" t="s">
        <v>62</v>
      </c>
      <c r="AH32">
        <v>4</v>
      </c>
      <c r="AI32" s="43" t="s">
        <v>341</v>
      </c>
      <c r="AJ32" s="43" t="s">
        <v>308</v>
      </c>
      <c r="AK32">
        <v>14.100000000000001</v>
      </c>
    </row>
    <row r="33" spans="1:37" ht="23.25" x14ac:dyDescent="0.35">
      <c r="A33" t="s">
        <v>40</v>
      </c>
      <c r="B33" s="2" t="s">
        <v>26</v>
      </c>
      <c r="C33" s="2" t="s">
        <v>41</v>
      </c>
      <c r="D33" t="s">
        <v>39</v>
      </c>
      <c r="E33" s="6">
        <f>COUNTIF(FX[[#This Row],[bydgoszcz_FX_Total_Score]],"&gt;0")+COUNTIF(FX[[#This Row],[zabrze_FX_Total_Score]],"&gt;0")+COUNTIF(FX[[#This Row],[cracow_FX_Total_Score]],"&gt;0")+COUNTIF(FX[[#This Row],[gdansk_FX_Total_Score]],"&gt;0")</f>
        <v>3</v>
      </c>
      <c r="F33" s="4">
        <v>0</v>
      </c>
      <c r="G33" s="7">
        <v>0</v>
      </c>
      <c r="H33" s="7">
        <v>0</v>
      </c>
      <c r="I33" s="4">
        <v>3.4</v>
      </c>
      <c r="J33" s="7">
        <v>8.1999999999999993</v>
      </c>
      <c r="K33" s="7">
        <v>11.6</v>
      </c>
      <c r="L33" s="4">
        <v>3.4</v>
      </c>
      <c r="M33" s="7">
        <v>7.95</v>
      </c>
      <c r="N33" s="7">
        <v>11.35</v>
      </c>
      <c r="O33" s="4">
        <v>3.1</v>
      </c>
      <c r="P33" s="7">
        <v>7.3</v>
      </c>
      <c r="Q33" s="7">
        <v>10.4</v>
      </c>
      <c r="R33" s="4">
        <f>LARGE(CHOOSE({1;2;3;4},F33,I33,L33,O33),1)+LARGE(CHOOSE({1;2;3;4},F33,I33,L33,O33),2)+LARGE(CHOOSE({1;2;3;4},F33,I33,L33,O33),3)</f>
        <v>9.9</v>
      </c>
      <c r="S33" s="7">
        <f>LARGE(CHOOSE({1;2;3;4},G33,J33,M33,P33),1)+LARGE(CHOOSE({1;2;3;4},G33,J33,M33,P33),2)+LARGE(CHOOSE({1;2;3;4},G33,J33,M33,P33),3)</f>
        <v>23.45</v>
      </c>
      <c r="T33" s="7">
        <f>LARGE(CHOOSE({1;2;3;4},H33,K33,N33,Q33),1)+LARGE(CHOOSE({1;2;3;4},H33,K33,N33,Q33),2)+LARGE(CHOOSE({1;2;3;4},H33,K33,N33,Q33),3)</f>
        <v>33.35</v>
      </c>
      <c r="U33" s="4" cm="1">
        <f t="array" ref="U33">IF(FX[[#This Row],[Number_of_competition]:[Number_of_competition]]&gt;=3,(LARGE(CHOOSE({1;2;3;4},F33,I33,L33,O33),1)+LARGE(CHOOSE({1;2;3;4},F33,I33,L33,O33),2)+LARGE(CHOOSE({1;2;3;4},F33,I33,L33,O33),3))/3,0)</f>
        <v>3.3000000000000003</v>
      </c>
      <c r="V33" s="7" cm="1">
        <f t="array" ref="V33">IF(FX[[#This Row],[Number_of_competition]:[Number_of_competition]]&gt;=3,(LARGE(CHOOSE({1;2;3;4},G33,J33,M33,P33),1)+LARGE(CHOOSE({1;2;3;4},G33,J33,M33,P33),2)+LARGE(CHOOSE({1;2;3;4},G33,J33,M33,P33),3))/3,0)</f>
        <v>7.8166666666666664</v>
      </c>
      <c r="W33" s="7" cm="1">
        <f t="array" ref="W33">IF(FX[[#This Row],[Number_of_competition]:[Number_of_competition]]&gt;=3,(LARGE(CHOOSE({1;2;3;4},H33,K33,N33,Q33),1)+LARGE(CHOOSE({1;2;3;4},H33,K33,N33,Q33),2)+LARGE(CHOOSE({1;2;3;4},H33,K33,N33,Q33),3))/3,0)</f>
        <v>11.116666666666667</v>
      </c>
      <c r="Z33" s="55" t="s">
        <v>334</v>
      </c>
      <c r="AA33" s="54">
        <v>1</v>
      </c>
      <c r="AB33" s="54">
        <v>4</v>
      </c>
      <c r="AE33" s="43" t="s">
        <v>73</v>
      </c>
      <c r="AF33" s="43" t="s">
        <v>60</v>
      </c>
      <c r="AG33" s="43" t="s">
        <v>62</v>
      </c>
      <c r="AH33">
        <v>4</v>
      </c>
      <c r="AI33" s="43" t="s">
        <v>341</v>
      </c>
      <c r="AJ33" s="43" t="s">
        <v>309</v>
      </c>
      <c r="AK33">
        <v>24.950000000000003</v>
      </c>
    </row>
    <row r="34" spans="1:37" ht="23.25" x14ac:dyDescent="0.35">
      <c r="A34" t="s">
        <v>37</v>
      </c>
      <c r="B34" s="2" t="s">
        <v>26</v>
      </c>
      <c r="C34" s="2" t="s">
        <v>38</v>
      </c>
      <c r="D34" t="s">
        <v>39</v>
      </c>
      <c r="E34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34" s="4">
        <v>3.3</v>
      </c>
      <c r="G34" s="7">
        <v>8.3000000000000007</v>
      </c>
      <c r="H34" s="7">
        <v>11.6</v>
      </c>
      <c r="I34" s="4">
        <v>3.3</v>
      </c>
      <c r="J34" s="7">
        <v>8.3000000000000007</v>
      </c>
      <c r="K34" s="7">
        <v>11.6</v>
      </c>
      <c r="L34" s="4">
        <v>3.3</v>
      </c>
      <c r="M34" s="7">
        <v>7.25</v>
      </c>
      <c r="N34" s="7">
        <v>10.55</v>
      </c>
      <c r="O34" s="4">
        <v>3.3</v>
      </c>
      <c r="P34" s="7">
        <v>5.9</v>
      </c>
      <c r="Q34" s="7">
        <v>9.1999999999999993</v>
      </c>
      <c r="R34" s="4">
        <f>LARGE(CHOOSE({1;2;3;4},F34,I34,L34,O34),1)+LARGE(CHOOSE({1;2;3;4},F34,I34,L34,O34),2)+LARGE(CHOOSE({1;2;3;4},F34,I34,L34,O34),3)</f>
        <v>9.8999999999999986</v>
      </c>
      <c r="S34" s="7">
        <f>LARGE(CHOOSE({1;2;3;4},G34,J34,M34,P34),1)+LARGE(CHOOSE({1;2;3;4},G34,J34,M34,P34),2)+LARGE(CHOOSE({1;2;3;4},G34,J34,M34,P34),3)</f>
        <v>23.85</v>
      </c>
      <c r="T34" s="7">
        <f>LARGE(CHOOSE({1;2;3;4},H34,K34,N34,Q34),1)+LARGE(CHOOSE({1;2;3;4},H34,K34,N34,Q34),2)+LARGE(CHOOSE({1;2;3;4},H34,K34,N34,Q34),3)</f>
        <v>33.75</v>
      </c>
      <c r="U34" s="4" cm="1">
        <f t="array" ref="U34">IF(FX[[#This Row],[Number_of_competition]:[Number_of_competition]]&gt;=3,(LARGE(CHOOSE({1;2;3;4},F34,I34,L34,O34),1)+LARGE(CHOOSE({1;2;3;4},F34,I34,L34,O34),2)+LARGE(CHOOSE({1;2;3;4},F34,I34,L34,O34),3))/3,0)</f>
        <v>3.2999999999999994</v>
      </c>
      <c r="V34" s="7" cm="1">
        <f t="array" ref="V34">IF(FX[[#This Row],[Number_of_competition]:[Number_of_competition]]&gt;=3,(LARGE(CHOOSE({1;2;3;4},G34,J34,M34,P34),1)+LARGE(CHOOSE({1;2;3;4},G34,J34,M34,P34),2)+LARGE(CHOOSE({1;2;3;4},G34,J34,M34,P34),3))/3,0)</f>
        <v>7.95</v>
      </c>
      <c r="W34" s="7" cm="1">
        <f t="array" ref="W34">IF(FX[[#This Row],[Number_of_competition]:[Number_of_competition]]&gt;=3,(LARGE(CHOOSE({1;2;3;4},H34,K34,N34,Q34),1)+LARGE(CHOOSE({1;2;3;4},H34,K34,N34,Q34),2)+LARGE(CHOOSE({1;2;3;4},H34,K34,N34,Q34),3))/3,0)</f>
        <v>11.25</v>
      </c>
      <c r="Z34" s="55" t="s">
        <v>335</v>
      </c>
      <c r="AA34" s="54">
        <v>1</v>
      </c>
      <c r="AB34" s="54">
        <v>7</v>
      </c>
      <c r="AE34" s="43" t="s">
        <v>73</v>
      </c>
      <c r="AF34" s="43" t="s">
        <v>60</v>
      </c>
      <c r="AG34" s="43" t="s">
        <v>62</v>
      </c>
      <c r="AH34">
        <v>4</v>
      </c>
      <c r="AI34" s="43" t="s">
        <v>341</v>
      </c>
      <c r="AJ34" s="43" t="s">
        <v>268</v>
      </c>
      <c r="AK34">
        <v>38.85</v>
      </c>
    </row>
    <row r="35" spans="1:37" ht="23.25" x14ac:dyDescent="0.35">
      <c r="A35" t="s">
        <v>46</v>
      </c>
      <c r="B35" s="2" t="s">
        <v>26</v>
      </c>
      <c r="C35" s="2" t="s">
        <v>47</v>
      </c>
      <c r="D35" t="s">
        <v>36</v>
      </c>
      <c r="E35" s="6">
        <f>COUNTIF(FX[[#This Row],[bydgoszcz_FX_Total_Score]],"&gt;0")+COUNTIF(FX[[#This Row],[zabrze_FX_Total_Score]],"&gt;0")+COUNTIF(FX[[#This Row],[cracow_FX_Total_Score]],"&gt;0")+COUNTIF(FX[[#This Row],[gdansk_FX_Total_Score]],"&gt;0")</f>
        <v>3</v>
      </c>
      <c r="F35" s="4">
        <v>0</v>
      </c>
      <c r="G35" s="7">
        <v>0</v>
      </c>
      <c r="H35" s="7">
        <v>0</v>
      </c>
      <c r="I35" s="4">
        <v>2.9</v>
      </c>
      <c r="J35" s="7">
        <v>8.1999999999999993</v>
      </c>
      <c r="K35" s="7">
        <v>11.1</v>
      </c>
      <c r="L35" s="4">
        <v>3.1</v>
      </c>
      <c r="M35" s="7">
        <v>7.7</v>
      </c>
      <c r="N35" s="7">
        <v>10.8</v>
      </c>
      <c r="O35" s="4">
        <v>2.9</v>
      </c>
      <c r="P35" s="7">
        <v>7.8</v>
      </c>
      <c r="Q35" s="7">
        <v>10.7</v>
      </c>
      <c r="R35" s="4">
        <f>LARGE(CHOOSE({1;2;3;4},F35,I35,L35,O35),1)+LARGE(CHOOSE({1;2;3;4},F35,I35,L35,O35),2)+LARGE(CHOOSE({1;2;3;4},F35,I35,L35,O35),3)</f>
        <v>8.9</v>
      </c>
      <c r="S35" s="7">
        <f>LARGE(CHOOSE({1;2;3;4},G35,J35,M35,P35),1)+LARGE(CHOOSE({1;2;3;4},G35,J35,M35,P35),2)+LARGE(CHOOSE({1;2;3;4},G35,J35,M35,P35),3)</f>
        <v>23.7</v>
      </c>
      <c r="T35" s="7">
        <f>LARGE(CHOOSE({1;2;3;4},H35,K35,N35,Q35),1)+LARGE(CHOOSE({1;2;3;4},H35,K35,N35,Q35),2)+LARGE(CHOOSE({1;2;3;4},H35,K35,N35,Q35),3)</f>
        <v>32.599999999999994</v>
      </c>
      <c r="U35" s="4" cm="1">
        <f t="array" ref="U35">IF(FX[[#This Row],[Number_of_competition]:[Number_of_competition]]&gt;=3,(LARGE(CHOOSE({1;2;3;4},F35,I35,L35,O35),1)+LARGE(CHOOSE({1;2;3;4},F35,I35,L35,O35),2)+LARGE(CHOOSE({1;2;3;4},F35,I35,L35,O35),3))/3,0)</f>
        <v>2.9666666666666668</v>
      </c>
      <c r="V35" s="7" cm="1">
        <f t="array" ref="V35">IF(FX[[#This Row],[Number_of_competition]:[Number_of_competition]]&gt;=3,(LARGE(CHOOSE({1;2;3;4},G35,J35,M35,P35),1)+LARGE(CHOOSE({1;2;3;4},G35,J35,M35,P35),2)+LARGE(CHOOSE({1;2;3;4},G35,J35,M35,P35),3))/3,0)</f>
        <v>7.8999999999999995</v>
      </c>
      <c r="W35" s="7" cm="1">
        <f t="array" ref="W35">IF(FX[[#This Row],[Number_of_competition]:[Number_of_competition]]&gt;=3,(LARGE(CHOOSE({1;2;3;4},H35,K35,N35,Q35),1)+LARGE(CHOOSE({1;2;3;4},H35,K35,N35,Q35),2)+LARGE(CHOOSE({1;2;3;4},H35,K35,N35,Q35),3))/3,0)</f>
        <v>10.866666666666665</v>
      </c>
      <c r="Z35" s="55" t="s">
        <v>336</v>
      </c>
      <c r="AA35" s="54">
        <v>12</v>
      </c>
      <c r="AB35" s="54">
        <v>16</v>
      </c>
      <c r="AE35" s="43" t="s">
        <v>73</v>
      </c>
      <c r="AF35" s="43" t="s">
        <v>60</v>
      </c>
      <c r="AG35" s="43" t="s">
        <v>62</v>
      </c>
      <c r="AH35">
        <v>4</v>
      </c>
      <c r="AI35" s="43" t="s">
        <v>273</v>
      </c>
      <c r="AJ35" s="43" t="s">
        <v>308</v>
      </c>
      <c r="AK35">
        <v>4.7</v>
      </c>
    </row>
    <row r="36" spans="1:37" ht="23.25" x14ac:dyDescent="0.35">
      <c r="A36" t="s">
        <v>112</v>
      </c>
      <c r="B36" s="2" t="s">
        <v>26</v>
      </c>
      <c r="C36" s="2" t="s">
        <v>113</v>
      </c>
      <c r="D36" t="s">
        <v>31</v>
      </c>
      <c r="E36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36" s="4">
        <v>4</v>
      </c>
      <c r="G36" s="7">
        <v>7.8</v>
      </c>
      <c r="H36" s="7">
        <v>11.8</v>
      </c>
      <c r="I36" s="4">
        <v>0</v>
      </c>
      <c r="J36" s="7">
        <v>0</v>
      </c>
      <c r="K36" s="7">
        <v>0</v>
      </c>
      <c r="L36" s="4">
        <v>0</v>
      </c>
      <c r="M36" s="7">
        <v>0</v>
      </c>
      <c r="N36" s="7">
        <v>0</v>
      </c>
      <c r="O36" s="4">
        <v>4.2</v>
      </c>
      <c r="P36" s="7">
        <v>6.3</v>
      </c>
      <c r="Q36" s="7">
        <v>10.5</v>
      </c>
      <c r="R36" s="4">
        <f>LARGE(CHOOSE({1;2;3;4},F36,I36,L36,O36),1)+LARGE(CHOOSE({1;2;3;4},F36,I36,L36,O36),2)+LARGE(CHOOSE({1;2;3;4},F36,I36,L36,O36),3)</f>
        <v>8.1999999999999993</v>
      </c>
      <c r="S36" s="7">
        <f>LARGE(CHOOSE({1;2;3;4},G36,J36,M36,P36),1)+LARGE(CHOOSE({1;2;3;4},G36,J36,M36,P36),2)+LARGE(CHOOSE({1;2;3;4},G36,J36,M36,P36),3)</f>
        <v>14.1</v>
      </c>
      <c r="T36" s="7">
        <f>LARGE(CHOOSE({1;2;3;4},H36,K36,N36,Q36),1)+LARGE(CHOOSE({1;2;3;4},H36,K36,N36,Q36),2)+LARGE(CHOOSE({1;2;3;4},H36,K36,N36,Q36),3)</f>
        <v>22.3</v>
      </c>
      <c r="U36" s="4" cm="1">
        <f t="array" ref="U36">IF(FX[[#This Row],[Number_of_competition]:[Number_of_competition]]&gt;=3,(LARGE(CHOOSE({1;2;3;4},F36,I36,L36,O36),1)+LARGE(CHOOSE({1;2;3;4},F36,I36,L36,O36),2)+LARGE(CHOOSE({1;2;3;4},F36,I36,L36,O36),3))/3,0)</f>
        <v>0</v>
      </c>
      <c r="V36" s="7" cm="1">
        <f t="array" ref="V36">IF(FX[[#This Row],[Number_of_competition]:[Number_of_competition]]&gt;=3,(LARGE(CHOOSE({1;2;3;4},G36,J36,M36,P36),1)+LARGE(CHOOSE({1;2;3;4},G36,J36,M36,P36),2)+LARGE(CHOOSE({1;2;3;4},G36,J36,M36,P36),3))/3,0)</f>
        <v>0</v>
      </c>
      <c r="W36" s="7" cm="1">
        <f t="array" ref="W36">IF(FX[[#This Row],[Number_of_competition]:[Number_of_competition]]&gt;=3,(LARGE(CHOOSE({1;2;3;4},H36,K36,N36,Q36),1)+LARGE(CHOOSE({1;2;3;4},H36,K36,N36,Q36),2)+LARGE(CHOOSE({1;2;3;4},H36,K36,N36,Q36),3))/3,0)</f>
        <v>0</v>
      </c>
      <c r="Z36" s="55" t="s">
        <v>337</v>
      </c>
      <c r="AA36" s="54">
        <v>13</v>
      </c>
      <c r="AB36" s="54">
        <v>14</v>
      </c>
      <c r="AE36" s="43" t="s">
        <v>73</v>
      </c>
      <c r="AF36" s="43" t="s">
        <v>60</v>
      </c>
      <c r="AG36" s="43" t="s">
        <v>62</v>
      </c>
      <c r="AH36">
        <v>4</v>
      </c>
      <c r="AI36" s="43" t="s">
        <v>273</v>
      </c>
      <c r="AJ36" s="43" t="s">
        <v>309</v>
      </c>
      <c r="AK36">
        <v>8.3166666666666682</v>
      </c>
    </row>
    <row r="37" spans="1:37" ht="23.25" x14ac:dyDescent="0.35">
      <c r="A37" t="s">
        <v>120</v>
      </c>
      <c r="B37" s="2" t="s">
        <v>26</v>
      </c>
      <c r="C37" s="2" t="s">
        <v>121</v>
      </c>
      <c r="D37" t="s">
        <v>39</v>
      </c>
      <c r="E37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37" s="4">
        <v>3</v>
      </c>
      <c r="G37" s="7">
        <v>8.3000000000000007</v>
      </c>
      <c r="H37" s="7">
        <v>11.3</v>
      </c>
      <c r="I37" s="4">
        <v>0</v>
      </c>
      <c r="J37" s="7">
        <v>0</v>
      </c>
      <c r="K37" s="7">
        <v>0</v>
      </c>
      <c r="L37" s="4">
        <v>2.6</v>
      </c>
      <c r="M37" s="7">
        <v>7.8</v>
      </c>
      <c r="N37" s="7">
        <v>10.4</v>
      </c>
      <c r="O37" s="4">
        <v>0</v>
      </c>
      <c r="P37" s="7">
        <v>0</v>
      </c>
      <c r="Q37" s="7">
        <v>0</v>
      </c>
      <c r="R37" s="4">
        <f>LARGE(CHOOSE({1;2;3;4},F37,I37,L37,O37),1)+LARGE(CHOOSE({1;2;3;4},F37,I37,L37,O37),2)+LARGE(CHOOSE({1;2;3;4},F37,I37,L37,O37),3)</f>
        <v>5.6</v>
      </c>
      <c r="S37" s="7">
        <f>LARGE(CHOOSE({1;2;3;4},G37,J37,M37,P37),1)+LARGE(CHOOSE({1;2;3;4},G37,J37,M37,P37),2)+LARGE(CHOOSE({1;2;3;4},G37,J37,M37,P37),3)</f>
        <v>16.100000000000001</v>
      </c>
      <c r="T37" s="7">
        <f>LARGE(CHOOSE({1;2;3;4},H37,K37,N37,Q37),1)+LARGE(CHOOSE({1;2;3;4},H37,K37,N37,Q37),2)+LARGE(CHOOSE({1;2;3;4},H37,K37,N37,Q37),3)</f>
        <v>21.700000000000003</v>
      </c>
      <c r="U37" s="4" cm="1">
        <f t="array" ref="U37">IF(FX[[#This Row],[Number_of_competition]:[Number_of_competition]]&gt;=3,(LARGE(CHOOSE({1;2;3;4},F37,I37,L37,O37),1)+LARGE(CHOOSE({1;2;3;4},F37,I37,L37,O37),2)+LARGE(CHOOSE({1;2;3;4},F37,I37,L37,O37),3))/3,0)</f>
        <v>0</v>
      </c>
      <c r="V37" s="7" cm="1">
        <f t="array" ref="V37">IF(FX[[#This Row],[Number_of_competition]:[Number_of_competition]]&gt;=3,(LARGE(CHOOSE({1;2;3;4},G37,J37,M37,P37),1)+LARGE(CHOOSE({1;2;3;4},G37,J37,M37,P37),2)+LARGE(CHOOSE({1;2;3;4},G37,J37,M37,P37),3))/3,0)</f>
        <v>0</v>
      </c>
      <c r="W37" s="7" cm="1">
        <f t="array" ref="W37">IF(FX[[#This Row],[Number_of_competition]:[Number_of_competition]]&gt;=3,(LARGE(CHOOSE({1;2;3;4},H37,K37,N37,Q37),1)+LARGE(CHOOSE({1;2;3;4},H37,K37,N37,Q37),2)+LARGE(CHOOSE({1;2;3;4},H37,K37,N37,Q37),3))/3,0)</f>
        <v>0</v>
      </c>
      <c r="Z37" s="55" t="s">
        <v>338</v>
      </c>
      <c r="AA37" s="54">
        <v>19</v>
      </c>
      <c r="AB37" s="54">
        <v>11</v>
      </c>
      <c r="AE37" s="43" t="s">
        <v>73</v>
      </c>
      <c r="AF37" s="43" t="s">
        <v>60</v>
      </c>
      <c r="AG37" s="43" t="s">
        <v>62</v>
      </c>
      <c r="AH37">
        <v>4</v>
      </c>
      <c r="AI37" s="43" t="s">
        <v>273</v>
      </c>
      <c r="AJ37" s="43" t="s">
        <v>268</v>
      </c>
      <c r="AK37">
        <v>12.950000000000001</v>
      </c>
    </row>
    <row r="38" spans="1:37" ht="23.25" x14ac:dyDescent="0.35">
      <c r="A38" t="s">
        <v>50</v>
      </c>
      <c r="B38" s="2" t="s">
        <v>26</v>
      </c>
      <c r="C38" s="2" t="s">
        <v>51</v>
      </c>
      <c r="D38" t="s">
        <v>36</v>
      </c>
      <c r="E38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38" s="4">
        <v>0</v>
      </c>
      <c r="G38" s="7">
        <v>0</v>
      </c>
      <c r="H38" s="7">
        <v>0</v>
      </c>
      <c r="I38" s="4">
        <v>3.7</v>
      </c>
      <c r="J38" s="7">
        <v>8.3000000000000007</v>
      </c>
      <c r="K38" s="7">
        <v>12</v>
      </c>
      <c r="L38" s="4">
        <v>3.9</v>
      </c>
      <c r="M38" s="7">
        <v>7.35</v>
      </c>
      <c r="N38" s="7">
        <v>11.25</v>
      </c>
      <c r="O38" s="4">
        <v>0</v>
      </c>
      <c r="P38" s="7">
        <v>0</v>
      </c>
      <c r="Q38" s="7">
        <v>0</v>
      </c>
      <c r="R38" s="4">
        <f>LARGE(CHOOSE({1;2;3;4},F38,I38,L38,O38),1)+LARGE(CHOOSE({1;2;3;4},F38,I38,L38,O38),2)+LARGE(CHOOSE({1;2;3;4},F38,I38,L38,O38),3)</f>
        <v>7.6</v>
      </c>
      <c r="S38" s="7">
        <f>LARGE(CHOOSE({1;2;3;4},G38,J38,M38,P38),1)+LARGE(CHOOSE({1;2;3;4},G38,J38,M38,P38),2)+LARGE(CHOOSE({1;2;3;4},G38,J38,M38,P38),3)</f>
        <v>15.65</v>
      </c>
      <c r="T38" s="7">
        <f>LARGE(CHOOSE({1;2;3;4},H38,K38,N38,Q38),1)+LARGE(CHOOSE({1;2;3;4},H38,K38,N38,Q38),2)+LARGE(CHOOSE({1;2;3;4},H38,K38,N38,Q38),3)</f>
        <v>23.25</v>
      </c>
      <c r="U38" s="4" cm="1">
        <f t="array" ref="U38">IF(FX[[#This Row],[Number_of_competition]:[Number_of_competition]]&gt;=3,(LARGE(CHOOSE({1;2;3;4},F38,I38,L38,O38),1)+LARGE(CHOOSE({1;2;3;4},F38,I38,L38,O38),2)+LARGE(CHOOSE({1;2;3;4},F38,I38,L38,O38),3))/3,0)</f>
        <v>0</v>
      </c>
      <c r="V38" s="7" cm="1">
        <f t="array" ref="V38">IF(FX[[#This Row],[Number_of_competition]:[Number_of_competition]]&gt;=3,(LARGE(CHOOSE({1;2;3;4},G38,J38,M38,P38),1)+LARGE(CHOOSE({1;2;3;4},G38,J38,M38,P38),2)+LARGE(CHOOSE({1;2;3;4},G38,J38,M38,P38),3))/3,0)</f>
        <v>0</v>
      </c>
      <c r="W38" s="7" cm="1">
        <f t="array" ref="W38">IF(FX[[#This Row],[Number_of_competition]:[Number_of_competition]]&gt;=3,(LARGE(CHOOSE({1;2;3;4},H38,K38,N38,Q38),1)+LARGE(CHOOSE({1;2;3;4},H38,K38,N38,Q38),2)+LARGE(CHOOSE({1;2;3;4},H38,K38,N38,Q38),3))/3,0)</f>
        <v>0</v>
      </c>
      <c r="Z38" s="55" t="s">
        <v>339</v>
      </c>
      <c r="AA38" s="54">
        <v>5</v>
      </c>
      <c r="AB38" s="54">
        <v>6</v>
      </c>
      <c r="AE38" s="43" t="s">
        <v>59</v>
      </c>
      <c r="AF38" s="43" t="s">
        <v>60</v>
      </c>
      <c r="AG38" s="43" t="s">
        <v>62</v>
      </c>
      <c r="AH38">
        <v>3</v>
      </c>
      <c r="AI38" s="43" t="s">
        <v>317</v>
      </c>
      <c r="AJ38" s="43" t="s">
        <v>308</v>
      </c>
      <c r="AK38">
        <v>0</v>
      </c>
    </row>
    <row r="39" spans="1:37" ht="23.25" x14ac:dyDescent="0.35">
      <c r="A39" t="s">
        <v>132</v>
      </c>
      <c r="B39" s="2" t="s">
        <v>26</v>
      </c>
      <c r="C39" s="2" t="s">
        <v>133</v>
      </c>
      <c r="D39" t="s">
        <v>39</v>
      </c>
      <c r="E39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39" s="4">
        <v>3.8</v>
      </c>
      <c r="G39" s="7">
        <v>7.8</v>
      </c>
      <c r="H39" s="7">
        <v>11.6</v>
      </c>
      <c r="I39" s="4">
        <v>0</v>
      </c>
      <c r="J39" s="7">
        <v>0</v>
      </c>
      <c r="K39" s="7">
        <v>0</v>
      </c>
      <c r="L39" s="4">
        <v>0</v>
      </c>
      <c r="M39" s="7">
        <v>0</v>
      </c>
      <c r="N39" s="7">
        <v>0</v>
      </c>
      <c r="O39" s="4">
        <v>0</v>
      </c>
      <c r="P39" s="7">
        <v>0</v>
      </c>
      <c r="Q39" s="7">
        <v>0</v>
      </c>
      <c r="R39" s="4">
        <f>LARGE(CHOOSE({1;2;3;4},F39,I39,L39,O39),1)+LARGE(CHOOSE({1;2;3;4},F39,I39,L39,O39),2)+LARGE(CHOOSE({1;2;3;4},F39,I39,L39,O39),3)</f>
        <v>3.8</v>
      </c>
      <c r="S39" s="7">
        <f>LARGE(CHOOSE({1;2;3;4},G39,J39,M39,P39),1)+LARGE(CHOOSE({1;2;3;4},G39,J39,M39,P39),2)+LARGE(CHOOSE({1;2;3;4},G39,J39,M39,P39),3)</f>
        <v>7.8</v>
      </c>
      <c r="T39" s="7">
        <f>LARGE(CHOOSE({1;2;3;4},H39,K39,N39,Q39),1)+LARGE(CHOOSE({1;2;3;4},H39,K39,N39,Q39),2)+LARGE(CHOOSE({1;2;3;4},H39,K39,N39,Q39),3)</f>
        <v>11.6</v>
      </c>
      <c r="U39" s="4" cm="1">
        <f t="array" ref="U39">IF(FX[[#This Row],[Number_of_competition]:[Number_of_competition]]&gt;=3,(LARGE(CHOOSE({1;2;3;4},F39,I39,L39,O39),1)+LARGE(CHOOSE({1;2;3;4},F39,I39,L39,O39),2)+LARGE(CHOOSE({1;2;3;4},F39,I39,L39,O39),3))/3,0)</f>
        <v>0</v>
      </c>
      <c r="V39" s="7" cm="1">
        <f t="array" ref="V39">IF(FX[[#This Row],[Number_of_competition]:[Number_of_competition]]&gt;=3,(LARGE(CHOOSE({1;2;3;4},G39,J39,M39,P39),1)+LARGE(CHOOSE({1;2;3;4},G39,J39,M39,P39),2)+LARGE(CHOOSE({1;2;3;4},G39,J39,M39,P39),3))/3,0)</f>
        <v>0</v>
      </c>
      <c r="W39" s="7" cm="1">
        <f t="array" ref="W39">IF(FX[[#This Row],[Number_of_competition]:[Number_of_competition]]&gt;=3,(LARGE(CHOOSE({1;2;3;4},H39,K39,N39,Q39),1)+LARGE(CHOOSE({1;2;3;4},H39,K39,N39,Q39),2)+LARGE(CHOOSE({1;2;3;4},H39,K39,N39,Q39),3))/3,0)</f>
        <v>0</v>
      </c>
      <c r="AE39" s="43" t="s">
        <v>59</v>
      </c>
      <c r="AF39" s="43" t="s">
        <v>60</v>
      </c>
      <c r="AG39" s="43" t="s">
        <v>62</v>
      </c>
      <c r="AH39">
        <v>3</v>
      </c>
      <c r="AI39" s="43" t="s">
        <v>317</v>
      </c>
      <c r="AJ39" s="43" t="s">
        <v>309</v>
      </c>
      <c r="AK39">
        <v>0</v>
      </c>
    </row>
    <row r="40" spans="1:37" x14ac:dyDescent="0.25">
      <c r="A40" t="s">
        <v>57</v>
      </c>
      <c r="B40" s="2" t="s">
        <v>26</v>
      </c>
      <c r="C40" s="2" t="s">
        <v>58</v>
      </c>
      <c r="D40" t="s">
        <v>36</v>
      </c>
      <c r="E40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40" s="4">
        <v>3.2</v>
      </c>
      <c r="G40" s="7">
        <v>7.3</v>
      </c>
      <c r="H40" s="7">
        <v>10.5</v>
      </c>
      <c r="I40" s="4">
        <v>0</v>
      </c>
      <c r="J40" s="7">
        <v>0</v>
      </c>
      <c r="K40" s="7">
        <v>0</v>
      </c>
      <c r="L40" s="4">
        <v>0</v>
      </c>
      <c r="M40" s="7">
        <v>0</v>
      </c>
      <c r="N40" s="7">
        <v>0</v>
      </c>
      <c r="O40" s="4">
        <v>0</v>
      </c>
      <c r="P40" s="7">
        <v>0</v>
      </c>
      <c r="Q40" s="7">
        <v>0</v>
      </c>
      <c r="R40" s="4">
        <f>LARGE(CHOOSE({1;2;3;4},F40,I40,L40,O40),1)+LARGE(CHOOSE({1;2;3;4},F40,I40,L40,O40),2)+LARGE(CHOOSE({1;2;3;4},F40,I40,L40,O40),3)</f>
        <v>3.2</v>
      </c>
      <c r="S40" s="7">
        <f>LARGE(CHOOSE({1;2;3;4},G40,J40,M40,P40),1)+LARGE(CHOOSE({1;2;3;4},G40,J40,M40,P40),2)+LARGE(CHOOSE({1;2;3;4},G40,J40,M40,P40),3)</f>
        <v>7.3</v>
      </c>
      <c r="T40" s="7">
        <f>LARGE(CHOOSE({1;2;3;4},H40,K40,N40,Q40),1)+LARGE(CHOOSE({1;2;3;4},H40,K40,N40,Q40),2)+LARGE(CHOOSE({1;2;3;4},H40,K40,N40,Q40),3)</f>
        <v>10.5</v>
      </c>
      <c r="U40" s="4" cm="1">
        <f t="array" ref="U40">IF(FX[[#This Row],[Number_of_competition]:[Number_of_competition]]&gt;=3,(LARGE(CHOOSE({1;2;3;4},F40,I40,L40,O40),1)+LARGE(CHOOSE({1;2;3;4},F40,I40,L40,O40),2)+LARGE(CHOOSE({1;2;3;4},F40,I40,L40,O40),3))/3,0)</f>
        <v>0</v>
      </c>
      <c r="V40" s="7" cm="1">
        <f t="array" ref="V40">IF(FX[[#This Row],[Number_of_competition]:[Number_of_competition]]&gt;=3,(LARGE(CHOOSE({1;2;3;4},G40,J40,M40,P40),1)+LARGE(CHOOSE({1;2;3;4},G40,J40,M40,P40),2)+LARGE(CHOOSE({1;2;3;4},G40,J40,M40,P40),3))/3,0)</f>
        <v>0</v>
      </c>
      <c r="W40" s="7" cm="1">
        <f t="array" ref="W40">IF(FX[[#This Row],[Number_of_competition]:[Number_of_competition]]&gt;=3,(LARGE(CHOOSE({1;2;3;4},H40,K40,N40,Q40),1)+LARGE(CHOOSE({1;2;3;4},H40,K40,N40,Q40),2)+LARGE(CHOOSE({1;2;3;4},H40,K40,N40,Q40),3))/3,0)</f>
        <v>0</v>
      </c>
      <c r="AE40" s="43" t="s">
        <v>59</v>
      </c>
      <c r="AF40" s="43" t="s">
        <v>60</v>
      </c>
      <c r="AG40" s="43" t="s">
        <v>62</v>
      </c>
      <c r="AH40">
        <v>3</v>
      </c>
      <c r="AI40" s="43" t="s">
        <v>317</v>
      </c>
      <c r="AJ40" s="43" t="s">
        <v>268</v>
      </c>
      <c r="AK40">
        <v>0</v>
      </c>
    </row>
    <row r="41" spans="1:37" x14ac:dyDescent="0.25">
      <c r="A41" t="s">
        <v>139</v>
      </c>
      <c r="B41" s="2" t="s">
        <v>26</v>
      </c>
      <c r="C41" s="2" t="s">
        <v>140</v>
      </c>
      <c r="D41" t="s">
        <v>124</v>
      </c>
      <c r="E41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41" s="4">
        <v>3</v>
      </c>
      <c r="G41" s="7">
        <v>8.1999999999999993</v>
      </c>
      <c r="H41" s="7">
        <v>11.2</v>
      </c>
      <c r="I41" s="4">
        <v>0</v>
      </c>
      <c r="J41" s="7">
        <v>0</v>
      </c>
      <c r="K41" s="7">
        <v>0</v>
      </c>
      <c r="L41" s="4">
        <v>0</v>
      </c>
      <c r="M41" s="7">
        <v>0</v>
      </c>
      <c r="N41" s="7">
        <v>0</v>
      </c>
      <c r="O41" s="4">
        <v>0</v>
      </c>
      <c r="P41" s="7">
        <v>0</v>
      </c>
      <c r="Q41" s="7">
        <v>0</v>
      </c>
      <c r="R41" s="4">
        <f>LARGE(CHOOSE({1;2;3;4},F41,I41,L41,O41),1)+LARGE(CHOOSE({1;2;3;4},F41,I41,L41,O41),2)+LARGE(CHOOSE({1;2;3;4},F41,I41,L41,O41),3)</f>
        <v>3</v>
      </c>
      <c r="S41" s="7">
        <f>LARGE(CHOOSE({1;2;3;4},G41,J41,M41,P41),1)+LARGE(CHOOSE({1;2;3;4},G41,J41,M41,P41),2)+LARGE(CHOOSE({1;2;3;4},G41,J41,M41,P41),3)</f>
        <v>8.1999999999999993</v>
      </c>
      <c r="T41" s="7">
        <f>LARGE(CHOOSE({1;2;3;4},H41,K41,N41,Q41),1)+LARGE(CHOOSE({1;2;3;4},H41,K41,N41,Q41),2)+LARGE(CHOOSE({1;2;3;4},H41,K41,N41,Q41),3)</f>
        <v>11.2</v>
      </c>
      <c r="U41" s="4" cm="1">
        <f t="array" ref="U41">IF(FX[[#This Row],[Number_of_competition]:[Number_of_competition]]&gt;=3,(LARGE(CHOOSE({1;2;3;4},F41,I41,L41,O41),1)+LARGE(CHOOSE({1;2;3;4},F41,I41,L41,O41),2)+LARGE(CHOOSE({1;2;3;4},F41,I41,L41,O41),3))/3,0)</f>
        <v>0</v>
      </c>
      <c r="V41" s="7" cm="1">
        <f t="array" ref="V41">IF(FX[[#This Row],[Number_of_competition]:[Number_of_competition]]&gt;=3,(LARGE(CHOOSE({1;2;3;4},G41,J41,M41,P41),1)+LARGE(CHOOSE({1;2;3;4},G41,J41,M41,P41),2)+LARGE(CHOOSE({1;2;3;4},G41,J41,M41,P41),3))/3,0)</f>
        <v>0</v>
      </c>
      <c r="W41" s="7" cm="1">
        <f t="array" ref="W41">IF(FX[[#This Row],[Number_of_competition]:[Number_of_competition]]&gt;=3,(LARGE(CHOOSE({1;2;3;4},H41,K41,N41,Q41),1)+LARGE(CHOOSE({1;2;3;4},H41,K41,N41,Q41),2)+LARGE(CHOOSE({1;2;3;4},H41,K41,N41,Q41),3))/3,0)</f>
        <v>0</v>
      </c>
      <c r="AE41" s="43" t="s">
        <v>59</v>
      </c>
      <c r="AF41" s="43" t="s">
        <v>60</v>
      </c>
      <c r="AG41" s="43" t="s">
        <v>62</v>
      </c>
      <c r="AH41">
        <v>3</v>
      </c>
      <c r="AI41" s="43" t="s">
        <v>325</v>
      </c>
      <c r="AJ41" s="43" t="s">
        <v>308</v>
      </c>
      <c r="AK41">
        <v>5.3</v>
      </c>
    </row>
    <row r="42" spans="1:37" x14ac:dyDescent="0.25">
      <c r="A42" t="s">
        <v>135</v>
      </c>
      <c r="B42" s="2" t="s">
        <v>26</v>
      </c>
      <c r="C42" s="2" t="s">
        <v>136</v>
      </c>
      <c r="D42" t="s">
        <v>124</v>
      </c>
      <c r="E42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42" s="4">
        <v>2.9</v>
      </c>
      <c r="G42" s="7">
        <v>7.8</v>
      </c>
      <c r="H42" s="7">
        <v>10.7</v>
      </c>
      <c r="I42" s="4">
        <v>0</v>
      </c>
      <c r="J42" s="7">
        <v>0</v>
      </c>
      <c r="K42" s="7">
        <v>0</v>
      </c>
      <c r="L42" s="4">
        <v>0</v>
      </c>
      <c r="M42" s="7">
        <v>0</v>
      </c>
      <c r="N42" s="7">
        <v>0</v>
      </c>
      <c r="O42" s="4">
        <v>0</v>
      </c>
      <c r="P42" s="7">
        <v>0</v>
      </c>
      <c r="Q42" s="7">
        <v>0</v>
      </c>
      <c r="R42" s="4">
        <f>LARGE(CHOOSE({1;2;3;4},F42,I42,L42,O42),1)+LARGE(CHOOSE({1;2;3;4},F42,I42,L42,O42),2)+LARGE(CHOOSE({1;2;3;4},F42,I42,L42,O42),3)</f>
        <v>2.9</v>
      </c>
      <c r="S42" s="7">
        <f>LARGE(CHOOSE({1;2;3;4},G42,J42,M42,P42),1)+LARGE(CHOOSE({1;2;3;4},G42,J42,M42,P42),2)+LARGE(CHOOSE({1;2;3;4},G42,J42,M42,P42),3)</f>
        <v>7.8</v>
      </c>
      <c r="T42" s="7">
        <f>LARGE(CHOOSE({1;2;3;4},H42,K42,N42,Q42),1)+LARGE(CHOOSE({1;2;3;4},H42,K42,N42,Q42),2)+LARGE(CHOOSE({1;2;3;4},H42,K42,N42,Q42),3)</f>
        <v>10.7</v>
      </c>
      <c r="U42" s="4" cm="1">
        <f t="array" ref="U42">IF(FX[[#This Row],[Number_of_competition]:[Number_of_competition]]&gt;=3,(LARGE(CHOOSE({1;2;3;4},F42,I42,L42,O42),1)+LARGE(CHOOSE({1;2;3;4},F42,I42,L42,O42),2)+LARGE(CHOOSE({1;2;3;4},F42,I42,L42,O42),3))/3,0)</f>
        <v>0</v>
      </c>
      <c r="V42" s="7" cm="1">
        <f t="array" ref="V42">IF(FX[[#This Row],[Number_of_competition]:[Number_of_competition]]&gt;=3,(LARGE(CHOOSE({1;2;3;4},G42,J42,M42,P42),1)+LARGE(CHOOSE({1;2;3;4},G42,J42,M42,P42),2)+LARGE(CHOOSE({1;2;3;4},G42,J42,M42,P42),3))/3,0)</f>
        <v>0</v>
      </c>
      <c r="W42" s="7" cm="1">
        <f t="array" ref="W42">IF(FX[[#This Row],[Number_of_competition]:[Number_of_competition]]&gt;=3,(LARGE(CHOOSE({1;2;3;4},H42,K42,N42,Q42),1)+LARGE(CHOOSE({1;2;3;4},H42,K42,N42,Q42),2)+LARGE(CHOOSE({1;2;3;4},H42,K42,N42,Q42),3))/3,0)</f>
        <v>0</v>
      </c>
      <c r="AE42" s="43" t="s">
        <v>59</v>
      </c>
      <c r="AF42" s="43" t="s">
        <v>60</v>
      </c>
      <c r="AG42" s="43" t="s">
        <v>62</v>
      </c>
      <c r="AH42">
        <v>3</v>
      </c>
      <c r="AI42" s="43" t="s">
        <v>325</v>
      </c>
      <c r="AJ42" s="43" t="s">
        <v>309</v>
      </c>
      <c r="AK42">
        <v>8.15</v>
      </c>
    </row>
    <row r="43" spans="1:37" x14ac:dyDescent="0.25">
      <c r="A43" t="s">
        <v>137</v>
      </c>
      <c r="B43" s="2" t="s">
        <v>26</v>
      </c>
      <c r="C43" s="2" t="s">
        <v>138</v>
      </c>
      <c r="D43" t="s">
        <v>124</v>
      </c>
      <c r="E43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43" s="4">
        <v>2.5</v>
      </c>
      <c r="G43" s="7">
        <v>8.3000000000000007</v>
      </c>
      <c r="H43" s="7">
        <v>10.8</v>
      </c>
      <c r="I43" s="4">
        <v>0</v>
      </c>
      <c r="J43" s="7">
        <v>0</v>
      </c>
      <c r="K43" s="7">
        <v>0</v>
      </c>
      <c r="L43" s="4">
        <v>0</v>
      </c>
      <c r="M43" s="7">
        <v>0</v>
      </c>
      <c r="N43" s="7">
        <v>0</v>
      </c>
      <c r="O43" s="4">
        <v>0</v>
      </c>
      <c r="P43" s="7">
        <v>0</v>
      </c>
      <c r="Q43" s="7">
        <v>0</v>
      </c>
      <c r="R43" s="4">
        <f>LARGE(CHOOSE({1;2;3;4},F43,I43,L43,O43),1)+LARGE(CHOOSE({1;2;3;4},F43,I43,L43,O43),2)+LARGE(CHOOSE({1;2;3;4},F43,I43,L43,O43),3)</f>
        <v>2.5</v>
      </c>
      <c r="S43" s="7">
        <f>LARGE(CHOOSE({1;2;3;4},G43,J43,M43,P43),1)+LARGE(CHOOSE({1;2;3;4},G43,J43,M43,P43),2)+LARGE(CHOOSE({1;2;3;4},G43,J43,M43,P43),3)</f>
        <v>8.3000000000000007</v>
      </c>
      <c r="T43" s="7">
        <f>LARGE(CHOOSE({1;2;3;4},H43,K43,N43,Q43),1)+LARGE(CHOOSE({1;2;3;4},H43,K43,N43,Q43),2)+LARGE(CHOOSE({1;2;3;4},H43,K43,N43,Q43),3)</f>
        <v>10.8</v>
      </c>
      <c r="U43" s="4" cm="1">
        <f t="array" ref="U43">IF(FX[[#This Row],[Number_of_competition]:[Number_of_competition]]&gt;=3,(LARGE(CHOOSE({1;2;3;4},F43,I43,L43,O43),1)+LARGE(CHOOSE({1;2;3;4},F43,I43,L43,O43),2)+LARGE(CHOOSE({1;2;3;4},F43,I43,L43,O43),3))/3,0)</f>
        <v>0</v>
      </c>
      <c r="V43" s="7" cm="1">
        <f t="array" ref="V43">IF(FX[[#This Row],[Number_of_competition]:[Number_of_competition]]&gt;=3,(LARGE(CHOOSE({1;2;3;4},G43,J43,M43,P43),1)+LARGE(CHOOSE({1;2;3;4},G43,J43,M43,P43),2)+LARGE(CHOOSE({1;2;3;4},G43,J43,M43,P43),3))/3,0)</f>
        <v>0</v>
      </c>
      <c r="W43" s="7" cm="1">
        <f t="array" ref="W43">IF(FX[[#This Row],[Number_of_competition]:[Number_of_competition]]&gt;=3,(LARGE(CHOOSE({1;2;3;4},H43,K43,N43,Q43),1)+LARGE(CHOOSE({1;2;3;4},H43,K43,N43,Q43),2)+LARGE(CHOOSE({1;2;3;4},H43,K43,N43,Q43),3))/3,0)</f>
        <v>0</v>
      </c>
      <c r="AE43" s="43" t="s">
        <v>59</v>
      </c>
      <c r="AF43" s="43" t="s">
        <v>60</v>
      </c>
      <c r="AG43" s="43" t="s">
        <v>62</v>
      </c>
      <c r="AH43">
        <v>3</v>
      </c>
      <c r="AI43" s="43" t="s">
        <v>325</v>
      </c>
      <c r="AJ43" s="43" t="s">
        <v>268</v>
      </c>
      <c r="AK43">
        <v>13.45</v>
      </c>
    </row>
    <row r="44" spans="1:37" x14ac:dyDescent="0.25">
      <c r="A44" t="s">
        <v>125</v>
      </c>
      <c r="B44" s="2" t="s">
        <v>26</v>
      </c>
      <c r="C44" s="2" t="s">
        <v>126</v>
      </c>
      <c r="D44" t="s">
        <v>67</v>
      </c>
      <c r="E44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44" s="4">
        <v>0</v>
      </c>
      <c r="G44" s="7">
        <v>0</v>
      </c>
      <c r="H44" s="7">
        <v>0</v>
      </c>
      <c r="I44" s="4">
        <v>0</v>
      </c>
      <c r="J44" s="7">
        <v>0</v>
      </c>
      <c r="K44" s="7">
        <v>0</v>
      </c>
      <c r="L44" s="4">
        <v>3.5</v>
      </c>
      <c r="M44" s="7">
        <v>7.85</v>
      </c>
      <c r="N44" s="7">
        <v>11.35</v>
      </c>
      <c r="O44" s="4">
        <v>0</v>
      </c>
      <c r="P44" s="7">
        <v>0</v>
      </c>
      <c r="Q44" s="7">
        <v>0</v>
      </c>
      <c r="R44" s="4">
        <f>LARGE(CHOOSE({1;2;3;4},F44,I44,L44,O44),1)+LARGE(CHOOSE({1;2;3;4},F44,I44,L44,O44),2)+LARGE(CHOOSE({1;2;3;4},F44,I44,L44,O44),3)</f>
        <v>3.5</v>
      </c>
      <c r="S44" s="7">
        <f>LARGE(CHOOSE({1;2;3;4},G44,J44,M44,P44),1)+LARGE(CHOOSE({1;2;3;4},G44,J44,M44,P44),2)+LARGE(CHOOSE({1;2;3;4},G44,J44,M44,P44),3)</f>
        <v>7.85</v>
      </c>
      <c r="T44" s="7">
        <f>LARGE(CHOOSE({1;2;3;4},H44,K44,N44,Q44),1)+LARGE(CHOOSE({1;2;3;4},H44,K44,N44,Q44),2)+LARGE(CHOOSE({1;2;3;4},H44,K44,N44,Q44),3)</f>
        <v>11.35</v>
      </c>
      <c r="U44" s="4" cm="1">
        <f t="array" ref="U44">IF(FX[[#This Row],[Number_of_competition]:[Number_of_competition]]&gt;=3,(LARGE(CHOOSE({1;2;3;4},F44,I44,L44,O44),1)+LARGE(CHOOSE({1;2;3;4},F44,I44,L44,O44),2)+LARGE(CHOOSE({1;2;3;4},F44,I44,L44,O44),3))/3,0)</f>
        <v>0</v>
      </c>
      <c r="V44" s="7" cm="1">
        <f t="array" ref="V44">IF(FX[[#This Row],[Number_of_competition]:[Number_of_competition]]&gt;=3,(LARGE(CHOOSE({1;2;3;4},G44,J44,M44,P44),1)+LARGE(CHOOSE({1;2;3;4},G44,J44,M44,P44),2)+LARGE(CHOOSE({1;2;3;4},G44,J44,M44,P44),3))/3,0)</f>
        <v>0</v>
      </c>
      <c r="W44" s="7" cm="1">
        <f t="array" ref="W44">IF(FX[[#This Row],[Number_of_competition]:[Number_of_competition]]&gt;=3,(LARGE(CHOOSE({1;2;3;4},H44,K44,N44,Q44),1)+LARGE(CHOOSE({1;2;3;4},H44,K44,N44,Q44),2)+LARGE(CHOOSE({1;2;3;4},H44,K44,N44,Q44),3))/3,0)</f>
        <v>0</v>
      </c>
      <c r="AE44" s="43" t="s">
        <v>59</v>
      </c>
      <c r="AF44" s="43" t="s">
        <v>60</v>
      </c>
      <c r="AG44" s="43" t="s">
        <v>62</v>
      </c>
      <c r="AH44">
        <v>3</v>
      </c>
      <c r="AI44" s="43" t="s">
        <v>330</v>
      </c>
      <c r="AJ44" s="43" t="s">
        <v>308</v>
      </c>
      <c r="AK44">
        <v>5.3</v>
      </c>
    </row>
    <row r="45" spans="1:37" x14ac:dyDescent="0.25">
      <c r="A45" t="s">
        <v>122</v>
      </c>
      <c r="B45" s="2" t="s">
        <v>26</v>
      </c>
      <c r="C45" s="2" t="s">
        <v>123</v>
      </c>
      <c r="D45" t="s">
        <v>124</v>
      </c>
      <c r="E45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45" s="4">
        <v>0</v>
      </c>
      <c r="G45" s="7">
        <v>0</v>
      </c>
      <c r="H45" s="7">
        <v>0</v>
      </c>
      <c r="I45" s="4">
        <v>0</v>
      </c>
      <c r="J45" s="7">
        <v>0</v>
      </c>
      <c r="K45" s="7">
        <v>0</v>
      </c>
      <c r="L45" s="4">
        <v>3.1</v>
      </c>
      <c r="M45" s="7">
        <v>7.55</v>
      </c>
      <c r="N45" s="7">
        <v>10.65</v>
      </c>
      <c r="O45" s="4">
        <v>0</v>
      </c>
      <c r="P45" s="7">
        <v>0</v>
      </c>
      <c r="Q45" s="7">
        <v>0</v>
      </c>
      <c r="R45" s="4">
        <f>LARGE(CHOOSE({1;2;3;4},F45,I45,L45,O45),1)+LARGE(CHOOSE({1;2;3;4},F45,I45,L45,O45),2)+LARGE(CHOOSE({1;2;3;4},F45,I45,L45,O45),3)</f>
        <v>3.1</v>
      </c>
      <c r="S45" s="7">
        <f>LARGE(CHOOSE({1;2;3;4},G45,J45,M45,P45),1)+LARGE(CHOOSE({1;2;3;4},G45,J45,M45,P45),2)+LARGE(CHOOSE({1;2;3;4},G45,J45,M45,P45),3)</f>
        <v>7.55</v>
      </c>
      <c r="T45" s="7">
        <f>LARGE(CHOOSE({1;2;3;4},H45,K45,N45,Q45),1)+LARGE(CHOOSE({1;2;3;4},H45,K45,N45,Q45),2)+LARGE(CHOOSE({1;2;3;4},H45,K45,N45,Q45),3)</f>
        <v>10.65</v>
      </c>
      <c r="U45" s="4" cm="1">
        <f t="array" ref="U45">IF(FX[[#This Row],[Number_of_competition]:[Number_of_competition]]&gt;=3,(LARGE(CHOOSE({1;2;3;4},F45,I45,L45,O45),1)+LARGE(CHOOSE({1;2;3;4},F45,I45,L45,O45),2)+LARGE(CHOOSE({1;2;3;4},F45,I45,L45,O45),3))/3,0)</f>
        <v>0</v>
      </c>
      <c r="V45" s="7" cm="1">
        <f t="array" ref="V45">IF(FX[[#This Row],[Number_of_competition]:[Number_of_competition]]&gt;=3,(LARGE(CHOOSE({1;2;3;4},G45,J45,M45,P45),1)+LARGE(CHOOSE({1;2;3;4},G45,J45,M45,P45),2)+LARGE(CHOOSE({1;2;3;4},G45,J45,M45,P45),3))/3,0)</f>
        <v>0</v>
      </c>
      <c r="W45" s="7" cm="1">
        <f t="array" ref="W45">IF(FX[[#This Row],[Number_of_competition]:[Number_of_competition]]&gt;=3,(LARGE(CHOOSE({1;2;3;4},H45,K45,N45,Q45),1)+LARGE(CHOOSE({1;2;3;4},H45,K45,N45,Q45),2)+LARGE(CHOOSE({1;2;3;4},H45,K45,N45,Q45),3))/3,0)</f>
        <v>0</v>
      </c>
      <c r="AE45" s="43" t="s">
        <v>59</v>
      </c>
      <c r="AF45" s="43" t="s">
        <v>60</v>
      </c>
      <c r="AG45" s="43" t="s">
        <v>62</v>
      </c>
      <c r="AH45">
        <v>3</v>
      </c>
      <c r="AI45" s="43" t="s">
        <v>330</v>
      </c>
      <c r="AJ45" s="43" t="s">
        <v>309</v>
      </c>
      <c r="AK45">
        <v>7.25</v>
      </c>
    </row>
    <row r="46" spans="1:37" x14ac:dyDescent="0.25">
      <c r="A46" t="s">
        <v>114</v>
      </c>
      <c r="B46" s="2" t="s">
        <v>26</v>
      </c>
      <c r="C46" s="2" t="s">
        <v>115</v>
      </c>
      <c r="D46" t="s">
        <v>36</v>
      </c>
      <c r="E46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46" s="4">
        <v>0</v>
      </c>
      <c r="G46" s="7">
        <v>0</v>
      </c>
      <c r="H46" s="7">
        <v>0</v>
      </c>
      <c r="I46" s="4">
        <v>0</v>
      </c>
      <c r="J46" s="7">
        <v>0</v>
      </c>
      <c r="K46" s="7">
        <v>0</v>
      </c>
      <c r="L46" s="4">
        <v>0</v>
      </c>
      <c r="M46" s="7">
        <v>0</v>
      </c>
      <c r="N46" s="7">
        <v>0</v>
      </c>
      <c r="O46" s="4">
        <v>3.4</v>
      </c>
      <c r="P46" s="7">
        <v>7.1</v>
      </c>
      <c r="Q46" s="7">
        <v>10.5</v>
      </c>
      <c r="R46" s="4">
        <f>LARGE(CHOOSE({1;2;3;4},F46,I46,L46,O46),1)+LARGE(CHOOSE({1;2;3;4},F46,I46,L46,O46),2)+LARGE(CHOOSE({1;2;3;4},F46,I46,L46,O46),3)</f>
        <v>3.4</v>
      </c>
      <c r="S46" s="7">
        <f>LARGE(CHOOSE({1;2;3;4},G46,J46,M46,P46),1)+LARGE(CHOOSE({1;2;3;4},G46,J46,M46,P46),2)+LARGE(CHOOSE({1;2;3;4},G46,J46,M46,P46),3)</f>
        <v>7.1</v>
      </c>
      <c r="T46" s="7">
        <f>LARGE(CHOOSE({1;2;3;4},H46,K46,N46,Q46),1)+LARGE(CHOOSE({1;2;3;4},H46,K46,N46,Q46),2)+LARGE(CHOOSE({1;2;3;4},H46,K46,N46,Q46),3)</f>
        <v>10.5</v>
      </c>
      <c r="U46" s="4" cm="1">
        <f t="array" ref="U46">IF(FX[[#This Row],[Number_of_competition]:[Number_of_competition]]&gt;=3,(LARGE(CHOOSE({1;2;3;4},F46,I46,L46,O46),1)+LARGE(CHOOSE({1;2;3;4},F46,I46,L46,O46),2)+LARGE(CHOOSE({1;2;3;4},F46,I46,L46,O46),3))/3,0)</f>
        <v>0</v>
      </c>
      <c r="V46" s="7" cm="1">
        <f t="array" ref="V46">IF(FX[[#This Row],[Number_of_competition]:[Number_of_competition]]&gt;=3,(LARGE(CHOOSE({1;2;3;4},G46,J46,M46,P46),1)+LARGE(CHOOSE({1;2;3;4},G46,J46,M46,P46),2)+LARGE(CHOOSE({1;2;3;4},G46,J46,M46,P46),3))/3,0)</f>
        <v>0</v>
      </c>
      <c r="W46" s="7" cm="1">
        <f t="array" ref="W46">IF(FX[[#This Row],[Number_of_competition]:[Number_of_competition]]&gt;=3,(LARGE(CHOOSE({1;2;3;4},H46,K46,N46,Q46),1)+LARGE(CHOOSE({1;2;3;4},H46,K46,N46,Q46),2)+LARGE(CHOOSE({1;2;3;4},H46,K46,N46,Q46),3))/3,0)</f>
        <v>0</v>
      </c>
      <c r="AE46" s="43" t="s">
        <v>59</v>
      </c>
      <c r="AF46" s="43" t="s">
        <v>60</v>
      </c>
      <c r="AG46" s="43" t="s">
        <v>62</v>
      </c>
      <c r="AH46">
        <v>3</v>
      </c>
      <c r="AI46" s="43" t="s">
        <v>330</v>
      </c>
      <c r="AJ46" s="43" t="s">
        <v>268</v>
      </c>
      <c r="AK46">
        <v>12.55</v>
      </c>
    </row>
    <row r="47" spans="1:37" x14ac:dyDescent="0.25">
      <c r="A47" t="s">
        <v>52</v>
      </c>
      <c r="B47" s="2" t="s">
        <v>26</v>
      </c>
      <c r="C47" s="2" t="s">
        <v>53</v>
      </c>
      <c r="D47" t="s">
        <v>36</v>
      </c>
      <c r="E47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47" s="4">
        <v>0</v>
      </c>
      <c r="G47" s="7">
        <v>0</v>
      </c>
      <c r="H47" s="7">
        <v>0</v>
      </c>
      <c r="I47" s="4">
        <v>0</v>
      </c>
      <c r="J47" s="7">
        <v>0</v>
      </c>
      <c r="K47" s="7">
        <v>0</v>
      </c>
      <c r="L47" s="4">
        <v>0</v>
      </c>
      <c r="M47" s="7">
        <v>0</v>
      </c>
      <c r="N47" s="7">
        <v>0</v>
      </c>
      <c r="O47" s="4">
        <v>3.2</v>
      </c>
      <c r="P47" s="7">
        <v>6.9</v>
      </c>
      <c r="Q47" s="7">
        <v>10.1</v>
      </c>
      <c r="R47" s="4">
        <f>LARGE(CHOOSE({1;2;3;4},F47,I47,L47,O47),1)+LARGE(CHOOSE({1;2;3;4},F47,I47,L47,O47),2)+LARGE(CHOOSE({1;2;3;4},F47,I47,L47,O47),3)</f>
        <v>3.2</v>
      </c>
      <c r="S47" s="7">
        <f>LARGE(CHOOSE({1;2;3;4},G47,J47,M47,P47),1)+LARGE(CHOOSE({1;2;3;4},G47,J47,M47,P47),2)+LARGE(CHOOSE({1;2;3;4},G47,J47,M47,P47),3)</f>
        <v>6.9</v>
      </c>
      <c r="T47" s="7">
        <f>LARGE(CHOOSE({1;2;3;4},H47,K47,N47,Q47),1)+LARGE(CHOOSE({1;2;3;4},H47,K47,N47,Q47),2)+LARGE(CHOOSE({1;2;3;4},H47,K47,N47,Q47),3)</f>
        <v>10.1</v>
      </c>
      <c r="U47" s="4" cm="1">
        <f t="array" ref="U47">IF(FX[[#This Row],[Number_of_competition]:[Number_of_competition]]&gt;=3,(LARGE(CHOOSE({1;2;3;4},F47,I47,L47,O47),1)+LARGE(CHOOSE({1;2;3;4},F47,I47,L47,O47),2)+LARGE(CHOOSE({1;2;3;4},F47,I47,L47,O47),3))/3,0)</f>
        <v>0</v>
      </c>
      <c r="V47" s="7" cm="1">
        <f t="array" ref="V47">IF(FX[[#This Row],[Number_of_competition]:[Number_of_competition]]&gt;=3,(LARGE(CHOOSE({1;2;3;4},G47,J47,M47,P47),1)+LARGE(CHOOSE({1;2;3;4},G47,J47,M47,P47),2)+LARGE(CHOOSE({1;2;3;4},G47,J47,M47,P47),3))/3,0)</f>
        <v>0</v>
      </c>
      <c r="W47" s="7" cm="1">
        <f t="array" ref="W47">IF(FX[[#This Row],[Number_of_competition]:[Number_of_competition]]&gt;=3,(LARGE(CHOOSE({1;2;3;4},H47,K47,N47,Q47),1)+LARGE(CHOOSE({1;2;3;4},H47,K47,N47,Q47),2)+LARGE(CHOOSE({1;2;3;4},H47,K47,N47,Q47),3))/3,0)</f>
        <v>0</v>
      </c>
      <c r="AE47" s="43" t="s">
        <v>59</v>
      </c>
      <c r="AF47" s="43" t="s">
        <v>60</v>
      </c>
      <c r="AG47" s="43" t="s">
        <v>62</v>
      </c>
      <c r="AH47">
        <v>3</v>
      </c>
      <c r="AI47" s="43" t="s">
        <v>343</v>
      </c>
      <c r="AJ47" s="43" t="s">
        <v>308</v>
      </c>
      <c r="AK47">
        <v>5.4</v>
      </c>
    </row>
    <row r="48" spans="1:37" x14ac:dyDescent="0.25">
      <c r="AE48" s="43" t="s">
        <v>59</v>
      </c>
      <c r="AF48" s="43" t="s">
        <v>60</v>
      </c>
      <c r="AG48" s="43" t="s">
        <v>62</v>
      </c>
      <c r="AH48">
        <v>3</v>
      </c>
      <c r="AI48" s="43" t="s">
        <v>343</v>
      </c>
      <c r="AJ48" s="43" t="s">
        <v>309</v>
      </c>
      <c r="AK48">
        <v>7.4</v>
      </c>
    </row>
    <row r="49" spans="1:37" x14ac:dyDescent="0.25">
      <c r="AE49" s="43" t="s">
        <v>59</v>
      </c>
      <c r="AF49" s="43" t="s">
        <v>60</v>
      </c>
      <c r="AG49" s="43" t="s">
        <v>62</v>
      </c>
      <c r="AH49">
        <v>3</v>
      </c>
      <c r="AI49" s="43" t="s">
        <v>343</v>
      </c>
      <c r="AJ49" s="43" t="s">
        <v>268</v>
      </c>
      <c r="AK49">
        <v>12.8</v>
      </c>
    </row>
    <row r="50" spans="1:37" ht="27" customHeight="1" x14ac:dyDescent="0.25">
      <c r="A50" s="2" t="s">
        <v>2</v>
      </c>
      <c r="B50" s="2" t="s">
        <v>266</v>
      </c>
      <c r="C50" s="2" t="s">
        <v>271</v>
      </c>
      <c r="D50" s="7" t="s">
        <v>272</v>
      </c>
      <c r="E50" s="7" t="s">
        <v>270</v>
      </c>
      <c r="F50" s="2" t="s">
        <v>253</v>
      </c>
      <c r="AE50" s="43" t="s">
        <v>59</v>
      </c>
      <c r="AF50" s="43" t="s">
        <v>60</v>
      </c>
      <c r="AG50" s="43" t="s">
        <v>62</v>
      </c>
      <c r="AH50">
        <v>3</v>
      </c>
      <c r="AI50" s="43" t="s">
        <v>341</v>
      </c>
      <c r="AJ50" s="43" t="s">
        <v>308</v>
      </c>
      <c r="AK50">
        <v>16</v>
      </c>
    </row>
    <row r="51" spans="1:37" ht="27" customHeight="1" x14ac:dyDescent="0.25">
      <c r="A51" s="2" t="s">
        <v>60</v>
      </c>
      <c r="B51" s="2" t="s">
        <v>269</v>
      </c>
      <c r="C51" s="4" cm="1">
        <f t="array" ref="C51">SUM(_xlfn._xlws.FILTER(FX[bydgoszcz_FX_Dscore],FX[Category]="senior"),_xlfn._xlws.FILTER(FX[zabrze_FX_Dscore],FX[Category]="senior"),_xlfn._xlws.FILTER(FX[cracow_FX_Dscore],FX[Category]="senior"),_xlfn._xlws.FILTER(FX[gdansk_FX_Dscore],FX[Category]="senior"))/(COUNTIFS(FX[bydgoszcz_FX_Dscore],"&gt;0",FX[Category],"senior")+COUNTIFS(FX[zabrze_FX_Dscore],"&gt;0",FX[Category],"senior")+COUNTIFS(FX[cracow_FX_Dscore],"&gt;0",FX[Category],"senior")+COUNTIFS(FX[gdansk_FX_Dscore],"&gt;0",FX[Category],"senior"))</f>
        <v>4.3048387096774192</v>
      </c>
      <c r="D51" s="4" cm="1">
        <f t="array" ref="D51">_xlfn.STDEV.S(_xlfn._xlws.FILTER(FX[bydgoszcz_FX_Dscore],(FX[Category]="senior")*(FX[bydgoszcz_FX_Dscore])&gt;0),_xlfn._xlws.FILTER(FX[zabrze_FX_Dscore],(FX[Category]="senior")*(FX[zabrze_FX_Dscore])&gt;0),_xlfn._xlws.FILTER(FX[cracow_FX_Dscore],(FX[Category]="senior")*(FX[cracow_FX_Dscore])&gt;0),_xlfn._xlws.FILTER(FX[gdansk_FX_Dscore],(FX[Category]="senior")*(FX[gdansk_FX_Dscore])&gt;0))</f>
        <v>0.655975664121489</v>
      </c>
      <c r="E51" s="4" cm="1">
        <f t="array" ref="E51">MAX(_xlfn._xlws.FILTER(FX[bydgoszcz_FX_Dscore],FX[Category]="senior"),_xlfn._xlws.FILTER(FX[zabrze_FX_Dscore],FX[Category]="senior"),_xlfn._xlws.FILTER(FX[cracow_FX_Dscore],FX[Category]="senior"),_xlfn._xlws.FILTER(FX[gdansk_FX_Dscore],FX[Category]="senior"))</f>
        <v>6</v>
      </c>
      <c r="F51" s="2" t="str" cm="1">
        <f t="array" ref="F51">_xlfn.XLOOKUP(E51,_xlfn._xlws.FILTER(FX[bydgoszcz_FX_Dscore],FX[Category]="senior"),_xlfn._xlws.FILTER(FX[Name],FX[Category]="senior"),_xlfn.XLOOKUP(E51,_xlfn._xlws.FILTER(FX[zabrze_FX_Dscore],FX[Category]="senior"),_xlfn._xlws.FILTER(FX[Name],FX[Category]="senior"),_xlfn.XLOOKUP(E51,_xlfn._xlws.FILTER(FX[cracow_FX_Dscore],FX[Category]="senior"),_xlfn._xlws.FILTER(FX[Name],FX[Category]="senior"),_xlfn.XLOOKUP(E51,_xlfn._xlws.FILTER(FX[gdansk_FX_Dscore],FX[Category]="senior"),_xlfn._xlws.FILTER(FX[Name],FX[Category]="senior")))))</f>
        <v>SASNAL Filip</v>
      </c>
      <c r="G51" s="2"/>
      <c r="J51" s="6"/>
      <c r="AE51" s="43" t="s">
        <v>59</v>
      </c>
      <c r="AF51" s="43" t="s">
        <v>60</v>
      </c>
      <c r="AG51" s="43" t="s">
        <v>62</v>
      </c>
      <c r="AH51">
        <v>3</v>
      </c>
      <c r="AI51" s="43" t="s">
        <v>341</v>
      </c>
      <c r="AJ51" s="43" t="s">
        <v>309</v>
      </c>
      <c r="AK51">
        <v>22.8</v>
      </c>
    </row>
    <row r="52" spans="1:37" ht="27" customHeight="1" x14ac:dyDescent="0.25">
      <c r="A52" s="2" t="s">
        <v>60</v>
      </c>
      <c r="B52" s="2" t="s">
        <v>267</v>
      </c>
      <c r="C52" s="7" cm="1">
        <f t="array" ref="C52">SUM(_xlfn._xlws.FILTER(FX[bydgoszcz_FX_Escore],FX[Category]="senior"),_xlfn._xlws.FILTER(FX[zabrze_FX_Escore],FX[Category]="senior"),_xlfn._xlws.FILTER(FX[cracow_FX_Escore],FX[Category]="senior"),_xlfn._xlws.FILTER(FX[gdansk_FX_Escore],FX[Category]="senior"))/(COUNTIFS(FX[bydgoszcz_FX_Escore],"&gt;0",FX[Category],"senior")+COUNTIFS(FX[zabrze_FX_Escore],"&gt;0",FX[Category],"senior")+COUNTIFS(FX[cracow_FX_Escore],"&gt;0",FX[Category],"senior")+COUNTIFS(FX[gdansk_FX_Escore],"&gt;0",FX[Category],"senior"))</f>
        <v>7.507258064516126</v>
      </c>
      <c r="D52" s="7" cm="1">
        <f t="array" ref="D52">_xlfn.STDEV.S(_xlfn._xlws.FILTER(FX[bydgoszcz_FX_Escore],(FX[Category]="senior")*(FX[bydgoszcz_FX_Escore])&gt;0),_xlfn._xlws.FILTER(FX[zabrze_FX_Escore],(FX[Category]="senior")*(FX[zabrze_FX_Escore])&gt;0),_xlfn._xlws.FILTER(FX[cracow_FX_Escore],(FX[Category]="senior")*(FX[cracow_FX_Escore])&gt;0),_xlfn._xlws.FILTER(FX[gdansk_FX_Escore],(FX[Category]="senior")*(FX[gdansk_FX_Escore])&gt;0))</f>
        <v>0.88228683740522262</v>
      </c>
      <c r="E52" s="7" cm="1">
        <f t="array" ref="E52">MAX(_xlfn._xlws.FILTER(FX[bydgoszcz_FX_Escore],FX[Category]="senior"),_xlfn._xlws.FILTER(FX[zabrze_FX_Escore],FX[Category]="senior"),_xlfn._xlws.FILTER(FX[cracow_FX_Escore],FX[Category]="senior"),_xlfn._xlws.FILTER(FX[gdansk_FX_Escore],FX[Category]="senior"))</f>
        <v>9</v>
      </c>
      <c r="F52" s="2" t="str" cm="1">
        <f t="array" ref="F52">_xlfn.XLOOKUP(E52,_xlfn._xlws.FILTER(FX[bydgoszcz_FX_Escore],FX[Category]="senior"),_xlfn._xlws.FILTER(FX[Name],FX[Category]="senior"),_xlfn.XLOOKUP(E52,_xlfn._xlws.FILTER(FX[zabrze_FX_Escore],FX[Category]="senior"),_xlfn._xlws.FILTER(FX[Name],FX[Category]="senior"),_xlfn.XLOOKUP(E52,_xlfn._xlws.FILTER(FX[cracow_FX_Escore],FX[Category]="senior"),_xlfn._xlws.FILTER(FX[Name],FX[Category]="senior"),_xlfn.XLOOKUP(E52,_xlfn._xlws.FILTER(FX[gdansk_FX_Escore],FX[Category]="senior"),_xlfn._xlws.FILTER(FX[Name],FX[Category]="senior")))))</f>
        <v>BRACKI Borys</v>
      </c>
      <c r="G52" s="2"/>
      <c r="AE52" s="43" t="s">
        <v>59</v>
      </c>
      <c r="AF52" s="43" t="s">
        <v>60</v>
      </c>
      <c r="AG52" s="43" t="s">
        <v>62</v>
      </c>
      <c r="AH52">
        <v>3</v>
      </c>
      <c r="AI52" s="43" t="s">
        <v>341</v>
      </c>
      <c r="AJ52" s="43" t="s">
        <v>268</v>
      </c>
      <c r="AK52">
        <v>38.799999999999997</v>
      </c>
    </row>
    <row r="53" spans="1:37" ht="27" customHeight="1" x14ac:dyDescent="0.25">
      <c r="A53" s="2" t="s">
        <v>60</v>
      </c>
      <c r="B53" s="2" t="s">
        <v>268</v>
      </c>
      <c r="C53" s="7" cm="1">
        <f t="array" ref="C53">SUM(_xlfn._xlws.FILTER(FX[bydgoszcz_FX_Total_Score],FX[Category]="senior"),_xlfn._xlws.FILTER(FX[zabrze_FX_Total_Score],FX[Category]="senior"),_xlfn._xlws.FILTER(FX[cracow_FX_Total_Score],FX[Category]="senior"),_xlfn._xlws.FILTER(FX[gdansk_FX_Total_Score],FX[Category]="senior"))/(COUNTIFS(FX[bydgoszcz_FX_Total_Score],"&gt;0",FX[Category],"senior")+COUNTIFS(FX[zabrze_FX_Total_Score],"&gt;0",FX[Category],"senior")+COUNTIFS(FX[cracow_FX_Total_Score],"&gt;0",FX[Category],"senior")+COUNTIFS(FX[gdansk_FX_Total_Score],"&gt;0",FX[Category],"senior"))</f>
        <v>11.812096774193545</v>
      </c>
      <c r="D53" s="7" cm="1">
        <f t="array" ref="D53">_xlfn.STDEV.S(_xlfn._xlws.FILTER(FX[bydgoszcz_FX_Total_Score],(FX[Category]="senior")*(FX[bydgoszcz_FX_Total_Score])&gt;0),_xlfn._xlws.FILTER(FX[zabrze_FX_Total_Score],(FX[Category]="senior")*(FX[zabrze_FX_Total_Score])&gt;0),_xlfn._xlws.FILTER(FX[cracow_FX_Total_Score],(FX[Category]="senior")*(FX[cracow_FX_Total_Score])&gt;0),_xlfn._xlws.FILTER(FX[gdansk_FX_Total_Score],(FX[Category]="senior")*(FX[gdansk_FX_Total_Score])&gt;0))</f>
        <v>1.0005607232812159</v>
      </c>
      <c r="E53" s="7" cm="1">
        <f t="array" ref="E53">MAX(_xlfn._xlws.FILTER(FX[bydgoszcz_FX_Total_Score],FX[Category]="senior"),_xlfn._xlws.FILTER(FX[zabrze_FX_Total_Score],FX[Category]="senior"),_xlfn._xlws.FILTER(FX[cracow_FX_Total_Score],FX[Category]="senior"),_xlfn._xlws.FILTER(FX[gdansk_FX_Total_Score],FX[Category]="senior"))</f>
        <v>13.65</v>
      </c>
      <c r="F53" s="2" t="str" cm="1">
        <f t="array" ref="F53">_xlfn.XLOOKUP(E53,_xlfn._xlws.FILTER(FX[bydgoszcz_FX_Total_Score],FX[Category]="senior"),_xlfn._xlws.FILTER(FX[Name],FX[Category]="senior"),_xlfn.XLOOKUP(E53,_xlfn._xlws.FILTER(FX[zabrze_FX_Total_Score],FX[Category]="senior"),_xlfn._xlws.FILTER(FX[Name],FX[Category]="senior"),_xlfn.XLOOKUP(E53,_xlfn._xlws.FILTER(FX[cracow_FX_Total_Score],FX[Category]="senior"),_xlfn._xlws.FILTER(FX[Name],FX[Category]="senior"),_xlfn.XLOOKUP(E53,_xlfn._xlws.FILTER(FX[gdansk_FX_Total_Score],FX[Category]="senior"),_xlfn._xlws.FILTER(FX[Name],FX[Category]="senior")))))</f>
        <v>GAWROŃSKI Sebastian</v>
      </c>
      <c r="G53" s="2"/>
      <c r="AE53" s="43" t="s">
        <v>59</v>
      </c>
      <c r="AF53" s="43" t="s">
        <v>60</v>
      </c>
      <c r="AG53" s="43" t="s">
        <v>62</v>
      </c>
      <c r="AH53">
        <v>3</v>
      </c>
      <c r="AI53" s="43" t="s">
        <v>273</v>
      </c>
      <c r="AJ53" s="43" t="s">
        <v>308</v>
      </c>
      <c r="AK53">
        <v>5.333333333333333</v>
      </c>
    </row>
    <row r="54" spans="1:37" ht="27" customHeight="1" x14ac:dyDescent="0.25">
      <c r="A54" s="2" t="s">
        <v>60</v>
      </c>
      <c r="B54" s="2" t="s">
        <v>275</v>
      </c>
      <c r="C54" s="4" cm="1">
        <f t="array" ref="C54">SUM(_xlfn._xlws.FILTER(FX[Year_Dscore],(FX[Category]="senior")*(FX[Number_of_competition]&gt;=3))/COUNTIFS(FX[Number_of_competition],"&gt;=3",FX[Category],"senior"))</f>
        <v>13.049999999999999</v>
      </c>
      <c r="D54" s="4" cm="1">
        <f t="array" ref="D54">_xlfn.STDEV.S(_xlfn._xlws.FILTER(FX[Year_Dscore],(FX[Category]="senior")*(FX[Number_of_competition]&gt;=3)))</f>
        <v>1.9085930086656155</v>
      </c>
      <c r="E54" s="4" cm="1">
        <f t="array" ref="E54">MAX(_xlfn._xlws.FILTER(FX[Year_Dscore],FX[Category]="senior"))</f>
        <v>17.399999999999999</v>
      </c>
      <c r="F54" s="2" t="str" cm="1">
        <f t="array" ref="F54">_xlfn.XLOOKUP(FX_Calculation[[#This Row],[Top]],_xlfn._xlws.FILTER(FX[Year_Dscore],FX[Category]="senior"),_xlfn._xlws.FILTER(FX[Name],FX[Category]="senior"))</f>
        <v>SASNAL Filip</v>
      </c>
      <c r="G54" s="2"/>
      <c r="AE54" s="43" t="s">
        <v>59</v>
      </c>
      <c r="AF54" s="43" t="s">
        <v>60</v>
      </c>
      <c r="AG54" s="43" t="s">
        <v>62</v>
      </c>
      <c r="AH54">
        <v>3</v>
      </c>
      <c r="AI54" s="43" t="s">
        <v>273</v>
      </c>
      <c r="AJ54" s="43" t="s">
        <v>309</v>
      </c>
      <c r="AK54">
        <v>7.6000000000000005</v>
      </c>
    </row>
    <row r="55" spans="1:37" ht="27" customHeight="1" x14ac:dyDescent="0.25">
      <c r="A55" s="2" t="s">
        <v>60</v>
      </c>
      <c r="B55" s="2" t="s">
        <v>276</v>
      </c>
      <c r="C55" s="7" cm="1">
        <f t="array" ref="C55">SUM(_xlfn._xlws.FILTER(FX[Year_Escore],(FX[Category]="senior")*(FX[Number_of_competition]&gt;=3))/COUNTIFS(FX[Number_of_competition],"&gt;=3",FX[Category],"senior"))</f>
        <v>23.108333333333334</v>
      </c>
      <c r="D55" s="7" cm="1">
        <f t="array" ref="D55">_xlfn.STDEV.S(_xlfn._xlws.FILTER(FX[Year_Escore],(FX[Category]="senior")*(FX[Number_of_competition]&gt;=3)))</f>
        <v>1.3487086977976945</v>
      </c>
      <c r="E55" s="7" cm="1">
        <f t="array" ref="E55">MAX(_xlfn._xlws.FILTER(FX[Year_Escore],FX[Category]="senior"))</f>
        <v>26.1</v>
      </c>
      <c r="F55" s="2" t="str" cm="1">
        <f t="array" ref="F55">_xlfn.XLOOKUP(FX_Calculation[[#This Row],[Top]],_xlfn._xlws.FILTER(FX[Year_Escore],FX[Category]="senior"),_xlfn._xlws.FILTER(FX[Name],FX[Category]="senior"))</f>
        <v>BRACKI Borys</v>
      </c>
      <c r="G55" s="2"/>
      <c r="AE55" s="43" t="s">
        <v>59</v>
      </c>
      <c r="AF55" s="43" t="s">
        <v>60</v>
      </c>
      <c r="AG55" s="43" t="s">
        <v>62</v>
      </c>
      <c r="AH55">
        <v>3</v>
      </c>
      <c r="AI55" s="43" t="s">
        <v>273</v>
      </c>
      <c r="AJ55" s="43" t="s">
        <v>268</v>
      </c>
      <c r="AK55">
        <v>12.933333333333332</v>
      </c>
    </row>
    <row r="56" spans="1:37" ht="27" customHeight="1" x14ac:dyDescent="0.25">
      <c r="A56" s="2" t="s">
        <v>60</v>
      </c>
      <c r="B56" s="2" t="s">
        <v>277</v>
      </c>
      <c r="C56" s="7" cm="1">
        <f t="array" ref="C56">SUM(_xlfn._xlws.FILTER(FX[Year_Total_Score],(FX[Category]="senior")*(FX[Number_of_competition]&gt;=3))/COUNTIFS(FX[Number_of_competition],"&gt;=3",FX[Category],"senior"))</f>
        <v>36.087499999999991</v>
      </c>
      <c r="D56" s="7" cm="1">
        <f t="array" ref="D56">_xlfn.STDEV.S(_xlfn._xlws.FILTER(FX[Year_Total_Score],(FX[Category]="senior")*(FX[Number_of_competition]&gt;=3)))</f>
        <v>2.0562681333823276</v>
      </c>
      <c r="E56" s="7" cm="1">
        <f t="array" ref="E56">MAX(_xlfn._xlws.FILTER(FX[Year_Total_Score],FX[Category]="senior"))</f>
        <v>39.450000000000003</v>
      </c>
      <c r="F56" s="2" t="str" cm="1">
        <f t="array" ref="F56">_xlfn.XLOOKUP(FX_Calculation[[#This Row],[Top]],_xlfn._xlws.FILTER(FX[Year_Total_Score],FX[Category]="senior"),_xlfn._xlws.FILTER(FX[Name],FX[Category]="senior"))</f>
        <v>SASNAL Filip</v>
      </c>
      <c r="G56" s="2"/>
      <c r="AE56" s="43" t="s">
        <v>80</v>
      </c>
      <c r="AF56" s="43" t="s">
        <v>60</v>
      </c>
      <c r="AG56" s="43" t="s">
        <v>62</v>
      </c>
      <c r="AH56">
        <v>4</v>
      </c>
      <c r="AI56" s="43" t="s">
        <v>317</v>
      </c>
      <c r="AJ56" s="43" t="s">
        <v>308</v>
      </c>
      <c r="AK56">
        <v>3.6</v>
      </c>
    </row>
    <row r="57" spans="1:37" ht="26.25" customHeight="1" x14ac:dyDescent="0.25">
      <c r="A57" s="2" t="s">
        <v>26</v>
      </c>
      <c r="B57" s="2" t="s">
        <v>269</v>
      </c>
      <c r="C57" s="4" cm="1">
        <f t="array" ref="C57">SUM(_xlfn._xlws.FILTER(FX[bydgoszcz_FX_Dscore],FX[Category]="junior"),_xlfn._xlws.FILTER(FX[zabrze_FX_Dscore],FX[Category]="junior"),_xlfn._xlws.FILTER(FX[cracow_FX_Dscore],FX[Category]="junior"),_xlfn._xlws.FILTER(FX[gdansk_FX_Dscore],FX[Category]="junior"))/(COUNTIFS(FX[bydgoszcz_FX_Dscore],"&gt;0",FX[Category],"junior")+COUNTIFS(FX[zabrze_FX_Dscore],"&gt;0",FX[Category],"junior")+COUNTIFS(FX[cracow_FX_Dscore],"&gt;0",FX[Category],"junior")+COUNTIFS(FX[gdansk_FX_Dscore],"&gt;0",FX[Category],"junior"))</f>
        <v>3.5288461538461537</v>
      </c>
      <c r="D57" s="4" cm="1">
        <f t="array" ref="D57">_xlfn.STDEV.S(_xlfn._xlws.FILTER(FX[bydgoszcz_FX_Dscore],(FX[Category]="junior")*(FX[bydgoszcz_FX_Dscore])&gt;0),_xlfn._xlws.FILTER(FX[zabrze_FX_Dscore],(FX[Category]="junior")*(FX[zabrze_FX_Dscore])&gt;0),_xlfn._xlws.FILTER(FX[cracow_FX_Dscore],(FX[Category]="junior")*(FX[cracow_FX_Dscore])&gt;0),_xlfn._xlws.FILTER(FX[gdansk_FX_Dscore],(FX[Category]="junior")*(FX[gdansk_FX_Dscore])&gt;0))</f>
        <v>0.45818762252585366</v>
      </c>
      <c r="E57" s="4" cm="1">
        <f t="array" ref="E57">MAX(_xlfn._xlws.FILTER(FX[bydgoszcz_FX_Dscore],FX[Category]="junior"),_xlfn._xlws.FILTER(FX[zabrze_FX_Dscore],FX[Category]="junior"),_xlfn._xlws.FILTER(FX[cracow_FX_Dscore],FX[Category]="junior"),_xlfn._xlws.FILTER(FX[gdansk_FX_Dscore],FX[Category]="junior"))</f>
        <v>4.4000000000000004</v>
      </c>
      <c r="F57" s="2" t="str" cm="1">
        <f t="array" ref="F57">_xlfn.XLOOKUP(E57,_xlfn._xlws.FILTER(FX[bydgoszcz_FX_Dscore],FX[Category]="junior"),_xlfn._xlws.FILTER(FX[Name],FX[Category]="junior"),_xlfn.XLOOKUP(E57,_xlfn._xlws.FILTER(FX[zabrze_FX_Dscore],FX[Category]="junior"),_xlfn._xlws.FILTER(FX[Name],FX[Category]="junior"),_xlfn.XLOOKUP(E57,_xlfn._xlws.FILTER(FX[cracow_FX_Dscore],FX[Category]="junior"),_xlfn._xlws.FILTER(FX[Name],FX[Category]="junior"),_xlfn.XLOOKUP(E57,_xlfn._xlws.FILTER(FX[gdansk_FX_Dscore],FX[Category]="junior"),_xlfn._xlws.FILTER(FX[Name],FX[Category]="junior")))))</f>
        <v>CZARNECKI Aleksander</v>
      </c>
      <c r="G57" s="2"/>
      <c r="AE57" s="43" t="s">
        <v>80</v>
      </c>
      <c r="AF57" s="43" t="s">
        <v>60</v>
      </c>
      <c r="AG57" s="43" t="s">
        <v>62</v>
      </c>
      <c r="AH57">
        <v>4</v>
      </c>
      <c r="AI57" s="43" t="s">
        <v>317</v>
      </c>
      <c r="AJ57" s="43" t="s">
        <v>309</v>
      </c>
      <c r="AK57">
        <v>9</v>
      </c>
    </row>
    <row r="58" spans="1:37" ht="26.25" customHeight="1" x14ac:dyDescent="0.25">
      <c r="A58" s="2" t="s">
        <v>26</v>
      </c>
      <c r="B58" s="2" t="s">
        <v>267</v>
      </c>
      <c r="C58" s="7" cm="1">
        <f t="array" ref="C58">SUM(_xlfn._xlws.FILTER(FX[bydgoszcz_FX_Escore],FX[Category]="junior"),_xlfn._xlws.FILTER(FX[zabrze_FX_Escore],FX[Category]="junior"),_xlfn._xlws.FILTER(FX[cracow_FX_Escore],FX[Category]="junior"),_xlfn._xlws.FILTER(FX[gdansk_FX_Escore],FX[Category]="junior"))/(COUNTIFS(FX[bydgoszcz_FX_Escore],"&gt;0",FX[Category],"junior")+COUNTIFS(FX[zabrze_FX_Escore],"&gt;0",FX[Category],"junior")+COUNTIFS(FX[cracow_FX_Escore],"&gt;0",FX[Category],"junior")+COUNTIFS(FX[gdansk_FX_Escore],"&gt;0",FX[Category],"junior"))</f>
        <v>7.8874999999999993</v>
      </c>
      <c r="D58" s="7" cm="1">
        <f t="array" ref="D58">_xlfn.STDEV.S(_xlfn._xlws.FILTER(FX[bydgoszcz_FX_Escore],(FX[Category]="junior")*(FX[bydgoszcz_FX_Escore])&gt;0),_xlfn._xlws.FILTER(FX[zabrze_FX_Escore],(FX[Category]="junior")*(FX[zabrze_FX_Escore])&gt;0),_xlfn._xlws.FILTER(FX[cracow_FX_Escore],(FX[Category]="junior")*(FX[cracow_FX_Escore])&gt;0),_xlfn._xlws.FILTER(FX[gdansk_FX_Escore],(FX[Category]="junior")*(FX[gdansk_FX_Escore])&gt;0))</f>
        <v>0.60891055075727629</v>
      </c>
      <c r="E58" s="7" cm="1">
        <f t="array" ref="E58">MAX(_xlfn._xlws.FILTER(FX[bydgoszcz_FX_Escore],FX[Category]="junior"),_xlfn._xlws.FILTER(FX[zabrze_FX_Escore],FX[Category]="junior"),_xlfn._xlws.FILTER(FX[cracow_FX_Escore],FX[Category]="junior"),_xlfn._xlws.FILTER(FX[gdansk_FX_Escore],FX[Category]="junior"))</f>
        <v>8.9499999999999993</v>
      </c>
      <c r="F58" s="2" t="str" cm="1">
        <f t="array" ref="F58">_xlfn.XLOOKUP(E58,_xlfn._xlws.FILTER(FX[bydgoszcz_FX_Escore],FX[Category]="junior"),_xlfn._xlws.FILTER(FX[Name],FX[Category]="junior"),_xlfn.XLOOKUP(E58,_xlfn._xlws.FILTER(FX[zabrze_FX_Escore],FX[Category]="junior"),_xlfn._xlws.FILTER(FX[Name],FX[Category]="junior"),_xlfn.XLOOKUP(E58,_xlfn._xlws.FILTER(FX[cracow_FX_Escore],FX[Category]="junior"),_xlfn._xlws.FILTER(FX[Name],FX[Category]="junior"),_xlfn.XLOOKUP(E58,_xlfn._xlws.FILTER(FX[gdansk_FX_Escore],FX[Category]="junior"),_xlfn._xlws.FILTER(FX[Name],FX[Category]="junior")))))</f>
        <v>CZARNECKI Aleksander</v>
      </c>
      <c r="G58" s="2"/>
      <c r="AE58" s="43" t="s">
        <v>80</v>
      </c>
      <c r="AF58" s="43" t="s">
        <v>60</v>
      </c>
      <c r="AG58" s="43" t="s">
        <v>62</v>
      </c>
      <c r="AH58">
        <v>4</v>
      </c>
      <c r="AI58" s="43" t="s">
        <v>317</v>
      </c>
      <c r="AJ58" s="43" t="s">
        <v>268</v>
      </c>
      <c r="AK58">
        <v>12.6</v>
      </c>
    </row>
    <row r="59" spans="1:37" ht="26.25" customHeight="1" x14ac:dyDescent="0.25">
      <c r="A59" s="2" t="s">
        <v>26</v>
      </c>
      <c r="B59" s="2" t="s">
        <v>268</v>
      </c>
      <c r="C59" s="7" cm="1">
        <f t="array" ref="C59">SUM(_xlfn._xlws.FILTER(FX[bydgoszcz_FX_Total_Score],FX[Category]="junior"),_xlfn._xlws.FILTER(FX[zabrze_FX_Total_Score],FX[Category]="junior"),_xlfn._xlws.FILTER(FX[cracow_FX_Total_Score],FX[Category]="junior"),_xlfn._xlws.FILTER(FX[gdansk_FX_Total_Score],FX[Category]="junior"))/(COUNTIFS(FX[bydgoszcz_FX_Total_Score],"&gt;0",FX[Category],"junior")+COUNTIFS(FX[zabrze_FX_Total_Score],"&gt;0",FX[Category],"junior")+COUNTIFS(FX[cracow_FX_Total_Score],"&gt;0",FX[Category],"junior")+COUNTIFS(FX[gdansk_FX_Total_Score],"&gt;0",FX[Category],"junior"))</f>
        <v>11.416346153846153</v>
      </c>
      <c r="D59" s="7" cm="1">
        <f t="array" ref="D59">_xlfn.STDEV.S(_xlfn._xlws.FILTER(FX[bydgoszcz_FX_Total_Score],(FX[Category]="junior")*(FX[bydgoszcz_FX_Total_Score])&gt;0),_xlfn._xlws.FILTER(FX[zabrze_FX_Total_Score],(FX[Category]="junior")*(FX[zabrze_FX_Total_Score])&gt;0),_xlfn._xlws.FILTER(FX[cracow_FX_Total_Score],(FX[Category]="junior")*(FX[cracow_FX_Total_Score])&gt;0),_xlfn._xlws.FILTER(FX[gdansk_FX_Total_Score],(FX[Category]="junior")*(FX[gdansk_FX_Total_Score])&gt;0))</f>
        <v>0.81015135077427824</v>
      </c>
      <c r="E59" s="7" cm="1">
        <f t="array" ref="E59">MAX(_xlfn._xlws.FILTER(FX[bydgoszcz_FX_Total_Score],FX[Category]="junior"),_xlfn._xlws.FILTER(FX[zabrze_FX_Total_Score],FX[Category]="junior"),_xlfn._xlws.FILTER(FX[cracow_FX_Total_Score],FX[Category]="junior"),_xlfn._xlws.FILTER(FX[gdansk_FX_Total_Score],FX[Category]="junior"))</f>
        <v>12.95</v>
      </c>
      <c r="F59" s="2" t="str" cm="1">
        <f t="array" ref="F59">_xlfn.XLOOKUP(E59,_xlfn._xlws.FILTER(FX[bydgoszcz_FX_Total_Score],FX[Category]="junior"),_xlfn._xlws.FILTER(FX[Name],FX[Category]="junior"),_xlfn.XLOOKUP(E59,_xlfn._xlws.FILTER(FX[zabrze_FX_Total_Score],FX[Category]="junior"),_xlfn._xlws.FILTER(FX[Name],FX[Category]="junior"),_xlfn.XLOOKUP(E59,_xlfn._xlws.FILTER(FX[cracow_FX_Total_Score],FX[Category]="junior"),_xlfn._xlws.FILTER(FX[Name],FX[Category]="junior"),_xlfn.XLOOKUP(E59,_xlfn._xlws.FILTER(FX[gdansk_FX_Total_Score],FX[Category]="junior"),_xlfn._xlws.FILTER(FX[Name],FX[Category]="junior")))))</f>
        <v>CZARNECKI Aleksander</v>
      </c>
      <c r="AE59" s="43" t="s">
        <v>80</v>
      </c>
      <c r="AF59" s="43" t="s">
        <v>60</v>
      </c>
      <c r="AG59" s="43" t="s">
        <v>62</v>
      </c>
      <c r="AH59">
        <v>4</v>
      </c>
      <c r="AI59" s="43" t="s">
        <v>325</v>
      </c>
      <c r="AJ59" s="43" t="s">
        <v>308</v>
      </c>
      <c r="AK59">
        <v>3.4</v>
      </c>
    </row>
    <row r="60" spans="1:37" ht="26.25" customHeight="1" x14ac:dyDescent="0.25">
      <c r="A60" s="2" t="s">
        <v>26</v>
      </c>
      <c r="B60" s="2" t="s">
        <v>275</v>
      </c>
      <c r="C60" s="4" cm="1">
        <f t="array" ref="C60">SUM(_xlfn._xlws.FILTER(FX[Year_Dscore],(FX[Category]="junior")*(FX[Number_of_competition]&gt;=3))/COUNTIFS(FX[Number_of_competition],"&gt;=3",FX[Category],"junior"))</f>
        <v>10.880000000000003</v>
      </c>
      <c r="D60" s="4" cm="1">
        <f t="array" ref="D60">_xlfn.STDEV.S(_xlfn._xlws.FILTER(FX[Year_Dscore],(FX[Category]="junior")*(FX[Number_of_competition]&gt;=3)))</f>
        <v>1.2629770825755648</v>
      </c>
      <c r="E60" s="4" cm="1">
        <f t="array" ref="E60">MAX(_xlfn._xlws.FILTER(FX[Year_Dscore],FX[Category]="junior"))</f>
        <v>12.7</v>
      </c>
      <c r="F60" s="2" t="str" cm="1">
        <f t="array" ref="F60">_xlfn.XLOOKUP(FX_Calculation[[#This Row],[Top]],_xlfn._xlws.FILTER(FX[Year_Dscore],FX[Category]="junior"),_xlfn._xlws.FILTER(FX[Name],FX[Category]="junior"))</f>
        <v>CZARNECKI Aleksander</v>
      </c>
      <c r="AE60" s="43" t="s">
        <v>80</v>
      </c>
      <c r="AF60" s="43" t="s">
        <v>60</v>
      </c>
      <c r="AG60" s="43" t="s">
        <v>62</v>
      </c>
      <c r="AH60">
        <v>4</v>
      </c>
      <c r="AI60" s="43" t="s">
        <v>325</v>
      </c>
      <c r="AJ60" s="43" t="s">
        <v>309</v>
      </c>
      <c r="AK60">
        <v>8.6999999999999993</v>
      </c>
    </row>
    <row r="61" spans="1:37" ht="26.25" customHeight="1" x14ac:dyDescent="0.25">
      <c r="A61" s="2" t="s">
        <v>26</v>
      </c>
      <c r="B61" s="2" t="s">
        <v>276</v>
      </c>
      <c r="C61" s="7" cm="1">
        <f t="array" ref="C61">SUM(_xlfn._xlws.FILTER(FX[Year_Escore],(FX[Category]="junior")*(FX[Number_of_competition]&gt;=3))/COUNTIFS(FX[Number_of_competition],"&gt;=3",FX[Category],"junior"))</f>
        <v>24.480000000000004</v>
      </c>
      <c r="D61" s="7" cm="1">
        <f t="array" ref="D61">_xlfn.STDEV.S(_xlfn._xlws.FILTER(FX[Year_Escore],(FX[Category]="junior")*(FX[Number_of_competition]&gt;=3)))</f>
        <v>0.87088715942103689</v>
      </c>
      <c r="E61" s="7" cm="1">
        <f t="array" ref="E61">MAX(_xlfn._xlws.FILTER(FX[Year_Escore],FX[Category]="junior"))</f>
        <v>26.099999999999998</v>
      </c>
      <c r="F61" s="2" t="str" cm="1">
        <f t="array" ref="F61">_xlfn.XLOOKUP(FX_Calculation[[#This Row],[Top]],_xlfn._xlws.FILTER(FX[Year_Escore],FX[Category]="junior"),_xlfn._xlws.FILTER(FX[Name],FX[Category]="junior"))</f>
        <v>LEKHAC Tomasz</v>
      </c>
      <c r="AE61" s="43" t="s">
        <v>80</v>
      </c>
      <c r="AF61" s="43" t="s">
        <v>60</v>
      </c>
      <c r="AG61" s="43" t="s">
        <v>62</v>
      </c>
      <c r="AH61">
        <v>4</v>
      </c>
      <c r="AI61" s="43" t="s">
        <v>325</v>
      </c>
      <c r="AJ61" s="43" t="s">
        <v>268</v>
      </c>
      <c r="AK61">
        <v>12.1</v>
      </c>
    </row>
    <row r="62" spans="1:37" ht="26.25" customHeight="1" x14ac:dyDescent="0.25">
      <c r="A62" s="2" t="s">
        <v>26</v>
      </c>
      <c r="B62" s="2" t="s">
        <v>277</v>
      </c>
      <c r="C62" s="7" cm="1">
        <f t="array" ref="C62">SUM(_xlfn._xlws.FILTER(FX[Year_Total_Score],(FX[Category]="junior")*(FX[Number_of_competition]&gt;=3))/COUNTIFS(FX[Number_of_competition],"&gt;=3",FX[Category],"junior"))</f>
        <v>35.25</v>
      </c>
      <c r="D62" s="7" cm="1">
        <f t="array" ref="D62">_xlfn.STDEV.S(_xlfn._xlws.FILTER(FX[Year_Total_Score],(FX[Category]="junior")*(FX[Number_of_competition]&gt;=3)))</f>
        <v>2.0277245046274563</v>
      </c>
      <c r="E62" s="7" cm="1">
        <f t="array" ref="E62">MAX(_xlfn._xlws.FILTER(FX[Year_Total_Score],FX[Category]="junior"))</f>
        <v>38.099999999999994</v>
      </c>
      <c r="F62" s="2" t="str" cm="1">
        <f t="array" ref="F62">_xlfn.XLOOKUP(FX_Calculation[[#This Row],[Top]],_xlfn._xlws.FILTER(FX[Year_Total_Score],FX[Category]="junior"),_xlfn._xlws.FILTER(FX[Name],FX[Category]="junior"))</f>
        <v>LEKHAC Tomasz</v>
      </c>
      <c r="AE62" s="43" t="s">
        <v>80</v>
      </c>
      <c r="AF62" s="43" t="s">
        <v>60</v>
      </c>
      <c r="AG62" s="43" t="s">
        <v>62</v>
      </c>
      <c r="AH62">
        <v>4</v>
      </c>
      <c r="AI62" s="43" t="s">
        <v>330</v>
      </c>
      <c r="AJ62" s="43" t="s">
        <v>308</v>
      </c>
      <c r="AK62">
        <v>3.6</v>
      </c>
    </row>
    <row r="63" spans="1:37" x14ac:dyDescent="0.25">
      <c r="AE63" s="43" t="s">
        <v>80</v>
      </c>
      <c r="AF63" s="43" t="s">
        <v>60</v>
      </c>
      <c r="AG63" s="43" t="s">
        <v>62</v>
      </c>
      <c r="AH63">
        <v>4</v>
      </c>
      <c r="AI63" s="43" t="s">
        <v>330</v>
      </c>
      <c r="AJ63" s="43" t="s">
        <v>309</v>
      </c>
      <c r="AK63">
        <v>8.4</v>
      </c>
    </row>
    <row r="64" spans="1:37" x14ac:dyDescent="0.25">
      <c r="AE64" s="43" t="s">
        <v>80</v>
      </c>
      <c r="AF64" s="43" t="s">
        <v>60</v>
      </c>
      <c r="AG64" s="43" t="s">
        <v>62</v>
      </c>
      <c r="AH64">
        <v>4</v>
      </c>
      <c r="AI64" s="43" t="s">
        <v>330</v>
      </c>
      <c r="AJ64" s="43" t="s">
        <v>268</v>
      </c>
      <c r="AK64">
        <v>12</v>
      </c>
    </row>
    <row r="65" spans="31:37" x14ac:dyDescent="0.25">
      <c r="AE65" s="43" t="s">
        <v>80</v>
      </c>
      <c r="AF65" s="43" t="s">
        <v>60</v>
      </c>
      <c r="AG65" s="43" t="s">
        <v>62</v>
      </c>
      <c r="AH65">
        <v>4</v>
      </c>
      <c r="AI65" s="43" t="s">
        <v>343</v>
      </c>
      <c r="AJ65" s="43" t="s">
        <v>308</v>
      </c>
      <c r="AK65">
        <v>3.6</v>
      </c>
    </row>
    <row r="66" spans="31:37" x14ac:dyDescent="0.25">
      <c r="AE66" s="43" t="s">
        <v>80</v>
      </c>
      <c r="AF66" s="43" t="s">
        <v>60</v>
      </c>
      <c r="AG66" s="43" t="s">
        <v>62</v>
      </c>
      <c r="AH66">
        <v>4</v>
      </c>
      <c r="AI66" s="43" t="s">
        <v>343</v>
      </c>
      <c r="AJ66" s="43" t="s">
        <v>309</v>
      </c>
      <c r="AK66">
        <v>7.45</v>
      </c>
    </row>
    <row r="67" spans="31:37" x14ac:dyDescent="0.25">
      <c r="AE67" s="43" t="s">
        <v>80</v>
      </c>
      <c r="AF67" s="43" t="s">
        <v>60</v>
      </c>
      <c r="AG67" s="43" t="s">
        <v>62</v>
      </c>
      <c r="AH67">
        <v>4</v>
      </c>
      <c r="AI67" s="43" t="s">
        <v>343</v>
      </c>
      <c r="AJ67" s="43" t="s">
        <v>268</v>
      </c>
      <c r="AK67">
        <v>11.05</v>
      </c>
    </row>
    <row r="68" spans="31:37" x14ac:dyDescent="0.25">
      <c r="AE68" s="43" t="s">
        <v>80</v>
      </c>
      <c r="AF68" s="43" t="s">
        <v>60</v>
      </c>
      <c r="AG68" s="43" t="s">
        <v>62</v>
      </c>
      <c r="AH68">
        <v>4</v>
      </c>
      <c r="AI68" s="43" t="s">
        <v>341</v>
      </c>
      <c r="AJ68" s="43" t="s">
        <v>308</v>
      </c>
      <c r="AK68">
        <v>10.8</v>
      </c>
    </row>
    <row r="69" spans="31:37" x14ac:dyDescent="0.25">
      <c r="AE69" s="43" t="s">
        <v>80</v>
      </c>
      <c r="AF69" s="43" t="s">
        <v>60</v>
      </c>
      <c r="AG69" s="43" t="s">
        <v>62</v>
      </c>
      <c r="AH69">
        <v>4</v>
      </c>
      <c r="AI69" s="43" t="s">
        <v>341</v>
      </c>
      <c r="AJ69" s="43" t="s">
        <v>309</v>
      </c>
      <c r="AK69">
        <v>26.1</v>
      </c>
    </row>
    <row r="70" spans="31:37" x14ac:dyDescent="0.25">
      <c r="AE70" s="43" t="s">
        <v>80</v>
      </c>
      <c r="AF70" s="43" t="s">
        <v>60</v>
      </c>
      <c r="AG70" s="43" t="s">
        <v>62</v>
      </c>
      <c r="AH70">
        <v>4</v>
      </c>
      <c r="AI70" s="43" t="s">
        <v>341</v>
      </c>
      <c r="AJ70" s="43" t="s">
        <v>268</v>
      </c>
      <c r="AK70">
        <v>36.700000000000003</v>
      </c>
    </row>
    <row r="71" spans="31:37" x14ac:dyDescent="0.25">
      <c r="AE71" s="43" t="s">
        <v>80</v>
      </c>
      <c r="AF71" s="43" t="s">
        <v>60</v>
      </c>
      <c r="AG71" s="43" t="s">
        <v>62</v>
      </c>
      <c r="AH71">
        <v>4</v>
      </c>
      <c r="AI71" s="43" t="s">
        <v>273</v>
      </c>
      <c r="AJ71" s="43" t="s">
        <v>308</v>
      </c>
      <c r="AK71">
        <v>3.6</v>
      </c>
    </row>
    <row r="72" spans="31:37" x14ac:dyDescent="0.25">
      <c r="AE72" s="43" t="s">
        <v>80</v>
      </c>
      <c r="AF72" s="43" t="s">
        <v>60</v>
      </c>
      <c r="AG72" s="43" t="s">
        <v>62</v>
      </c>
      <c r="AH72">
        <v>4</v>
      </c>
      <c r="AI72" s="43" t="s">
        <v>273</v>
      </c>
      <c r="AJ72" s="43" t="s">
        <v>309</v>
      </c>
      <c r="AK72">
        <v>8.7000000000000011</v>
      </c>
    </row>
    <row r="73" spans="31:37" x14ac:dyDescent="0.25">
      <c r="AE73" s="43" t="s">
        <v>80</v>
      </c>
      <c r="AF73" s="43" t="s">
        <v>60</v>
      </c>
      <c r="AG73" s="43" t="s">
        <v>62</v>
      </c>
      <c r="AH73">
        <v>4</v>
      </c>
      <c r="AI73" s="43" t="s">
        <v>273</v>
      </c>
      <c r="AJ73" s="43" t="s">
        <v>268</v>
      </c>
      <c r="AK73">
        <v>12.233333333333334</v>
      </c>
    </row>
    <row r="74" spans="31:37" x14ac:dyDescent="0.25">
      <c r="AE74" s="43" t="s">
        <v>86</v>
      </c>
      <c r="AF74" s="43" t="s">
        <v>60</v>
      </c>
      <c r="AG74" s="43" t="s">
        <v>72</v>
      </c>
      <c r="AH74">
        <v>4</v>
      </c>
      <c r="AI74" s="43" t="s">
        <v>317</v>
      </c>
      <c r="AJ74" s="43" t="s">
        <v>308</v>
      </c>
      <c r="AK74">
        <v>4.2</v>
      </c>
    </row>
    <row r="75" spans="31:37" x14ac:dyDescent="0.25">
      <c r="AE75" s="43" t="s">
        <v>86</v>
      </c>
      <c r="AF75" s="43" t="s">
        <v>60</v>
      </c>
      <c r="AG75" s="43" t="s">
        <v>72</v>
      </c>
      <c r="AH75">
        <v>4</v>
      </c>
      <c r="AI75" s="43" t="s">
        <v>317</v>
      </c>
      <c r="AJ75" s="43" t="s">
        <v>309</v>
      </c>
      <c r="AK75">
        <v>8.6</v>
      </c>
    </row>
    <row r="76" spans="31:37" x14ac:dyDescent="0.25">
      <c r="AE76" s="43" t="s">
        <v>86</v>
      </c>
      <c r="AF76" s="43" t="s">
        <v>60</v>
      </c>
      <c r="AG76" s="43" t="s">
        <v>72</v>
      </c>
      <c r="AH76">
        <v>4</v>
      </c>
      <c r="AI76" s="43" t="s">
        <v>317</v>
      </c>
      <c r="AJ76" s="43" t="s">
        <v>268</v>
      </c>
      <c r="AK76">
        <v>12.8</v>
      </c>
    </row>
    <row r="77" spans="31:37" x14ac:dyDescent="0.25">
      <c r="AE77" s="43" t="s">
        <v>86</v>
      </c>
      <c r="AF77" s="43" t="s">
        <v>60</v>
      </c>
      <c r="AG77" s="43" t="s">
        <v>72</v>
      </c>
      <c r="AH77">
        <v>4</v>
      </c>
      <c r="AI77" s="43" t="s">
        <v>325</v>
      </c>
      <c r="AJ77" s="43" t="s">
        <v>308</v>
      </c>
      <c r="AK77">
        <v>3.9</v>
      </c>
    </row>
    <row r="78" spans="31:37" x14ac:dyDescent="0.25">
      <c r="AE78" s="43" t="s">
        <v>86</v>
      </c>
      <c r="AF78" s="43" t="s">
        <v>60</v>
      </c>
      <c r="AG78" s="43" t="s">
        <v>72</v>
      </c>
      <c r="AH78">
        <v>4</v>
      </c>
      <c r="AI78" s="43" t="s">
        <v>325</v>
      </c>
      <c r="AJ78" s="43" t="s">
        <v>309</v>
      </c>
      <c r="AK78">
        <v>8</v>
      </c>
    </row>
    <row r="79" spans="31:37" x14ac:dyDescent="0.25">
      <c r="AE79" s="43" t="s">
        <v>86</v>
      </c>
      <c r="AF79" s="43" t="s">
        <v>60</v>
      </c>
      <c r="AG79" s="43" t="s">
        <v>72</v>
      </c>
      <c r="AH79">
        <v>4</v>
      </c>
      <c r="AI79" s="43" t="s">
        <v>325</v>
      </c>
      <c r="AJ79" s="43" t="s">
        <v>268</v>
      </c>
      <c r="AK79">
        <v>11.9</v>
      </c>
    </row>
    <row r="80" spans="31:37" x14ac:dyDescent="0.25">
      <c r="AE80" s="43" t="s">
        <v>86</v>
      </c>
      <c r="AF80" s="43" t="s">
        <v>60</v>
      </c>
      <c r="AG80" s="43" t="s">
        <v>72</v>
      </c>
      <c r="AH80">
        <v>4</v>
      </c>
      <c r="AI80" s="43" t="s">
        <v>330</v>
      </c>
      <c r="AJ80" s="43" t="s">
        <v>308</v>
      </c>
      <c r="AK80">
        <v>4.2</v>
      </c>
    </row>
    <row r="81" spans="31:37" x14ac:dyDescent="0.25">
      <c r="AE81" s="43" t="s">
        <v>86</v>
      </c>
      <c r="AF81" s="43" t="s">
        <v>60</v>
      </c>
      <c r="AG81" s="43" t="s">
        <v>72</v>
      </c>
      <c r="AH81">
        <v>4</v>
      </c>
      <c r="AI81" s="43" t="s">
        <v>330</v>
      </c>
      <c r="AJ81" s="43" t="s">
        <v>309</v>
      </c>
      <c r="AK81">
        <v>7.55</v>
      </c>
    </row>
    <row r="82" spans="31:37" x14ac:dyDescent="0.25">
      <c r="AE82" s="43" t="s">
        <v>86</v>
      </c>
      <c r="AF82" s="43" t="s">
        <v>60</v>
      </c>
      <c r="AG82" s="43" t="s">
        <v>72</v>
      </c>
      <c r="AH82">
        <v>4</v>
      </c>
      <c r="AI82" s="43" t="s">
        <v>330</v>
      </c>
      <c r="AJ82" s="43" t="s">
        <v>268</v>
      </c>
      <c r="AK82">
        <v>11.75</v>
      </c>
    </row>
    <row r="83" spans="31:37" x14ac:dyDescent="0.25">
      <c r="AE83" s="43" t="s">
        <v>86</v>
      </c>
      <c r="AF83" s="43" t="s">
        <v>60</v>
      </c>
      <c r="AG83" s="43" t="s">
        <v>72</v>
      </c>
      <c r="AH83">
        <v>4</v>
      </c>
      <c r="AI83" s="43" t="s">
        <v>343</v>
      </c>
      <c r="AJ83" s="43" t="s">
        <v>308</v>
      </c>
      <c r="AK83">
        <v>3.9</v>
      </c>
    </row>
    <row r="84" spans="31:37" x14ac:dyDescent="0.25">
      <c r="AE84" s="43" t="s">
        <v>86</v>
      </c>
      <c r="AF84" s="43" t="s">
        <v>60</v>
      </c>
      <c r="AG84" s="43" t="s">
        <v>72</v>
      </c>
      <c r="AH84">
        <v>4</v>
      </c>
      <c r="AI84" s="43" t="s">
        <v>343</v>
      </c>
      <c r="AJ84" s="43" t="s">
        <v>309</v>
      </c>
      <c r="AK84">
        <v>7.2</v>
      </c>
    </row>
    <row r="85" spans="31:37" x14ac:dyDescent="0.25">
      <c r="AE85" s="43" t="s">
        <v>86</v>
      </c>
      <c r="AF85" s="43" t="s">
        <v>60</v>
      </c>
      <c r="AG85" s="43" t="s">
        <v>72</v>
      </c>
      <c r="AH85">
        <v>4</v>
      </c>
      <c r="AI85" s="43" t="s">
        <v>343</v>
      </c>
      <c r="AJ85" s="43" t="s">
        <v>268</v>
      </c>
      <c r="AK85">
        <v>11.1</v>
      </c>
    </row>
    <row r="86" spans="31:37" x14ac:dyDescent="0.25">
      <c r="AE86" s="43" t="s">
        <v>86</v>
      </c>
      <c r="AF86" s="43" t="s">
        <v>60</v>
      </c>
      <c r="AG86" s="43" t="s">
        <v>72</v>
      </c>
      <c r="AH86">
        <v>4</v>
      </c>
      <c r="AI86" s="43" t="s">
        <v>341</v>
      </c>
      <c r="AJ86" s="43" t="s">
        <v>308</v>
      </c>
      <c r="AK86">
        <v>12.3</v>
      </c>
    </row>
    <row r="87" spans="31:37" x14ac:dyDescent="0.25">
      <c r="AE87" s="43" t="s">
        <v>86</v>
      </c>
      <c r="AF87" s="43" t="s">
        <v>60</v>
      </c>
      <c r="AG87" s="43" t="s">
        <v>72</v>
      </c>
      <c r="AH87">
        <v>4</v>
      </c>
      <c r="AI87" s="43" t="s">
        <v>341</v>
      </c>
      <c r="AJ87" s="43" t="s">
        <v>309</v>
      </c>
      <c r="AK87">
        <v>24.150000000000002</v>
      </c>
    </row>
    <row r="88" spans="31:37" x14ac:dyDescent="0.25">
      <c r="AE88" s="43" t="s">
        <v>86</v>
      </c>
      <c r="AF88" s="43" t="s">
        <v>60</v>
      </c>
      <c r="AG88" s="43" t="s">
        <v>72</v>
      </c>
      <c r="AH88">
        <v>4</v>
      </c>
      <c r="AI88" s="43" t="s">
        <v>341</v>
      </c>
      <c r="AJ88" s="43" t="s">
        <v>268</v>
      </c>
      <c r="AK88">
        <v>36.450000000000003</v>
      </c>
    </row>
    <row r="89" spans="31:37" x14ac:dyDescent="0.25">
      <c r="AE89" s="43" t="s">
        <v>86</v>
      </c>
      <c r="AF89" s="43" t="s">
        <v>60</v>
      </c>
      <c r="AG89" s="43" t="s">
        <v>72</v>
      </c>
      <c r="AH89">
        <v>4</v>
      </c>
      <c r="AI89" s="43" t="s">
        <v>273</v>
      </c>
      <c r="AJ89" s="43" t="s">
        <v>308</v>
      </c>
      <c r="AK89">
        <v>4.1000000000000005</v>
      </c>
    </row>
    <row r="90" spans="31:37" x14ac:dyDescent="0.25">
      <c r="AE90" s="43" t="s">
        <v>86</v>
      </c>
      <c r="AF90" s="43" t="s">
        <v>60</v>
      </c>
      <c r="AG90" s="43" t="s">
        <v>72</v>
      </c>
      <c r="AH90">
        <v>4</v>
      </c>
      <c r="AI90" s="43" t="s">
        <v>273</v>
      </c>
      <c r="AJ90" s="43" t="s">
        <v>309</v>
      </c>
      <c r="AK90">
        <v>8.0500000000000007</v>
      </c>
    </row>
    <row r="91" spans="31:37" x14ac:dyDescent="0.25">
      <c r="AE91" s="43" t="s">
        <v>86</v>
      </c>
      <c r="AF91" s="43" t="s">
        <v>60</v>
      </c>
      <c r="AG91" s="43" t="s">
        <v>72</v>
      </c>
      <c r="AH91">
        <v>4</v>
      </c>
      <c r="AI91" s="43" t="s">
        <v>273</v>
      </c>
      <c r="AJ91" s="43" t="s">
        <v>268</v>
      </c>
      <c r="AK91">
        <v>12.15</v>
      </c>
    </row>
    <row r="92" spans="31:37" x14ac:dyDescent="0.25">
      <c r="AE92" s="43" t="s">
        <v>84</v>
      </c>
      <c r="AF92" s="43" t="s">
        <v>60</v>
      </c>
      <c r="AG92" s="43" t="s">
        <v>39</v>
      </c>
      <c r="AH92">
        <v>4</v>
      </c>
      <c r="AI92" s="43" t="s">
        <v>317</v>
      </c>
      <c r="AJ92" s="43" t="s">
        <v>308</v>
      </c>
      <c r="AK92">
        <v>4.5</v>
      </c>
    </row>
    <row r="93" spans="31:37" x14ac:dyDescent="0.25">
      <c r="AE93" s="43" t="s">
        <v>84</v>
      </c>
      <c r="AF93" s="43" t="s">
        <v>60</v>
      </c>
      <c r="AG93" s="43" t="s">
        <v>39</v>
      </c>
      <c r="AH93">
        <v>4</v>
      </c>
      <c r="AI93" s="43" t="s">
        <v>317</v>
      </c>
      <c r="AJ93" s="43" t="s">
        <v>309</v>
      </c>
      <c r="AK93">
        <v>7.35</v>
      </c>
    </row>
    <row r="94" spans="31:37" x14ac:dyDescent="0.25">
      <c r="AE94" s="43" t="s">
        <v>84</v>
      </c>
      <c r="AF94" s="43" t="s">
        <v>60</v>
      </c>
      <c r="AG94" s="43" t="s">
        <v>39</v>
      </c>
      <c r="AH94">
        <v>4</v>
      </c>
      <c r="AI94" s="43" t="s">
        <v>317</v>
      </c>
      <c r="AJ94" s="43" t="s">
        <v>268</v>
      </c>
      <c r="AK94">
        <v>11.85</v>
      </c>
    </row>
    <row r="95" spans="31:37" x14ac:dyDescent="0.25">
      <c r="AE95" s="43" t="s">
        <v>84</v>
      </c>
      <c r="AF95" s="43" t="s">
        <v>60</v>
      </c>
      <c r="AG95" s="43" t="s">
        <v>39</v>
      </c>
      <c r="AH95">
        <v>4</v>
      </c>
      <c r="AI95" s="43" t="s">
        <v>325</v>
      </c>
      <c r="AJ95" s="43" t="s">
        <v>308</v>
      </c>
      <c r="AK95">
        <v>4.0999999999999996</v>
      </c>
    </row>
    <row r="96" spans="31:37" x14ac:dyDescent="0.25">
      <c r="AE96" s="43" t="s">
        <v>84</v>
      </c>
      <c r="AF96" s="43" t="s">
        <v>60</v>
      </c>
      <c r="AG96" s="43" t="s">
        <v>39</v>
      </c>
      <c r="AH96">
        <v>4</v>
      </c>
      <c r="AI96" s="43" t="s">
        <v>325</v>
      </c>
      <c r="AJ96" s="43" t="s">
        <v>309</v>
      </c>
      <c r="AK96">
        <v>6.25</v>
      </c>
    </row>
    <row r="97" spans="31:37" x14ac:dyDescent="0.25">
      <c r="AE97" s="43" t="s">
        <v>84</v>
      </c>
      <c r="AF97" s="43" t="s">
        <v>60</v>
      </c>
      <c r="AG97" s="43" t="s">
        <v>39</v>
      </c>
      <c r="AH97">
        <v>4</v>
      </c>
      <c r="AI97" s="43" t="s">
        <v>325</v>
      </c>
      <c r="AJ97" s="43" t="s">
        <v>268</v>
      </c>
      <c r="AK97">
        <v>10.35</v>
      </c>
    </row>
    <row r="98" spans="31:37" x14ac:dyDescent="0.25">
      <c r="AE98" s="43" t="s">
        <v>84</v>
      </c>
      <c r="AF98" s="43" t="s">
        <v>60</v>
      </c>
      <c r="AG98" s="43" t="s">
        <v>39</v>
      </c>
      <c r="AH98">
        <v>4</v>
      </c>
      <c r="AI98" s="43" t="s">
        <v>330</v>
      </c>
      <c r="AJ98" s="43" t="s">
        <v>308</v>
      </c>
      <c r="AK98">
        <v>4.0999999999999996</v>
      </c>
    </row>
    <row r="99" spans="31:37" x14ac:dyDescent="0.25">
      <c r="AE99" s="43" t="s">
        <v>84</v>
      </c>
      <c r="AF99" s="43" t="s">
        <v>60</v>
      </c>
      <c r="AG99" s="43" t="s">
        <v>39</v>
      </c>
      <c r="AH99">
        <v>4</v>
      </c>
      <c r="AI99" s="43" t="s">
        <v>330</v>
      </c>
      <c r="AJ99" s="43" t="s">
        <v>309</v>
      </c>
      <c r="AK99">
        <v>8.4</v>
      </c>
    </row>
    <row r="100" spans="31:37" x14ac:dyDescent="0.25">
      <c r="AE100" s="43" t="s">
        <v>84</v>
      </c>
      <c r="AF100" s="43" t="s">
        <v>60</v>
      </c>
      <c r="AG100" s="43" t="s">
        <v>39</v>
      </c>
      <c r="AH100">
        <v>4</v>
      </c>
      <c r="AI100" s="43" t="s">
        <v>330</v>
      </c>
      <c r="AJ100" s="43" t="s">
        <v>268</v>
      </c>
      <c r="AK100">
        <v>12.5</v>
      </c>
    </row>
    <row r="101" spans="31:37" x14ac:dyDescent="0.25">
      <c r="AE101" s="43" t="s">
        <v>84</v>
      </c>
      <c r="AF101" s="43" t="s">
        <v>60</v>
      </c>
      <c r="AG101" s="43" t="s">
        <v>39</v>
      </c>
      <c r="AH101">
        <v>4</v>
      </c>
      <c r="AI101" s="43" t="s">
        <v>343</v>
      </c>
      <c r="AJ101" s="43" t="s">
        <v>308</v>
      </c>
      <c r="AK101">
        <v>4.0999999999999996</v>
      </c>
    </row>
    <row r="102" spans="31:37" x14ac:dyDescent="0.25">
      <c r="AE102" s="43" t="s">
        <v>84</v>
      </c>
      <c r="AF102" s="43" t="s">
        <v>60</v>
      </c>
      <c r="AG102" s="43" t="s">
        <v>39</v>
      </c>
      <c r="AH102">
        <v>4</v>
      </c>
      <c r="AI102" s="43" t="s">
        <v>343</v>
      </c>
      <c r="AJ102" s="43" t="s">
        <v>309</v>
      </c>
      <c r="AK102">
        <v>7.3</v>
      </c>
    </row>
    <row r="103" spans="31:37" x14ac:dyDescent="0.25">
      <c r="AE103" s="43" t="s">
        <v>84</v>
      </c>
      <c r="AF103" s="43" t="s">
        <v>60</v>
      </c>
      <c r="AG103" s="43" t="s">
        <v>39</v>
      </c>
      <c r="AH103">
        <v>4</v>
      </c>
      <c r="AI103" s="43" t="s">
        <v>343</v>
      </c>
      <c r="AJ103" s="43" t="s">
        <v>268</v>
      </c>
      <c r="AK103">
        <v>11.4</v>
      </c>
    </row>
    <row r="104" spans="31:37" x14ac:dyDescent="0.25">
      <c r="AE104" s="43" t="s">
        <v>84</v>
      </c>
      <c r="AF104" s="43" t="s">
        <v>60</v>
      </c>
      <c r="AG104" s="43" t="s">
        <v>39</v>
      </c>
      <c r="AH104">
        <v>4</v>
      </c>
      <c r="AI104" s="43" t="s">
        <v>341</v>
      </c>
      <c r="AJ104" s="43" t="s">
        <v>308</v>
      </c>
      <c r="AK104">
        <v>12.7</v>
      </c>
    </row>
    <row r="105" spans="31:37" x14ac:dyDescent="0.25">
      <c r="AE105" s="43" t="s">
        <v>84</v>
      </c>
      <c r="AF105" s="43" t="s">
        <v>60</v>
      </c>
      <c r="AG105" s="43" t="s">
        <v>39</v>
      </c>
      <c r="AH105">
        <v>4</v>
      </c>
      <c r="AI105" s="43" t="s">
        <v>341</v>
      </c>
      <c r="AJ105" s="43" t="s">
        <v>309</v>
      </c>
      <c r="AK105">
        <v>23.05</v>
      </c>
    </row>
    <row r="106" spans="31:37" x14ac:dyDescent="0.25">
      <c r="AE106" s="43" t="s">
        <v>84</v>
      </c>
      <c r="AF106" s="43" t="s">
        <v>60</v>
      </c>
      <c r="AG106" s="43" t="s">
        <v>39</v>
      </c>
      <c r="AH106">
        <v>4</v>
      </c>
      <c r="AI106" s="43" t="s">
        <v>341</v>
      </c>
      <c r="AJ106" s="43" t="s">
        <v>268</v>
      </c>
      <c r="AK106">
        <v>35.75</v>
      </c>
    </row>
    <row r="107" spans="31:37" x14ac:dyDescent="0.25">
      <c r="AE107" s="43" t="s">
        <v>84</v>
      </c>
      <c r="AF107" s="43" t="s">
        <v>60</v>
      </c>
      <c r="AG107" s="43" t="s">
        <v>39</v>
      </c>
      <c r="AH107">
        <v>4</v>
      </c>
      <c r="AI107" s="43" t="s">
        <v>273</v>
      </c>
      <c r="AJ107" s="43" t="s">
        <v>308</v>
      </c>
      <c r="AK107">
        <v>4.2333333333333334</v>
      </c>
    </row>
    <row r="108" spans="31:37" x14ac:dyDescent="0.25">
      <c r="AE108" s="43" t="s">
        <v>84</v>
      </c>
      <c r="AF108" s="43" t="s">
        <v>60</v>
      </c>
      <c r="AG108" s="43" t="s">
        <v>39</v>
      </c>
      <c r="AH108">
        <v>4</v>
      </c>
      <c r="AI108" s="43" t="s">
        <v>273</v>
      </c>
      <c r="AJ108" s="43" t="s">
        <v>309</v>
      </c>
      <c r="AK108">
        <v>7.6833333333333336</v>
      </c>
    </row>
    <row r="109" spans="31:37" x14ac:dyDescent="0.25">
      <c r="AE109" s="43" t="s">
        <v>84</v>
      </c>
      <c r="AF109" s="43" t="s">
        <v>60</v>
      </c>
      <c r="AG109" s="43" t="s">
        <v>39</v>
      </c>
      <c r="AH109">
        <v>4</v>
      </c>
      <c r="AI109" s="43" t="s">
        <v>273</v>
      </c>
      <c r="AJ109" s="43" t="s">
        <v>268</v>
      </c>
      <c r="AK109">
        <v>11.916666666666666</v>
      </c>
    </row>
    <row r="110" spans="31:37" x14ac:dyDescent="0.25">
      <c r="AE110" s="43" t="s">
        <v>68</v>
      </c>
      <c r="AF110" s="43" t="s">
        <v>60</v>
      </c>
      <c r="AG110" s="43" t="s">
        <v>31</v>
      </c>
      <c r="AH110">
        <v>3</v>
      </c>
      <c r="AI110" s="43" t="s">
        <v>317</v>
      </c>
      <c r="AJ110" s="43" t="s">
        <v>308</v>
      </c>
      <c r="AK110">
        <v>0</v>
      </c>
    </row>
    <row r="111" spans="31:37" x14ac:dyDescent="0.25">
      <c r="AE111" s="43" t="s">
        <v>68</v>
      </c>
      <c r="AF111" s="43" t="s">
        <v>60</v>
      </c>
      <c r="AG111" s="43" t="s">
        <v>31</v>
      </c>
      <c r="AH111">
        <v>3</v>
      </c>
      <c r="AI111" s="43" t="s">
        <v>317</v>
      </c>
      <c r="AJ111" s="43" t="s">
        <v>309</v>
      </c>
      <c r="AK111">
        <v>0</v>
      </c>
    </row>
    <row r="112" spans="31:37" x14ac:dyDescent="0.25">
      <c r="AE112" s="43" t="s">
        <v>68</v>
      </c>
      <c r="AF112" s="43" t="s">
        <v>60</v>
      </c>
      <c r="AG112" s="43" t="s">
        <v>31</v>
      </c>
      <c r="AH112">
        <v>3</v>
      </c>
      <c r="AI112" s="43" t="s">
        <v>317</v>
      </c>
      <c r="AJ112" s="43" t="s">
        <v>268</v>
      </c>
      <c r="AK112">
        <v>0</v>
      </c>
    </row>
    <row r="113" spans="31:37" x14ac:dyDescent="0.25">
      <c r="AE113" s="43" t="s">
        <v>68</v>
      </c>
      <c r="AF113" s="43" t="s">
        <v>60</v>
      </c>
      <c r="AG113" s="43" t="s">
        <v>31</v>
      </c>
      <c r="AH113">
        <v>3</v>
      </c>
      <c r="AI113" s="43" t="s">
        <v>325</v>
      </c>
      <c r="AJ113" s="43" t="s">
        <v>308</v>
      </c>
      <c r="AK113">
        <v>4.2</v>
      </c>
    </row>
    <row r="114" spans="31:37" x14ac:dyDescent="0.25">
      <c r="AE114" s="43" t="s">
        <v>68</v>
      </c>
      <c r="AF114" s="43" t="s">
        <v>60</v>
      </c>
      <c r="AG114" s="43" t="s">
        <v>31</v>
      </c>
      <c r="AH114">
        <v>3</v>
      </c>
      <c r="AI114" s="43" t="s">
        <v>325</v>
      </c>
      <c r="AJ114" s="43" t="s">
        <v>309</v>
      </c>
      <c r="AK114">
        <v>8.35</v>
      </c>
    </row>
    <row r="115" spans="31:37" x14ac:dyDescent="0.25">
      <c r="AE115" s="43" t="s">
        <v>68</v>
      </c>
      <c r="AF115" s="43" t="s">
        <v>60</v>
      </c>
      <c r="AG115" s="43" t="s">
        <v>31</v>
      </c>
      <c r="AH115">
        <v>3</v>
      </c>
      <c r="AI115" s="43" t="s">
        <v>325</v>
      </c>
      <c r="AJ115" s="43" t="s">
        <v>268</v>
      </c>
      <c r="AK115">
        <v>12.55</v>
      </c>
    </row>
    <row r="116" spans="31:37" x14ac:dyDescent="0.25">
      <c r="AE116" s="43" t="s">
        <v>68</v>
      </c>
      <c r="AF116" s="43" t="s">
        <v>60</v>
      </c>
      <c r="AG116" s="43" t="s">
        <v>31</v>
      </c>
      <c r="AH116">
        <v>3</v>
      </c>
      <c r="AI116" s="43" t="s">
        <v>330</v>
      </c>
      <c r="AJ116" s="43" t="s">
        <v>308</v>
      </c>
      <c r="AK116">
        <v>4.5</v>
      </c>
    </row>
    <row r="117" spans="31:37" x14ac:dyDescent="0.25">
      <c r="AE117" s="43" t="s">
        <v>68</v>
      </c>
      <c r="AF117" s="43" t="s">
        <v>60</v>
      </c>
      <c r="AG117" s="43" t="s">
        <v>31</v>
      </c>
      <c r="AH117">
        <v>3</v>
      </c>
      <c r="AI117" s="43" t="s">
        <v>330</v>
      </c>
      <c r="AJ117" s="43" t="s">
        <v>309</v>
      </c>
      <c r="AK117">
        <v>8</v>
      </c>
    </row>
    <row r="118" spans="31:37" x14ac:dyDescent="0.25">
      <c r="AE118" s="43" t="s">
        <v>68</v>
      </c>
      <c r="AF118" s="43" t="s">
        <v>60</v>
      </c>
      <c r="AG118" s="43" t="s">
        <v>31</v>
      </c>
      <c r="AH118">
        <v>3</v>
      </c>
      <c r="AI118" s="43" t="s">
        <v>330</v>
      </c>
      <c r="AJ118" s="43" t="s">
        <v>268</v>
      </c>
      <c r="AK118">
        <v>12.5</v>
      </c>
    </row>
    <row r="119" spans="31:37" x14ac:dyDescent="0.25">
      <c r="AE119" s="43" t="s">
        <v>68</v>
      </c>
      <c r="AF119" s="43" t="s">
        <v>60</v>
      </c>
      <c r="AG119" s="43" t="s">
        <v>31</v>
      </c>
      <c r="AH119">
        <v>3</v>
      </c>
      <c r="AI119" s="43" t="s">
        <v>343</v>
      </c>
      <c r="AJ119" s="43" t="s">
        <v>308</v>
      </c>
      <c r="AK119">
        <v>4</v>
      </c>
    </row>
    <row r="120" spans="31:37" x14ac:dyDescent="0.25">
      <c r="AE120" s="43" t="s">
        <v>68</v>
      </c>
      <c r="AF120" s="43" t="s">
        <v>60</v>
      </c>
      <c r="AG120" s="43" t="s">
        <v>31</v>
      </c>
      <c r="AH120">
        <v>3</v>
      </c>
      <c r="AI120" s="43" t="s">
        <v>343</v>
      </c>
      <c r="AJ120" s="43" t="s">
        <v>309</v>
      </c>
      <c r="AK120">
        <v>6.3</v>
      </c>
    </row>
    <row r="121" spans="31:37" x14ac:dyDescent="0.25">
      <c r="AE121" s="43" t="s">
        <v>68</v>
      </c>
      <c r="AF121" s="43" t="s">
        <v>60</v>
      </c>
      <c r="AG121" s="43" t="s">
        <v>31</v>
      </c>
      <c r="AH121">
        <v>3</v>
      </c>
      <c r="AI121" s="43" t="s">
        <v>343</v>
      </c>
      <c r="AJ121" s="43" t="s">
        <v>268</v>
      </c>
      <c r="AK121">
        <v>10.3</v>
      </c>
    </row>
    <row r="122" spans="31:37" x14ac:dyDescent="0.25">
      <c r="AE122" s="43" t="s">
        <v>68</v>
      </c>
      <c r="AF122" s="43" t="s">
        <v>60</v>
      </c>
      <c r="AG122" s="43" t="s">
        <v>31</v>
      </c>
      <c r="AH122">
        <v>3</v>
      </c>
      <c r="AI122" s="43" t="s">
        <v>341</v>
      </c>
      <c r="AJ122" s="43" t="s">
        <v>308</v>
      </c>
      <c r="AK122">
        <v>12.7</v>
      </c>
    </row>
    <row r="123" spans="31:37" x14ac:dyDescent="0.25">
      <c r="AE123" s="43" t="s">
        <v>68</v>
      </c>
      <c r="AF123" s="43" t="s">
        <v>60</v>
      </c>
      <c r="AG123" s="43" t="s">
        <v>31</v>
      </c>
      <c r="AH123">
        <v>3</v>
      </c>
      <c r="AI123" s="43" t="s">
        <v>341</v>
      </c>
      <c r="AJ123" s="43" t="s">
        <v>309</v>
      </c>
      <c r="AK123">
        <v>22.650000000000002</v>
      </c>
    </row>
    <row r="124" spans="31:37" x14ac:dyDescent="0.25">
      <c r="AE124" s="43" t="s">
        <v>68</v>
      </c>
      <c r="AF124" s="43" t="s">
        <v>60</v>
      </c>
      <c r="AG124" s="43" t="s">
        <v>31</v>
      </c>
      <c r="AH124">
        <v>3</v>
      </c>
      <c r="AI124" s="43" t="s">
        <v>341</v>
      </c>
      <c r="AJ124" s="43" t="s">
        <v>268</v>
      </c>
      <c r="AK124">
        <v>35.35</v>
      </c>
    </row>
    <row r="125" spans="31:37" x14ac:dyDescent="0.25">
      <c r="AE125" s="43" t="s">
        <v>68</v>
      </c>
      <c r="AF125" s="43" t="s">
        <v>60</v>
      </c>
      <c r="AG125" s="43" t="s">
        <v>31</v>
      </c>
      <c r="AH125">
        <v>3</v>
      </c>
      <c r="AI125" s="43" t="s">
        <v>273</v>
      </c>
      <c r="AJ125" s="43" t="s">
        <v>308</v>
      </c>
      <c r="AK125">
        <v>4.2333333333333334</v>
      </c>
    </row>
    <row r="126" spans="31:37" x14ac:dyDescent="0.25">
      <c r="AE126" s="43" t="s">
        <v>68</v>
      </c>
      <c r="AF126" s="43" t="s">
        <v>60</v>
      </c>
      <c r="AG126" s="43" t="s">
        <v>31</v>
      </c>
      <c r="AH126">
        <v>3</v>
      </c>
      <c r="AI126" s="43" t="s">
        <v>273</v>
      </c>
      <c r="AJ126" s="43" t="s">
        <v>309</v>
      </c>
      <c r="AK126">
        <v>7.5500000000000007</v>
      </c>
    </row>
    <row r="127" spans="31:37" x14ac:dyDescent="0.25">
      <c r="AE127" s="43" t="s">
        <v>68</v>
      </c>
      <c r="AF127" s="43" t="s">
        <v>60</v>
      </c>
      <c r="AG127" s="43" t="s">
        <v>31</v>
      </c>
      <c r="AH127">
        <v>3</v>
      </c>
      <c r="AI127" s="43" t="s">
        <v>273</v>
      </c>
      <c r="AJ127" s="43" t="s">
        <v>268</v>
      </c>
      <c r="AK127">
        <v>11.783333333333333</v>
      </c>
    </row>
    <row r="128" spans="31:37" x14ac:dyDescent="0.25">
      <c r="AE128" s="43" t="s">
        <v>100</v>
      </c>
      <c r="AF128" s="43" t="s">
        <v>60</v>
      </c>
      <c r="AG128" s="43" t="s">
        <v>31</v>
      </c>
      <c r="AH128">
        <v>3</v>
      </c>
      <c r="AI128" s="43" t="s">
        <v>317</v>
      </c>
      <c r="AJ128" s="43" t="s">
        <v>308</v>
      </c>
      <c r="AK128">
        <v>4.3</v>
      </c>
    </row>
    <row r="129" spans="31:37" x14ac:dyDescent="0.25">
      <c r="AE129" s="43" t="s">
        <v>100</v>
      </c>
      <c r="AF129" s="43" t="s">
        <v>60</v>
      </c>
      <c r="AG129" s="43" t="s">
        <v>31</v>
      </c>
      <c r="AH129">
        <v>3</v>
      </c>
      <c r="AI129" s="43" t="s">
        <v>317</v>
      </c>
      <c r="AJ129" s="43" t="s">
        <v>309</v>
      </c>
      <c r="AK129">
        <v>7.4</v>
      </c>
    </row>
    <row r="130" spans="31:37" x14ac:dyDescent="0.25">
      <c r="AE130" s="43" t="s">
        <v>100</v>
      </c>
      <c r="AF130" s="43" t="s">
        <v>60</v>
      </c>
      <c r="AG130" s="43" t="s">
        <v>31</v>
      </c>
      <c r="AH130">
        <v>3</v>
      </c>
      <c r="AI130" s="43" t="s">
        <v>317</v>
      </c>
      <c r="AJ130" s="43" t="s">
        <v>268</v>
      </c>
      <c r="AK130">
        <v>11.7</v>
      </c>
    </row>
    <row r="131" spans="31:37" x14ac:dyDescent="0.25">
      <c r="AE131" s="43" t="s">
        <v>100</v>
      </c>
      <c r="AF131" s="43" t="s">
        <v>60</v>
      </c>
      <c r="AG131" s="43" t="s">
        <v>31</v>
      </c>
      <c r="AH131">
        <v>3</v>
      </c>
      <c r="AI131" s="43" t="s">
        <v>325</v>
      </c>
      <c r="AJ131" s="43" t="s">
        <v>308</v>
      </c>
      <c r="AK131">
        <v>4.2</v>
      </c>
    </row>
    <row r="132" spans="31:37" x14ac:dyDescent="0.25">
      <c r="AE132" s="43" t="s">
        <v>100</v>
      </c>
      <c r="AF132" s="43" t="s">
        <v>60</v>
      </c>
      <c r="AG132" s="43" t="s">
        <v>31</v>
      </c>
      <c r="AH132">
        <v>3</v>
      </c>
      <c r="AI132" s="43" t="s">
        <v>325</v>
      </c>
      <c r="AJ132" s="43" t="s">
        <v>309</v>
      </c>
      <c r="AK132">
        <v>7.3</v>
      </c>
    </row>
    <row r="133" spans="31:37" x14ac:dyDescent="0.25">
      <c r="AE133" s="43" t="s">
        <v>100</v>
      </c>
      <c r="AF133" s="43" t="s">
        <v>60</v>
      </c>
      <c r="AG133" s="43" t="s">
        <v>31</v>
      </c>
      <c r="AH133">
        <v>3</v>
      </c>
      <c r="AI133" s="43" t="s">
        <v>325</v>
      </c>
      <c r="AJ133" s="43" t="s">
        <v>268</v>
      </c>
      <c r="AK133">
        <v>11.5</v>
      </c>
    </row>
    <row r="134" spans="31:37" x14ac:dyDescent="0.25">
      <c r="AE134" s="43" t="s">
        <v>100</v>
      </c>
      <c r="AF134" s="43" t="s">
        <v>60</v>
      </c>
      <c r="AG134" s="43" t="s">
        <v>31</v>
      </c>
      <c r="AH134">
        <v>3</v>
      </c>
      <c r="AI134" s="43" t="s">
        <v>330</v>
      </c>
      <c r="AJ134" s="43" t="s">
        <v>308</v>
      </c>
      <c r="AK134">
        <v>4.4000000000000004</v>
      </c>
    </row>
    <row r="135" spans="31:37" x14ac:dyDescent="0.25">
      <c r="AE135" s="43" t="s">
        <v>100</v>
      </c>
      <c r="AF135" s="43" t="s">
        <v>60</v>
      </c>
      <c r="AG135" s="43" t="s">
        <v>31</v>
      </c>
      <c r="AH135">
        <v>3</v>
      </c>
      <c r="AI135" s="43" t="s">
        <v>330</v>
      </c>
      <c r="AJ135" s="43" t="s">
        <v>309</v>
      </c>
      <c r="AK135">
        <v>7.55</v>
      </c>
    </row>
    <row r="136" spans="31:37" x14ac:dyDescent="0.25">
      <c r="AE136" s="43" t="s">
        <v>100</v>
      </c>
      <c r="AF136" s="43" t="s">
        <v>60</v>
      </c>
      <c r="AG136" s="43" t="s">
        <v>31</v>
      </c>
      <c r="AH136">
        <v>3</v>
      </c>
      <c r="AI136" s="43" t="s">
        <v>330</v>
      </c>
      <c r="AJ136" s="43" t="s">
        <v>268</v>
      </c>
      <c r="AK136">
        <v>11.95</v>
      </c>
    </row>
    <row r="137" spans="31:37" x14ac:dyDescent="0.25">
      <c r="AE137" s="43" t="s">
        <v>100</v>
      </c>
      <c r="AF137" s="43" t="s">
        <v>60</v>
      </c>
      <c r="AG137" s="43" t="s">
        <v>31</v>
      </c>
      <c r="AH137">
        <v>3</v>
      </c>
      <c r="AI137" s="43" t="s">
        <v>343</v>
      </c>
      <c r="AJ137" s="43" t="s">
        <v>308</v>
      </c>
      <c r="AK137">
        <v>0</v>
      </c>
    </row>
    <row r="138" spans="31:37" x14ac:dyDescent="0.25">
      <c r="AE138" s="43" t="s">
        <v>100</v>
      </c>
      <c r="AF138" s="43" t="s">
        <v>60</v>
      </c>
      <c r="AG138" s="43" t="s">
        <v>31</v>
      </c>
      <c r="AH138">
        <v>3</v>
      </c>
      <c r="AI138" s="43" t="s">
        <v>343</v>
      </c>
      <c r="AJ138" s="43" t="s">
        <v>309</v>
      </c>
      <c r="AK138">
        <v>0</v>
      </c>
    </row>
    <row r="139" spans="31:37" x14ac:dyDescent="0.25">
      <c r="AE139" s="43" t="s">
        <v>100</v>
      </c>
      <c r="AF139" s="43" t="s">
        <v>60</v>
      </c>
      <c r="AG139" s="43" t="s">
        <v>31</v>
      </c>
      <c r="AH139">
        <v>3</v>
      </c>
      <c r="AI139" s="43" t="s">
        <v>343</v>
      </c>
      <c r="AJ139" s="43" t="s">
        <v>268</v>
      </c>
      <c r="AK139">
        <v>0</v>
      </c>
    </row>
    <row r="140" spans="31:37" x14ac:dyDescent="0.25">
      <c r="AE140" s="43" t="s">
        <v>100</v>
      </c>
      <c r="AF140" s="43" t="s">
        <v>60</v>
      </c>
      <c r="AG140" s="43" t="s">
        <v>31</v>
      </c>
      <c r="AH140">
        <v>3</v>
      </c>
      <c r="AI140" s="43" t="s">
        <v>341</v>
      </c>
      <c r="AJ140" s="43" t="s">
        <v>308</v>
      </c>
      <c r="AK140">
        <v>12.899999999999999</v>
      </c>
    </row>
    <row r="141" spans="31:37" x14ac:dyDescent="0.25">
      <c r="AE141" s="43" t="s">
        <v>100</v>
      </c>
      <c r="AF141" s="43" t="s">
        <v>60</v>
      </c>
      <c r="AG141" s="43" t="s">
        <v>31</v>
      </c>
      <c r="AH141">
        <v>3</v>
      </c>
      <c r="AI141" s="43" t="s">
        <v>341</v>
      </c>
      <c r="AJ141" s="43" t="s">
        <v>309</v>
      </c>
      <c r="AK141">
        <v>22.25</v>
      </c>
    </row>
    <row r="142" spans="31:37" x14ac:dyDescent="0.25">
      <c r="AE142" s="43" t="s">
        <v>100</v>
      </c>
      <c r="AF142" s="43" t="s">
        <v>60</v>
      </c>
      <c r="AG142" s="43" t="s">
        <v>31</v>
      </c>
      <c r="AH142">
        <v>3</v>
      </c>
      <c r="AI142" s="43" t="s">
        <v>341</v>
      </c>
      <c r="AJ142" s="43" t="s">
        <v>268</v>
      </c>
      <c r="AK142">
        <v>35.15</v>
      </c>
    </row>
    <row r="143" spans="31:37" x14ac:dyDescent="0.25">
      <c r="AE143" s="43" t="s">
        <v>100</v>
      </c>
      <c r="AF143" s="43" t="s">
        <v>60</v>
      </c>
      <c r="AG143" s="43" t="s">
        <v>31</v>
      </c>
      <c r="AH143">
        <v>3</v>
      </c>
      <c r="AI143" s="43" t="s">
        <v>273</v>
      </c>
      <c r="AJ143" s="43" t="s">
        <v>308</v>
      </c>
      <c r="AK143">
        <v>4.3</v>
      </c>
    </row>
    <row r="144" spans="31:37" x14ac:dyDescent="0.25">
      <c r="AE144" s="43" t="s">
        <v>100</v>
      </c>
      <c r="AF144" s="43" t="s">
        <v>60</v>
      </c>
      <c r="AG144" s="43" t="s">
        <v>31</v>
      </c>
      <c r="AH144">
        <v>3</v>
      </c>
      <c r="AI144" s="43" t="s">
        <v>273</v>
      </c>
      <c r="AJ144" s="43" t="s">
        <v>309</v>
      </c>
      <c r="AK144">
        <v>7.416666666666667</v>
      </c>
    </row>
    <row r="145" spans="31:37" x14ac:dyDescent="0.25">
      <c r="AE145" s="43" t="s">
        <v>100</v>
      </c>
      <c r="AF145" s="43" t="s">
        <v>60</v>
      </c>
      <c r="AG145" s="43" t="s">
        <v>31</v>
      </c>
      <c r="AH145">
        <v>3</v>
      </c>
      <c r="AI145" s="43" t="s">
        <v>273</v>
      </c>
      <c r="AJ145" s="43" t="s">
        <v>268</v>
      </c>
      <c r="AK145">
        <v>11.716666666666667</v>
      </c>
    </row>
    <row r="146" spans="31:37" x14ac:dyDescent="0.25">
      <c r="AE146" s="43" t="s">
        <v>82</v>
      </c>
      <c r="AF146" s="43" t="s">
        <v>60</v>
      </c>
      <c r="AG146" s="43" t="s">
        <v>36</v>
      </c>
      <c r="AH146">
        <v>3</v>
      </c>
      <c r="AI146" s="43" t="s">
        <v>317</v>
      </c>
      <c r="AJ146" s="43" t="s">
        <v>308</v>
      </c>
      <c r="AK146">
        <v>0</v>
      </c>
    </row>
    <row r="147" spans="31:37" x14ac:dyDescent="0.25">
      <c r="AE147" s="43" t="s">
        <v>82</v>
      </c>
      <c r="AF147" s="43" t="s">
        <v>60</v>
      </c>
      <c r="AG147" s="43" t="s">
        <v>36</v>
      </c>
      <c r="AH147">
        <v>3</v>
      </c>
      <c r="AI147" s="43" t="s">
        <v>317</v>
      </c>
      <c r="AJ147" s="43" t="s">
        <v>309</v>
      </c>
      <c r="AK147">
        <v>0</v>
      </c>
    </row>
    <row r="148" spans="31:37" x14ac:dyDescent="0.25">
      <c r="AE148" s="43" t="s">
        <v>82</v>
      </c>
      <c r="AF148" s="43" t="s">
        <v>60</v>
      </c>
      <c r="AG148" s="43" t="s">
        <v>36</v>
      </c>
      <c r="AH148">
        <v>3</v>
      </c>
      <c r="AI148" s="43" t="s">
        <v>317</v>
      </c>
      <c r="AJ148" s="43" t="s">
        <v>268</v>
      </c>
      <c r="AK148">
        <v>0</v>
      </c>
    </row>
    <row r="149" spans="31:37" x14ac:dyDescent="0.25">
      <c r="AE149" s="43" t="s">
        <v>82</v>
      </c>
      <c r="AF149" s="43" t="s">
        <v>60</v>
      </c>
      <c r="AG149" s="43" t="s">
        <v>36</v>
      </c>
      <c r="AH149">
        <v>3</v>
      </c>
      <c r="AI149" s="43" t="s">
        <v>325</v>
      </c>
      <c r="AJ149" s="43" t="s">
        <v>308</v>
      </c>
      <c r="AK149">
        <v>4.4000000000000004</v>
      </c>
    </row>
    <row r="150" spans="31:37" x14ac:dyDescent="0.25">
      <c r="AE150" s="43" t="s">
        <v>82</v>
      </c>
      <c r="AF150" s="43" t="s">
        <v>60</v>
      </c>
      <c r="AG150" s="43" t="s">
        <v>36</v>
      </c>
      <c r="AH150">
        <v>3</v>
      </c>
      <c r="AI150" s="43" t="s">
        <v>325</v>
      </c>
      <c r="AJ150" s="43" t="s">
        <v>309</v>
      </c>
      <c r="AK150">
        <v>8.1</v>
      </c>
    </row>
    <row r="151" spans="31:37" x14ac:dyDescent="0.25">
      <c r="AE151" s="43" t="s">
        <v>82</v>
      </c>
      <c r="AF151" s="43" t="s">
        <v>60</v>
      </c>
      <c r="AG151" s="43" t="s">
        <v>36</v>
      </c>
      <c r="AH151">
        <v>3</v>
      </c>
      <c r="AI151" s="43" t="s">
        <v>325</v>
      </c>
      <c r="AJ151" s="43" t="s">
        <v>268</v>
      </c>
      <c r="AK151">
        <v>12.5</v>
      </c>
    </row>
    <row r="152" spans="31:37" x14ac:dyDescent="0.25">
      <c r="AE152" s="43" t="s">
        <v>82</v>
      </c>
      <c r="AF152" s="43" t="s">
        <v>60</v>
      </c>
      <c r="AG152" s="43" t="s">
        <v>36</v>
      </c>
      <c r="AH152">
        <v>3</v>
      </c>
      <c r="AI152" s="43" t="s">
        <v>330</v>
      </c>
      <c r="AJ152" s="43" t="s">
        <v>308</v>
      </c>
      <c r="AK152">
        <v>4.0999999999999996</v>
      </c>
    </row>
    <row r="153" spans="31:37" x14ac:dyDescent="0.25">
      <c r="AE153" s="43" t="s">
        <v>82</v>
      </c>
      <c r="AF153" s="43" t="s">
        <v>60</v>
      </c>
      <c r="AG153" s="43" t="s">
        <v>36</v>
      </c>
      <c r="AH153">
        <v>3</v>
      </c>
      <c r="AI153" s="43" t="s">
        <v>330</v>
      </c>
      <c r="AJ153" s="43" t="s">
        <v>309</v>
      </c>
      <c r="AK153">
        <v>6.7</v>
      </c>
    </row>
    <row r="154" spans="31:37" x14ac:dyDescent="0.25">
      <c r="AE154" s="43" t="s">
        <v>82</v>
      </c>
      <c r="AF154" s="43" t="s">
        <v>60</v>
      </c>
      <c r="AG154" s="43" t="s">
        <v>36</v>
      </c>
      <c r="AH154">
        <v>3</v>
      </c>
      <c r="AI154" s="43" t="s">
        <v>330</v>
      </c>
      <c r="AJ154" s="43" t="s">
        <v>268</v>
      </c>
      <c r="AK154">
        <v>10.8</v>
      </c>
    </row>
    <row r="155" spans="31:37" x14ac:dyDescent="0.25">
      <c r="AE155" s="43" t="s">
        <v>82</v>
      </c>
      <c r="AF155" s="43" t="s">
        <v>60</v>
      </c>
      <c r="AG155" s="43" t="s">
        <v>36</v>
      </c>
      <c r="AH155">
        <v>3</v>
      </c>
      <c r="AI155" s="43" t="s">
        <v>343</v>
      </c>
      <c r="AJ155" s="43" t="s">
        <v>308</v>
      </c>
      <c r="AK155">
        <v>3.9</v>
      </c>
    </row>
    <row r="156" spans="31:37" x14ac:dyDescent="0.25">
      <c r="AE156" s="43" t="s">
        <v>82</v>
      </c>
      <c r="AF156" s="43" t="s">
        <v>60</v>
      </c>
      <c r="AG156" s="43" t="s">
        <v>36</v>
      </c>
      <c r="AH156">
        <v>3</v>
      </c>
      <c r="AI156" s="43" t="s">
        <v>343</v>
      </c>
      <c r="AJ156" s="43" t="s">
        <v>309</v>
      </c>
      <c r="AK156">
        <v>7.9</v>
      </c>
    </row>
    <row r="157" spans="31:37" x14ac:dyDescent="0.25">
      <c r="AE157" s="43" t="s">
        <v>82</v>
      </c>
      <c r="AF157" s="43" t="s">
        <v>60</v>
      </c>
      <c r="AG157" s="43" t="s">
        <v>36</v>
      </c>
      <c r="AH157">
        <v>3</v>
      </c>
      <c r="AI157" s="43" t="s">
        <v>343</v>
      </c>
      <c r="AJ157" s="43" t="s">
        <v>268</v>
      </c>
      <c r="AK157">
        <v>11.8</v>
      </c>
    </row>
    <row r="158" spans="31:37" x14ac:dyDescent="0.25">
      <c r="AE158" s="43" t="s">
        <v>82</v>
      </c>
      <c r="AF158" s="43" t="s">
        <v>60</v>
      </c>
      <c r="AG158" s="43" t="s">
        <v>36</v>
      </c>
      <c r="AH158">
        <v>3</v>
      </c>
      <c r="AI158" s="43" t="s">
        <v>341</v>
      </c>
      <c r="AJ158" s="43" t="s">
        <v>308</v>
      </c>
      <c r="AK158">
        <v>12.4</v>
      </c>
    </row>
    <row r="159" spans="31:37" x14ac:dyDescent="0.25">
      <c r="AE159" s="43" t="s">
        <v>82</v>
      </c>
      <c r="AF159" s="43" t="s">
        <v>60</v>
      </c>
      <c r="AG159" s="43" t="s">
        <v>36</v>
      </c>
      <c r="AH159">
        <v>3</v>
      </c>
      <c r="AI159" s="43" t="s">
        <v>341</v>
      </c>
      <c r="AJ159" s="43" t="s">
        <v>309</v>
      </c>
      <c r="AK159">
        <v>22.7</v>
      </c>
    </row>
    <row r="160" spans="31:37" x14ac:dyDescent="0.25">
      <c r="AE160" s="43" t="s">
        <v>82</v>
      </c>
      <c r="AF160" s="43" t="s">
        <v>60</v>
      </c>
      <c r="AG160" s="43" t="s">
        <v>36</v>
      </c>
      <c r="AH160">
        <v>3</v>
      </c>
      <c r="AI160" s="43" t="s">
        <v>341</v>
      </c>
      <c r="AJ160" s="43" t="s">
        <v>268</v>
      </c>
      <c r="AK160">
        <v>35.1</v>
      </c>
    </row>
    <row r="161" spans="31:37" x14ac:dyDescent="0.25">
      <c r="AE161" s="43" t="s">
        <v>82</v>
      </c>
      <c r="AF161" s="43" t="s">
        <v>60</v>
      </c>
      <c r="AG161" s="43" t="s">
        <v>36</v>
      </c>
      <c r="AH161">
        <v>3</v>
      </c>
      <c r="AI161" s="43" t="s">
        <v>273</v>
      </c>
      <c r="AJ161" s="43" t="s">
        <v>308</v>
      </c>
      <c r="AK161">
        <v>4.1333333333333337</v>
      </c>
    </row>
    <row r="162" spans="31:37" x14ac:dyDescent="0.25">
      <c r="AE162" s="43" t="s">
        <v>82</v>
      </c>
      <c r="AF162" s="43" t="s">
        <v>60</v>
      </c>
      <c r="AG162" s="43" t="s">
        <v>36</v>
      </c>
      <c r="AH162">
        <v>3</v>
      </c>
      <c r="AI162" s="43" t="s">
        <v>273</v>
      </c>
      <c r="AJ162" s="43" t="s">
        <v>309</v>
      </c>
      <c r="AK162">
        <v>7.5666666666666664</v>
      </c>
    </row>
    <row r="163" spans="31:37" x14ac:dyDescent="0.25">
      <c r="AE163" s="43" t="s">
        <v>82</v>
      </c>
      <c r="AF163" s="43" t="s">
        <v>60</v>
      </c>
      <c r="AG163" s="43" t="s">
        <v>36</v>
      </c>
      <c r="AH163">
        <v>3</v>
      </c>
      <c r="AI163" s="43" t="s">
        <v>273</v>
      </c>
      <c r="AJ163" s="43" t="s">
        <v>268</v>
      </c>
      <c r="AK163">
        <v>11.700000000000001</v>
      </c>
    </row>
    <row r="164" spans="31:37" x14ac:dyDescent="0.25">
      <c r="AE164" s="43" t="s">
        <v>77</v>
      </c>
      <c r="AF164" s="43" t="s">
        <v>60</v>
      </c>
      <c r="AG164" s="43" t="s">
        <v>79</v>
      </c>
      <c r="AH164">
        <v>4</v>
      </c>
      <c r="AI164" s="43" t="s">
        <v>317</v>
      </c>
      <c r="AJ164" s="43" t="s">
        <v>308</v>
      </c>
      <c r="AK164">
        <v>4.2</v>
      </c>
    </row>
    <row r="165" spans="31:37" x14ac:dyDescent="0.25">
      <c r="AE165" s="43" t="s">
        <v>77</v>
      </c>
      <c r="AF165" s="43" t="s">
        <v>60</v>
      </c>
      <c r="AG165" s="43" t="s">
        <v>79</v>
      </c>
      <c r="AH165">
        <v>4</v>
      </c>
      <c r="AI165" s="43" t="s">
        <v>317</v>
      </c>
      <c r="AJ165" s="43" t="s">
        <v>309</v>
      </c>
      <c r="AK165">
        <v>6.3</v>
      </c>
    </row>
    <row r="166" spans="31:37" x14ac:dyDescent="0.25">
      <c r="AE166" s="43" t="s">
        <v>77</v>
      </c>
      <c r="AF166" s="43" t="s">
        <v>60</v>
      </c>
      <c r="AG166" s="43" t="s">
        <v>79</v>
      </c>
      <c r="AH166">
        <v>4</v>
      </c>
      <c r="AI166" s="43" t="s">
        <v>317</v>
      </c>
      <c r="AJ166" s="43" t="s">
        <v>268</v>
      </c>
      <c r="AK166">
        <v>10.5</v>
      </c>
    </row>
    <row r="167" spans="31:37" x14ac:dyDescent="0.25">
      <c r="AE167" s="43" t="s">
        <v>77</v>
      </c>
      <c r="AF167" s="43" t="s">
        <v>60</v>
      </c>
      <c r="AG167" s="43" t="s">
        <v>79</v>
      </c>
      <c r="AH167">
        <v>4</v>
      </c>
      <c r="AI167" s="43" t="s">
        <v>325</v>
      </c>
      <c r="AJ167" s="43" t="s">
        <v>308</v>
      </c>
      <c r="AK167">
        <v>3.9</v>
      </c>
    </row>
    <row r="168" spans="31:37" x14ac:dyDescent="0.25">
      <c r="AE168" s="43" t="s">
        <v>77</v>
      </c>
      <c r="AF168" s="43" t="s">
        <v>60</v>
      </c>
      <c r="AG168" s="43" t="s">
        <v>79</v>
      </c>
      <c r="AH168">
        <v>4</v>
      </c>
      <c r="AI168" s="43" t="s">
        <v>325</v>
      </c>
      <c r="AJ168" s="43" t="s">
        <v>309</v>
      </c>
      <c r="AK168">
        <v>7.85</v>
      </c>
    </row>
    <row r="169" spans="31:37" x14ac:dyDescent="0.25">
      <c r="AE169" s="43" t="s">
        <v>77</v>
      </c>
      <c r="AF169" s="43" t="s">
        <v>60</v>
      </c>
      <c r="AG169" s="43" t="s">
        <v>79</v>
      </c>
      <c r="AH169">
        <v>4</v>
      </c>
      <c r="AI169" s="43" t="s">
        <v>325</v>
      </c>
      <c r="AJ169" s="43" t="s">
        <v>268</v>
      </c>
      <c r="AK169">
        <v>11.75</v>
      </c>
    </row>
    <row r="170" spans="31:37" x14ac:dyDescent="0.25">
      <c r="AE170" s="43" t="s">
        <v>77</v>
      </c>
      <c r="AF170" s="43" t="s">
        <v>60</v>
      </c>
      <c r="AG170" s="43" t="s">
        <v>79</v>
      </c>
      <c r="AH170">
        <v>4</v>
      </c>
      <c r="AI170" s="43" t="s">
        <v>330</v>
      </c>
      <c r="AJ170" s="43" t="s">
        <v>308</v>
      </c>
      <c r="AK170">
        <v>3.9</v>
      </c>
    </row>
    <row r="171" spans="31:37" x14ac:dyDescent="0.25">
      <c r="AE171" s="43" t="s">
        <v>77</v>
      </c>
      <c r="AF171" s="43" t="s">
        <v>60</v>
      </c>
      <c r="AG171" s="43" t="s">
        <v>79</v>
      </c>
      <c r="AH171">
        <v>4</v>
      </c>
      <c r="AI171" s="43" t="s">
        <v>330</v>
      </c>
      <c r="AJ171" s="43" t="s">
        <v>309</v>
      </c>
      <c r="AK171">
        <v>8</v>
      </c>
    </row>
    <row r="172" spans="31:37" x14ac:dyDescent="0.25">
      <c r="AE172" s="43" t="s">
        <v>77</v>
      </c>
      <c r="AF172" s="43" t="s">
        <v>60</v>
      </c>
      <c r="AG172" s="43" t="s">
        <v>79</v>
      </c>
      <c r="AH172">
        <v>4</v>
      </c>
      <c r="AI172" s="43" t="s">
        <v>330</v>
      </c>
      <c r="AJ172" s="43" t="s">
        <v>268</v>
      </c>
      <c r="AK172">
        <v>11.9</v>
      </c>
    </row>
    <row r="173" spans="31:37" x14ac:dyDescent="0.25">
      <c r="AE173" s="43" t="s">
        <v>77</v>
      </c>
      <c r="AF173" s="43" t="s">
        <v>60</v>
      </c>
      <c r="AG173" s="43" t="s">
        <v>79</v>
      </c>
      <c r="AH173">
        <v>4</v>
      </c>
      <c r="AI173" s="43" t="s">
        <v>343</v>
      </c>
      <c r="AJ173" s="43" t="s">
        <v>308</v>
      </c>
      <c r="AK173">
        <v>3.8</v>
      </c>
    </row>
    <row r="174" spans="31:37" x14ac:dyDescent="0.25">
      <c r="AE174" s="43" t="s">
        <v>77</v>
      </c>
      <c r="AF174" s="43" t="s">
        <v>60</v>
      </c>
      <c r="AG174" s="43" t="s">
        <v>79</v>
      </c>
      <c r="AH174">
        <v>4</v>
      </c>
      <c r="AI174" s="43" t="s">
        <v>343</v>
      </c>
      <c r="AJ174" s="43" t="s">
        <v>309</v>
      </c>
      <c r="AK174">
        <v>7.4</v>
      </c>
    </row>
    <row r="175" spans="31:37" x14ac:dyDescent="0.25">
      <c r="AE175" s="43" t="s">
        <v>77</v>
      </c>
      <c r="AF175" s="43" t="s">
        <v>60</v>
      </c>
      <c r="AG175" s="43" t="s">
        <v>79</v>
      </c>
      <c r="AH175">
        <v>4</v>
      </c>
      <c r="AI175" s="43" t="s">
        <v>343</v>
      </c>
      <c r="AJ175" s="43" t="s">
        <v>268</v>
      </c>
      <c r="AK175">
        <v>11.2</v>
      </c>
    </row>
    <row r="176" spans="31:37" x14ac:dyDescent="0.25">
      <c r="AE176" s="43" t="s">
        <v>77</v>
      </c>
      <c r="AF176" s="43" t="s">
        <v>60</v>
      </c>
      <c r="AG176" s="43" t="s">
        <v>79</v>
      </c>
      <c r="AH176">
        <v>4</v>
      </c>
      <c r="AI176" s="43" t="s">
        <v>341</v>
      </c>
      <c r="AJ176" s="43" t="s">
        <v>308</v>
      </c>
      <c r="AK176">
        <v>12</v>
      </c>
    </row>
    <row r="177" spans="31:37" x14ac:dyDescent="0.25">
      <c r="AE177" s="43" t="s">
        <v>77</v>
      </c>
      <c r="AF177" s="43" t="s">
        <v>60</v>
      </c>
      <c r="AG177" s="43" t="s">
        <v>79</v>
      </c>
      <c r="AH177">
        <v>4</v>
      </c>
      <c r="AI177" s="43" t="s">
        <v>341</v>
      </c>
      <c r="AJ177" s="43" t="s">
        <v>309</v>
      </c>
      <c r="AK177">
        <v>23.25</v>
      </c>
    </row>
    <row r="178" spans="31:37" x14ac:dyDescent="0.25">
      <c r="AE178" s="43" t="s">
        <v>77</v>
      </c>
      <c r="AF178" s="43" t="s">
        <v>60</v>
      </c>
      <c r="AG178" s="43" t="s">
        <v>79</v>
      </c>
      <c r="AH178">
        <v>4</v>
      </c>
      <c r="AI178" s="43" t="s">
        <v>341</v>
      </c>
      <c r="AJ178" s="43" t="s">
        <v>268</v>
      </c>
      <c r="AK178">
        <v>34.849999999999994</v>
      </c>
    </row>
    <row r="179" spans="31:37" x14ac:dyDescent="0.25">
      <c r="AE179" s="43" t="s">
        <v>77</v>
      </c>
      <c r="AF179" s="43" t="s">
        <v>60</v>
      </c>
      <c r="AG179" s="43" t="s">
        <v>79</v>
      </c>
      <c r="AH179">
        <v>4</v>
      </c>
      <c r="AI179" s="43" t="s">
        <v>273</v>
      </c>
      <c r="AJ179" s="43" t="s">
        <v>308</v>
      </c>
      <c r="AK179">
        <v>4</v>
      </c>
    </row>
    <row r="180" spans="31:37" x14ac:dyDescent="0.25">
      <c r="AE180" s="43" t="s">
        <v>77</v>
      </c>
      <c r="AF180" s="43" t="s">
        <v>60</v>
      </c>
      <c r="AG180" s="43" t="s">
        <v>79</v>
      </c>
      <c r="AH180">
        <v>4</v>
      </c>
      <c r="AI180" s="43" t="s">
        <v>273</v>
      </c>
      <c r="AJ180" s="43" t="s">
        <v>309</v>
      </c>
      <c r="AK180">
        <v>7.75</v>
      </c>
    </row>
    <row r="181" spans="31:37" x14ac:dyDescent="0.25">
      <c r="AE181" s="43" t="s">
        <v>77</v>
      </c>
      <c r="AF181" s="43" t="s">
        <v>60</v>
      </c>
      <c r="AG181" s="43" t="s">
        <v>79</v>
      </c>
      <c r="AH181">
        <v>4</v>
      </c>
      <c r="AI181" s="43" t="s">
        <v>273</v>
      </c>
      <c r="AJ181" s="43" t="s">
        <v>268</v>
      </c>
      <c r="AK181">
        <v>11.616666666666665</v>
      </c>
    </row>
    <row r="182" spans="31:37" x14ac:dyDescent="0.25">
      <c r="AE182" s="43" t="s">
        <v>106</v>
      </c>
      <c r="AF182" s="43" t="s">
        <v>60</v>
      </c>
      <c r="AG182" s="43" t="s">
        <v>31</v>
      </c>
      <c r="AH182">
        <v>3</v>
      </c>
      <c r="AI182" s="43" t="s">
        <v>317</v>
      </c>
      <c r="AJ182" s="43" t="s">
        <v>308</v>
      </c>
      <c r="AK182">
        <v>3.9</v>
      </c>
    </row>
    <row r="183" spans="31:37" x14ac:dyDescent="0.25">
      <c r="AE183" s="43" t="s">
        <v>106</v>
      </c>
      <c r="AF183" s="43" t="s">
        <v>60</v>
      </c>
      <c r="AG183" s="43" t="s">
        <v>31</v>
      </c>
      <c r="AH183">
        <v>3</v>
      </c>
      <c r="AI183" s="43" t="s">
        <v>317</v>
      </c>
      <c r="AJ183" s="43" t="s">
        <v>309</v>
      </c>
      <c r="AK183">
        <v>8.4</v>
      </c>
    </row>
    <row r="184" spans="31:37" x14ac:dyDescent="0.25">
      <c r="AE184" s="43" t="s">
        <v>106</v>
      </c>
      <c r="AF184" s="43" t="s">
        <v>60</v>
      </c>
      <c r="AG184" s="43" t="s">
        <v>31</v>
      </c>
      <c r="AH184">
        <v>3</v>
      </c>
      <c r="AI184" s="43" t="s">
        <v>317</v>
      </c>
      <c r="AJ184" s="43" t="s">
        <v>268</v>
      </c>
      <c r="AK184">
        <v>12.3</v>
      </c>
    </row>
    <row r="185" spans="31:37" x14ac:dyDescent="0.25">
      <c r="AE185" s="43" t="s">
        <v>106</v>
      </c>
      <c r="AF185" s="43" t="s">
        <v>60</v>
      </c>
      <c r="AG185" s="43" t="s">
        <v>31</v>
      </c>
      <c r="AH185">
        <v>3</v>
      </c>
      <c r="AI185" s="43" t="s">
        <v>325</v>
      </c>
      <c r="AJ185" s="43" t="s">
        <v>308</v>
      </c>
      <c r="AK185">
        <v>4</v>
      </c>
    </row>
    <row r="186" spans="31:37" x14ac:dyDescent="0.25">
      <c r="AE186" s="43" t="s">
        <v>106</v>
      </c>
      <c r="AF186" s="43" t="s">
        <v>60</v>
      </c>
      <c r="AG186" s="43" t="s">
        <v>31</v>
      </c>
      <c r="AH186">
        <v>3</v>
      </c>
      <c r="AI186" s="43" t="s">
        <v>325</v>
      </c>
      <c r="AJ186" s="43" t="s">
        <v>309</v>
      </c>
      <c r="AK186">
        <v>6</v>
      </c>
    </row>
    <row r="187" spans="31:37" x14ac:dyDescent="0.25">
      <c r="AE187" s="43" t="s">
        <v>106</v>
      </c>
      <c r="AF187" s="43" t="s">
        <v>60</v>
      </c>
      <c r="AG187" s="43" t="s">
        <v>31</v>
      </c>
      <c r="AH187">
        <v>3</v>
      </c>
      <c r="AI187" s="43" t="s">
        <v>325</v>
      </c>
      <c r="AJ187" s="43" t="s">
        <v>268</v>
      </c>
      <c r="AK187">
        <v>10</v>
      </c>
    </row>
    <row r="188" spans="31:37" x14ac:dyDescent="0.25">
      <c r="AE188" s="43" t="s">
        <v>106</v>
      </c>
      <c r="AF188" s="43" t="s">
        <v>60</v>
      </c>
      <c r="AG188" s="43" t="s">
        <v>31</v>
      </c>
      <c r="AH188">
        <v>3</v>
      </c>
      <c r="AI188" s="43" t="s">
        <v>330</v>
      </c>
      <c r="AJ188" s="43" t="s">
        <v>308</v>
      </c>
      <c r="AK188">
        <v>3.8</v>
      </c>
    </row>
    <row r="189" spans="31:37" x14ac:dyDescent="0.25">
      <c r="AE189" s="43" t="s">
        <v>106</v>
      </c>
      <c r="AF189" s="43" t="s">
        <v>60</v>
      </c>
      <c r="AG189" s="43" t="s">
        <v>31</v>
      </c>
      <c r="AH189">
        <v>3</v>
      </c>
      <c r="AI189" s="43" t="s">
        <v>330</v>
      </c>
      <c r="AJ189" s="43" t="s">
        <v>309</v>
      </c>
      <c r="AK189">
        <v>7.45</v>
      </c>
    </row>
    <row r="190" spans="31:37" x14ac:dyDescent="0.25">
      <c r="AE190" s="43" t="s">
        <v>106</v>
      </c>
      <c r="AF190" s="43" t="s">
        <v>60</v>
      </c>
      <c r="AG190" s="43" t="s">
        <v>31</v>
      </c>
      <c r="AH190">
        <v>3</v>
      </c>
      <c r="AI190" s="43" t="s">
        <v>330</v>
      </c>
      <c r="AJ190" s="43" t="s">
        <v>268</v>
      </c>
      <c r="AK190">
        <v>11.25</v>
      </c>
    </row>
    <row r="191" spans="31:37" x14ac:dyDescent="0.25">
      <c r="AE191" s="43" t="s">
        <v>106</v>
      </c>
      <c r="AF191" s="43" t="s">
        <v>60</v>
      </c>
      <c r="AG191" s="43" t="s">
        <v>31</v>
      </c>
      <c r="AH191">
        <v>3</v>
      </c>
      <c r="AI191" s="43" t="s">
        <v>343</v>
      </c>
      <c r="AJ191" s="43" t="s">
        <v>308</v>
      </c>
      <c r="AK191">
        <v>0</v>
      </c>
    </row>
    <row r="192" spans="31:37" x14ac:dyDescent="0.25">
      <c r="AE192" s="43" t="s">
        <v>106</v>
      </c>
      <c r="AF192" s="43" t="s">
        <v>60</v>
      </c>
      <c r="AG192" s="43" t="s">
        <v>31</v>
      </c>
      <c r="AH192">
        <v>3</v>
      </c>
      <c r="AI192" s="43" t="s">
        <v>343</v>
      </c>
      <c r="AJ192" s="43" t="s">
        <v>309</v>
      </c>
      <c r="AK192">
        <v>0</v>
      </c>
    </row>
    <row r="193" spans="31:37" x14ac:dyDescent="0.25">
      <c r="AE193" s="43" t="s">
        <v>106</v>
      </c>
      <c r="AF193" s="43" t="s">
        <v>60</v>
      </c>
      <c r="AG193" s="43" t="s">
        <v>31</v>
      </c>
      <c r="AH193">
        <v>3</v>
      </c>
      <c r="AI193" s="43" t="s">
        <v>343</v>
      </c>
      <c r="AJ193" s="43" t="s">
        <v>268</v>
      </c>
      <c r="AK193">
        <v>0</v>
      </c>
    </row>
    <row r="194" spans="31:37" x14ac:dyDescent="0.25">
      <c r="AE194" s="43" t="s">
        <v>106</v>
      </c>
      <c r="AF194" s="43" t="s">
        <v>60</v>
      </c>
      <c r="AG194" s="43" t="s">
        <v>31</v>
      </c>
      <c r="AH194">
        <v>3</v>
      </c>
      <c r="AI194" s="43" t="s">
        <v>341</v>
      </c>
      <c r="AJ194" s="43" t="s">
        <v>308</v>
      </c>
      <c r="AK194">
        <v>11.7</v>
      </c>
    </row>
    <row r="195" spans="31:37" x14ac:dyDescent="0.25">
      <c r="AE195" s="43" t="s">
        <v>106</v>
      </c>
      <c r="AF195" s="43" t="s">
        <v>60</v>
      </c>
      <c r="AG195" s="43" t="s">
        <v>31</v>
      </c>
      <c r="AH195">
        <v>3</v>
      </c>
      <c r="AI195" s="43" t="s">
        <v>341</v>
      </c>
      <c r="AJ195" s="43" t="s">
        <v>309</v>
      </c>
      <c r="AK195">
        <v>21.85</v>
      </c>
    </row>
    <row r="196" spans="31:37" x14ac:dyDescent="0.25">
      <c r="AE196" s="43" t="s">
        <v>106</v>
      </c>
      <c r="AF196" s="43" t="s">
        <v>60</v>
      </c>
      <c r="AG196" s="43" t="s">
        <v>31</v>
      </c>
      <c r="AH196">
        <v>3</v>
      </c>
      <c r="AI196" s="43" t="s">
        <v>341</v>
      </c>
      <c r="AJ196" s="43" t="s">
        <v>268</v>
      </c>
      <c r="AK196">
        <v>33.549999999999997</v>
      </c>
    </row>
    <row r="197" spans="31:37" x14ac:dyDescent="0.25">
      <c r="AE197" s="43" t="s">
        <v>106</v>
      </c>
      <c r="AF197" s="43" t="s">
        <v>60</v>
      </c>
      <c r="AG197" s="43" t="s">
        <v>31</v>
      </c>
      <c r="AH197">
        <v>3</v>
      </c>
      <c r="AI197" s="43" t="s">
        <v>273</v>
      </c>
      <c r="AJ197" s="43" t="s">
        <v>308</v>
      </c>
      <c r="AK197">
        <v>3.9</v>
      </c>
    </row>
    <row r="198" spans="31:37" x14ac:dyDescent="0.25">
      <c r="AE198" s="43" t="s">
        <v>106</v>
      </c>
      <c r="AF198" s="43" t="s">
        <v>60</v>
      </c>
      <c r="AG198" s="43" t="s">
        <v>31</v>
      </c>
      <c r="AH198">
        <v>3</v>
      </c>
      <c r="AI198" s="43" t="s">
        <v>273</v>
      </c>
      <c r="AJ198" s="43" t="s">
        <v>309</v>
      </c>
      <c r="AK198">
        <v>7.2833333333333341</v>
      </c>
    </row>
    <row r="199" spans="31:37" x14ac:dyDescent="0.25">
      <c r="AE199" s="43" t="s">
        <v>106</v>
      </c>
      <c r="AF199" s="43" t="s">
        <v>60</v>
      </c>
      <c r="AG199" s="43" t="s">
        <v>31</v>
      </c>
      <c r="AH199">
        <v>3</v>
      </c>
      <c r="AI199" s="43" t="s">
        <v>273</v>
      </c>
      <c r="AJ199" s="43" t="s">
        <v>268</v>
      </c>
      <c r="AK199">
        <v>11.183333333333332</v>
      </c>
    </row>
    <row r="200" spans="31:37" x14ac:dyDescent="0.25">
      <c r="AE200" s="43" t="s">
        <v>90</v>
      </c>
      <c r="AF200" s="43" t="s">
        <v>60</v>
      </c>
      <c r="AG200" s="43" t="s">
        <v>36</v>
      </c>
      <c r="AH200">
        <v>3</v>
      </c>
      <c r="AI200" s="43" t="s">
        <v>317</v>
      </c>
      <c r="AJ200" s="43" t="s">
        <v>308</v>
      </c>
      <c r="AK200">
        <v>0</v>
      </c>
    </row>
    <row r="201" spans="31:37" x14ac:dyDescent="0.25">
      <c r="AE201" s="43" t="s">
        <v>90</v>
      </c>
      <c r="AF201" s="43" t="s">
        <v>60</v>
      </c>
      <c r="AG201" s="43" t="s">
        <v>36</v>
      </c>
      <c r="AH201">
        <v>3</v>
      </c>
      <c r="AI201" s="43" t="s">
        <v>317</v>
      </c>
      <c r="AJ201" s="43" t="s">
        <v>309</v>
      </c>
      <c r="AK201">
        <v>0</v>
      </c>
    </row>
    <row r="202" spans="31:37" x14ac:dyDescent="0.25">
      <c r="AE202" s="43" t="s">
        <v>90</v>
      </c>
      <c r="AF202" s="43" t="s">
        <v>60</v>
      </c>
      <c r="AG202" s="43" t="s">
        <v>36</v>
      </c>
      <c r="AH202">
        <v>3</v>
      </c>
      <c r="AI202" s="43" t="s">
        <v>317</v>
      </c>
      <c r="AJ202" s="43" t="s">
        <v>268</v>
      </c>
      <c r="AK202">
        <v>0</v>
      </c>
    </row>
    <row r="203" spans="31:37" x14ac:dyDescent="0.25">
      <c r="AE203" s="43" t="s">
        <v>90</v>
      </c>
      <c r="AF203" s="43" t="s">
        <v>60</v>
      </c>
      <c r="AG203" s="43" t="s">
        <v>36</v>
      </c>
      <c r="AH203">
        <v>3</v>
      </c>
      <c r="AI203" s="43" t="s">
        <v>325</v>
      </c>
      <c r="AJ203" s="43" t="s">
        <v>308</v>
      </c>
      <c r="AK203">
        <v>4</v>
      </c>
    </row>
    <row r="204" spans="31:37" x14ac:dyDescent="0.25">
      <c r="AE204" s="43" t="s">
        <v>90</v>
      </c>
      <c r="AF204" s="43" t="s">
        <v>60</v>
      </c>
      <c r="AG204" s="43" t="s">
        <v>36</v>
      </c>
      <c r="AH204">
        <v>3</v>
      </c>
      <c r="AI204" s="43" t="s">
        <v>325</v>
      </c>
      <c r="AJ204" s="43" t="s">
        <v>309</v>
      </c>
      <c r="AK204">
        <v>7.85</v>
      </c>
    </row>
    <row r="205" spans="31:37" x14ac:dyDescent="0.25">
      <c r="AE205" s="43" t="s">
        <v>90</v>
      </c>
      <c r="AF205" s="43" t="s">
        <v>60</v>
      </c>
      <c r="AG205" s="43" t="s">
        <v>36</v>
      </c>
      <c r="AH205">
        <v>3</v>
      </c>
      <c r="AI205" s="43" t="s">
        <v>325</v>
      </c>
      <c r="AJ205" s="43" t="s">
        <v>268</v>
      </c>
      <c r="AK205">
        <v>11.85</v>
      </c>
    </row>
    <row r="206" spans="31:37" x14ac:dyDescent="0.25">
      <c r="AE206" s="43" t="s">
        <v>90</v>
      </c>
      <c r="AF206" s="43" t="s">
        <v>60</v>
      </c>
      <c r="AG206" s="43" t="s">
        <v>36</v>
      </c>
      <c r="AH206">
        <v>3</v>
      </c>
      <c r="AI206" s="43" t="s">
        <v>330</v>
      </c>
      <c r="AJ206" s="43" t="s">
        <v>308</v>
      </c>
      <c r="AK206">
        <v>4</v>
      </c>
    </row>
    <row r="207" spans="31:37" x14ac:dyDescent="0.25">
      <c r="AE207" s="43" t="s">
        <v>90</v>
      </c>
      <c r="AF207" s="43" t="s">
        <v>60</v>
      </c>
      <c r="AG207" s="43" t="s">
        <v>36</v>
      </c>
      <c r="AH207">
        <v>3</v>
      </c>
      <c r="AI207" s="43" t="s">
        <v>330</v>
      </c>
      <c r="AJ207" s="43" t="s">
        <v>309</v>
      </c>
      <c r="AK207">
        <v>7.9</v>
      </c>
    </row>
    <row r="208" spans="31:37" x14ac:dyDescent="0.25">
      <c r="AE208" s="43" t="s">
        <v>90</v>
      </c>
      <c r="AF208" s="43" t="s">
        <v>60</v>
      </c>
      <c r="AG208" s="43" t="s">
        <v>36</v>
      </c>
      <c r="AH208">
        <v>3</v>
      </c>
      <c r="AI208" s="43" t="s">
        <v>330</v>
      </c>
      <c r="AJ208" s="43" t="s">
        <v>268</v>
      </c>
      <c r="AK208">
        <v>11.9</v>
      </c>
    </row>
    <row r="209" spans="31:37" x14ac:dyDescent="0.25">
      <c r="AE209" s="43" t="s">
        <v>90</v>
      </c>
      <c r="AF209" s="43" t="s">
        <v>60</v>
      </c>
      <c r="AG209" s="43" t="s">
        <v>36</v>
      </c>
      <c r="AH209">
        <v>3</v>
      </c>
      <c r="AI209" s="43" t="s">
        <v>343</v>
      </c>
      <c r="AJ209" s="43" t="s">
        <v>308</v>
      </c>
      <c r="AK209">
        <v>3.6</v>
      </c>
    </row>
    <row r="210" spans="31:37" x14ac:dyDescent="0.25">
      <c r="AE210" s="43" t="s">
        <v>90</v>
      </c>
      <c r="AF210" s="43" t="s">
        <v>60</v>
      </c>
      <c r="AG210" s="43" t="s">
        <v>36</v>
      </c>
      <c r="AH210">
        <v>3</v>
      </c>
      <c r="AI210" s="43" t="s">
        <v>343</v>
      </c>
      <c r="AJ210" s="43" t="s">
        <v>309</v>
      </c>
      <c r="AK210">
        <v>5.7</v>
      </c>
    </row>
    <row r="211" spans="31:37" x14ac:dyDescent="0.25">
      <c r="AE211" s="43" t="s">
        <v>90</v>
      </c>
      <c r="AF211" s="43" t="s">
        <v>60</v>
      </c>
      <c r="AG211" s="43" t="s">
        <v>36</v>
      </c>
      <c r="AH211">
        <v>3</v>
      </c>
      <c r="AI211" s="43" t="s">
        <v>343</v>
      </c>
      <c r="AJ211" s="43" t="s">
        <v>268</v>
      </c>
      <c r="AK211">
        <v>9.3000000000000007</v>
      </c>
    </row>
    <row r="212" spans="31:37" x14ac:dyDescent="0.25">
      <c r="AE212" s="43" t="s">
        <v>90</v>
      </c>
      <c r="AF212" s="43" t="s">
        <v>60</v>
      </c>
      <c r="AG212" s="43" t="s">
        <v>36</v>
      </c>
      <c r="AH212">
        <v>3</v>
      </c>
      <c r="AI212" s="43" t="s">
        <v>341</v>
      </c>
      <c r="AJ212" s="43" t="s">
        <v>308</v>
      </c>
      <c r="AK212">
        <v>11.6</v>
      </c>
    </row>
    <row r="213" spans="31:37" x14ac:dyDescent="0.25">
      <c r="AE213" s="43" t="s">
        <v>90</v>
      </c>
      <c r="AF213" s="43" t="s">
        <v>60</v>
      </c>
      <c r="AG213" s="43" t="s">
        <v>36</v>
      </c>
      <c r="AH213">
        <v>3</v>
      </c>
      <c r="AI213" s="43" t="s">
        <v>341</v>
      </c>
      <c r="AJ213" s="43" t="s">
        <v>309</v>
      </c>
      <c r="AK213">
        <v>21.45</v>
      </c>
    </row>
    <row r="214" spans="31:37" x14ac:dyDescent="0.25">
      <c r="AE214" s="43" t="s">
        <v>90</v>
      </c>
      <c r="AF214" s="43" t="s">
        <v>60</v>
      </c>
      <c r="AG214" s="43" t="s">
        <v>36</v>
      </c>
      <c r="AH214">
        <v>3</v>
      </c>
      <c r="AI214" s="43" t="s">
        <v>341</v>
      </c>
      <c r="AJ214" s="43" t="s">
        <v>268</v>
      </c>
      <c r="AK214">
        <v>33.049999999999997</v>
      </c>
    </row>
    <row r="215" spans="31:37" x14ac:dyDescent="0.25">
      <c r="AE215" s="43" t="s">
        <v>90</v>
      </c>
      <c r="AF215" s="43" t="s">
        <v>60</v>
      </c>
      <c r="AG215" s="43" t="s">
        <v>36</v>
      </c>
      <c r="AH215">
        <v>3</v>
      </c>
      <c r="AI215" s="43" t="s">
        <v>273</v>
      </c>
      <c r="AJ215" s="43" t="s">
        <v>308</v>
      </c>
      <c r="AK215">
        <v>3.8666666666666667</v>
      </c>
    </row>
    <row r="216" spans="31:37" x14ac:dyDescent="0.25">
      <c r="AE216" s="43" t="s">
        <v>90</v>
      </c>
      <c r="AF216" s="43" t="s">
        <v>60</v>
      </c>
      <c r="AG216" s="43" t="s">
        <v>36</v>
      </c>
      <c r="AH216">
        <v>3</v>
      </c>
      <c r="AI216" s="43" t="s">
        <v>273</v>
      </c>
      <c r="AJ216" s="43" t="s">
        <v>309</v>
      </c>
      <c r="AK216">
        <v>7.1499999999999995</v>
      </c>
    </row>
    <row r="217" spans="31:37" x14ac:dyDescent="0.25">
      <c r="AE217" s="43" t="s">
        <v>90</v>
      </c>
      <c r="AF217" s="43" t="s">
        <v>60</v>
      </c>
      <c r="AG217" s="43" t="s">
        <v>36</v>
      </c>
      <c r="AH217">
        <v>3</v>
      </c>
      <c r="AI217" s="43" t="s">
        <v>273</v>
      </c>
      <c r="AJ217" s="43" t="s">
        <v>268</v>
      </c>
      <c r="AK217">
        <v>11.016666666666666</v>
      </c>
    </row>
    <row r="218" spans="31:37" x14ac:dyDescent="0.25">
      <c r="AE218" s="43" t="s">
        <v>116</v>
      </c>
      <c r="AF218" s="43" t="s">
        <v>60</v>
      </c>
      <c r="AG218" s="43" t="s">
        <v>62</v>
      </c>
      <c r="AH218">
        <v>2</v>
      </c>
      <c r="AI218" s="43" t="s">
        <v>317</v>
      </c>
      <c r="AJ218" s="43" t="s">
        <v>308</v>
      </c>
      <c r="AK218">
        <v>0</v>
      </c>
    </row>
    <row r="219" spans="31:37" x14ac:dyDescent="0.25">
      <c r="AE219" s="43" t="s">
        <v>116</v>
      </c>
      <c r="AF219" s="43" t="s">
        <v>60</v>
      </c>
      <c r="AG219" s="43" t="s">
        <v>62</v>
      </c>
      <c r="AH219">
        <v>2</v>
      </c>
      <c r="AI219" s="43" t="s">
        <v>317</v>
      </c>
      <c r="AJ219" s="43" t="s">
        <v>309</v>
      </c>
      <c r="AK219">
        <v>0</v>
      </c>
    </row>
    <row r="220" spans="31:37" x14ac:dyDescent="0.25">
      <c r="AE220" s="43" t="s">
        <v>116</v>
      </c>
      <c r="AF220" s="43" t="s">
        <v>60</v>
      </c>
      <c r="AG220" s="43" t="s">
        <v>62</v>
      </c>
      <c r="AH220">
        <v>2</v>
      </c>
      <c r="AI220" s="43" t="s">
        <v>317</v>
      </c>
      <c r="AJ220" s="43" t="s">
        <v>268</v>
      </c>
      <c r="AK220">
        <v>0</v>
      </c>
    </row>
    <row r="221" spans="31:37" x14ac:dyDescent="0.25">
      <c r="AE221" s="43" t="s">
        <v>116</v>
      </c>
      <c r="AF221" s="43" t="s">
        <v>60</v>
      </c>
      <c r="AG221" s="43" t="s">
        <v>62</v>
      </c>
      <c r="AH221">
        <v>2</v>
      </c>
      <c r="AI221" s="43" t="s">
        <v>325</v>
      </c>
      <c r="AJ221" s="43" t="s">
        <v>308</v>
      </c>
      <c r="AK221">
        <v>0</v>
      </c>
    </row>
    <row r="222" spans="31:37" x14ac:dyDescent="0.25">
      <c r="AE222" s="43" t="s">
        <v>116</v>
      </c>
      <c r="AF222" s="43" t="s">
        <v>60</v>
      </c>
      <c r="AG222" s="43" t="s">
        <v>62</v>
      </c>
      <c r="AH222">
        <v>2</v>
      </c>
      <c r="AI222" s="43" t="s">
        <v>325</v>
      </c>
      <c r="AJ222" s="43" t="s">
        <v>309</v>
      </c>
      <c r="AK222">
        <v>0</v>
      </c>
    </row>
    <row r="223" spans="31:37" x14ac:dyDescent="0.25">
      <c r="AE223" s="43" t="s">
        <v>116</v>
      </c>
      <c r="AF223" s="43" t="s">
        <v>60</v>
      </c>
      <c r="AG223" s="43" t="s">
        <v>62</v>
      </c>
      <c r="AH223">
        <v>2</v>
      </c>
      <c r="AI223" s="43" t="s">
        <v>325</v>
      </c>
      <c r="AJ223" s="43" t="s">
        <v>268</v>
      </c>
      <c r="AK223">
        <v>0</v>
      </c>
    </row>
    <row r="224" spans="31:37" x14ac:dyDescent="0.25">
      <c r="AE224" s="43" t="s">
        <v>116</v>
      </c>
      <c r="AF224" s="43" t="s">
        <v>60</v>
      </c>
      <c r="AG224" s="43" t="s">
        <v>62</v>
      </c>
      <c r="AH224">
        <v>2</v>
      </c>
      <c r="AI224" s="43" t="s">
        <v>330</v>
      </c>
      <c r="AJ224" s="43" t="s">
        <v>308</v>
      </c>
      <c r="AK224">
        <v>5.4</v>
      </c>
    </row>
    <row r="225" spans="31:37" x14ac:dyDescent="0.25">
      <c r="AE225" s="43" t="s">
        <v>116</v>
      </c>
      <c r="AF225" s="43" t="s">
        <v>60</v>
      </c>
      <c r="AG225" s="43" t="s">
        <v>62</v>
      </c>
      <c r="AH225">
        <v>2</v>
      </c>
      <c r="AI225" s="43" t="s">
        <v>330</v>
      </c>
      <c r="AJ225" s="43" t="s">
        <v>309</v>
      </c>
      <c r="AK225">
        <v>8.25</v>
      </c>
    </row>
    <row r="226" spans="31:37" x14ac:dyDescent="0.25">
      <c r="AE226" s="43" t="s">
        <v>116</v>
      </c>
      <c r="AF226" s="43" t="s">
        <v>60</v>
      </c>
      <c r="AG226" s="43" t="s">
        <v>62</v>
      </c>
      <c r="AH226">
        <v>2</v>
      </c>
      <c r="AI226" s="43" t="s">
        <v>330</v>
      </c>
      <c r="AJ226" s="43" t="s">
        <v>268</v>
      </c>
      <c r="AK226">
        <v>13.65</v>
      </c>
    </row>
    <row r="227" spans="31:37" x14ac:dyDescent="0.25">
      <c r="AE227" s="43" t="s">
        <v>116</v>
      </c>
      <c r="AF227" s="43" t="s">
        <v>60</v>
      </c>
      <c r="AG227" s="43" t="s">
        <v>62</v>
      </c>
      <c r="AH227">
        <v>2</v>
      </c>
      <c r="AI227" s="43" t="s">
        <v>343</v>
      </c>
      <c r="AJ227" s="43" t="s">
        <v>308</v>
      </c>
      <c r="AK227">
        <v>5.8</v>
      </c>
    </row>
    <row r="228" spans="31:37" x14ac:dyDescent="0.25">
      <c r="AE228" s="43" t="s">
        <v>116</v>
      </c>
      <c r="AF228" s="43" t="s">
        <v>60</v>
      </c>
      <c r="AG228" s="43" t="s">
        <v>62</v>
      </c>
      <c r="AH228">
        <v>2</v>
      </c>
      <c r="AI228" s="43" t="s">
        <v>343</v>
      </c>
      <c r="AJ228" s="43" t="s">
        <v>309</v>
      </c>
      <c r="AK228">
        <v>5.4</v>
      </c>
    </row>
    <row r="229" spans="31:37" x14ac:dyDescent="0.25">
      <c r="AE229" s="43" t="s">
        <v>116</v>
      </c>
      <c r="AF229" s="43" t="s">
        <v>60</v>
      </c>
      <c r="AG229" s="43" t="s">
        <v>62</v>
      </c>
      <c r="AH229">
        <v>2</v>
      </c>
      <c r="AI229" s="43" t="s">
        <v>343</v>
      </c>
      <c r="AJ229" s="43" t="s">
        <v>268</v>
      </c>
      <c r="AK229">
        <v>11.2</v>
      </c>
    </row>
    <row r="230" spans="31:37" x14ac:dyDescent="0.25">
      <c r="AE230" s="43" t="s">
        <v>116</v>
      </c>
      <c r="AF230" s="43" t="s">
        <v>60</v>
      </c>
      <c r="AG230" s="43" t="s">
        <v>62</v>
      </c>
      <c r="AH230">
        <v>2</v>
      </c>
      <c r="AI230" s="43" t="s">
        <v>341</v>
      </c>
      <c r="AJ230" s="43" t="s">
        <v>308</v>
      </c>
      <c r="AK230">
        <v>11.2</v>
      </c>
    </row>
    <row r="231" spans="31:37" x14ac:dyDescent="0.25">
      <c r="AE231" s="43" t="s">
        <v>116</v>
      </c>
      <c r="AF231" s="43" t="s">
        <v>60</v>
      </c>
      <c r="AG231" s="43" t="s">
        <v>62</v>
      </c>
      <c r="AH231">
        <v>2</v>
      </c>
      <c r="AI231" s="43" t="s">
        <v>341</v>
      </c>
      <c r="AJ231" s="43" t="s">
        <v>309</v>
      </c>
      <c r="AK231">
        <v>13.65</v>
      </c>
    </row>
    <row r="232" spans="31:37" x14ac:dyDescent="0.25">
      <c r="AE232" s="43" t="s">
        <v>116</v>
      </c>
      <c r="AF232" s="43" t="s">
        <v>60</v>
      </c>
      <c r="AG232" s="43" t="s">
        <v>62</v>
      </c>
      <c r="AH232">
        <v>2</v>
      </c>
      <c r="AI232" s="43" t="s">
        <v>341</v>
      </c>
      <c r="AJ232" s="43" t="s">
        <v>268</v>
      </c>
      <c r="AK232">
        <v>24.85</v>
      </c>
    </row>
    <row r="233" spans="31:37" x14ac:dyDescent="0.25">
      <c r="AE233" s="43" t="s">
        <v>116</v>
      </c>
      <c r="AF233" s="43" t="s">
        <v>60</v>
      </c>
      <c r="AG233" s="43" t="s">
        <v>62</v>
      </c>
      <c r="AH233">
        <v>2</v>
      </c>
      <c r="AI233" s="43" t="s">
        <v>273</v>
      </c>
      <c r="AJ233" s="43" t="s">
        <v>308</v>
      </c>
      <c r="AK233">
        <v>0</v>
      </c>
    </row>
    <row r="234" spans="31:37" x14ac:dyDescent="0.25">
      <c r="AE234" s="43" t="s">
        <v>116</v>
      </c>
      <c r="AF234" s="43" t="s">
        <v>60</v>
      </c>
      <c r="AG234" s="43" t="s">
        <v>62</v>
      </c>
      <c r="AH234">
        <v>2</v>
      </c>
      <c r="AI234" s="43" t="s">
        <v>273</v>
      </c>
      <c r="AJ234" s="43" t="s">
        <v>309</v>
      </c>
      <c r="AK234">
        <v>0</v>
      </c>
    </row>
    <row r="235" spans="31:37" x14ac:dyDescent="0.25">
      <c r="AE235" s="43" t="s">
        <v>116</v>
      </c>
      <c r="AF235" s="43" t="s">
        <v>60</v>
      </c>
      <c r="AG235" s="43" t="s">
        <v>62</v>
      </c>
      <c r="AH235">
        <v>2</v>
      </c>
      <c r="AI235" s="43" t="s">
        <v>273</v>
      </c>
      <c r="AJ235" s="43" t="s">
        <v>268</v>
      </c>
      <c r="AK235">
        <v>0</v>
      </c>
    </row>
    <row r="236" spans="31:37" x14ac:dyDescent="0.25">
      <c r="AE236" s="43" t="s">
        <v>70</v>
      </c>
      <c r="AF236" s="43" t="s">
        <v>60</v>
      </c>
      <c r="AG236" s="43" t="s">
        <v>72</v>
      </c>
      <c r="AH236">
        <v>2</v>
      </c>
      <c r="AI236" s="43" t="s">
        <v>317</v>
      </c>
      <c r="AJ236" s="43" t="s">
        <v>308</v>
      </c>
      <c r="AK236">
        <v>0</v>
      </c>
    </row>
    <row r="237" spans="31:37" x14ac:dyDescent="0.25">
      <c r="AE237" s="43" t="s">
        <v>70</v>
      </c>
      <c r="AF237" s="43" t="s">
        <v>60</v>
      </c>
      <c r="AG237" s="43" t="s">
        <v>72</v>
      </c>
      <c r="AH237">
        <v>2</v>
      </c>
      <c r="AI237" s="43" t="s">
        <v>317</v>
      </c>
      <c r="AJ237" s="43" t="s">
        <v>309</v>
      </c>
      <c r="AK237">
        <v>0</v>
      </c>
    </row>
    <row r="238" spans="31:37" x14ac:dyDescent="0.25">
      <c r="AE238" s="43" t="s">
        <v>70</v>
      </c>
      <c r="AF238" s="43" t="s">
        <v>60</v>
      </c>
      <c r="AG238" s="43" t="s">
        <v>72</v>
      </c>
      <c r="AH238">
        <v>2</v>
      </c>
      <c r="AI238" s="43" t="s">
        <v>317</v>
      </c>
      <c r="AJ238" s="43" t="s">
        <v>268</v>
      </c>
      <c r="AK238">
        <v>0</v>
      </c>
    </row>
    <row r="239" spans="31:37" x14ac:dyDescent="0.25">
      <c r="AE239" s="43" t="s">
        <v>70</v>
      </c>
      <c r="AF239" s="43" t="s">
        <v>60</v>
      </c>
      <c r="AG239" s="43" t="s">
        <v>72</v>
      </c>
      <c r="AH239">
        <v>2</v>
      </c>
      <c r="AI239" s="43" t="s">
        <v>325</v>
      </c>
      <c r="AJ239" s="43" t="s">
        <v>308</v>
      </c>
      <c r="AK239">
        <v>5</v>
      </c>
    </row>
    <row r="240" spans="31:37" x14ac:dyDescent="0.25">
      <c r="AE240" s="43" t="s">
        <v>70</v>
      </c>
      <c r="AF240" s="43" t="s">
        <v>60</v>
      </c>
      <c r="AG240" s="43" t="s">
        <v>72</v>
      </c>
      <c r="AH240">
        <v>2</v>
      </c>
      <c r="AI240" s="43" t="s">
        <v>325</v>
      </c>
      <c r="AJ240" s="43" t="s">
        <v>309</v>
      </c>
      <c r="AK240">
        <v>6.8</v>
      </c>
    </row>
    <row r="241" spans="31:37" x14ac:dyDescent="0.25">
      <c r="AE241" s="43" t="s">
        <v>70</v>
      </c>
      <c r="AF241" s="43" t="s">
        <v>60</v>
      </c>
      <c r="AG241" s="43" t="s">
        <v>72</v>
      </c>
      <c r="AH241">
        <v>2</v>
      </c>
      <c r="AI241" s="43" t="s">
        <v>325</v>
      </c>
      <c r="AJ241" s="43" t="s">
        <v>268</v>
      </c>
      <c r="AK241">
        <v>11.8</v>
      </c>
    </row>
    <row r="242" spans="31:37" x14ac:dyDescent="0.25">
      <c r="AE242" s="43" t="s">
        <v>70</v>
      </c>
      <c r="AF242" s="43" t="s">
        <v>60</v>
      </c>
      <c r="AG242" s="43" t="s">
        <v>72</v>
      </c>
      <c r="AH242">
        <v>2</v>
      </c>
      <c r="AI242" s="43" t="s">
        <v>330</v>
      </c>
      <c r="AJ242" s="43" t="s">
        <v>308</v>
      </c>
      <c r="AK242">
        <v>4.9000000000000004</v>
      </c>
    </row>
    <row r="243" spans="31:37" x14ac:dyDescent="0.25">
      <c r="AE243" s="43" t="s">
        <v>70</v>
      </c>
      <c r="AF243" s="43" t="s">
        <v>60</v>
      </c>
      <c r="AG243" s="43" t="s">
        <v>72</v>
      </c>
      <c r="AH243">
        <v>2</v>
      </c>
      <c r="AI243" s="43" t="s">
        <v>330</v>
      </c>
      <c r="AJ243" s="43" t="s">
        <v>309</v>
      </c>
      <c r="AK243">
        <v>7.6</v>
      </c>
    </row>
    <row r="244" spans="31:37" x14ac:dyDescent="0.25">
      <c r="AE244" s="43" t="s">
        <v>70</v>
      </c>
      <c r="AF244" s="43" t="s">
        <v>60</v>
      </c>
      <c r="AG244" s="43" t="s">
        <v>72</v>
      </c>
      <c r="AH244">
        <v>2</v>
      </c>
      <c r="AI244" s="43" t="s">
        <v>330</v>
      </c>
      <c r="AJ244" s="43" t="s">
        <v>268</v>
      </c>
      <c r="AK244">
        <v>12.5</v>
      </c>
    </row>
    <row r="245" spans="31:37" x14ac:dyDescent="0.25">
      <c r="AE245" s="43" t="s">
        <v>70</v>
      </c>
      <c r="AF245" s="43" t="s">
        <v>60</v>
      </c>
      <c r="AG245" s="43" t="s">
        <v>72</v>
      </c>
      <c r="AH245">
        <v>2</v>
      </c>
      <c r="AI245" s="43" t="s">
        <v>343</v>
      </c>
      <c r="AJ245" s="43" t="s">
        <v>308</v>
      </c>
      <c r="AK245">
        <v>0</v>
      </c>
    </row>
    <row r="246" spans="31:37" x14ac:dyDescent="0.25">
      <c r="AE246" s="43" t="s">
        <v>70</v>
      </c>
      <c r="AF246" s="43" t="s">
        <v>60</v>
      </c>
      <c r="AG246" s="43" t="s">
        <v>72</v>
      </c>
      <c r="AH246">
        <v>2</v>
      </c>
      <c r="AI246" s="43" t="s">
        <v>343</v>
      </c>
      <c r="AJ246" s="43" t="s">
        <v>309</v>
      </c>
      <c r="AK246">
        <v>0</v>
      </c>
    </row>
    <row r="247" spans="31:37" x14ac:dyDescent="0.25">
      <c r="AE247" s="43" t="s">
        <v>70</v>
      </c>
      <c r="AF247" s="43" t="s">
        <v>60</v>
      </c>
      <c r="AG247" s="43" t="s">
        <v>72</v>
      </c>
      <c r="AH247">
        <v>2</v>
      </c>
      <c r="AI247" s="43" t="s">
        <v>343</v>
      </c>
      <c r="AJ247" s="43" t="s">
        <v>268</v>
      </c>
      <c r="AK247">
        <v>0</v>
      </c>
    </row>
    <row r="248" spans="31:37" x14ac:dyDescent="0.25">
      <c r="AE248" s="43" t="s">
        <v>70</v>
      </c>
      <c r="AF248" s="43" t="s">
        <v>60</v>
      </c>
      <c r="AG248" s="43" t="s">
        <v>72</v>
      </c>
      <c r="AH248">
        <v>2</v>
      </c>
      <c r="AI248" s="43" t="s">
        <v>341</v>
      </c>
      <c r="AJ248" s="43" t="s">
        <v>308</v>
      </c>
      <c r="AK248">
        <v>9.9</v>
      </c>
    </row>
    <row r="249" spans="31:37" x14ac:dyDescent="0.25">
      <c r="AE249" s="43" t="s">
        <v>70</v>
      </c>
      <c r="AF249" s="43" t="s">
        <v>60</v>
      </c>
      <c r="AG249" s="43" t="s">
        <v>72</v>
      </c>
      <c r="AH249">
        <v>2</v>
      </c>
      <c r="AI249" s="43" t="s">
        <v>341</v>
      </c>
      <c r="AJ249" s="43" t="s">
        <v>309</v>
      </c>
      <c r="AK249">
        <v>14.399999999999999</v>
      </c>
    </row>
    <row r="250" spans="31:37" x14ac:dyDescent="0.25">
      <c r="AE250" s="43" t="s">
        <v>70</v>
      </c>
      <c r="AF250" s="43" t="s">
        <v>60</v>
      </c>
      <c r="AG250" s="43" t="s">
        <v>72</v>
      </c>
      <c r="AH250">
        <v>2</v>
      </c>
      <c r="AI250" s="43" t="s">
        <v>341</v>
      </c>
      <c r="AJ250" s="43" t="s">
        <v>268</v>
      </c>
      <c r="AK250">
        <v>24.3</v>
      </c>
    </row>
    <row r="251" spans="31:37" x14ac:dyDescent="0.25">
      <c r="AE251" s="43" t="s">
        <v>70</v>
      </c>
      <c r="AF251" s="43" t="s">
        <v>60</v>
      </c>
      <c r="AG251" s="43" t="s">
        <v>72</v>
      </c>
      <c r="AH251">
        <v>2</v>
      </c>
      <c r="AI251" s="43" t="s">
        <v>273</v>
      </c>
      <c r="AJ251" s="43" t="s">
        <v>308</v>
      </c>
      <c r="AK251">
        <v>0</v>
      </c>
    </row>
    <row r="252" spans="31:37" x14ac:dyDescent="0.25">
      <c r="AE252" s="43" t="s">
        <v>70</v>
      </c>
      <c r="AF252" s="43" t="s">
        <v>60</v>
      </c>
      <c r="AG252" s="43" t="s">
        <v>72</v>
      </c>
      <c r="AH252">
        <v>2</v>
      </c>
      <c r="AI252" s="43" t="s">
        <v>273</v>
      </c>
      <c r="AJ252" s="43" t="s">
        <v>309</v>
      </c>
      <c r="AK252">
        <v>0</v>
      </c>
    </row>
    <row r="253" spans="31:37" x14ac:dyDescent="0.25">
      <c r="AE253" s="43" t="s">
        <v>70</v>
      </c>
      <c r="AF253" s="43" t="s">
        <v>60</v>
      </c>
      <c r="AG253" s="43" t="s">
        <v>72</v>
      </c>
      <c r="AH253">
        <v>2</v>
      </c>
      <c r="AI253" s="43" t="s">
        <v>273</v>
      </c>
      <c r="AJ253" s="43" t="s">
        <v>268</v>
      </c>
      <c r="AK253">
        <v>0</v>
      </c>
    </row>
    <row r="254" spans="31:37" x14ac:dyDescent="0.25">
      <c r="AE254" s="43" t="s">
        <v>127</v>
      </c>
      <c r="AF254" s="43" t="s">
        <v>60</v>
      </c>
      <c r="AG254" s="43" t="s">
        <v>72</v>
      </c>
      <c r="AH254">
        <v>2</v>
      </c>
      <c r="AI254" s="43" t="s">
        <v>317</v>
      </c>
      <c r="AJ254" s="43" t="s">
        <v>308</v>
      </c>
      <c r="AK254">
        <v>4.4000000000000004</v>
      </c>
    </row>
    <row r="255" spans="31:37" x14ac:dyDescent="0.25">
      <c r="AE255" s="43" t="s">
        <v>127</v>
      </c>
      <c r="AF255" s="43" t="s">
        <v>60</v>
      </c>
      <c r="AG255" s="43" t="s">
        <v>72</v>
      </c>
      <c r="AH255">
        <v>2</v>
      </c>
      <c r="AI255" s="43" t="s">
        <v>317</v>
      </c>
      <c r="AJ255" s="43" t="s">
        <v>309</v>
      </c>
      <c r="AK255">
        <v>8.6999999999999993</v>
      </c>
    </row>
    <row r="256" spans="31:37" x14ac:dyDescent="0.25">
      <c r="AE256" s="43" t="s">
        <v>127</v>
      </c>
      <c r="AF256" s="43" t="s">
        <v>60</v>
      </c>
      <c r="AG256" s="43" t="s">
        <v>72</v>
      </c>
      <c r="AH256">
        <v>2</v>
      </c>
      <c r="AI256" s="43" t="s">
        <v>317</v>
      </c>
      <c r="AJ256" s="43" t="s">
        <v>268</v>
      </c>
      <c r="AK256">
        <v>13.1</v>
      </c>
    </row>
    <row r="257" spans="31:37" x14ac:dyDescent="0.25">
      <c r="AE257" s="43" t="s">
        <v>127</v>
      </c>
      <c r="AF257" s="43" t="s">
        <v>60</v>
      </c>
      <c r="AG257" s="43" t="s">
        <v>72</v>
      </c>
      <c r="AH257">
        <v>2</v>
      </c>
      <c r="AI257" s="43" t="s">
        <v>325</v>
      </c>
      <c r="AJ257" s="43" t="s">
        <v>308</v>
      </c>
      <c r="AK257">
        <v>0</v>
      </c>
    </row>
    <row r="258" spans="31:37" x14ac:dyDescent="0.25">
      <c r="AE258" s="43" t="s">
        <v>127</v>
      </c>
      <c r="AF258" s="43" t="s">
        <v>60</v>
      </c>
      <c r="AG258" s="43" t="s">
        <v>72</v>
      </c>
      <c r="AH258">
        <v>2</v>
      </c>
      <c r="AI258" s="43" t="s">
        <v>325</v>
      </c>
      <c r="AJ258" s="43" t="s">
        <v>309</v>
      </c>
      <c r="AK258">
        <v>0</v>
      </c>
    </row>
    <row r="259" spans="31:37" x14ac:dyDescent="0.25">
      <c r="AE259" s="43" t="s">
        <v>127</v>
      </c>
      <c r="AF259" s="43" t="s">
        <v>60</v>
      </c>
      <c r="AG259" s="43" t="s">
        <v>72</v>
      </c>
      <c r="AH259">
        <v>2</v>
      </c>
      <c r="AI259" s="43" t="s">
        <v>325</v>
      </c>
      <c r="AJ259" s="43" t="s">
        <v>268</v>
      </c>
      <c r="AK259">
        <v>0</v>
      </c>
    </row>
    <row r="260" spans="31:37" x14ac:dyDescent="0.25">
      <c r="AE260" s="43" t="s">
        <v>127</v>
      </c>
      <c r="AF260" s="43" t="s">
        <v>60</v>
      </c>
      <c r="AG260" s="43" t="s">
        <v>72</v>
      </c>
      <c r="AH260">
        <v>2</v>
      </c>
      <c r="AI260" s="43" t="s">
        <v>330</v>
      </c>
      <c r="AJ260" s="43" t="s">
        <v>308</v>
      </c>
      <c r="AK260">
        <v>3.7</v>
      </c>
    </row>
    <row r="261" spans="31:37" x14ac:dyDescent="0.25">
      <c r="AE261" s="43" t="s">
        <v>127</v>
      </c>
      <c r="AF261" s="43" t="s">
        <v>60</v>
      </c>
      <c r="AG261" s="43" t="s">
        <v>72</v>
      </c>
      <c r="AH261">
        <v>2</v>
      </c>
      <c r="AI261" s="43" t="s">
        <v>330</v>
      </c>
      <c r="AJ261" s="43" t="s">
        <v>309</v>
      </c>
      <c r="AK261">
        <v>7.1</v>
      </c>
    </row>
    <row r="262" spans="31:37" x14ac:dyDescent="0.25">
      <c r="AE262" s="43" t="s">
        <v>127</v>
      </c>
      <c r="AF262" s="43" t="s">
        <v>60</v>
      </c>
      <c r="AG262" s="43" t="s">
        <v>72</v>
      </c>
      <c r="AH262">
        <v>2</v>
      </c>
      <c r="AI262" s="43" t="s">
        <v>330</v>
      </c>
      <c r="AJ262" s="43" t="s">
        <v>268</v>
      </c>
      <c r="AK262">
        <v>10.8</v>
      </c>
    </row>
    <row r="263" spans="31:37" x14ac:dyDescent="0.25">
      <c r="AE263" s="43" t="s">
        <v>127</v>
      </c>
      <c r="AF263" s="43" t="s">
        <v>60</v>
      </c>
      <c r="AG263" s="43" t="s">
        <v>72</v>
      </c>
      <c r="AH263">
        <v>2</v>
      </c>
      <c r="AI263" s="43" t="s">
        <v>343</v>
      </c>
      <c r="AJ263" s="43" t="s">
        <v>308</v>
      </c>
      <c r="AK263">
        <v>0</v>
      </c>
    </row>
    <row r="264" spans="31:37" x14ac:dyDescent="0.25">
      <c r="AE264" s="43" t="s">
        <v>127</v>
      </c>
      <c r="AF264" s="43" t="s">
        <v>60</v>
      </c>
      <c r="AG264" s="43" t="s">
        <v>72</v>
      </c>
      <c r="AH264">
        <v>2</v>
      </c>
      <c r="AI264" s="43" t="s">
        <v>343</v>
      </c>
      <c r="AJ264" s="43" t="s">
        <v>309</v>
      </c>
      <c r="AK264">
        <v>0</v>
      </c>
    </row>
    <row r="265" spans="31:37" x14ac:dyDescent="0.25">
      <c r="AE265" s="43" t="s">
        <v>127</v>
      </c>
      <c r="AF265" s="43" t="s">
        <v>60</v>
      </c>
      <c r="AG265" s="43" t="s">
        <v>72</v>
      </c>
      <c r="AH265">
        <v>2</v>
      </c>
      <c r="AI265" s="43" t="s">
        <v>343</v>
      </c>
      <c r="AJ265" s="43" t="s">
        <v>268</v>
      </c>
      <c r="AK265">
        <v>0</v>
      </c>
    </row>
    <row r="266" spans="31:37" x14ac:dyDescent="0.25">
      <c r="AE266" s="43" t="s">
        <v>127</v>
      </c>
      <c r="AF266" s="43" t="s">
        <v>60</v>
      </c>
      <c r="AG266" s="43" t="s">
        <v>72</v>
      </c>
      <c r="AH266">
        <v>2</v>
      </c>
      <c r="AI266" s="43" t="s">
        <v>341</v>
      </c>
      <c r="AJ266" s="43" t="s">
        <v>308</v>
      </c>
      <c r="AK266">
        <v>8.1000000000000014</v>
      </c>
    </row>
    <row r="267" spans="31:37" x14ac:dyDescent="0.25">
      <c r="AE267" s="43" t="s">
        <v>127</v>
      </c>
      <c r="AF267" s="43" t="s">
        <v>60</v>
      </c>
      <c r="AG267" s="43" t="s">
        <v>72</v>
      </c>
      <c r="AH267">
        <v>2</v>
      </c>
      <c r="AI267" s="43" t="s">
        <v>341</v>
      </c>
      <c r="AJ267" s="43" t="s">
        <v>309</v>
      </c>
      <c r="AK267">
        <v>15.799999999999999</v>
      </c>
    </row>
    <row r="268" spans="31:37" x14ac:dyDescent="0.25">
      <c r="AE268" s="43" t="s">
        <v>127</v>
      </c>
      <c r="AF268" s="43" t="s">
        <v>60</v>
      </c>
      <c r="AG268" s="43" t="s">
        <v>72</v>
      </c>
      <c r="AH268">
        <v>2</v>
      </c>
      <c r="AI268" s="43" t="s">
        <v>341</v>
      </c>
      <c r="AJ268" s="43" t="s">
        <v>268</v>
      </c>
      <c r="AK268">
        <v>23.9</v>
      </c>
    </row>
    <row r="269" spans="31:37" x14ac:dyDescent="0.25">
      <c r="AE269" s="43" t="s">
        <v>127</v>
      </c>
      <c r="AF269" s="43" t="s">
        <v>60</v>
      </c>
      <c r="AG269" s="43" t="s">
        <v>72</v>
      </c>
      <c r="AH269">
        <v>2</v>
      </c>
      <c r="AI269" s="43" t="s">
        <v>273</v>
      </c>
      <c r="AJ269" s="43" t="s">
        <v>308</v>
      </c>
      <c r="AK269">
        <v>0</v>
      </c>
    </row>
    <row r="270" spans="31:37" x14ac:dyDescent="0.25">
      <c r="AE270" s="43" t="s">
        <v>127</v>
      </c>
      <c r="AF270" s="43" t="s">
        <v>60</v>
      </c>
      <c r="AG270" s="43" t="s">
        <v>72</v>
      </c>
      <c r="AH270">
        <v>2</v>
      </c>
      <c r="AI270" s="43" t="s">
        <v>273</v>
      </c>
      <c r="AJ270" s="43" t="s">
        <v>309</v>
      </c>
      <c r="AK270">
        <v>0</v>
      </c>
    </row>
    <row r="271" spans="31:37" x14ac:dyDescent="0.25">
      <c r="AE271" s="43" t="s">
        <v>127</v>
      </c>
      <c r="AF271" s="43" t="s">
        <v>60</v>
      </c>
      <c r="AG271" s="43" t="s">
        <v>72</v>
      </c>
      <c r="AH271">
        <v>2</v>
      </c>
      <c r="AI271" s="43" t="s">
        <v>273</v>
      </c>
      <c r="AJ271" s="43" t="s">
        <v>268</v>
      </c>
      <c r="AK271">
        <v>0</v>
      </c>
    </row>
    <row r="272" spans="31:37" x14ac:dyDescent="0.25">
      <c r="AE272" s="43" t="s">
        <v>92</v>
      </c>
      <c r="AF272" s="43" t="s">
        <v>60</v>
      </c>
      <c r="AG272" s="43" t="s">
        <v>39</v>
      </c>
      <c r="AH272">
        <v>2</v>
      </c>
      <c r="AI272" s="43" t="s">
        <v>317</v>
      </c>
      <c r="AJ272" s="43" t="s">
        <v>308</v>
      </c>
      <c r="AK272">
        <v>0</v>
      </c>
    </row>
    <row r="273" spans="31:37" x14ac:dyDescent="0.25">
      <c r="AE273" s="43" t="s">
        <v>92</v>
      </c>
      <c r="AF273" s="43" t="s">
        <v>60</v>
      </c>
      <c r="AG273" s="43" t="s">
        <v>39</v>
      </c>
      <c r="AH273">
        <v>2</v>
      </c>
      <c r="AI273" s="43" t="s">
        <v>317</v>
      </c>
      <c r="AJ273" s="43" t="s">
        <v>309</v>
      </c>
      <c r="AK273">
        <v>0</v>
      </c>
    </row>
    <row r="274" spans="31:37" x14ac:dyDescent="0.25">
      <c r="AE274" s="43" t="s">
        <v>92</v>
      </c>
      <c r="AF274" s="43" t="s">
        <v>60</v>
      </c>
      <c r="AG274" s="43" t="s">
        <v>39</v>
      </c>
      <c r="AH274">
        <v>2</v>
      </c>
      <c r="AI274" s="43" t="s">
        <v>317</v>
      </c>
      <c r="AJ274" s="43" t="s">
        <v>268</v>
      </c>
      <c r="AK274">
        <v>0</v>
      </c>
    </row>
    <row r="275" spans="31:37" x14ac:dyDescent="0.25">
      <c r="AE275" s="43" t="s">
        <v>92</v>
      </c>
      <c r="AF275" s="43" t="s">
        <v>60</v>
      </c>
      <c r="AG275" s="43" t="s">
        <v>39</v>
      </c>
      <c r="AH275">
        <v>2</v>
      </c>
      <c r="AI275" s="43" t="s">
        <v>325</v>
      </c>
      <c r="AJ275" s="43" t="s">
        <v>308</v>
      </c>
      <c r="AK275">
        <v>3.7</v>
      </c>
    </row>
    <row r="276" spans="31:37" x14ac:dyDescent="0.25">
      <c r="AE276" s="43" t="s">
        <v>92</v>
      </c>
      <c r="AF276" s="43" t="s">
        <v>60</v>
      </c>
      <c r="AG276" s="43" t="s">
        <v>39</v>
      </c>
      <c r="AH276">
        <v>2</v>
      </c>
      <c r="AI276" s="43" t="s">
        <v>325</v>
      </c>
      <c r="AJ276" s="43" t="s">
        <v>309</v>
      </c>
      <c r="AK276">
        <v>7.95</v>
      </c>
    </row>
    <row r="277" spans="31:37" x14ac:dyDescent="0.25">
      <c r="AE277" s="43" t="s">
        <v>92</v>
      </c>
      <c r="AF277" s="43" t="s">
        <v>60</v>
      </c>
      <c r="AG277" s="43" t="s">
        <v>39</v>
      </c>
      <c r="AH277">
        <v>2</v>
      </c>
      <c r="AI277" s="43" t="s">
        <v>325</v>
      </c>
      <c r="AJ277" s="43" t="s">
        <v>268</v>
      </c>
      <c r="AK277">
        <v>11.65</v>
      </c>
    </row>
    <row r="278" spans="31:37" x14ac:dyDescent="0.25">
      <c r="AE278" s="43" t="s">
        <v>92</v>
      </c>
      <c r="AF278" s="43" t="s">
        <v>60</v>
      </c>
      <c r="AG278" s="43" t="s">
        <v>39</v>
      </c>
      <c r="AH278">
        <v>2</v>
      </c>
      <c r="AI278" s="43" t="s">
        <v>330</v>
      </c>
      <c r="AJ278" s="43" t="s">
        <v>308</v>
      </c>
      <c r="AK278">
        <v>4.0999999999999996</v>
      </c>
    </row>
    <row r="279" spans="31:37" x14ac:dyDescent="0.25">
      <c r="AE279" s="43" t="s">
        <v>92</v>
      </c>
      <c r="AF279" s="43" t="s">
        <v>60</v>
      </c>
      <c r="AG279" s="43" t="s">
        <v>39</v>
      </c>
      <c r="AH279">
        <v>2</v>
      </c>
      <c r="AI279" s="43" t="s">
        <v>330</v>
      </c>
      <c r="AJ279" s="43" t="s">
        <v>309</v>
      </c>
      <c r="AK279">
        <v>7.95</v>
      </c>
    </row>
    <row r="280" spans="31:37" x14ac:dyDescent="0.25">
      <c r="AE280" s="43" t="s">
        <v>92</v>
      </c>
      <c r="AF280" s="43" t="s">
        <v>60</v>
      </c>
      <c r="AG280" s="43" t="s">
        <v>39</v>
      </c>
      <c r="AH280">
        <v>2</v>
      </c>
      <c r="AI280" s="43" t="s">
        <v>330</v>
      </c>
      <c r="AJ280" s="43" t="s">
        <v>268</v>
      </c>
      <c r="AK280">
        <v>12.05</v>
      </c>
    </row>
    <row r="281" spans="31:37" x14ac:dyDescent="0.25">
      <c r="AE281" s="43" t="s">
        <v>92</v>
      </c>
      <c r="AF281" s="43" t="s">
        <v>60</v>
      </c>
      <c r="AG281" s="43" t="s">
        <v>39</v>
      </c>
      <c r="AH281">
        <v>2</v>
      </c>
      <c r="AI281" s="43" t="s">
        <v>343</v>
      </c>
      <c r="AJ281" s="43" t="s">
        <v>308</v>
      </c>
      <c r="AK281">
        <v>0</v>
      </c>
    </row>
    <row r="282" spans="31:37" x14ac:dyDescent="0.25">
      <c r="AE282" s="43" t="s">
        <v>92</v>
      </c>
      <c r="AF282" s="43" t="s">
        <v>60</v>
      </c>
      <c r="AG282" s="43" t="s">
        <v>39</v>
      </c>
      <c r="AH282">
        <v>2</v>
      </c>
      <c r="AI282" s="43" t="s">
        <v>343</v>
      </c>
      <c r="AJ282" s="43" t="s">
        <v>309</v>
      </c>
      <c r="AK282">
        <v>0</v>
      </c>
    </row>
    <row r="283" spans="31:37" x14ac:dyDescent="0.25">
      <c r="AE283" s="43" t="s">
        <v>92</v>
      </c>
      <c r="AF283" s="43" t="s">
        <v>60</v>
      </c>
      <c r="AG283" s="43" t="s">
        <v>39</v>
      </c>
      <c r="AH283">
        <v>2</v>
      </c>
      <c r="AI283" s="43" t="s">
        <v>343</v>
      </c>
      <c r="AJ283" s="43" t="s">
        <v>268</v>
      </c>
      <c r="AK283">
        <v>0</v>
      </c>
    </row>
    <row r="284" spans="31:37" x14ac:dyDescent="0.25">
      <c r="AE284" s="43" t="s">
        <v>92</v>
      </c>
      <c r="AF284" s="43" t="s">
        <v>60</v>
      </c>
      <c r="AG284" s="43" t="s">
        <v>39</v>
      </c>
      <c r="AH284">
        <v>2</v>
      </c>
      <c r="AI284" s="43" t="s">
        <v>341</v>
      </c>
      <c r="AJ284" s="43" t="s">
        <v>308</v>
      </c>
      <c r="AK284">
        <v>7.8</v>
      </c>
    </row>
    <row r="285" spans="31:37" x14ac:dyDescent="0.25">
      <c r="AE285" s="43" t="s">
        <v>92</v>
      </c>
      <c r="AF285" s="43" t="s">
        <v>60</v>
      </c>
      <c r="AG285" s="43" t="s">
        <v>39</v>
      </c>
      <c r="AH285">
        <v>2</v>
      </c>
      <c r="AI285" s="43" t="s">
        <v>341</v>
      </c>
      <c r="AJ285" s="43" t="s">
        <v>309</v>
      </c>
      <c r="AK285">
        <v>15.9</v>
      </c>
    </row>
    <row r="286" spans="31:37" x14ac:dyDescent="0.25">
      <c r="AE286" s="43" t="s">
        <v>92</v>
      </c>
      <c r="AF286" s="43" t="s">
        <v>60</v>
      </c>
      <c r="AG286" s="43" t="s">
        <v>39</v>
      </c>
      <c r="AH286">
        <v>2</v>
      </c>
      <c r="AI286" s="43" t="s">
        <v>341</v>
      </c>
      <c r="AJ286" s="43" t="s">
        <v>268</v>
      </c>
      <c r="AK286">
        <v>23.700000000000003</v>
      </c>
    </row>
    <row r="287" spans="31:37" x14ac:dyDescent="0.25">
      <c r="AE287" s="43" t="s">
        <v>92</v>
      </c>
      <c r="AF287" s="43" t="s">
        <v>60</v>
      </c>
      <c r="AG287" s="43" t="s">
        <v>39</v>
      </c>
      <c r="AH287">
        <v>2</v>
      </c>
      <c r="AI287" s="43" t="s">
        <v>273</v>
      </c>
      <c r="AJ287" s="43" t="s">
        <v>308</v>
      </c>
      <c r="AK287">
        <v>0</v>
      </c>
    </row>
    <row r="288" spans="31:37" x14ac:dyDescent="0.25">
      <c r="AE288" s="43" t="s">
        <v>92</v>
      </c>
      <c r="AF288" s="43" t="s">
        <v>60</v>
      </c>
      <c r="AG288" s="43" t="s">
        <v>39</v>
      </c>
      <c r="AH288">
        <v>2</v>
      </c>
      <c r="AI288" s="43" t="s">
        <v>273</v>
      </c>
      <c r="AJ288" s="43" t="s">
        <v>309</v>
      </c>
      <c r="AK288">
        <v>0</v>
      </c>
    </row>
    <row r="289" spans="31:37" x14ac:dyDescent="0.25">
      <c r="AE289" s="43" t="s">
        <v>92</v>
      </c>
      <c r="AF289" s="43" t="s">
        <v>60</v>
      </c>
      <c r="AG289" s="43" t="s">
        <v>39</v>
      </c>
      <c r="AH289">
        <v>2</v>
      </c>
      <c r="AI289" s="43" t="s">
        <v>273</v>
      </c>
      <c r="AJ289" s="43" t="s">
        <v>268</v>
      </c>
      <c r="AK289">
        <v>0</v>
      </c>
    </row>
    <row r="290" spans="31:37" x14ac:dyDescent="0.25">
      <c r="AE290" s="43" t="s">
        <v>65</v>
      </c>
      <c r="AF290" s="43" t="s">
        <v>60</v>
      </c>
      <c r="AG290" s="43" t="s">
        <v>67</v>
      </c>
      <c r="AH290">
        <v>2</v>
      </c>
      <c r="AI290" s="43" t="s">
        <v>317</v>
      </c>
      <c r="AJ290" s="43" t="s">
        <v>308</v>
      </c>
      <c r="AK290">
        <v>0</v>
      </c>
    </row>
    <row r="291" spans="31:37" x14ac:dyDescent="0.25">
      <c r="AE291" s="43" t="s">
        <v>65</v>
      </c>
      <c r="AF291" s="43" t="s">
        <v>60</v>
      </c>
      <c r="AG291" s="43" t="s">
        <v>67</v>
      </c>
      <c r="AH291">
        <v>2</v>
      </c>
      <c r="AI291" s="43" t="s">
        <v>317</v>
      </c>
      <c r="AJ291" s="43" t="s">
        <v>309</v>
      </c>
      <c r="AK291">
        <v>0</v>
      </c>
    </row>
    <row r="292" spans="31:37" x14ac:dyDescent="0.25">
      <c r="AE292" s="43" t="s">
        <v>65</v>
      </c>
      <c r="AF292" s="43" t="s">
        <v>60</v>
      </c>
      <c r="AG292" s="43" t="s">
        <v>67</v>
      </c>
      <c r="AH292">
        <v>2</v>
      </c>
      <c r="AI292" s="43" t="s">
        <v>317</v>
      </c>
      <c r="AJ292" s="43" t="s">
        <v>268</v>
      </c>
      <c r="AK292">
        <v>0</v>
      </c>
    </row>
    <row r="293" spans="31:37" x14ac:dyDescent="0.25">
      <c r="AE293" s="43" t="s">
        <v>65</v>
      </c>
      <c r="AF293" s="43" t="s">
        <v>60</v>
      </c>
      <c r="AG293" s="43" t="s">
        <v>67</v>
      </c>
      <c r="AH293">
        <v>2</v>
      </c>
      <c r="AI293" s="43" t="s">
        <v>325</v>
      </c>
      <c r="AJ293" s="43" t="s">
        <v>308</v>
      </c>
      <c r="AK293">
        <v>3.8</v>
      </c>
    </row>
    <row r="294" spans="31:37" x14ac:dyDescent="0.25">
      <c r="AE294" s="43" t="s">
        <v>65</v>
      </c>
      <c r="AF294" s="43" t="s">
        <v>60</v>
      </c>
      <c r="AG294" s="43" t="s">
        <v>67</v>
      </c>
      <c r="AH294">
        <v>2</v>
      </c>
      <c r="AI294" s="43" t="s">
        <v>325</v>
      </c>
      <c r="AJ294" s="43" t="s">
        <v>309</v>
      </c>
      <c r="AK294">
        <v>8.4</v>
      </c>
    </row>
    <row r="295" spans="31:37" x14ac:dyDescent="0.25">
      <c r="AE295" s="43" t="s">
        <v>65</v>
      </c>
      <c r="AF295" s="43" t="s">
        <v>60</v>
      </c>
      <c r="AG295" s="43" t="s">
        <v>67</v>
      </c>
      <c r="AH295">
        <v>2</v>
      </c>
      <c r="AI295" s="43" t="s">
        <v>325</v>
      </c>
      <c r="AJ295" s="43" t="s">
        <v>268</v>
      </c>
      <c r="AK295">
        <v>12.2</v>
      </c>
    </row>
    <row r="296" spans="31:37" x14ac:dyDescent="0.25">
      <c r="AE296" s="43" t="s">
        <v>65</v>
      </c>
      <c r="AF296" s="43" t="s">
        <v>60</v>
      </c>
      <c r="AG296" s="43" t="s">
        <v>67</v>
      </c>
      <c r="AH296">
        <v>2</v>
      </c>
      <c r="AI296" s="43" t="s">
        <v>330</v>
      </c>
      <c r="AJ296" s="43" t="s">
        <v>308</v>
      </c>
      <c r="AK296">
        <v>0</v>
      </c>
    </row>
    <row r="297" spans="31:37" x14ac:dyDescent="0.25">
      <c r="AE297" s="43" t="s">
        <v>65</v>
      </c>
      <c r="AF297" s="43" t="s">
        <v>60</v>
      </c>
      <c r="AG297" s="43" t="s">
        <v>67</v>
      </c>
      <c r="AH297">
        <v>2</v>
      </c>
      <c r="AI297" s="43" t="s">
        <v>330</v>
      </c>
      <c r="AJ297" s="43" t="s">
        <v>309</v>
      </c>
      <c r="AK297">
        <v>0</v>
      </c>
    </row>
    <row r="298" spans="31:37" x14ac:dyDescent="0.25">
      <c r="AE298" s="43" t="s">
        <v>65</v>
      </c>
      <c r="AF298" s="43" t="s">
        <v>60</v>
      </c>
      <c r="AG298" s="43" t="s">
        <v>67</v>
      </c>
      <c r="AH298">
        <v>2</v>
      </c>
      <c r="AI298" s="43" t="s">
        <v>330</v>
      </c>
      <c r="AJ298" s="43" t="s">
        <v>268</v>
      </c>
      <c r="AK298">
        <v>0</v>
      </c>
    </row>
    <row r="299" spans="31:37" x14ac:dyDescent="0.25">
      <c r="AE299" s="43" t="s">
        <v>65</v>
      </c>
      <c r="AF299" s="43" t="s">
        <v>60</v>
      </c>
      <c r="AG299" s="43" t="s">
        <v>67</v>
      </c>
      <c r="AH299">
        <v>2</v>
      </c>
      <c r="AI299" s="43" t="s">
        <v>343</v>
      </c>
      <c r="AJ299" s="43" t="s">
        <v>308</v>
      </c>
      <c r="AK299">
        <v>3.9</v>
      </c>
    </row>
    <row r="300" spans="31:37" x14ac:dyDescent="0.25">
      <c r="AE300" s="43" t="s">
        <v>65</v>
      </c>
      <c r="AF300" s="43" t="s">
        <v>60</v>
      </c>
      <c r="AG300" s="43" t="s">
        <v>67</v>
      </c>
      <c r="AH300">
        <v>2</v>
      </c>
      <c r="AI300" s="43" t="s">
        <v>343</v>
      </c>
      <c r="AJ300" s="43" t="s">
        <v>309</v>
      </c>
      <c r="AK300">
        <v>7.3</v>
      </c>
    </row>
    <row r="301" spans="31:37" x14ac:dyDescent="0.25">
      <c r="AE301" s="43" t="s">
        <v>65</v>
      </c>
      <c r="AF301" s="43" t="s">
        <v>60</v>
      </c>
      <c r="AG301" s="43" t="s">
        <v>67</v>
      </c>
      <c r="AH301">
        <v>2</v>
      </c>
      <c r="AI301" s="43" t="s">
        <v>343</v>
      </c>
      <c r="AJ301" s="43" t="s">
        <v>268</v>
      </c>
      <c r="AK301">
        <v>11.2</v>
      </c>
    </row>
    <row r="302" spans="31:37" x14ac:dyDescent="0.25">
      <c r="AE302" s="43" t="s">
        <v>65</v>
      </c>
      <c r="AF302" s="43" t="s">
        <v>60</v>
      </c>
      <c r="AG302" s="43" t="s">
        <v>67</v>
      </c>
      <c r="AH302">
        <v>2</v>
      </c>
      <c r="AI302" s="43" t="s">
        <v>341</v>
      </c>
      <c r="AJ302" s="43" t="s">
        <v>308</v>
      </c>
      <c r="AK302">
        <v>7.6999999999999993</v>
      </c>
    </row>
    <row r="303" spans="31:37" x14ac:dyDescent="0.25">
      <c r="AE303" s="43" t="s">
        <v>65</v>
      </c>
      <c r="AF303" s="43" t="s">
        <v>60</v>
      </c>
      <c r="AG303" s="43" t="s">
        <v>67</v>
      </c>
      <c r="AH303">
        <v>2</v>
      </c>
      <c r="AI303" s="43" t="s">
        <v>341</v>
      </c>
      <c r="AJ303" s="43" t="s">
        <v>309</v>
      </c>
      <c r="AK303">
        <v>15.7</v>
      </c>
    </row>
    <row r="304" spans="31:37" x14ac:dyDescent="0.25">
      <c r="AE304" s="43" t="s">
        <v>65</v>
      </c>
      <c r="AF304" s="43" t="s">
        <v>60</v>
      </c>
      <c r="AG304" s="43" t="s">
        <v>67</v>
      </c>
      <c r="AH304">
        <v>2</v>
      </c>
      <c r="AI304" s="43" t="s">
        <v>341</v>
      </c>
      <c r="AJ304" s="43" t="s">
        <v>268</v>
      </c>
      <c r="AK304">
        <v>23.4</v>
      </c>
    </row>
    <row r="305" spans="31:37" x14ac:dyDescent="0.25">
      <c r="AE305" s="43" t="s">
        <v>65</v>
      </c>
      <c r="AF305" s="43" t="s">
        <v>60</v>
      </c>
      <c r="AG305" s="43" t="s">
        <v>67</v>
      </c>
      <c r="AH305">
        <v>2</v>
      </c>
      <c r="AI305" s="43" t="s">
        <v>273</v>
      </c>
      <c r="AJ305" s="43" t="s">
        <v>308</v>
      </c>
      <c r="AK305">
        <v>0</v>
      </c>
    </row>
    <row r="306" spans="31:37" x14ac:dyDescent="0.25">
      <c r="AE306" s="43" t="s">
        <v>65</v>
      </c>
      <c r="AF306" s="43" t="s">
        <v>60</v>
      </c>
      <c r="AG306" s="43" t="s">
        <v>67</v>
      </c>
      <c r="AH306">
        <v>2</v>
      </c>
      <c r="AI306" s="43" t="s">
        <v>273</v>
      </c>
      <c r="AJ306" s="43" t="s">
        <v>309</v>
      </c>
      <c r="AK306">
        <v>0</v>
      </c>
    </row>
    <row r="307" spans="31:37" x14ac:dyDescent="0.25">
      <c r="AE307" s="43" t="s">
        <v>65</v>
      </c>
      <c r="AF307" s="43" t="s">
        <v>60</v>
      </c>
      <c r="AG307" s="43" t="s">
        <v>67</v>
      </c>
      <c r="AH307">
        <v>2</v>
      </c>
      <c r="AI307" s="43" t="s">
        <v>273</v>
      </c>
      <c r="AJ307" s="43" t="s">
        <v>268</v>
      </c>
      <c r="AK307">
        <v>0</v>
      </c>
    </row>
    <row r="308" spans="31:37" x14ac:dyDescent="0.25">
      <c r="AE308" s="43" t="s">
        <v>75</v>
      </c>
      <c r="AF308" s="43" t="s">
        <v>60</v>
      </c>
      <c r="AG308" s="43" t="s">
        <v>28</v>
      </c>
      <c r="AH308">
        <v>2</v>
      </c>
      <c r="AI308" s="43" t="s">
        <v>317</v>
      </c>
      <c r="AJ308" s="43" t="s">
        <v>308</v>
      </c>
      <c r="AK308">
        <v>0</v>
      </c>
    </row>
    <row r="309" spans="31:37" x14ac:dyDescent="0.25">
      <c r="AE309" s="43" t="s">
        <v>75</v>
      </c>
      <c r="AF309" s="43" t="s">
        <v>60</v>
      </c>
      <c r="AG309" s="43" t="s">
        <v>28</v>
      </c>
      <c r="AH309">
        <v>2</v>
      </c>
      <c r="AI309" s="43" t="s">
        <v>317</v>
      </c>
      <c r="AJ309" s="43" t="s">
        <v>309</v>
      </c>
      <c r="AK309">
        <v>0</v>
      </c>
    </row>
    <row r="310" spans="31:37" x14ac:dyDescent="0.25">
      <c r="AE310" s="43" t="s">
        <v>75</v>
      </c>
      <c r="AF310" s="43" t="s">
        <v>60</v>
      </c>
      <c r="AG310" s="43" t="s">
        <v>28</v>
      </c>
      <c r="AH310">
        <v>2</v>
      </c>
      <c r="AI310" s="43" t="s">
        <v>317</v>
      </c>
      <c r="AJ310" s="43" t="s">
        <v>268</v>
      </c>
      <c r="AK310">
        <v>0</v>
      </c>
    </row>
    <row r="311" spans="31:37" x14ac:dyDescent="0.25">
      <c r="AE311" s="43" t="s">
        <v>75</v>
      </c>
      <c r="AF311" s="43" t="s">
        <v>60</v>
      </c>
      <c r="AG311" s="43" t="s">
        <v>28</v>
      </c>
      <c r="AH311">
        <v>2</v>
      </c>
      <c r="AI311" s="43" t="s">
        <v>325</v>
      </c>
      <c r="AJ311" s="43" t="s">
        <v>308</v>
      </c>
      <c r="AK311">
        <v>3.8</v>
      </c>
    </row>
    <row r="312" spans="31:37" x14ac:dyDescent="0.25">
      <c r="AE312" s="43" t="s">
        <v>75</v>
      </c>
      <c r="AF312" s="43" t="s">
        <v>60</v>
      </c>
      <c r="AG312" s="43" t="s">
        <v>28</v>
      </c>
      <c r="AH312">
        <v>2</v>
      </c>
      <c r="AI312" s="43" t="s">
        <v>325</v>
      </c>
      <c r="AJ312" s="43" t="s">
        <v>309</v>
      </c>
      <c r="AK312">
        <v>7.3</v>
      </c>
    </row>
    <row r="313" spans="31:37" x14ac:dyDescent="0.25">
      <c r="AE313" s="43" t="s">
        <v>75</v>
      </c>
      <c r="AF313" s="43" t="s">
        <v>60</v>
      </c>
      <c r="AG313" s="43" t="s">
        <v>28</v>
      </c>
      <c r="AH313">
        <v>2</v>
      </c>
      <c r="AI313" s="43" t="s">
        <v>325</v>
      </c>
      <c r="AJ313" s="43" t="s">
        <v>268</v>
      </c>
      <c r="AK313">
        <v>11.1</v>
      </c>
    </row>
    <row r="314" spans="31:37" x14ac:dyDescent="0.25">
      <c r="AE314" s="43" t="s">
        <v>75</v>
      </c>
      <c r="AF314" s="43" t="s">
        <v>60</v>
      </c>
      <c r="AG314" s="43" t="s">
        <v>28</v>
      </c>
      <c r="AH314">
        <v>2</v>
      </c>
      <c r="AI314" s="43" t="s">
        <v>330</v>
      </c>
      <c r="AJ314" s="43" t="s">
        <v>308</v>
      </c>
      <c r="AK314">
        <v>3.9</v>
      </c>
    </row>
    <row r="315" spans="31:37" x14ac:dyDescent="0.25">
      <c r="AE315" s="43" t="s">
        <v>75</v>
      </c>
      <c r="AF315" s="43" t="s">
        <v>60</v>
      </c>
      <c r="AG315" s="43" t="s">
        <v>28</v>
      </c>
      <c r="AH315">
        <v>2</v>
      </c>
      <c r="AI315" s="43" t="s">
        <v>330</v>
      </c>
      <c r="AJ315" s="43" t="s">
        <v>309</v>
      </c>
      <c r="AK315">
        <v>7.9</v>
      </c>
    </row>
    <row r="316" spans="31:37" x14ac:dyDescent="0.25">
      <c r="AE316" s="43" t="s">
        <v>75</v>
      </c>
      <c r="AF316" s="43" t="s">
        <v>60</v>
      </c>
      <c r="AG316" s="43" t="s">
        <v>28</v>
      </c>
      <c r="AH316">
        <v>2</v>
      </c>
      <c r="AI316" s="43" t="s">
        <v>330</v>
      </c>
      <c r="AJ316" s="43" t="s">
        <v>268</v>
      </c>
      <c r="AK316">
        <v>11.8</v>
      </c>
    </row>
    <row r="317" spans="31:37" x14ac:dyDescent="0.25">
      <c r="AE317" s="43" t="s">
        <v>75</v>
      </c>
      <c r="AF317" s="43" t="s">
        <v>60</v>
      </c>
      <c r="AG317" s="43" t="s">
        <v>28</v>
      </c>
      <c r="AH317">
        <v>2</v>
      </c>
      <c r="AI317" s="43" t="s">
        <v>343</v>
      </c>
      <c r="AJ317" s="43" t="s">
        <v>308</v>
      </c>
      <c r="AK317">
        <v>0</v>
      </c>
    </row>
    <row r="318" spans="31:37" x14ac:dyDescent="0.25">
      <c r="AE318" s="43" t="s">
        <v>75</v>
      </c>
      <c r="AF318" s="43" t="s">
        <v>60</v>
      </c>
      <c r="AG318" s="43" t="s">
        <v>28</v>
      </c>
      <c r="AH318">
        <v>2</v>
      </c>
      <c r="AI318" s="43" t="s">
        <v>343</v>
      </c>
      <c r="AJ318" s="43" t="s">
        <v>309</v>
      </c>
      <c r="AK318">
        <v>0</v>
      </c>
    </row>
    <row r="319" spans="31:37" x14ac:dyDescent="0.25">
      <c r="AE319" s="43" t="s">
        <v>75</v>
      </c>
      <c r="AF319" s="43" t="s">
        <v>60</v>
      </c>
      <c r="AG319" s="43" t="s">
        <v>28</v>
      </c>
      <c r="AH319">
        <v>2</v>
      </c>
      <c r="AI319" s="43" t="s">
        <v>343</v>
      </c>
      <c r="AJ319" s="43" t="s">
        <v>268</v>
      </c>
      <c r="AK319">
        <v>0</v>
      </c>
    </row>
    <row r="320" spans="31:37" x14ac:dyDescent="0.25">
      <c r="AE320" s="43" t="s">
        <v>75</v>
      </c>
      <c r="AF320" s="43" t="s">
        <v>60</v>
      </c>
      <c r="AG320" s="43" t="s">
        <v>28</v>
      </c>
      <c r="AH320">
        <v>2</v>
      </c>
      <c r="AI320" s="43" t="s">
        <v>341</v>
      </c>
      <c r="AJ320" s="43" t="s">
        <v>308</v>
      </c>
      <c r="AK320">
        <v>7.6999999999999993</v>
      </c>
    </row>
    <row r="321" spans="31:37" x14ac:dyDescent="0.25">
      <c r="AE321" s="43" t="s">
        <v>75</v>
      </c>
      <c r="AF321" s="43" t="s">
        <v>60</v>
      </c>
      <c r="AG321" s="43" t="s">
        <v>28</v>
      </c>
      <c r="AH321">
        <v>2</v>
      </c>
      <c r="AI321" s="43" t="s">
        <v>341</v>
      </c>
      <c r="AJ321" s="43" t="s">
        <v>309</v>
      </c>
      <c r="AK321">
        <v>15.2</v>
      </c>
    </row>
    <row r="322" spans="31:37" x14ac:dyDescent="0.25">
      <c r="AE322" s="43" t="s">
        <v>75</v>
      </c>
      <c r="AF322" s="43" t="s">
        <v>60</v>
      </c>
      <c r="AG322" s="43" t="s">
        <v>28</v>
      </c>
      <c r="AH322">
        <v>2</v>
      </c>
      <c r="AI322" s="43" t="s">
        <v>341</v>
      </c>
      <c r="AJ322" s="43" t="s">
        <v>268</v>
      </c>
      <c r="AK322">
        <v>22.9</v>
      </c>
    </row>
    <row r="323" spans="31:37" x14ac:dyDescent="0.25">
      <c r="AE323" s="43" t="s">
        <v>75</v>
      </c>
      <c r="AF323" s="43" t="s">
        <v>60</v>
      </c>
      <c r="AG323" s="43" t="s">
        <v>28</v>
      </c>
      <c r="AH323">
        <v>2</v>
      </c>
      <c r="AI323" s="43" t="s">
        <v>273</v>
      </c>
      <c r="AJ323" s="43" t="s">
        <v>308</v>
      </c>
      <c r="AK323">
        <v>0</v>
      </c>
    </row>
    <row r="324" spans="31:37" x14ac:dyDescent="0.25">
      <c r="AE324" s="43" t="s">
        <v>75</v>
      </c>
      <c r="AF324" s="43" t="s">
        <v>60</v>
      </c>
      <c r="AG324" s="43" t="s">
        <v>28</v>
      </c>
      <c r="AH324">
        <v>2</v>
      </c>
      <c r="AI324" s="43" t="s">
        <v>273</v>
      </c>
      <c r="AJ324" s="43" t="s">
        <v>309</v>
      </c>
      <c r="AK324">
        <v>0</v>
      </c>
    </row>
    <row r="325" spans="31:37" x14ac:dyDescent="0.25">
      <c r="AE325" s="43" t="s">
        <v>75</v>
      </c>
      <c r="AF325" s="43" t="s">
        <v>60</v>
      </c>
      <c r="AG325" s="43" t="s">
        <v>28</v>
      </c>
      <c r="AH325">
        <v>2</v>
      </c>
      <c r="AI325" s="43" t="s">
        <v>273</v>
      </c>
      <c r="AJ325" s="43" t="s">
        <v>268</v>
      </c>
      <c r="AK325">
        <v>0</v>
      </c>
    </row>
    <row r="326" spans="31:37" x14ac:dyDescent="0.25">
      <c r="AE326" s="43" t="s">
        <v>108</v>
      </c>
      <c r="AF326" s="43" t="s">
        <v>60</v>
      </c>
      <c r="AG326" s="43" t="s">
        <v>62</v>
      </c>
      <c r="AH326">
        <v>2</v>
      </c>
      <c r="AI326" s="43" t="s">
        <v>317</v>
      </c>
      <c r="AJ326" s="43" t="s">
        <v>308</v>
      </c>
      <c r="AK326">
        <v>0</v>
      </c>
    </row>
    <row r="327" spans="31:37" x14ac:dyDescent="0.25">
      <c r="AE327" s="43" t="s">
        <v>108</v>
      </c>
      <c r="AF327" s="43" t="s">
        <v>60</v>
      </c>
      <c r="AG327" s="43" t="s">
        <v>62</v>
      </c>
      <c r="AH327">
        <v>2</v>
      </c>
      <c r="AI327" s="43" t="s">
        <v>317</v>
      </c>
      <c r="AJ327" s="43" t="s">
        <v>309</v>
      </c>
      <c r="AK327">
        <v>0</v>
      </c>
    </row>
    <row r="328" spans="31:37" x14ac:dyDescent="0.25">
      <c r="AE328" s="43" t="s">
        <v>108</v>
      </c>
      <c r="AF328" s="43" t="s">
        <v>60</v>
      </c>
      <c r="AG328" s="43" t="s">
        <v>62</v>
      </c>
      <c r="AH328">
        <v>2</v>
      </c>
      <c r="AI328" s="43" t="s">
        <v>317</v>
      </c>
      <c r="AJ328" s="43" t="s">
        <v>268</v>
      </c>
      <c r="AK328">
        <v>0</v>
      </c>
    </row>
    <row r="329" spans="31:37" x14ac:dyDescent="0.25">
      <c r="AE329" s="43" t="s">
        <v>108</v>
      </c>
      <c r="AF329" s="43" t="s">
        <v>60</v>
      </c>
      <c r="AG329" s="43" t="s">
        <v>62</v>
      </c>
      <c r="AH329">
        <v>2</v>
      </c>
      <c r="AI329" s="43" t="s">
        <v>325</v>
      </c>
      <c r="AJ329" s="43" t="s">
        <v>308</v>
      </c>
      <c r="AK329">
        <v>3.3</v>
      </c>
    </row>
    <row r="330" spans="31:37" x14ac:dyDescent="0.25">
      <c r="AE330" s="43" t="s">
        <v>108</v>
      </c>
      <c r="AF330" s="43" t="s">
        <v>60</v>
      </c>
      <c r="AG330" s="43" t="s">
        <v>62</v>
      </c>
      <c r="AH330">
        <v>2</v>
      </c>
      <c r="AI330" s="43" t="s">
        <v>325</v>
      </c>
      <c r="AJ330" s="43" t="s">
        <v>309</v>
      </c>
      <c r="AK330">
        <v>8.4</v>
      </c>
    </row>
    <row r="331" spans="31:37" x14ac:dyDescent="0.25">
      <c r="AE331" s="43" t="s">
        <v>108</v>
      </c>
      <c r="AF331" s="43" t="s">
        <v>60</v>
      </c>
      <c r="AG331" s="43" t="s">
        <v>62</v>
      </c>
      <c r="AH331">
        <v>2</v>
      </c>
      <c r="AI331" s="43" t="s">
        <v>325</v>
      </c>
      <c r="AJ331" s="43" t="s">
        <v>268</v>
      </c>
      <c r="AK331">
        <v>11.7</v>
      </c>
    </row>
    <row r="332" spans="31:37" x14ac:dyDescent="0.25">
      <c r="AE332" s="43" t="s">
        <v>108</v>
      </c>
      <c r="AF332" s="43" t="s">
        <v>60</v>
      </c>
      <c r="AG332" s="43" t="s">
        <v>62</v>
      </c>
      <c r="AH332">
        <v>2</v>
      </c>
      <c r="AI332" s="43" t="s">
        <v>330</v>
      </c>
      <c r="AJ332" s="43" t="s">
        <v>308</v>
      </c>
      <c r="AK332">
        <v>3.5</v>
      </c>
    </row>
    <row r="333" spans="31:37" x14ac:dyDescent="0.25">
      <c r="AE333" s="43" t="s">
        <v>108</v>
      </c>
      <c r="AF333" s="43" t="s">
        <v>60</v>
      </c>
      <c r="AG333" s="43" t="s">
        <v>62</v>
      </c>
      <c r="AH333">
        <v>2</v>
      </c>
      <c r="AI333" s="43" t="s">
        <v>330</v>
      </c>
      <c r="AJ333" s="43" t="s">
        <v>309</v>
      </c>
      <c r="AK333">
        <v>7.45</v>
      </c>
    </row>
    <row r="334" spans="31:37" x14ac:dyDescent="0.25">
      <c r="AE334" s="43" t="s">
        <v>108</v>
      </c>
      <c r="AF334" s="43" t="s">
        <v>60</v>
      </c>
      <c r="AG334" s="43" t="s">
        <v>62</v>
      </c>
      <c r="AH334">
        <v>2</v>
      </c>
      <c r="AI334" s="43" t="s">
        <v>330</v>
      </c>
      <c r="AJ334" s="43" t="s">
        <v>268</v>
      </c>
      <c r="AK334">
        <v>10.95</v>
      </c>
    </row>
    <row r="335" spans="31:37" x14ac:dyDescent="0.25">
      <c r="AE335" s="43" t="s">
        <v>108</v>
      </c>
      <c r="AF335" s="43" t="s">
        <v>60</v>
      </c>
      <c r="AG335" s="43" t="s">
        <v>62</v>
      </c>
      <c r="AH335">
        <v>2</v>
      </c>
      <c r="AI335" s="43" t="s">
        <v>343</v>
      </c>
      <c r="AJ335" s="43" t="s">
        <v>308</v>
      </c>
      <c r="AK335">
        <v>0</v>
      </c>
    </row>
    <row r="336" spans="31:37" x14ac:dyDescent="0.25">
      <c r="AE336" s="43" t="s">
        <v>108</v>
      </c>
      <c r="AF336" s="43" t="s">
        <v>60</v>
      </c>
      <c r="AG336" s="43" t="s">
        <v>62</v>
      </c>
      <c r="AH336">
        <v>2</v>
      </c>
      <c r="AI336" s="43" t="s">
        <v>343</v>
      </c>
      <c r="AJ336" s="43" t="s">
        <v>309</v>
      </c>
      <c r="AK336">
        <v>0</v>
      </c>
    </row>
    <row r="337" spans="31:37" x14ac:dyDescent="0.25">
      <c r="AE337" s="43" t="s">
        <v>108</v>
      </c>
      <c r="AF337" s="43" t="s">
        <v>60</v>
      </c>
      <c r="AG337" s="43" t="s">
        <v>62</v>
      </c>
      <c r="AH337">
        <v>2</v>
      </c>
      <c r="AI337" s="43" t="s">
        <v>343</v>
      </c>
      <c r="AJ337" s="43" t="s">
        <v>268</v>
      </c>
      <c r="AK337">
        <v>0</v>
      </c>
    </row>
    <row r="338" spans="31:37" x14ac:dyDescent="0.25">
      <c r="AE338" s="43" t="s">
        <v>108</v>
      </c>
      <c r="AF338" s="43" t="s">
        <v>60</v>
      </c>
      <c r="AG338" s="43" t="s">
        <v>62</v>
      </c>
      <c r="AH338">
        <v>2</v>
      </c>
      <c r="AI338" s="43" t="s">
        <v>341</v>
      </c>
      <c r="AJ338" s="43" t="s">
        <v>308</v>
      </c>
      <c r="AK338">
        <v>6.8</v>
      </c>
    </row>
    <row r="339" spans="31:37" x14ac:dyDescent="0.25">
      <c r="AE339" s="43" t="s">
        <v>108</v>
      </c>
      <c r="AF339" s="43" t="s">
        <v>60</v>
      </c>
      <c r="AG339" s="43" t="s">
        <v>62</v>
      </c>
      <c r="AH339">
        <v>2</v>
      </c>
      <c r="AI339" s="43" t="s">
        <v>341</v>
      </c>
      <c r="AJ339" s="43" t="s">
        <v>309</v>
      </c>
      <c r="AK339">
        <v>15.850000000000001</v>
      </c>
    </row>
    <row r="340" spans="31:37" x14ac:dyDescent="0.25">
      <c r="AE340" s="43" t="s">
        <v>108</v>
      </c>
      <c r="AF340" s="43" t="s">
        <v>60</v>
      </c>
      <c r="AG340" s="43" t="s">
        <v>62</v>
      </c>
      <c r="AH340">
        <v>2</v>
      </c>
      <c r="AI340" s="43" t="s">
        <v>341</v>
      </c>
      <c r="AJ340" s="43" t="s">
        <v>268</v>
      </c>
      <c r="AK340">
        <v>22.65</v>
      </c>
    </row>
    <row r="341" spans="31:37" x14ac:dyDescent="0.25">
      <c r="AE341" s="43" t="s">
        <v>108</v>
      </c>
      <c r="AF341" s="43" t="s">
        <v>60</v>
      </c>
      <c r="AG341" s="43" t="s">
        <v>62</v>
      </c>
      <c r="AH341">
        <v>2</v>
      </c>
      <c r="AI341" s="43" t="s">
        <v>273</v>
      </c>
      <c r="AJ341" s="43" t="s">
        <v>308</v>
      </c>
      <c r="AK341">
        <v>0</v>
      </c>
    </row>
    <row r="342" spans="31:37" x14ac:dyDescent="0.25">
      <c r="AE342" s="43" t="s">
        <v>108</v>
      </c>
      <c r="AF342" s="43" t="s">
        <v>60</v>
      </c>
      <c r="AG342" s="43" t="s">
        <v>62</v>
      </c>
      <c r="AH342">
        <v>2</v>
      </c>
      <c r="AI342" s="43" t="s">
        <v>273</v>
      </c>
      <c r="AJ342" s="43" t="s">
        <v>309</v>
      </c>
      <c r="AK342">
        <v>0</v>
      </c>
    </row>
    <row r="343" spans="31:37" x14ac:dyDescent="0.25">
      <c r="AE343" s="43" t="s">
        <v>108</v>
      </c>
      <c r="AF343" s="43" t="s">
        <v>60</v>
      </c>
      <c r="AG343" s="43" t="s">
        <v>62</v>
      </c>
      <c r="AH343">
        <v>2</v>
      </c>
      <c r="AI343" s="43" t="s">
        <v>273</v>
      </c>
      <c r="AJ343" s="43" t="s">
        <v>268</v>
      </c>
      <c r="AK343">
        <v>0</v>
      </c>
    </row>
    <row r="344" spans="31:37" x14ac:dyDescent="0.25">
      <c r="AE344" s="43" t="s">
        <v>104</v>
      </c>
      <c r="AF344" s="43" t="s">
        <v>60</v>
      </c>
      <c r="AG344" s="43" t="s">
        <v>28</v>
      </c>
      <c r="AH344">
        <v>2</v>
      </c>
      <c r="AI344" s="43" t="s">
        <v>317</v>
      </c>
      <c r="AJ344" s="43" t="s">
        <v>308</v>
      </c>
      <c r="AK344">
        <v>0</v>
      </c>
    </row>
    <row r="345" spans="31:37" x14ac:dyDescent="0.25">
      <c r="AE345" s="43" t="s">
        <v>104</v>
      </c>
      <c r="AF345" s="43" t="s">
        <v>60</v>
      </c>
      <c r="AG345" s="43" t="s">
        <v>28</v>
      </c>
      <c r="AH345">
        <v>2</v>
      </c>
      <c r="AI345" s="43" t="s">
        <v>317</v>
      </c>
      <c r="AJ345" s="43" t="s">
        <v>309</v>
      </c>
      <c r="AK345">
        <v>0</v>
      </c>
    </row>
    <row r="346" spans="31:37" x14ac:dyDescent="0.25">
      <c r="AE346" s="43" t="s">
        <v>104</v>
      </c>
      <c r="AF346" s="43" t="s">
        <v>60</v>
      </c>
      <c r="AG346" s="43" t="s">
        <v>28</v>
      </c>
      <c r="AH346">
        <v>2</v>
      </c>
      <c r="AI346" s="43" t="s">
        <v>317</v>
      </c>
      <c r="AJ346" s="43" t="s">
        <v>268</v>
      </c>
      <c r="AK346">
        <v>0</v>
      </c>
    </row>
    <row r="347" spans="31:37" x14ac:dyDescent="0.25">
      <c r="AE347" s="43" t="s">
        <v>104</v>
      </c>
      <c r="AF347" s="43" t="s">
        <v>60</v>
      </c>
      <c r="AG347" s="43" t="s">
        <v>28</v>
      </c>
      <c r="AH347">
        <v>2</v>
      </c>
      <c r="AI347" s="43" t="s">
        <v>325</v>
      </c>
      <c r="AJ347" s="43" t="s">
        <v>308</v>
      </c>
      <c r="AK347">
        <v>4.5</v>
      </c>
    </row>
    <row r="348" spans="31:37" x14ac:dyDescent="0.25">
      <c r="AE348" s="43" t="s">
        <v>104</v>
      </c>
      <c r="AF348" s="43" t="s">
        <v>60</v>
      </c>
      <c r="AG348" s="43" t="s">
        <v>28</v>
      </c>
      <c r="AH348">
        <v>2</v>
      </c>
      <c r="AI348" s="43" t="s">
        <v>325</v>
      </c>
      <c r="AJ348" s="43" t="s">
        <v>309</v>
      </c>
      <c r="AK348">
        <v>6.2</v>
      </c>
    </row>
    <row r="349" spans="31:37" x14ac:dyDescent="0.25">
      <c r="AE349" s="43" t="s">
        <v>104</v>
      </c>
      <c r="AF349" s="43" t="s">
        <v>60</v>
      </c>
      <c r="AG349" s="43" t="s">
        <v>28</v>
      </c>
      <c r="AH349">
        <v>2</v>
      </c>
      <c r="AI349" s="43" t="s">
        <v>325</v>
      </c>
      <c r="AJ349" s="43" t="s">
        <v>268</v>
      </c>
      <c r="AK349">
        <v>10.7</v>
      </c>
    </row>
    <row r="350" spans="31:37" x14ac:dyDescent="0.25">
      <c r="AE350" s="43" t="s">
        <v>104</v>
      </c>
      <c r="AF350" s="43" t="s">
        <v>60</v>
      </c>
      <c r="AG350" s="43" t="s">
        <v>28</v>
      </c>
      <c r="AH350">
        <v>2</v>
      </c>
      <c r="AI350" s="43" t="s">
        <v>330</v>
      </c>
      <c r="AJ350" s="43" t="s">
        <v>308</v>
      </c>
      <c r="AK350">
        <v>0</v>
      </c>
    </row>
    <row r="351" spans="31:37" x14ac:dyDescent="0.25">
      <c r="AE351" s="43" t="s">
        <v>104</v>
      </c>
      <c r="AF351" s="43" t="s">
        <v>60</v>
      </c>
      <c r="AG351" s="43" t="s">
        <v>28</v>
      </c>
      <c r="AH351">
        <v>2</v>
      </c>
      <c r="AI351" s="43" t="s">
        <v>330</v>
      </c>
      <c r="AJ351" s="43" t="s">
        <v>309</v>
      </c>
      <c r="AK351">
        <v>0</v>
      </c>
    </row>
    <row r="352" spans="31:37" x14ac:dyDescent="0.25">
      <c r="AE352" s="43" t="s">
        <v>104</v>
      </c>
      <c r="AF352" s="43" t="s">
        <v>60</v>
      </c>
      <c r="AG352" s="43" t="s">
        <v>28</v>
      </c>
      <c r="AH352">
        <v>2</v>
      </c>
      <c r="AI352" s="43" t="s">
        <v>330</v>
      </c>
      <c r="AJ352" s="43" t="s">
        <v>268</v>
      </c>
      <c r="AK352">
        <v>0</v>
      </c>
    </row>
    <row r="353" spans="31:37" x14ac:dyDescent="0.25">
      <c r="AE353" s="43" t="s">
        <v>104</v>
      </c>
      <c r="AF353" s="43" t="s">
        <v>60</v>
      </c>
      <c r="AG353" s="43" t="s">
        <v>28</v>
      </c>
      <c r="AH353">
        <v>2</v>
      </c>
      <c r="AI353" s="43" t="s">
        <v>343</v>
      </c>
      <c r="AJ353" s="43" t="s">
        <v>308</v>
      </c>
      <c r="AK353">
        <v>4.4000000000000004</v>
      </c>
    </row>
    <row r="354" spans="31:37" x14ac:dyDescent="0.25">
      <c r="AE354" s="43" t="s">
        <v>104</v>
      </c>
      <c r="AF354" s="43" t="s">
        <v>60</v>
      </c>
      <c r="AG354" s="43" t="s">
        <v>28</v>
      </c>
      <c r="AH354">
        <v>2</v>
      </c>
      <c r="AI354" s="43" t="s">
        <v>343</v>
      </c>
      <c r="AJ354" s="43" t="s">
        <v>309</v>
      </c>
      <c r="AK354">
        <v>4.5</v>
      </c>
    </row>
    <row r="355" spans="31:37" x14ac:dyDescent="0.25">
      <c r="AE355" s="43" t="s">
        <v>104</v>
      </c>
      <c r="AF355" s="43" t="s">
        <v>60</v>
      </c>
      <c r="AG355" s="43" t="s">
        <v>28</v>
      </c>
      <c r="AH355">
        <v>2</v>
      </c>
      <c r="AI355" s="43" t="s">
        <v>343</v>
      </c>
      <c r="AJ355" s="43" t="s">
        <v>268</v>
      </c>
      <c r="AK355">
        <v>8.9</v>
      </c>
    </row>
    <row r="356" spans="31:37" x14ac:dyDescent="0.25">
      <c r="AE356" s="43" t="s">
        <v>104</v>
      </c>
      <c r="AF356" s="43" t="s">
        <v>60</v>
      </c>
      <c r="AG356" s="43" t="s">
        <v>28</v>
      </c>
      <c r="AH356">
        <v>2</v>
      </c>
      <c r="AI356" s="43" t="s">
        <v>341</v>
      </c>
      <c r="AJ356" s="43" t="s">
        <v>308</v>
      </c>
      <c r="AK356">
        <v>8.9</v>
      </c>
    </row>
    <row r="357" spans="31:37" x14ac:dyDescent="0.25">
      <c r="AE357" s="43" t="s">
        <v>104</v>
      </c>
      <c r="AF357" s="43" t="s">
        <v>60</v>
      </c>
      <c r="AG357" s="43" t="s">
        <v>28</v>
      </c>
      <c r="AH357">
        <v>2</v>
      </c>
      <c r="AI357" s="43" t="s">
        <v>341</v>
      </c>
      <c r="AJ357" s="43" t="s">
        <v>309</v>
      </c>
      <c r="AK357">
        <v>10.7</v>
      </c>
    </row>
    <row r="358" spans="31:37" x14ac:dyDescent="0.25">
      <c r="AE358" s="43" t="s">
        <v>104</v>
      </c>
      <c r="AF358" s="43" t="s">
        <v>60</v>
      </c>
      <c r="AG358" s="43" t="s">
        <v>28</v>
      </c>
      <c r="AH358">
        <v>2</v>
      </c>
      <c r="AI358" s="43" t="s">
        <v>341</v>
      </c>
      <c r="AJ358" s="43" t="s">
        <v>268</v>
      </c>
      <c r="AK358">
        <v>19.600000000000001</v>
      </c>
    </row>
    <row r="359" spans="31:37" x14ac:dyDescent="0.25">
      <c r="AE359" s="43" t="s">
        <v>104</v>
      </c>
      <c r="AF359" s="43" t="s">
        <v>60</v>
      </c>
      <c r="AG359" s="43" t="s">
        <v>28</v>
      </c>
      <c r="AH359">
        <v>2</v>
      </c>
      <c r="AI359" s="43" t="s">
        <v>273</v>
      </c>
      <c r="AJ359" s="43" t="s">
        <v>308</v>
      </c>
      <c r="AK359">
        <v>0</v>
      </c>
    </row>
    <row r="360" spans="31:37" x14ac:dyDescent="0.25">
      <c r="AE360" s="43" t="s">
        <v>104</v>
      </c>
      <c r="AF360" s="43" t="s">
        <v>60</v>
      </c>
      <c r="AG360" s="43" t="s">
        <v>28</v>
      </c>
      <c r="AH360">
        <v>2</v>
      </c>
      <c r="AI360" s="43" t="s">
        <v>273</v>
      </c>
      <c r="AJ360" s="43" t="s">
        <v>309</v>
      </c>
      <c r="AK360">
        <v>0</v>
      </c>
    </row>
    <row r="361" spans="31:37" x14ac:dyDescent="0.25">
      <c r="AE361" s="43" t="s">
        <v>104</v>
      </c>
      <c r="AF361" s="43" t="s">
        <v>60</v>
      </c>
      <c r="AG361" s="43" t="s">
        <v>28</v>
      </c>
      <c r="AH361">
        <v>2</v>
      </c>
      <c r="AI361" s="43" t="s">
        <v>273</v>
      </c>
      <c r="AJ361" s="43" t="s">
        <v>268</v>
      </c>
      <c r="AK361">
        <v>0</v>
      </c>
    </row>
    <row r="362" spans="31:37" x14ac:dyDescent="0.25">
      <c r="AE362" s="43" t="s">
        <v>142</v>
      </c>
      <c r="AF362" s="43" t="s">
        <v>60</v>
      </c>
      <c r="AG362" s="43" t="s">
        <v>62</v>
      </c>
      <c r="AH362">
        <v>1</v>
      </c>
      <c r="AI362" s="43" t="s">
        <v>317</v>
      </c>
      <c r="AJ362" s="43" t="s">
        <v>308</v>
      </c>
      <c r="AK362">
        <v>4.5</v>
      </c>
    </row>
    <row r="363" spans="31:37" x14ac:dyDescent="0.25">
      <c r="AE363" s="43" t="s">
        <v>142</v>
      </c>
      <c r="AF363" s="43" t="s">
        <v>60</v>
      </c>
      <c r="AG363" s="43" t="s">
        <v>62</v>
      </c>
      <c r="AH363">
        <v>1</v>
      </c>
      <c r="AI363" s="43" t="s">
        <v>317</v>
      </c>
      <c r="AJ363" s="43" t="s">
        <v>309</v>
      </c>
      <c r="AK363">
        <v>8.6999999999999993</v>
      </c>
    </row>
    <row r="364" spans="31:37" x14ac:dyDescent="0.25">
      <c r="AE364" s="43" t="s">
        <v>142</v>
      </c>
      <c r="AF364" s="43" t="s">
        <v>60</v>
      </c>
      <c r="AG364" s="43" t="s">
        <v>62</v>
      </c>
      <c r="AH364">
        <v>1</v>
      </c>
      <c r="AI364" s="43" t="s">
        <v>317</v>
      </c>
      <c r="AJ364" s="43" t="s">
        <v>268</v>
      </c>
      <c r="AK364">
        <v>13.2</v>
      </c>
    </row>
    <row r="365" spans="31:37" x14ac:dyDescent="0.25">
      <c r="AE365" s="43" t="s">
        <v>142</v>
      </c>
      <c r="AF365" s="43" t="s">
        <v>60</v>
      </c>
      <c r="AG365" s="43" t="s">
        <v>62</v>
      </c>
      <c r="AH365">
        <v>1</v>
      </c>
      <c r="AI365" s="43" t="s">
        <v>325</v>
      </c>
      <c r="AJ365" s="43" t="s">
        <v>308</v>
      </c>
      <c r="AK365">
        <v>0</v>
      </c>
    </row>
    <row r="366" spans="31:37" x14ac:dyDescent="0.25">
      <c r="AE366" s="43" t="s">
        <v>142</v>
      </c>
      <c r="AF366" s="43" t="s">
        <v>60</v>
      </c>
      <c r="AG366" s="43" t="s">
        <v>62</v>
      </c>
      <c r="AH366">
        <v>1</v>
      </c>
      <c r="AI366" s="43" t="s">
        <v>325</v>
      </c>
      <c r="AJ366" s="43" t="s">
        <v>309</v>
      </c>
      <c r="AK366">
        <v>0</v>
      </c>
    </row>
    <row r="367" spans="31:37" x14ac:dyDescent="0.25">
      <c r="AE367" s="43" t="s">
        <v>142</v>
      </c>
      <c r="AF367" s="43" t="s">
        <v>60</v>
      </c>
      <c r="AG367" s="43" t="s">
        <v>62</v>
      </c>
      <c r="AH367">
        <v>1</v>
      </c>
      <c r="AI367" s="43" t="s">
        <v>325</v>
      </c>
      <c r="AJ367" s="43" t="s">
        <v>268</v>
      </c>
      <c r="AK367">
        <v>0</v>
      </c>
    </row>
    <row r="368" spans="31:37" x14ac:dyDescent="0.25">
      <c r="AE368" s="43" t="s">
        <v>142</v>
      </c>
      <c r="AF368" s="43" t="s">
        <v>60</v>
      </c>
      <c r="AG368" s="43" t="s">
        <v>62</v>
      </c>
      <c r="AH368">
        <v>1</v>
      </c>
      <c r="AI368" s="43" t="s">
        <v>330</v>
      </c>
      <c r="AJ368" s="43" t="s">
        <v>308</v>
      </c>
      <c r="AK368">
        <v>0</v>
      </c>
    </row>
    <row r="369" spans="31:37" x14ac:dyDescent="0.25">
      <c r="AE369" s="43" t="s">
        <v>142</v>
      </c>
      <c r="AF369" s="43" t="s">
        <v>60</v>
      </c>
      <c r="AG369" s="43" t="s">
        <v>62</v>
      </c>
      <c r="AH369">
        <v>1</v>
      </c>
      <c r="AI369" s="43" t="s">
        <v>330</v>
      </c>
      <c r="AJ369" s="43" t="s">
        <v>309</v>
      </c>
      <c r="AK369">
        <v>0</v>
      </c>
    </row>
    <row r="370" spans="31:37" x14ac:dyDescent="0.25">
      <c r="AE370" s="43" t="s">
        <v>142</v>
      </c>
      <c r="AF370" s="43" t="s">
        <v>60</v>
      </c>
      <c r="AG370" s="43" t="s">
        <v>62</v>
      </c>
      <c r="AH370">
        <v>1</v>
      </c>
      <c r="AI370" s="43" t="s">
        <v>330</v>
      </c>
      <c r="AJ370" s="43" t="s">
        <v>268</v>
      </c>
      <c r="AK370">
        <v>0</v>
      </c>
    </row>
    <row r="371" spans="31:37" x14ac:dyDescent="0.25">
      <c r="AE371" s="43" t="s">
        <v>142</v>
      </c>
      <c r="AF371" s="43" t="s">
        <v>60</v>
      </c>
      <c r="AG371" s="43" t="s">
        <v>62</v>
      </c>
      <c r="AH371">
        <v>1</v>
      </c>
      <c r="AI371" s="43" t="s">
        <v>343</v>
      </c>
      <c r="AJ371" s="43" t="s">
        <v>308</v>
      </c>
      <c r="AK371">
        <v>0</v>
      </c>
    </row>
    <row r="372" spans="31:37" x14ac:dyDescent="0.25">
      <c r="AE372" s="43" t="s">
        <v>142</v>
      </c>
      <c r="AF372" s="43" t="s">
        <v>60</v>
      </c>
      <c r="AG372" s="43" t="s">
        <v>62</v>
      </c>
      <c r="AH372">
        <v>1</v>
      </c>
      <c r="AI372" s="43" t="s">
        <v>343</v>
      </c>
      <c r="AJ372" s="43" t="s">
        <v>309</v>
      </c>
      <c r="AK372">
        <v>0</v>
      </c>
    </row>
    <row r="373" spans="31:37" x14ac:dyDescent="0.25">
      <c r="AE373" s="43" t="s">
        <v>142</v>
      </c>
      <c r="AF373" s="43" t="s">
        <v>60</v>
      </c>
      <c r="AG373" s="43" t="s">
        <v>62</v>
      </c>
      <c r="AH373">
        <v>1</v>
      </c>
      <c r="AI373" s="43" t="s">
        <v>343</v>
      </c>
      <c r="AJ373" s="43" t="s">
        <v>268</v>
      </c>
      <c r="AK373">
        <v>0</v>
      </c>
    </row>
    <row r="374" spans="31:37" x14ac:dyDescent="0.25">
      <c r="AE374" s="43" t="s">
        <v>142</v>
      </c>
      <c r="AF374" s="43" t="s">
        <v>60</v>
      </c>
      <c r="AG374" s="43" t="s">
        <v>62</v>
      </c>
      <c r="AH374">
        <v>1</v>
      </c>
      <c r="AI374" s="43" t="s">
        <v>341</v>
      </c>
      <c r="AJ374" s="43" t="s">
        <v>308</v>
      </c>
      <c r="AK374">
        <v>4.5</v>
      </c>
    </row>
    <row r="375" spans="31:37" x14ac:dyDescent="0.25">
      <c r="AE375" s="43" t="s">
        <v>142</v>
      </c>
      <c r="AF375" s="43" t="s">
        <v>60</v>
      </c>
      <c r="AG375" s="43" t="s">
        <v>62</v>
      </c>
      <c r="AH375">
        <v>1</v>
      </c>
      <c r="AI375" s="43" t="s">
        <v>341</v>
      </c>
      <c r="AJ375" s="43" t="s">
        <v>309</v>
      </c>
      <c r="AK375">
        <v>8.6999999999999993</v>
      </c>
    </row>
    <row r="376" spans="31:37" x14ac:dyDescent="0.25">
      <c r="AE376" s="43" t="s">
        <v>142</v>
      </c>
      <c r="AF376" s="43" t="s">
        <v>60</v>
      </c>
      <c r="AG376" s="43" t="s">
        <v>62</v>
      </c>
      <c r="AH376">
        <v>1</v>
      </c>
      <c r="AI376" s="43" t="s">
        <v>341</v>
      </c>
      <c r="AJ376" s="43" t="s">
        <v>268</v>
      </c>
      <c r="AK376">
        <v>13.2</v>
      </c>
    </row>
    <row r="377" spans="31:37" x14ac:dyDescent="0.25">
      <c r="AE377" s="43" t="s">
        <v>142</v>
      </c>
      <c r="AF377" s="43" t="s">
        <v>60</v>
      </c>
      <c r="AG377" s="43" t="s">
        <v>62</v>
      </c>
      <c r="AH377">
        <v>1</v>
      </c>
      <c r="AI377" s="43" t="s">
        <v>273</v>
      </c>
      <c r="AJ377" s="43" t="s">
        <v>308</v>
      </c>
      <c r="AK377">
        <v>0</v>
      </c>
    </row>
    <row r="378" spans="31:37" x14ac:dyDescent="0.25">
      <c r="AE378" s="43" t="s">
        <v>142</v>
      </c>
      <c r="AF378" s="43" t="s">
        <v>60</v>
      </c>
      <c r="AG378" s="43" t="s">
        <v>62</v>
      </c>
      <c r="AH378">
        <v>1</v>
      </c>
      <c r="AI378" s="43" t="s">
        <v>273</v>
      </c>
      <c r="AJ378" s="43" t="s">
        <v>309</v>
      </c>
      <c r="AK378">
        <v>0</v>
      </c>
    </row>
    <row r="379" spans="31:37" x14ac:dyDescent="0.25">
      <c r="AE379" s="43" t="s">
        <v>142</v>
      </c>
      <c r="AF379" s="43" t="s">
        <v>60</v>
      </c>
      <c r="AG379" s="43" t="s">
        <v>62</v>
      </c>
      <c r="AH379">
        <v>1</v>
      </c>
      <c r="AI379" s="43" t="s">
        <v>273</v>
      </c>
      <c r="AJ379" s="43" t="s">
        <v>268</v>
      </c>
      <c r="AK379">
        <v>0</v>
      </c>
    </row>
    <row r="380" spans="31:37" x14ac:dyDescent="0.25">
      <c r="AE380" s="43" t="s">
        <v>118</v>
      </c>
      <c r="AF380" s="43" t="s">
        <v>60</v>
      </c>
      <c r="AG380" s="43" t="s">
        <v>31</v>
      </c>
      <c r="AH380">
        <v>1</v>
      </c>
      <c r="AI380" s="43" t="s">
        <v>317</v>
      </c>
      <c r="AJ380" s="43" t="s">
        <v>308</v>
      </c>
      <c r="AK380">
        <v>0</v>
      </c>
    </row>
    <row r="381" spans="31:37" x14ac:dyDescent="0.25">
      <c r="AE381" s="43" t="s">
        <v>118</v>
      </c>
      <c r="AF381" s="43" t="s">
        <v>60</v>
      </c>
      <c r="AG381" s="43" t="s">
        <v>31</v>
      </c>
      <c r="AH381">
        <v>1</v>
      </c>
      <c r="AI381" s="43" t="s">
        <v>317</v>
      </c>
      <c r="AJ381" s="43" t="s">
        <v>309</v>
      </c>
      <c r="AK381">
        <v>0</v>
      </c>
    </row>
    <row r="382" spans="31:37" x14ac:dyDescent="0.25">
      <c r="AE382" s="43" t="s">
        <v>118</v>
      </c>
      <c r="AF382" s="43" t="s">
        <v>60</v>
      </c>
      <c r="AG382" s="43" t="s">
        <v>31</v>
      </c>
      <c r="AH382">
        <v>1</v>
      </c>
      <c r="AI382" s="43" t="s">
        <v>317</v>
      </c>
      <c r="AJ382" s="43" t="s">
        <v>268</v>
      </c>
      <c r="AK382">
        <v>0</v>
      </c>
    </row>
    <row r="383" spans="31:37" x14ac:dyDescent="0.25">
      <c r="AE383" s="43" t="s">
        <v>118</v>
      </c>
      <c r="AF383" s="43" t="s">
        <v>60</v>
      </c>
      <c r="AG383" s="43" t="s">
        <v>31</v>
      </c>
      <c r="AH383">
        <v>1</v>
      </c>
      <c r="AI383" s="43" t="s">
        <v>325</v>
      </c>
      <c r="AJ383" s="43" t="s">
        <v>308</v>
      </c>
      <c r="AK383">
        <v>0</v>
      </c>
    </row>
    <row r="384" spans="31:37" x14ac:dyDescent="0.25">
      <c r="AE384" s="43" t="s">
        <v>118</v>
      </c>
      <c r="AF384" s="43" t="s">
        <v>60</v>
      </c>
      <c r="AG384" s="43" t="s">
        <v>31</v>
      </c>
      <c r="AH384">
        <v>1</v>
      </c>
      <c r="AI384" s="43" t="s">
        <v>325</v>
      </c>
      <c r="AJ384" s="43" t="s">
        <v>309</v>
      </c>
      <c r="AK384">
        <v>0</v>
      </c>
    </row>
    <row r="385" spans="31:37" x14ac:dyDescent="0.25">
      <c r="AE385" s="43" t="s">
        <v>118</v>
      </c>
      <c r="AF385" s="43" t="s">
        <v>60</v>
      </c>
      <c r="AG385" s="43" t="s">
        <v>31</v>
      </c>
      <c r="AH385">
        <v>1</v>
      </c>
      <c r="AI385" s="43" t="s">
        <v>325</v>
      </c>
      <c r="AJ385" s="43" t="s">
        <v>268</v>
      </c>
      <c r="AK385">
        <v>0</v>
      </c>
    </row>
    <row r="386" spans="31:37" x14ac:dyDescent="0.25">
      <c r="AE386" s="43" t="s">
        <v>118</v>
      </c>
      <c r="AF386" s="43" t="s">
        <v>60</v>
      </c>
      <c r="AG386" s="43" t="s">
        <v>31</v>
      </c>
      <c r="AH386">
        <v>1</v>
      </c>
      <c r="AI386" s="43" t="s">
        <v>330</v>
      </c>
      <c r="AJ386" s="43" t="s">
        <v>308</v>
      </c>
      <c r="AK386">
        <v>4.8</v>
      </c>
    </row>
    <row r="387" spans="31:37" x14ac:dyDescent="0.25">
      <c r="AE387" s="43" t="s">
        <v>118</v>
      </c>
      <c r="AF387" s="43" t="s">
        <v>60</v>
      </c>
      <c r="AG387" s="43" t="s">
        <v>31</v>
      </c>
      <c r="AH387">
        <v>1</v>
      </c>
      <c r="AI387" s="43" t="s">
        <v>330</v>
      </c>
      <c r="AJ387" s="43" t="s">
        <v>309</v>
      </c>
      <c r="AK387">
        <v>7.7</v>
      </c>
    </row>
    <row r="388" spans="31:37" x14ac:dyDescent="0.25">
      <c r="AE388" s="43" t="s">
        <v>118</v>
      </c>
      <c r="AF388" s="43" t="s">
        <v>60</v>
      </c>
      <c r="AG388" s="43" t="s">
        <v>31</v>
      </c>
      <c r="AH388">
        <v>1</v>
      </c>
      <c r="AI388" s="43" t="s">
        <v>330</v>
      </c>
      <c r="AJ388" s="43" t="s">
        <v>268</v>
      </c>
      <c r="AK388">
        <v>12.5</v>
      </c>
    </row>
    <row r="389" spans="31:37" x14ac:dyDescent="0.25">
      <c r="AE389" s="43" t="s">
        <v>118</v>
      </c>
      <c r="AF389" s="43" t="s">
        <v>60</v>
      </c>
      <c r="AG389" s="43" t="s">
        <v>31</v>
      </c>
      <c r="AH389">
        <v>1</v>
      </c>
      <c r="AI389" s="43" t="s">
        <v>343</v>
      </c>
      <c r="AJ389" s="43" t="s">
        <v>308</v>
      </c>
      <c r="AK389">
        <v>0</v>
      </c>
    </row>
    <row r="390" spans="31:37" x14ac:dyDescent="0.25">
      <c r="AE390" s="43" t="s">
        <v>118</v>
      </c>
      <c r="AF390" s="43" t="s">
        <v>60</v>
      </c>
      <c r="AG390" s="43" t="s">
        <v>31</v>
      </c>
      <c r="AH390">
        <v>1</v>
      </c>
      <c r="AI390" s="43" t="s">
        <v>343</v>
      </c>
      <c r="AJ390" s="43" t="s">
        <v>309</v>
      </c>
      <c r="AK390">
        <v>0</v>
      </c>
    </row>
    <row r="391" spans="31:37" x14ac:dyDescent="0.25">
      <c r="AE391" s="43" t="s">
        <v>118</v>
      </c>
      <c r="AF391" s="43" t="s">
        <v>60</v>
      </c>
      <c r="AG391" s="43" t="s">
        <v>31</v>
      </c>
      <c r="AH391">
        <v>1</v>
      </c>
      <c r="AI391" s="43" t="s">
        <v>343</v>
      </c>
      <c r="AJ391" s="43" t="s">
        <v>268</v>
      </c>
      <c r="AK391">
        <v>0</v>
      </c>
    </row>
    <row r="392" spans="31:37" x14ac:dyDescent="0.25">
      <c r="AE392" s="43" t="s">
        <v>118</v>
      </c>
      <c r="AF392" s="43" t="s">
        <v>60</v>
      </c>
      <c r="AG392" s="43" t="s">
        <v>31</v>
      </c>
      <c r="AH392">
        <v>1</v>
      </c>
      <c r="AI392" s="43" t="s">
        <v>341</v>
      </c>
      <c r="AJ392" s="43" t="s">
        <v>308</v>
      </c>
      <c r="AK392">
        <v>4.8</v>
      </c>
    </row>
    <row r="393" spans="31:37" x14ac:dyDescent="0.25">
      <c r="AE393" s="43" t="s">
        <v>118</v>
      </c>
      <c r="AF393" s="43" t="s">
        <v>60</v>
      </c>
      <c r="AG393" s="43" t="s">
        <v>31</v>
      </c>
      <c r="AH393">
        <v>1</v>
      </c>
      <c r="AI393" s="43" t="s">
        <v>341</v>
      </c>
      <c r="AJ393" s="43" t="s">
        <v>309</v>
      </c>
      <c r="AK393">
        <v>7.7</v>
      </c>
    </row>
    <row r="394" spans="31:37" x14ac:dyDescent="0.25">
      <c r="AE394" s="43" t="s">
        <v>118</v>
      </c>
      <c r="AF394" s="43" t="s">
        <v>60</v>
      </c>
      <c r="AG394" s="43" t="s">
        <v>31</v>
      </c>
      <c r="AH394">
        <v>1</v>
      </c>
      <c r="AI394" s="43" t="s">
        <v>341</v>
      </c>
      <c r="AJ394" s="43" t="s">
        <v>268</v>
      </c>
      <c r="AK394">
        <v>12.5</v>
      </c>
    </row>
    <row r="395" spans="31:37" x14ac:dyDescent="0.25">
      <c r="AE395" s="43" t="s">
        <v>118</v>
      </c>
      <c r="AF395" s="43" t="s">
        <v>60</v>
      </c>
      <c r="AG395" s="43" t="s">
        <v>31</v>
      </c>
      <c r="AH395">
        <v>1</v>
      </c>
      <c r="AI395" s="43" t="s">
        <v>273</v>
      </c>
      <c r="AJ395" s="43" t="s">
        <v>308</v>
      </c>
      <c r="AK395">
        <v>0</v>
      </c>
    </row>
    <row r="396" spans="31:37" x14ac:dyDescent="0.25">
      <c r="AE396" s="43" t="s">
        <v>118</v>
      </c>
      <c r="AF396" s="43" t="s">
        <v>60</v>
      </c>
      <c r="AG396" s="43" t="s">
        <v>31</v>
      </c>
      <c r="AH396">
        <v>1</v>
      </c>
      <c r="AI396" s="43" t="s">
        <v>273</v>
      </c>
      <c r="AJ396" s="43" t="s">
        <v>309</v>
      </c>
      <c r="AK396">
        <v>0</v>
      </c>
    </row>
    <row r="397" spans="31:37" x14ac:dyDescent="0.25">
      <c r="AE397" s="43" t="s">
        <v>118</v>
      </c>
      <c r="AF397" s="43" t="s">
        <v>60</v>
      </c>
      <c r="AG397" s="43" t="s">
        <v>31</v>
      </c>
      <c r="AH397">
        <v>1</v>
      </c>
      <c r="AI397" s="43" t="s">
        <v>273</v>
      </c>
      <c r="AJ397" s="43" t="s">
        <v>268</v>
      </c>
      <c r="AK397">
        <v>0</v>
      </c>
    </row>
    <row r="398" spans="31:37" x14ac:dyDescent="0.25">
      <c r="AE398" s="43" t="s">
        <v>129</v>
      </c>
      <c r="AF398" s="43" t="s">
        <v>60</v>
      </c>
      <c r="AG398" s="43" t="s">
        <v>72</v>
      </c>
      <c r="AH398">
        <v>1</v>
      </c>
      <c r="AI398" s="43" t="s">
        <v>317</v>
      </c>
      <c r="AJ398" s="43" t="s">
        <v>308</v>
      </c>
      <c r="AK398">
        <v>0</v>
      </c>
    </row>
    <row r="399" spans="31:37" x14ac:dyDescent="0.25">
      <c r="AE399" s="43" t="s">
        <v>129</v>
      </c>
      <c r="AF399" s="43" t="s">
        <v>60</v>
      </c>
      <c r="AG399" s="43" t="s">
        <v>72</v>
      </c>
      <c r="AH399">
        <v>1</v>
      </c>
      <c r="AI399" s="43" t="s">
        <v>317</v>
      </c>
      <c r="AJ399" s="43" t="s">
        <v>309</v>
      </c>
      <c r="AK399">
        <v>0</v>
      </c>
    </row>
    <row r="400" spans="31:37" x14ac:dyDescent="0.25">
      <c r="AE400" s="43" t="s">
        <v>129</v>
      </c>
      <c r="AF400" s="43" t="s">
        <v>60</v>
      </c>
      <c r="AG400" s="43" t="s">
        <v>72</v>
      </c>
      <c r="AH400">
        <v>1</v>
      </c>
      <c r="AI400" s="43" t="s">
        <v>317</v>
      </c>
      <c r="AJ400" s="43" t="s">
        <v>268</v>
      </c>
      <c r="AK400">
        <v>0</v>
      </c>
    </row>
    <row r="401" spans="31:37" x14ac:dyDescent="0.25">
      <c r="AE401" s="43" t="s">
        <v>129</v>
      </c>
      <c r="AF401" s="43" t="s">
        <v>60</v>
      </c>
      <c r="AG401" s="43" t="s">
        <v>72</v>
      </c>
      <c r="AH401">
        <v>1</v>
      </c>
      <c r="AI401" s="43" t="s">
        <v>325</v>
      </c>
      <c r="AJ401" s="43" t="s">
        <v>308</v>
      </c>
      <c r="AK401">
        <v>0</v>
      </c>
    </row>
    <row r="402" spans="31:37" x14ac:dyDescent="0.25">
      <c r="AE402" s="43" t="s">
        <v>129</v>
      </c>
      <c r="AF402" s="43" t="s">
        <v>60</v>
      </c>
      <c r="AG402" s="43" t="s">
        <v>72</v>
      </c>
      <c r="AH402">
        <v>1</v>
      </c>
      <c r="AI402" s="43" t="s">
        <v>325</v>
      </c>
      <c r="AJ402" s="43" t="s">
        <v>309</v>
      </c>
      <c r="AK402">
        <v>0</v>
      </c>
    </row>
    <row r="403" spans="31:37" x14ac:dyDescent="0.25">
      <c r="AE403" s="43" t="s">
        <v>129</v>
      </c>
      <c r="AF403" s="43" t="s">
        <v>60</v>
      </c>
      <c r="AG403" s="43" t="s">
        <v>72</v>
      </c>
      <c r="AH403">
        <v>1</v>
      </c>
      <c r="AI403" s="43" t="s">
        <v>325</v>
      </c>
      <c r="AJ403" s="43" t="s">
        <v>268</v>
      </c>
      <c r="AK403">
        <v>0</v>
      </c>
    </row>
    <row r="404" spans="31:37" x14ac:dyDescent="0.25">
      <c r="AE404" s="43" t="s">
        <v>129</v>
      </c>
      <c r="AF404" s="43" t="s">
        <v>60</v>
      </c>
      <c r="AG404" s="43" t="s">
        <v>72</v>
      </c>
      <c r="AH404">
        <v>1</v>
      </c>
      <c r="AI404" s="43" t="s">
        <v>330</v>
      </c>
      <c r="AJ404" s="43" t="s">
        <v>308</v>
      </c>
      <c r="AK404">
        <v>4.4000000000000004</v>
      </c>
    </row>
    <row r="405" spans="31:37" x14ac:dyDescent="0.25">
      <c r="AE405" s="43" t="s">
        <v>129</v>
      </c>
      <c r="AF405" s="43" t="s">
        <v>60</v>
      </c>
      <c r="AG405" s="43" t="s">
        <v>72</v>
      </c>
      <c r="AH405">
        <v>1</v>
      </c>
      <c r="AI405" s="43" t="s">
        <v>330</v>
      </c>
      <c r="AJ405" s="43" t="s">
        <v>309</v>
      </c>
      <c r="AK405">
        <v>7.05</v>
      </c>
    </row>
    <row r="406" spans="31:37" x14ac:dyDescent="0.25">
      <c r="AE406" s="43" t="s">
        <v>129</v>
      </c>
      <c r="AF406" s="43" t="s">
        <v>60</v>
      </c>
      <c r="AG406" s="43" t="s">
        <v>72</v>
      </c>
      <c r="AH406">
        <v>1</v>
      </c>
      <c r="AI406" s="43" t="s">
        <v>330</v>
      </c>
      <c r="AJ406" s="43" t="s">
        <v>268</v>
      </c>
      <c r="AK406">
        <v>11.45</v>
      </c>
    </row>
    <row r="407" spans="31:37" x14ac:dyDescent="0.25">
      <c r="AE407" s="43" t="s">
        <v>129</v>
      </c>
      <c r="AF407" s="43" t="s">
        <v>60</v>
      </c>
      <c r="AG407" s="43" t="s">
        <v>72</v>
      </c>
      <c r="AH407">
        <v>1</v>
      </c>
      <c r="AI407" s="43" t="s">
        <v>343</v>
      </c>
      <c r="AJ407" s="43" t="s">
        <v>308</v>
      </c>
      <c r="AK407">
        <v>0</v>
      </c>
    </row>
    <row r="408" spans="31:37" x14ac:dyDescent="0.25">
      <c r="AE408" s="43" t="s">
        <v>129</v>
      </c>
      <c r="AF408" s="43" t="s">
        <v>60</v>
      </c>
      <c r="AG408" s="43" t="s">
        <v>72</v>
      </c>
      <c r="AH408">
        <v>1</v>
      </c>
      <c r="AI408" s="43" t="s">
        <v>343</v>
      </c>
      <c r="AJ408" s="43" t="s">
        <v>309</v>
      </c>
      <c r="AK408">
        <v>0</v>
      </c>
    </row>
    <row r="409" spans="31:37" x14ac:dyDescent="0.25">
      <c r="AE409" s="43" t="s">
        <v>129</v>
      </c>
      <c r="AF409" s="43" t="s">
        <v>60</v>
      </c>
      <c r="AG409" s="43" t="s">
        <v>72</v>
      </c>
      <c r="AH409">
        <v>1</v>
      </c>
      <c r="AI409" s="43" t="s">
        <v>343</v>
      </c>
      <c r="AJ409" s="43" t="s">
        <v>268</v>
      </c>
      <c r="AK409">
        <v>0</v>
      </c>
    </row>
    <row r="410" spans="31:37" x14ac:dyDescent="0.25">
      <c r="AE410" s="43" t="s">
        <v>129</v>
      </c>
      <c r="AF410" s="43" t="s">
        <v>60</v>
      </c>
      <c r="AG410" s="43" t="s">
        <v>72</v>
      </c>
      <c r="AH410">
        <v>1</v>
      </c>
      <c r="AI410" s="43" t="s">
        <v>341</v>
      </c>
      <c r="AJ410" s="43" t="s">
        <v>308</v>
      </c>
      <c r="AK410">
        <v>4.4000000000000004</v>
      </c>
    </row>
    <row r="411" spans="31:37" x14ac:dyDescent="0.25">
      <c r="AE411" s="43" t="s">
        <v>129</v>
      </c>
      <c r="AF411" s="43" t="s">
        <v>60</v>
      </c>
      <c r="AG411" s="43" t="s">
        <v>72</v>
      </c>
      <c r="AH411">
        <v>1</v>
      </c>
      <c r="AI411" s="43" t="s">
        <v>341</v>
      </c>
      <c r="AJ411" s="43" t="s">
        <v>309</v>
      </c>
      <c r="AK411">
        <v>7.05</v>
      </c>
    </row>
    <row r="412" spans="31:37" x14ac:dyDescent="0.25">
      <c r="AE412" s="43" t="s">
        <v>129</v>
      </c>
      <c r="AF412" s="43" t="s">
        <v>60</v>
      </c>
      <c r="AG412" s="43" t="s">
        <v>72</v>
      </c>
      <c r="AH412">
        <v>1</v>
      </c>
      <c r="AI412" s="43" t="s">
        <v>341</v>
      </c>
      <c r="AJ412" s="43" t="s">
        <v>268</v>
      </c>
      <c r="AK412">
        <v>11.45</v>
      </c>
    </row>
    <row r="413" spans="31:37" x14ac:dyDescent="0.25">
      <c r="AE413" s="43" t="s">
        <v>129</v>
      </c>
      <c r="AF413" s="43" t="s">
        <v>60</v>
      </c>
      <c r="AG413" s="43" t="s">
        <v>72</v>
      </c>
      <c r="AH413">
        <v>1</v>
      </c>
      <c r="AI413" s="43" t="s">
        <v>273</v>
      </c>
      <c r="AJ413" s="43" t="s">
        <v>308</v>
      </c>
      <c r="AK413">
        <v>0</v>
      </c>
    </row>
    <row r="414" spans="31:37" x14ac:dyDescent="0.25">
      <c r="AE414" s="43" t="s">
        <v>129</v>
      </c>
      <c r="AF414" s="43" t="s">
        <v>60</v>
      </c>
      <c r="AG414" s="43" t="s">
        <v>72</v>
      </c>
      <c r="AH414">
        <v>1</v>
      </c>
      <c r="AI414" s="43" t="s">
        <v>273</v>
      </c>
      <c r="AJ414" s="43" t="s">
        <v>309</v>
      </c>
      <c r="AK414">
        <v>0</v>
      </c>
    </row>
    <row r="415" spans="31:37" x14ac:dyDescent="0.25">
      <c r="AE415" s="43" t="s">
        <v>129</v>
      </c>
      <c r="AF415" s="43" t="s">
        <v>60</v>
      </c>
      <c r="AG415" s="43" t="s">
        <v>72</v>
      </c>
      <c r="AH415">
        <v>1</v>
      </c>
      <c r="AI415" s="43" t="s">
        <v>273</v>
      </c>
      <c r="AJ415" s="43" t="s">
        <v>268</v>
      </c>
      <c r="AK415">
        <v>0</v>
      </c>
    </row>
    <row r="416" spans="31:37" x14ac:dyDescent="0.25">
      <c r="AE416" s="43" t="s">
        <v>88</v>
      </c>
      <c r="AF416" s="43" t="s">
        <v>60</v>
      </c>
      <c r="AG416" s="43" t="s">
        <v>36</v>
      </c>
      <c r="AH416">
        <v>1</v>
      </c>
      <c r="AI416" s="43" t="s">
        <v>317</v>
      </c>
      <c r="AJ416" s="43" t="s">
        <v>308</v>
      </c>
      <c r="AK416">
        <v>0</v>
      </c>
    </row>
    <row r="417" spans="31:37" x14ac:dyDescent="0.25">
      <c r="AE417" s="43" t="s">
        <v>88</v>
      </c>
      <c r="AF417" s="43" t="s">
        <v>60</v>
      </c>
      <c r="AG417" s="43" t="s">
        <v>36</v>
      </c>
      <c r="AH417">
        <v>1</v>
      </c>
      <c r="AI417" s="43" t="s">
        <v>317</v>
      </c>
      <c r="AJ417" s="43" t="s">
        <v>309</v>
      </c>
      <c r="AK417">
        <v>0</v>
      </c>
    </row>
    <row r="418" spans="31:37" x14ac:dyDescent="0.25">
      <c r="AE418" s="43" t="s">
        <v>88</v>
      </c>
      <c r="AF418" s="43" t="s">
        <v>60</v>
      </c>
      <c r="AG418" s="43" t="s">
        <v>36</v>
      </c>
      <c r="AH418">
        <v>1</v>
      </c>
      <c r="AI418" s="43" t="s">
        <v>317</v>
      </c>
      <c r="AJ418" s="43" t="s">
        <v>268</v>
      </c>
      <c r="AK418">
        <v>0</v>
      </c>
    </row>
    <row r="419" spans="31:37" x14ac:dyDescent="0.25">
      <c r="AE419" s="43" t="s">
        <v>88</v>
      </c>
      <c r="AF419" s="43" t="s">
        <v>60</v>
      </c>
      <c r="AG419" s="43" t="s">
        <v>36</v>
      </c>
      <c r="AH419">
        <v>1</v>
      </c>
      <c r="AI419" s="43" t="s">
        <v>325</v>
      </c>
      <c r="AJ419" s="43" t="s">
        <v>308</v>
      </c>
      <c r="AK419">
        <v>0</v>
      </c>
    </row>
    <row r="420" spans="31:37" x14ac:dyDescent="0.25">
      <c r="AE420" s="43" t="s">
        <v>88</v>
      </c>
      <c r="AF420" s="43" t="s">
        <v>60</v>
      </c>
      <c r="AG420" s="43" t="s">
        <v>36</v>
      </c>
      <c r="AH420">
        <v>1</v>
      </c>
      <c r="AI420" s="43" t="s">
        <v>325</v>
      </c>
      <c r="AJ420" s="43" t="s">
        <v>309</v>
      </c>
      <c r="AK420">
        <v>0</v>
      </c>
    </row>
    <row r="421" spans="31:37" x14ac:dyDescent="0.25">
      <c r="AE421" s="43" t="s">
        <v>88</v>
      </c>
      <c r="AF421" s="43" t="s">
        <v>60</v>
      </c>
      <c r="AG421" s="43" t="s">
        <v>36</v>
      </c>
      <c r="AH421">
        <v>1</v>
      </c>
      <c r="AI421" s="43" t="s">
        <v>325</v>
      </c>
      <c r="AJ421" s="43" t="s">
        <v>268</v>
      </c>
      <c r="AK421">
        <v>0</v>
      </c>
    </row>
    <row r="422" spans="31:37" x14ac:dyDescent="0.25">
      <c r="AE422" s="43" t="s">
        <v>88</v>
      </c>
      <c r="AF422" s="43" t="s">
        <v>60</v>
      </c>
      <c r="AG422" s="43" t="s">
        <v>36</v>
      </c>
      <c r="AH422">
        <v>1</v>
      </c>
      <c r="AI422" s="43" t="s">
        <v>330</v>
      </c>
      <c r="AJ422" s="43" t="s">
        <v>308</v>
      </c>
      <c r="AK422">
        <v>0</v>
      </c>
    </row>
    <row r="423" spans="31:37" x14ac:dyDescent="0.25">
      <c r="AE423" s="43" t="s">
        <v>88</v>
      </c>
      <c r="AF423" s="43" t="s">
        <v>60</v>
      </c>
      <c r="AG423" s="43" t="s">
        <v>36</v>
      </c>
      <c r="AH423">
        <v>1</v>
      </c>
      <c r="AI423" s="43" t="s">
        <v>330</v>
      </c>
      <c r="AJ423" s="43" t="s">
        <v>309</v>
      </c>
      <c r="AK423">
        <v>0</v>
      </c>
    </row>
    <row r="424" spans="31:37" x14ac:dyDescent="0.25">
      <c r="AE424" s="43" t="s">
        <v>88</v>
      </c>
      <c r="AF424" s="43" t="s">
        <v>60</v>
      </c>
      <c r="AG424" s="43" t="s">
        <v>36</v>
      </c>
      <c r="AH424">
        <v>1</v>
      </c>
      <c r="AI424" s="43" t="s">
        <v>330</v>
      </c>
      <c r="AJ424" s="43" t="s">
        <v>268</v>
      </c>
      <c r="AK424">
        <v>0</v>
      </c>
    </row>
    <row r="425" spans="31:37" x14ac:dyDescent="0.25">
      <c r="AE425" s="43" t="s">
        <v>88</v>
      </c>
      <c r="AF425" s="43" t="s">
        <v>60</v>
      </c>
      <c r="AG425" s="43" t="s">
        <v>36</v>
      </c>
      <c r="AH425">
        <v>1</v>
      </c>
      <c r="AI425" s="43" t="s">
        <v>343</v>
      </c>
      <c r="AJ425" s="43" t="s">
        <v>308</v>
      </c>
      <c r="AK425">
        <v>3.2</v>
      </c>
    </row>
    <row r="426" spans="31:37" x14ac:dyDescent="0.25">
      <c r="AE426" s="43" t="s">
        <v>88</v>
      </c>
      <c r="AF426" s="43" t="s">
        <v>60</v>
      </c>
      <c r="AG426" s="43" t="s">
        <v>36</v>
      </c>
      <c r="AH426">
        <v>1</v>
      </c>
      <c r="AI426" s="43" t="s">
        <v>343</v>
      </c>
      <c r="AJ426" s="43" t="s">
        <v>309</v>
      </c>
      <c r="AK426">
        <v>7</v>
      </c>
    </row>
    <row r="427" spans="31:37" x14ac:dyDescent="0.25">
      <c r="AE427" s="43" t="s">
        <v>88</v>
      </c>
      <c r="AF427" s="43" t="s">
        <v>60</v>
      </c>
      <c r="AG427" s="43" t="s">
        <v>36</v>
      </c>
      <c r="AH427">
        <v>1</v>
      </c>
      <c r="AI427" s="43" t="s">
        <v>343</v>
      </c>
      <c r="AJ427" s="43" t="s">
        <v>268</v>
      </c>
      <c r="AK427">
        <v>10.199999999999999</v>
      </c>
    </row>
    <row r="428" spans="31:37" x14ac:dyDescent="0.25">
      <c r="AE428" s="43" t="s">
        <v>88</v>
      </c>
      <c r="AF428" s="43" t="s">
        <v>60</v>
      </c>
      <c r="AG428" s="43" t="s">
        <v>36</v>
      </c>
      <c r="AH428">
        <v>1</v>
      </c>
      <c r="AI428" s="43" t="s">
        <v>341</v>
      </c>
      <c r="AJ428" s="43" t="s">
        <v>308</v>
      </c>
      <c r="AK428">
        <v>3.2</v>
      </c>
    </row>
    <row r="429" spans="31:37" x14ac:dyDescent="0.25">
      <c r="AE429" s="43" t="s">
        <v>88</v>
      </c>
      <c r="AF429" s="43" t="s">
        <v>60</v>
      </c>
      <c r="AG429" s="43" t="s">
        <v>36</v>
      </c>
      <c r="AH429">
        <v>1</v>
      </c>
      <c r="AI429" s="43" t="s">
        <v>341</v>
      </c>
      <c r="AJ429" s="43" t="s">
        <v>309</v>
      </c>
      <c r="AK429">
        <v>7</v>
      </c>
    </row>
    <row r="430" spans="31:37" x14ac:dyDescent="0.25">
      <c r="AE430" s="43" t="s">
        <v>88</v>
      </c>
      <c r="AF430" s="43" t="s">
        <v>60</v>
      </c>
      <c r="AG430" s="43" t="s">
        <v>36</v>
      </c>
      <c r="AH430">
        <v>1</v>
      </c>
      <c r="AI430" s="43" t="s">
        <v>341</v>
      </c>
      <c r="AJ430" s="43" t="s">
        <v>268</v>
      </c>
      <c r="AK430">
        <v>10.199999999999999</v>
      </c>
    </row>
    <row r="431" spans="31:37" x14ac:dyDescent="0.25">
      <c r="AE431" s="43" t="s">
        <v>88</v>
      </c>
      <c r="AF431" s="43" t="s">
        <v>60</v>
      </c>
      <c r="AG431" s="43" t="s">
        <v>36</v>
      </c>
      <c r="AH431">
        <v>1</v>
      </c>
      <c r="AI431" s="43" t="s">
        <v>273</v>
      </c>
      <c r="AJ431" s="43" t="s">
        <v>308</v>
      </c>
      <c r="AK431">
        <v>0</v>
      </c>
    </row>
    <row r="432" spans="31:37" x14ac:dyDescent="0.25">
      <c r="AE432" s="43" t="s">
        <v>88</v>
      </c>
      <c r="AF432" s="43" t="s">
        <v>60</v>
      </c>
      <c r="AG432" s="43" t="s">
        <v>36</v>
      </c>
      <c r="AH432">
        <v>1</v>
      </c>
      <c r="AI432" s="43" t="s">
        <v>273</v>
      </c>
      <c r="AJ432" s="43" t="s">
        <v>309</v>
      </c>
      <c r="AK432">
        <v>0</v>
      </c>
    </row>
    <row r="433" spans="31:37" x14ac:dyDescent="0.25">
      <c r="AE433" s="43" t="s">
        <v>88</v>
      </c>
      <c r="AF433" s="43" t="s">
        <v>60</v>
      </c>
      <c r="AG433" s="43" t="s">
        <v>36</v>
      </c>
      <c r="AH433">
        <v>1</v>
      </c>
      <c r="AI433" s="43" t="s">
        <v>273</v>
      </c>
      <c r="AJ433" s="43" t="s">
        <v>268</v>
      </c>
      <c r="AK433">
        <v>0</v>
      </c>
    </row>
    <row r="434" spans="31:37" x14ac:dyDescent="0.25">
      <c r="AE434" s="43" t="s">
        <v>29</v>
      </c>
      <c r="AF434" s="43" t="s">
        <v>26</v>
      </c>
      <c r="AG434" s="43" t="s">
        <v>31</v>
      </c>
      <c r="AH434">
        <v>3</v>
      </c>
      <c r="AI434" s="43" t="s">
        <v>317</v>
      </c>
      <c r="AJ434" s="43" t="s">
        <v>308</v>
      </c>
      <c r="AK434">
        <v>4</v>
      </c>
    </row>
    <row r="435" spans="31:37" x14ac:dyDescent="0.25">
      <c r="AE435" s="43" t="s">
        <v>29</v>
      </c>
      <c r="AF435" s="43" t="s">
        <v>26</v>
      </c>
      <c r="AG435" s="43" t="s">
        <v>31</v>
      </c>
      <c r="AH435">
        <v>3</v>
      </c>
      <c r="AI435" s="43" t="s">
        <v>317</v>
      </c>
      <c r="AJ435" s="43" t="s">
        <v>309</v>
      </c>
      <c r="AK435">
        <v>8.9499999999999993</v>
      </c>
    </row>
    <row r="436" spans="31:37" x14ac:dyDescent="0.25">
      <c r="AE436" s="43" t="s">
        <v>29</v>
      </c>
      <c r="AF436" s="43" t="s">
        <v>26</v>
      </c>
      <c r="AG436" s="43" t="s">
        <v>31</v>
      </c>
      <c r="AH436">
        <v>3</v>
      </c>
      <c r="AI436" s="43" t="s">
        <v>317</v>
      </c>
      <c r="AJ436" s="43" t="s">
        <v>268</v>
      </c>
      <c r="AK436">
        <v>12.95</v>
      </c>
    </row>
    <row r="437" spans="31:37" x14ac:dyDescent="0.25">
      <c r="AE437" s="43" t="s">
        <v>29</v>
      </c>
      <c r="AF437" s="43" t="s">
        <v>26</v>
      </c>
      <c r="AG437" s="43" t="s">
        <v>31</v>
      </c>
      <c r="AH437">
        <v>3</v>
      </c>
      <c r="AI437" s="43" t="s">
        <v>325</v>
      </c>
      <c r="AJ437" s="43" t="s">
        <v>308</v>
      </c>
      <c r="AK437">
        <v>4.3</v>
      </c>
    </row>
    <row r="438" spans="31:37" x14ac:dyDescent="0.25">
      <c r="AE438" s="43" t="s">
        <v>29</v>
      </c>
      <c r="AF438" s="43" t="s">
        <v>26</v>
      </c>
      <c r="AG438" s="43" t="s">
        <v>31</v>
      </c>
      <c r="AH438">
        <v>3</v>
      </c>
      <c r="AI438" s="43" t="s">
        <v>325</v>
      </c>
      <c r="AJ438" s="43" t="s">
        <v>309</v>
      </c>
      <c r="AK438">
        <v>8.15</v>
      </c>
    </row>
    <row r="439" spans="31:37" x14ac:dyDescent="0.25">
      <c r="AE439" s="43" t="s">
        <v>29</v>
      </c>
      <c r="AF439" s="43" t="s">
        <v>26</v>
      </c>
      <c r="AG439" s="43" t="s">
        <v>31</v>
      </c>
      <c r="AH439">
        <v>3</v>
      </c>
      <c r="AI439" s="43" t="s">
        <v>325</v>
      </c>
      <c r="AJ439" s="43" t="s">
        <v>268</v>
      </c>
      <c r="AK439">
        <v>12.45</v>
      </c>
    </row>
    <row r="440" spans="31:37" x14ac:dyDescent="0.25">
      <c r="AE440" s="43" t="s">
        <v>29</v>
      </c>
      <c r="AF440" s="43" t="s">
        <v>26</v>
      </c>
      <c r="AG440" s="43" t="s">
        <v>31</v>
      </c>
      <c r="AH440">
        <v>3</v>
      </c>
      <c r="AI440" s="43" t="s">
        <v>330</v>
      </c>
      <c r="AJ440" s="43" t="s">
        <v>308</v>
      </c>
      <c r="AK440">
        <v>0</v>
      </c>
    </row>
    <row r="441" spans="31:37" x14ac:dyDescent="0.25">
      <c r="AE441" s="43" t="s">
        <v>29</v>
      </c>
      <c r="AF441" s="43" t="s">
        <v>26</v>
      </c>
      <c r="AG441" s="43" t="s">
        <v>31</v>
      </c>
      <c r="AH441">
        <v>3</v>
      </c>
      <c r="AI441" s="43" t="s">
        <v>330</v>
      </c>
      <c r="AJ441" s="43" t="s">
        <v>309</v>
      </c>
      <c r="AK441">
        <v>0</v>
      </c>
    </row>
    <row r="442" spans="31:37" x14ac:dyDescent="0.25">
      <c r="AE442" s="43" t="s">
        <v>29</v>
      </c>
      <c r="AF442" s="43" t="s">
        <v>26</v>
      </c>
      <c r="AG442" s="43" t="s">
        <v>31</v>
      </c>
      <c r="AH442">
        <v>3</v>
      </c>
      <c r="AI442" s="43" t="s">
        <v>330</v>
      </c>
      <c r="AJ442" s="43" t="s">
        <v>268</v>
      </c>
      <c r="AK442">
        <v>0</v>
      </c>
    </row>
    <row r="443" spans="31:37" x14ac:dyDescent="0.25">
      <c r="AE443" s="43" t="s">
        <v>29</v>
      </c>
      <c r="AF443" s="43" t="s">
        <v>26</v>
      </c>
      <c r="AG443" s="43" t="s">
        <v>31</v>
      </c>
      <c r="AH443">
        <v>3</v>
      </c>
      <c r="AI443" s="43" t="s">
        <v>343</v>
      </c>
      <c r="AJ443" s="43" t="s">
        <v>308</v>
      </c>
      <c r="AK443">
        <v>4.4000000000000004</v>
      </c>
    </row>
    <row r="444" spans="31:37" x14ac:dyDescent="0.25">
      <c r="AE444" s="43" t="s">
        <v>29</v>
      </c>
      <c r="AF444" s="43" t="s">
        <v>26</v>
      </c>
      <c r="AG444" s="43" t="s">
        <v>31</v>
      </c>
      <c r="AH444">
        <v>3</v>
      </c>
      <c r="AI444" s="43" t="s">
        <v>343</v>
      </c>
      <c r="AJ444" s="43" t="s">
        <v>309</v>
      </c>
      <c r="AK444">
        <v>7.5</v>
      </c>
    </row>
    <row r="445" spans="31:37" x14ac:dyDescent="0.25">
      <c r="AE445" s="43" t="s">
        <v>29</v>
      </c>
      <c r="AF445" s="43" t="s">
        <v>26</v>
      </c>
      <c r="AG445" s="43" t="s">
        <v>31</v>
      </c>
      <c r="AH445">
        <v>3</v>
      </c>
      <c r="AI445" s="43" t="s">
        <v>343</v>
      </c>
      <c r="AJ445" s="43" t="s">
        <v>268</v>
      </c>
      <c r="AK445">
        <v>11.9</v>
      </c>
    </row>
    <row r="446" spans="31:37" x14ac:dyDescent="0.25">
      <c r="AE446" s="43" t="s">
        <v>29</v>
      </c>
      <c r="AF446" s="43" t="s">
        <v>26</v>
      </c>
      <c r="AG446" s="43" t="s">
        <v>31</v>
      </c>
      <c r="AH446">
        <v>3</v>
      </c>
      <c r="AI446" s="43" t="s">
        <v>341</v>
      </c>
      <c r="AJ446" s="43" t="s">
        <v>308</v>
      </c>
      <c r="AK446">
        <v>12.7</v>
      </c>
    </row>
    <row r="447" spans="31:37" x14ac:dyDescent="0.25">
      <c r="AE447" s="43" t="s">
        <v>29</v>
      </c>
      <c r="AF447" s="43" t="s">
        <v>26</v>
      </c>
      <c r="AG447" s="43" t="s">
        <v>31</v>
      </c>
      <c r="AH447">
        <v>3</v>
      </c>
      <c r="AI447" s="43" t="s">
        <v>341</v>
      </c>
      <c r="AJ447" s="43" t="s">
        <v>309</v>
      </c>
      <c r="AK447">
        <v>24.6</v>
      </c>
    </row>
    <row r="448" spans="31:37" x14ac:dyDescent="0.25">
      <c r="AE448" s="43" t="s">
        <v>29</v>
      </c>
      <c r="AF448" s="43" t="s">
        <v>26</v>
      </c>
      <c r="AG448" s="43" t="s">
        <v>31</v>
      </c>
      <c r="AH448">
        <v>3</v>
      </c>
      <c r="AI448" s="43" t="s">
        <v>341</v>
      </c>
      <c r="AJ448" s="43" t="s">
        <v>268</v>
      </c>
      <c r="AK448">
        <v>37.299999999999997</v>
      </c>
    </row>
    <row r="449" spans="31:37" x14ac:dyDescent="0.25">
      <c r="AE449" s="43" t="s">
        <v>29</v>
      </c>
      <c r="AF449" s="43" t="s">
        <v>26</v>
      </c>
      <c r="AG449" s="43" t="s">
        <v>31</v>
      </c>
      <c r="AH449">
        <v>3</v>
      </c>
      <c r="AI449" s="43" t="s">
        <v>273</v>
      </c>
      <c r="AJ449" s="43" t="s">
        <v>308</v>
      </c>
      <c r="AK449">
        <v>4.2333333333333334</v>
      </c>
    </row>
    <row r="450" spans="31:37" x14ac:dyDescent="0.25">
      <c r="AE450" s="43" t="s">
        <v>29</v>
      </c>
      <c r="AF450" s="43" t="s">
        <v>26</v>
      </c>
      <c r="AG450" s="43" t="s">
        <v>31</v>
      </c>
      <c r="AH450">
        <v>3</v>
      </c>
      <c r="AI450" s="43" t="s">
        <v>273</v>
      </c>
      <c r="AJ450" s="43" t="s">
        <v>309</v>
      </c>
      <c r="AK450">
        <v>8.2000000000000011</v>
      </c>
    </row>
    <row r="451" spans="31:37" x14ac:dyDescent="0.25">
      <c r="AE451" s="43" t="s">
        <v>29</v>
      </c>
      <c r="AF451" s="43" t="s">
        <v>26</v>
      </c>
      <c r="AG451" s="43" t="s">
        <v>31</v>
      </c>
      <c r="AH451">
        <v>3</v>
      </c>
      <c r="AI451" s="43" t="s">
        <v>273</v>
      </c>
      <c r="AJ451" s="43" t="s">
        <v>268</v>
      </c>
      <c r="AK451">
        <v>12.433333333333332</v>
      </c>
    </row>
    <row r="452" spans="31:37" x14ac:dyDescent="0.25">
      <c r="AE452" s="43" t="s">
        <v>32</v>
      </c>
      <c r="AF452" s="43" t="s">
        <v>26</v>
      </c>
      <c r="AG452" s="43" t="s">
        <v>31</v>
      </c>
      <c r="AH452">
        <v>4</v>
      </c>
      <c r="AI452" s="43" t="s">
        <v>317</v>
      </c>
      <c r="AJ452" s="43" t="s">
        <v>308</v>
      </c>
      <c r="AK452">
        <v>4.2</v>
      </c>
    </row>
    <row r="453" spans="31:37" x14ac:dyDescent="0.25">
      <c r="AE453" s="43" t="s">
        <v>32</v>
      </c>
      <c r="AF453" s="43" t="s">
        <v>26</v>
      </c>
      <c r="AG453" s="43" t="s">
        <v>31</v>
      </c>
      <c r="AH453">
        <v>4</v>
      </c>
      <c r="AI453" s="43" t="s">
        <v>317</v>
      </c>
      <c r="AJ453" s="43" t="s">
        <v>309</v>
      </c>
      <c r="AK453">
        <v>8.6</v>
      </c>
    </row>
    <row r="454" spans="31:37" x14ac:dyDescent="0.25">
      <c r="AE454" s="43" t="s">
        <v>32</v>
      </c>
      <c r="AF454" s="43" t="s">
        <v>26</v>
      </c>
      <c r="AG454" s="43" t="s">
        <v>31</v>
      </c>
      <c r="AH454">
        <v>4</v>
      </c>
      <c r="AI454" s="43" t="s">
        <v>317</v>
      </c>
      <c r="AJ454" s="43" t="s">
        <v>268</v>
      </c>
      <c r="AK454">
        <v>12.8</v>
      </c>
    </row>
    <row r="455" spans="31:37" x14ac:dyDescent="0.25">
      <c r="AE455" s="43" t="s">
        <v>32</v>
      </c>
      <c r="AF455" s="43" t="s">
        <v>26</v>
      </c>
      <c r="AG455" s="43" t="s">
        <v>31</v>
      </c>
      <c r="AH455">
        <v>4</v>
      </c>
      <c r="AI455" s="43" t="s">
        <v>325</v>
      </c>
      <c r="AJ455" s="43" t="s">
        <v>308</v>
      </c>
      <c r="AK455">
        <v>4.2</v>
      </c>
    </row>
    <row r="456" spans="31:37" x14ac:dyDescent="0.25">
      <c r="AE456" s="43" t="s">
        <v>32</v>
      </c>
      <c r="AF456" s="43" t="s">
        <v>26</v>
      </c>
      <c r="AG456" s="43" t="s">
        <v>31</v>
      </c>
      <c r="AH456">
        <v>4</v>
      </c>
      <c r="AI456" s="43" t="s">
        <v>325</v>
      </c>
      <c r="AJ456" s="43" t="s">
        <v>309</v>
      </c>
      <c r="AK456">
        <v>8.5500000000000007</v>
      </c>
    </row>
    <row r="457" spans="31:37" x14ac:dyDescent="0.25">
      <c r="AE457" s="43" t="s">
        <v>32</v>
      </c>
      <c r="AF457" s="43" t="s">
        <v>26</v>
      </c>
      <c r="AG457" s="43" t="s">
        <v>31</v>
      </c>
      <c r="AH457">
        <v>4</v>
      </c>
      <c r="AI457" s="43" t="s">
        <v>325</v>
      </c>
      <c r="AJ457" s="43" t="s">
        <v>268</v>
      </c>
      <c r="AK457">
        <v>12.75</v>
      </c>
    </row>
    <row r="458" spans="31:37" x14ac:dyDescent="0.25">
      <c r="AE458" s="43" t="s">
        <v>32</v>
      </c>
      <c r="AF458" s="43" t="s">
        <v>26</v>
      </c>
      <c r="AG458" s="43" t="s">
        <v>31</v>
      </c>
      <c r="AH458">
        <v>4</v>
      </c>
      <c r="AI458" s="43" t="s">
        <v>330</v>
      </c>
      <c r="AJ458" s="43" t="s">
        <v>308</v>
      </c>
      <c r="AK458">
        <v>4.2</v>
      </c>
    </row>
    <row r="459" spans="31:37" x14ac:dyDescent="0.25">
      <c r="AE459" s="43" t="s">
        <v>32</v>
      </c>
      <c r="AF459" s="43" t="s">
        <v>26</v>
      </c>
      <c r="AG459" s="43" t="s">
        <v>31</v>
      </c>
      <c r="AH459">
        <v>4</v>
      </c>
      <c r="AI459" s="43" t="s">
        <v>330</v>
      </c>
      <c r="AJ459" s="43" t="s">
        <v>309</v>
      </c>
      <c r="AK459">
        <v>8.3000000000000007</v>
      </c>
    </row>
    <row r="460" spans="31:37" x14ac:dyDescent="0.25">
      <c r="AE460" s="43" t="s">
        <v>32</v>
      </c>
      <c r="AF460" s="43" t="s">
        <v>26</v>
      </c>
      <c r="AG460" s="43" t="s">
        <v>31</v>
      </c>
      <c r="AH460">
        <v>4</v>
      </c>
      <c r="AI460" s="43" t="s">
        <v>330</v>
      </c>
      <c r="AJ460" s="43" t="s">
        <v>268</v>
      </c>
      <c r="AK460">
        <v>12.5</v>
      </c>
    </row>
    <row r="461" spans="31:37" x14ac:dyDescent="0.25">
      <c r="AE461" s="43" t="s">
        <v>32</v>
      </c>
      <c r="AF461" s="43" t="s">
        <v>26</v>
      </c>
      <c r="AG461" s="43" t="s">
        <v>31</v>
      </c>
      <c r="AH461">
        <v>4</v>
      </c>
      <c r="AI461" s="43" t="s">
        <v>343</v>
      </c>
      <c r="AJ461" s="43" t="s">
        <v>308</v>
      </c>
      <c r="AK461">
        <v>4.0999999999999996</v>
      </c>
    </row>
    <row r="462" spans="31:37" x14ac:dyDescent="0.25">
      <c r="AE462" s="43" t="s">
        <v>32</v>
      </c>
      <c r="AF462" s="43" t="s">
        <v>26</v>
      </c>
      <c r="AG462" s="43" t="s">
        <v>31</v>
      </c>
      <c r="AH462">
        <v>4</v>
      </c>
      <c r="AI462" s="43" t="s">
        <v>343</v>
      </c>
      <c r="AJ462" s="43" t="s">
        <v>309</v>
      </c>
      <c r="AK462">
        <v>7.8</v>
      </c>
    </row>
    <row r="463" spans="31:37" x14ac:dyDescent="0.25">
      <c r="AE463" s="43" t="s">
        <v>32</v>
      </c>
      <c r="AF463" s="43" t="s">
        <v>26</v>
      </c>
      <c r="AG463" s="43" t="s">
        <v>31</v>
      </c>
      <c r="AH463">
        <v>4</v>
      </c>
      <c r="AI463" s="43" t="s">
        <v>343</v>
      </c>
      <c r="AJ463" s="43" t="s">
        <v>268</v>
      </c>
      <c r="AK463">
        <v>11.9</v>
      </c>
    </row>
    <row r="464" spans="31:37" x14ac:dyDescent="0.25">
      <c r="AE464" s="43" t="s">
        <v>32</v>
      </c>
      <c r="AF464" s="43" t="s">
        <v>26</v>
      </c>
      <c r="AG464" s="43" t="s">
        <v>31</v>
      </c>
      <c r="AH464">
        <v>4</v>
      </c>
      <c r="AI464" s="43" t="s">
        <v>341</v>
      </c>
      <c r="AJ464" s="43" t="s">
        <v>308</v>
      </c>
      <c r="AK464">
        <v>12.600000000000001</v>
      </c>
    </row>
    <row r="465" spans="31:37" x14ac:dyDescent="0.25">
      <c r="AE465" s="43" t="s">
        <v>32</v>
      </c>
      <c r="AF465" s="43" t="s">
        <v>26</v>
      </c>
      <c r="AG465" s="43" t="s">
        <v>31</v>
      </c>
      <c r="AH465">
        <v>4</v>
      </c>
      <c r="AI465" s="43" t="s">
        <v>341</v>
      </c>
      <c r="AJ465" s="43" t="s">
        <v>309</v>
      </c>
      <c r="AK465">
        <v>25.45</v>
      </c>
    </row>
    <row r="466" spans="31:37" x14ac:dyDescent="0.25">
      <c r="AE466" s="43" t="s">
        <v>32</v>
      </c>
      <c r="AF466" s="43" t="s">
        <v>26</v>
      </c>
      <c r="AG466" s="43" t="s">
        <v>31</v>
      </c>
      <c r="AH466">
        <v>4</v>
      </c>
      <c r="AI466" s="43" t="s">
        <v>341</v>
      </c>
      <c r="AJ466" s="43" t="s">
        <v>268</v>
      </c>
      <c r="AK466">
        <v>38.049999999999997</v>
      </c>
    </row>
    <row r="467" spans="31:37" x14ac:dyDescent="0.25">
      <c r="AE467" s="43" t="s">
        <v>32</v>
      </c>
      <c r="AF467" s="43" t="s">
        <v>26</v>
      </c>
      <c r="AG467" s="43" t="s">
        <v>31</v>
      </c>
      <c r="AH467">
        <v>4</v>
      </c>
      <c r="AI467" s="43" t="s">
        <v>273</v>
      </c>
      <c r="AJ467" s="43" t="s">
        <v>308</v>
      </c>
      <c r="AK467">
        <v>4.2</v>
      </c>
    </row>
    <row r="468" spans="31:37" x14ac:dyDescent="0.25">
      <c r="AE468" s="43" t="s">
        <v>32</v>
      </c>
      <c r="AF468" s="43" t="s">
        <v>26</v>
      </c>
      <c r="AG468" s="43" t="s">
        <v>31</v>
      </c>
      <c r="AH468">
        <v>4</v>
      </c>
      <c r="AI468" s="43" t="s">
        <v>273</v>
      </c>
      <c r="AJ468" s="43" t="s">
        <v>309</v>
      </c>
      <c r="AK468">
        <v>8.4833333333333325</v>
      </c>
    </row>
    <row r="469" spans="31:37" x14ac:dyDescent="0.25">
      <c r="AE469" s="43" t="s">
        <v>32</v>
      </c>
      <c r="AF469" s="43" t="s">
        <v>26</v>
      </c>
      <c r="AG469" s="43" t="s">
        <v>31</v>
      </c>
      <c r="AH469">
        <v>4</v>
      </c>
      <c r="AI469" s="43" t="s">
        <v>273</v>
      </c>
      <c r="AJ469" s="43" t="s">
        <v>268</v>
      </c>
      <c r="AK469">
        <v>12.683333333333332</v>
      </c>
    </row>
    <row r="470" spans="31:37" x14ac:dyDescent="0.25">
      <c r="AE470" s="43" t="s">
        <v>25</v>
      </c>
      <c r="AF470" s="43" t="s">
        <v>26</v>
      </c>
      <c r="AG470" s="43" t="s">
        <v>28</v>
      </c>
      <c r="AH470">
        <v>4</v>
      </c>
      <c r="AI470" s="43" t="s">
        <v>317</v>
      </c>
      <c r="AJ470" s="43" t="s">
        <v>308</v>
      </c>
      <c r="AK470">
        <v>4</v>
      </c>
    </row>
    <row r="471" spans="31:37" x14ac:dyDescent="0.25">
      <c r="AE471" s="43" t="s">
        <v>25</v>
      </c>
      <c r="AF471" s="43" t="s">
        <v>26</v>
      </c>
      <c r="AG471" s="43" t="s">
        <v>28</v>
      </c>
      <c r="AH471">
        <v>4</v>
      </c>
      <c r="AI471" s="43" t="s">
        <v>317</v>
      </c>
      <c r="AJ471" s="43" t="s">
        <v>309</v>
      </c>
      <c r="AK471">
        <v>8.9499999999999993</v>
      </c>
    </row>
    <row r="472" spans="31:37" x14ac:dyDescent="0.25">
      <c r="AE472" s="43" t="s">
        <v>25</v>
      </c>
      <c r="AF472" s="43" t="s">
        <v>26</v>
      </c>
      <c r="AG472" s="43" t="s">
        <v>28</v>
      </c>
      <c r="AH472">
        <v>4</v>
      </c>
      <c r="AI472" s="43" t="s">
        <v>317</v>
      </c>
      <c r="AJ472" s="43" t="s">
        <v>268</v>
      </c>
      <c r="AK472">
        <v>12.95</v>
      </c>
    </row>
    <row r="473" spans="31:37" x14ac:dyDescent="0.25">
      <c r="AE473" s="43" t="s">
        <v>25</v>
      </c>
      <c r="AF473" s="43" t="s">
        <v>26</v>
      </c>
      <c r="AG473" s="43" t="s">
        <v>28</v>
      </c>
      <c r="AH473">
        <v>4</v>
      </c>
      <c r="AI473" s="43" t="s">
        <v>325</v>
      </c>
      <c r="AJ473" s="43" t="s">
        <v>308</v>
      </c>
      <c r="AK473">
        <v>4</v>
      </c>
    </row>
    <row r="474" spans="31:37" x14ac:dyDescent="0.25">
      <c r="AE474" s="43" t="s">
        <v>25</v>
      </c>
      <c r="AF474" s="43" t="s">
        <v>26</v>
      </c>
      <c r="AG474" s="43" t="s">
        <v>28</v>
      </c>
      <c r="AH474">
        <v>4</v>
      </c>
      <c r="AI474" s="43" t="s">
        <v>325</v>
      </c>
      <c r="AJ474" s="43" t="s">
        <v>309</v>
      </c>
      <c r="AK474">
        <v>8.6999999999999993</v>
      </c>
    </row>
    <row r="475" spans="31:37" x14ac:dyDescent="0.25">
      <c r="AE475" s="43" t="s">
        <v>25</v>
      </c>
      <c r="AF475" s="43" t="s">
        <v>26</v>
      </c>
      <c r="AG475" s="43" t="s">
        <v>28</v>
      </c>
      <c r="AH475">
        <v>4</v>
      </c>
      <c r="AI475" s="43" t="s">
        <v>325</v>
      </c>
      <c r="AJ475" s="43" t="s">
        <v>268</v>
      </c>
      <c r="AK475">
        <v>12.7</v>
      </c>
    </row>
    <row r="476" spans="31:37" x14ac:dyDescent="0.25">
      <c r="AE476" s="43" t="s">
        <v>25</v>
      </c>
      <c r="AF476" s="43" t="s">
        <v>26</v>
      </c>
      <c r="AG476" s="43" t="s">
        <v>28</v>
      </c>
      <c r="AH476">
        <v>4</v>
      </c>
      <c r="AI476" s="43" t="s">
        <v>330</v>
      </c>
      <c r="AJ476" s="43" t="s">
        <v>308</v>
      </c>
      <c r="AK476">
        <v>4</v>
      </c>
    </row>
    <row r="477" spans="31:37" x14ac:dyDescent="0.25">
      <c r="AE477" s="43" t="s">
        <v>25</v>
      </c>
      <c r="AF477" s="43" t="s">
        <v>26</v>
      </c>
      <c r="AG477" s="43" t="s">
        <v>28</v>
      </c>
      <c r="AH477">
        <v>4</v>
      </c>
      <c r="AI477" s="43" t="s">
        <v>330</v>
      </c>
      <c r="AJ477" s="43" t="s">
        <v>309</v>
      </c>
      <c r="AK477">
        <v>8.4499999999999993</v>
      </c>
    </row>
    <row r="478" spans="31:37" x14ac:dyDescent="0.25">
      <c r="AE478" s="43" t="s">
        <v>25</v>
      </c>
      <c r="AF478" s="43" t="s">
        <v>26</v>
      </c>
      <c r="AG478" s="43" t="s">
        <v>28</v>
      </c>
      <c r="AH478">
        <v>4</v>
      </c>
      <c r="AI478" s="43" t="s">
        <v>330</v>
      </c>
      <c r="AJ478" s="43" t="s">
        <v>268</v>
      </c>
      <c r="AK478">
        <v>12.45</v>
      </c>
    </row>
    <row r="479" spans="31:37" x14ac:dyDescent="0.25">
      <c r="AE479" s="43" t="s">
        <v>25</v>
      </c>
      <c r="AF479" s="43" t="s">
        <v>26</v>
      </c>
      <c r="AG479" s="43" t="s">
        <v>28</v>
      </c>
      <c r="AH479">
        <v>4</v>
      </c>
      <c r="AI479" s="43" t="s">
        <v>343</v>
      </c>
      <c r="AJ479" s="43" t="s">
        <v>308</v>
      </c>
      <c r="AK479">
        <v>4</v>
      </c>
    </row>
    <row r="480" spans="31:37" x14ac:dyDescent="0.25">
      <c r="AE480" s="43" t="s">
        <v>25</v>
      </c>
      <c r="AF480" s="43" t="s">
        <v>26</v>
      </c>
      <c r="AG480" s="43" t="s">
        <v>28</v>
      </c>
      <c r="AH480">
        <v>4</v>
      </c>
      <c r="AI480" s="43" t="s">
        <v>343</v>
      </c>
      <c r="AJ480" s="43" t="s">
        <v>309</v>
      </c>
      <c r="AK480">
        <v>7.9</v>
      </c>
    </row>
    <row r="481" spans="31:37" x14ac:dyDescent="0.25">
      <c r="AE481" s="43" t="s">
        <v>25</v>
      </c>
      <c r="AF481" s="43" t="s">
        <v>26</v>
      </c>
      <c r="AG481" s="43" t="s">
        <v>28</v>
      </c>
      <c r="AH481">
        <v>4</v>
      </c>
      <c r="AI481" s="43" t="s">
        <v>343</v>
      </c>
      <c r="AJ481" s="43" t="s">
        <v>268</v>
      </c>
      <c r="AK481">
        <v>11.9</v>
      </c>
    </row>
    <row r="482" spans="31:37" x14ac:dyDescent="0.25">
      <c r="AE482" s="43" t="s">
        <v>25</v>
      </c>
      <c r="AF482" s="43" t="s">
        <v>26</v>
      </c>
      <c r="AG482" s="43" t="s">
        <v>28</v>
      </c>
      <c r="AH482">
        <v>4</v>
      </c>
      <c r="AI482" s="43" t="s">
        <v>341</v>
      </c>
      <c r="AJ482" s="43" t="s">
        <v>308</v>
      </c>
      <c r="AK482">
        <v>12</v>
      </c>
    </row>
    <row r="483" spans="31:37" x14ac:dyDescent="0.25">
      <c r="AE483" s="43" t="s">
        <v>25</v>
      </c>
      <c r="AF483" s="43" t="s">
        <v>26</v>
      </c>
      <c r="AG483" s="43" t="s">
        <v>28</v>
      </c>
      <c r="AH483">
        <v>4</v>
      </c>
      <c r="AI483" s="43" t="s">
        <v>341</v>
      </c>
      <c r="AJ483" s="43" t="s">
        <v>309</v>
      </c>
      <c r="AK483">
        <v>26.099999999999998</v>
      </c>
    </row>
    <row r="484" spans="31:37" x14ac:dyDescent="0.25">
      <c r="AE484" s="43" t="s">
        <v>25</v>
      </c>
      <c r="AF484" s="43" t="s">
        <v>26</v>
      </c>
      <c r="AG484" s="43" t="s">
        <v>28</v>
      </c>
      <c r="AH484">
        <v>4</v>
      </c>
      <c r="AI484" s="43" t="s">
        <v>341</v>
      </c>
      <c r="AJ484" s="43" t="s">
        <v>268</v>
      </c>
      <c r="AK484">
        <v>38.099999999999994</v>
      </c>
    </row>
    <row r="485" spans="31:37" x14ac:dyDescent="0.25">
      <c r="AE485" s="43" t="s">
        <v>25</v>
      </c>
      <c r="AF485" s="43" t="s">
        <v>26</v>
      </c>
      <c r="AG485" s="43" t="s">
        <v>28</v>
      </c>
      <c r="AH485">
        <v>4</v>
      </c>
      <c r="AI485" s="43" t="s">
        <v>273</v>
      </c>
      <c r="AJ485" s="43" t="s">
        <v>308</v>
      </c>
      <c r="AK485">
        <v>4</v>
      </c>
    </row>
    <row r="486" spans="31:37" x14ac:dyDescent="0.25">
      <c r="AE486" s="43" t="s">
        <v>25</v>
      </c>
      <c r="AF486" s="43" t="s">
        <v>26</v>
      </c>
      <c r="AG486" s="43" t="s">
        <v>28</v>
      </c>
      <c r="AH486">
        <v>4</v>
      </c>
      <c r="AI486" s="43" t="s">
        <v>273</v>
      </c>
      <c r="AJ486" s="43" t="s">
        <v>309</v>
      </c>
      <c r="AK486">
        <v>8.6999999999999993</v>
      </c>
    </row>
    <row r="487" spans="31:37" x14ac:dyDescent="0.25">
      <c r="AE487" s="43" t="s">
        <v>25</v>
      </c>
      <c r="AF487" s="43" t="s">
        <v>26</v>
      </c>
      <c r="AG487" s="43" t="s">
        <v>28</v>
      </c>
      <c r="AH487">
        <v>4</v>
      </c>
      <c r="AI487" s="43" t="s">
        <v>273</v>
      </c>
      <c r="AJ487" s="43" t="s">
        <v>268</v>
      </c>
      <c r="AK487">
        <v>12.699999999999998</v>
      </c>
    </row>
    <row r="488" spans="31:37" x14ac:dyDescent="0.25">
      <c r="AE488" s="43" t="s">
        <v>42</v>
      </c>
      <c r="AF488" s="43" t="s">
        <v>26</v>
      </c>
      <c r="AG488" s="43" t="s">
        <v>36</v>
      </c>
      <c r="AH488">
        <v>4</v>
      </c>
      <c r="AI488" s="43" t="s">
        <v>317</v>
      </c>
      <c r="AJ488" s="43" t="s">
        <v>308</v>
      </c>
      <c r="AK488">
        <v>4</v>
      </c>
    </row>
    <row r="489" spans="31:37" x14ac:dyDescent="0.25">
      <c r="AE489" s="43" t="s">
        <v>42</v>
      </c>
      <c r="AF489" s="43" t="s">
        <v>26</v>
      </c>
      <c r="AG489" s="43" t="s">
        <v>36</v>
      </c>
      <c r="AH489">
        <v>4</v>
      </c>
      <c r="AI489" s="43" t="s">
        <v>317</v>
      </c>
      <c r="AJ489" s="43" t="s">
        <v>309</v>
      </c>
      <c r="AK489">
        <v>8.1999999999999993</v>
      </c>
    </row>
    <row r="490" spans="31:37" x14ac:dyDescent="0.25">
      <c r="AE490" s="43" t="s">
        <v>42</v>
      </c>
      <c r="AF490" s="43" t="s">
        <v>26</v>
      </c>
      <c r="AG490" s="43" t="s">
        <v>36</v>
      </c>
      <c r="AH490">
        <v>4</v>
      </c>
      <c r="AI490" s="43" t="s">
        <v>317</v>
      </c>
      <c r="AJ490" s="43" t="s">
        <v>268</v>
      </c>
      <c r="AK490">
        <v>12.2</v>
      </c>
    </row>
    <row r="491" spans="31:37" x14ac:dyDescent="0.25">
      <c r="AE491" s="43" t="s">
        <v>42</v>
      </c>
      <c r="AF491" s="43" t="s">
        <v>26</v>
      </c>
      <c r="AG491" s="43" t="s">
        <v>36</v>
      </c>
      <c r="AH491">
        <v>4</v>
      </c>
      <c r="AI491" s="43" t="s">
        <v>325</v>
      </c>
      <c r="AJ491" s="43" t="s">
        <v>308</v>
      </c>
      <c r="AK491">
        <v>3.4</v>
      </c>
    </row>
    <row r="492" spans="31:37" x14ac:dyDescent="0.25">
      <c r="AE492" s="43" t="s">
        <v>42</v>
      </c>
      <c r="AF492" s="43" t="s">
        <v>26</v>
      </c>
      <c r="AG492" s="43" t="s">
        <v>36</v>
      </c>
      <c r="AH492">
        <v>4</v>
      </c>
      <c r="AI492" s="43" t="s">
        <v>325</v>
      </c>
      <c r="AJ492" s="43" t="s">
        <v>309</v>
      </c>
      <c r="AK492">
        <v>8.4</v>
      </c>
    </row>
    <row r="493" spans="31:37" x14ac:dyDescent="0.25">
      <c r="AE493" s="43" t="s">
        <v>42</v>
      </c>
      <c r="AF493" s="43" t="s">
        <v>26</v>
      </c>
      <c r="AG493" s="43" t="s">
        <v>36</v>
      </c>
      <c r="AH493">
        <v>4</v>
      </c>
      <c r="AI493" s="43" t="s">
        <v>325</v>
      </c>
      <c r="AJ493" s="43" t="s">
        <v>268</v>
      </c>
      <c r="AK493">
        <v>11.8</v>
      </c>
    </row>
    <row r="494" spans="31:37" x14ac:dyDescent="0.25">
      <c r="AE494" s="43" t="s">
        <v>42</v>
      </c>
      <c r="AF494" s="43" t="s">
        <v>26</v>
      </c>
      <c r="AG494" s="43" t="s">
        <v>36</v>
      </c>
      <c r="AH494">
        <v>4</v>
      </c>
      <c r="AI494" s="43" t="s">
        <v>330</v>
      </c>
      <c r="AJ494" s="43" t="s">
        <v>308</v>
      </c>
      <c r="AK494">
        <v>3.8</v>
      </c>
    </row>
    <row r="495" spans="31:37" x14ac:dyDescent="0.25">
      <c r="AE495" s="43" t="s">
        <v>42</v>
      </c>
      <c r="AF495" s="43" t="s">
        <v>26</v>
      </c>
      <c r="AG495" s="43" t="s">
        <v>36</v>
      </c>
      <c r="AH495">
        <v>4</v>
      </c>
      <c r="AI495" s="43" t="s">
        <v>330</v>
      </c>
      <c r="AJ495" s="43" t="s">
        <v>309</v>
      </c>
      <c r="AK495">
        <v>7.1</v>
      </c>
    </row>
    <row r="496" spans="31:37" x14ac:dyDescent="0.25">
      <c r="AE496" s="43" t="s">
        <v>42</v>
      </c>
      <c r="AF496" s="43" t="s">
        <v>26</v>
      </c>
      <c r="AG496" s="43" t="s">
        <v>36</v>
      </c>
      <c r="AH496">
        <v>4</v>
      </c>
      <c r="AI496" s="43" t="s">
        <v>330</v>
      </c>
      <c r="AJ496" s="43" t="s">
        <v>268</v>
      </c>
      <c r="AK496">
        <v>10.9</v>
      </c>
    </row>
    <row r="497" spans="31:37" x14ac:dyDescent="0.25">
      <c r="AE497" s="43" t="s">
        <v>42</v>
      </c>
      <c r="AF497" s="43" t="s">
        <v>26</v>
      </c>
      <c r="AG497" s="43" t="s">
        <v>36</v>
      </c>
      <c r="AH497">
        <v>4</v>
      </c>
      <c r="AI497" s="43" t="s">
        <v>343</v>
      </c>
      <c r="AJ497" s="43" t="s">
        <v>308</v>
      </c>
      <c r="AK497">
        <v>3.4</v>
      </c>
    </row>
    <row r="498" spans="31:37" x14ac:dyDescent="0.25">
      <c r="AE498" s="43" t="s">
        <v>42</v>
      </c>
      <c r="AF498" s="43" t="s">
        <v>26</v>
      </c>
      <c r="AG498" s="43" t="s">
        <v>36</v>
      </c>
      <c r="AH498">
        <v>4</v>
      </c>
      <c r="AI498" s="43" t="s">
        <v>343</v>
      </c>
      <c r="AJ498" s="43" t="s">
        <v>309</v>
      </c>
      <c r="AK498">
        <v>7.5</v>
      </c>
    </row>
    <row r="499" spans="31:37" x14ac:dyDescent="0.25">
      <c r="AE499" s="43" t="s">
        <v>42</v>
      </c>
      <c r="AF499" s="43" t="s">
        <v>26</v>
      </c>
      <c r="AG499" s="43" t="s">
        <v>36</v>
      </c>
      <c r="AH499">
        <v>4</v>
      </c>
      <c r="AI499" s="43" t="s">
        <v>343</v>
      </c>
      <c r="AJ499" s="43" t="s">
        <v>268</v>
      </c>
      <c r="AK499">
        <v>10.9</v>
      </c>
    </row>
    <row r="500" spans="31:37" x14ac:dyDescent="0.25">
      <c r="AE500" s="43" t="s">
        <v>42</v>
      </c>
      <c r="AF500" s="43" t="s">
        <v>26</v>
      </c>
      <c r="AG500" s="43" t="s">
        <v>36</v>
      </c>
      <c r="AH500">
        <v>4</v>
      </c>
      <c r="AI500" s="43" t="s">
        <v>341</v>
      </c>
      <c r="AJ500" s="43" t="s">
        <v>308</v>
      </c>
      <c r="AK500">
        <v>11.2</v>
      </c>
    </row>
    <row r="501" spans="31:37" x14ac:dyDescent="0.25">
      <c r="AE501" s="43" t="s">
        <v>42</v>
      </c>
      <c r="AF501" s="43" t="s">
        <v>26</v>
      </c>
      <c r="AG501" s="43" t="s">
        <v>36</v>
      </c>
      <c r="AH501">
        <v>4</v>
      </c>
      <c r="AI501" s="43" t="s">
        <v>341</v>
      </c>
      <c r="AJ501" s="43" t="s">
        <v>309</v>
      </c>
      <c r="AK501">
        <v>24.1</v>
      </c>
    </row>
    <row r="502" spans="31:37" x14ac:dyDescent="0.25">
      <c r="AE502" s="43" t="s">
        <v>42</v>
      </c>
      <c r="AF502" s="43" t="s">
        <v>26</v>
      </c>
      <c r="AG502" s="43" t="s">
        <v>36</v>
      </c>
      <c r="AH502">
        <v>4</v>
      </c>
      <c r="AI502" s="43" t="s">
        <v>341</v>
      </c>
      <c r="AJ502" s="43" t="s">
        <v>268</v>
      </c>
      <c r="AK502">
        <v>34.9</v>
      </c>
    </row>
    <row r="503" spans="31:37" x14ac:dyDescent="0.25">
      <c r="AE503" s="43" t="s">
        <v>42</v>
      </c>
      <c r="AF503" s="43" t="s">
        <v>26</v>
      </c>
      <c r="AG503" s="43" t="s">
        <v>36</v>
      </c>
      <c r="AH503">
        <v>4</v>
      </c>
      <c r="AI503" s="43" t="s">
        <v>273</v>
      </c>
      <c r="AJ503" s="43" t="s">
        <v>308</v>
      </c>
      <c r="AK503">
        <v>3.7333333333333329</v>
      </c>
    </row>
    <row r="504" spans="31:37" x14ac:dyDescent="0.25">
      <c r="AE504" s="43" t="s">
        <v>42</v>
      </c>
      <c r="AF504" s="43" t="s">
        <v>26</v>
      </c>
      <c r="AG504" s="43" t="s">
        <v>36</v>
      </c>
      <c r="AH504">
        <v>4</v>
      </c>
      <c r="AI504" s="43" t="s">
        <v>273</v>
      </c>
      <c r="AJ504" s="43" t="s">
        <v>309</v>
      </c>
      <c r="AK504">
        <v>8.0333333333333332</v>
      </c>
    </row>
    <row r="505" spans="31:37" x14ac:dyDescent="0.25">
      <c r="AE505" s="43" t="s">
        <v>42</v>
      </c>
      <c r="AF505" s="43" t="s">
        <v>26</v>
      </c>
      <c r="AG505" s="43" t="s">
        <v>36</v>
      </c>
      <c r="AH505">
        <v>4</v>
      </c>
      <c r="AI505" s="43" t="s">
        <v>273</v>
      </c>
      <c r="AJ505" s="43" t="s">
        <v>268</v>
      </c>
      <c r="AK505">
        <v>11.633333333333333</v>
      </c>
    </row>
    <row r="506" spans="31:37" x14ac:dyDescent="0.25">
      <c r="AE506" s="43" t="s">
        <v>34</v>
      </c>
      <c r="AF506" s="43" t="s">
        <v>26</v>
      </c>
      <c r="AG506" s="43" t="s">
        <v>36</v>
      </c>
      <c r="AH506">
        <v>4</v>
      </c>
      <c r="AI506" s="43" t="s">
        <v>317</v>
      </c>
      <c r="AJ506" s="43" t="s">
        <v>308</v>
      </c>
      <c r="AK506">
        <v>3.8</v>
      </c>
    </row>
    <row r="507" spans="31:37" x14ac:dyDescent="0.25">
      <c r="AE507" s="43" t="s">
        <v>34</v>
      </c>
      <c r="AF507" s="43" t="s">
        <v>26</v>
      </c>
      <c r="AG507" s="43" t="s">
        <v>36</v>
      </c>
      <c r="AH507">
        <v>4</v>
      </c>
      <c r="AI507" s="43" t="s">
        <v>317</v>
      </c>
      <c r="AJ507" s="43" t="s">
        <v>309</v>
      </c>
      <c r="AK507">
        <v>8.6999999999999993</v>
      </c>
    </row>
    <row r="508" spans="31:37" x14ac:dyDescent="0.25">
      <c r="AE508" s="43" t="s">
        <v>34</v>
      </c>
      <c r="AF508" s="43" t="s">
        <v>26</v>
      </c>
      <c r="AG508" s="43" t="s">
        <v>36</v>
      </c>
      <c r="AH508">
        <v>4</v>
      </c>
      <c r="AI508" s="43" t="s">
        <v>317</v>
      </c>
      <c r="AJ508" s="43" t="s">
        <v>268</v>
      </c>
      <c r="AK508">
        <v>12.5</v>
      </c>
    </row>
    <row r="509" spans="31:37" x14ac:dyDescent="0.25">
      <c r="AE509" s="43" t="s">
        <v>34</v>
      </c>
      <c r="AF509" s="43" t="s">
        <v>26</v>
      </c>
      <c r="AG509" s="43" t="s">
        <v>36</v>
      </c>
      <c r="AH509">
        <v>4</v>
      </c>
      <c r="AI509" s="43" t="s">
        <v>325</v>
      </c>
      <c r="AJ509" s="43" t="s">
        <v>308</v>
      </c>
      <c r="AK509">
        <v>3.7</v>
      </c>
    </row>
    <row r="510" spans="31:37" x14ac:dyDescent="0.25">
      <c r="AE510" s="43" t="s">
        <v>34</v>
      </c>
      <c r="AF510" s="43" t="s">
        <v>26</v>
      </c>
      <c r="AG510" s="43" t="s">
        <v>36</v>
      </c>
      <c r="AH510">
        <v>4</v>
      </c>
      <c r="AI510" s="43" t="s">
        <v>325</v>
      </c>
      <c r="AJ510" s="43" t="s">
        <v>309</v>
      </c>
      <c r="AK510">
        <v>8.1</v>
      </c>
    </row>
    <row r="511" spans="31:37" x14ac:dyDescent="0.25">
      <c r="AE511" s="43" t="s">
        <v>34</v>
      </c>
      <c r="AF511" s="43" t="s">
        <v>26</v>
      </c>
      <c r="AG511" s="43" t="s">
        <v>36</v>
      </c>
      <c r="AH511">
        <v>4</v>
      </c>
      <c r="AI511" s="43" t="s">
        <v>325</v>
      </c>
      <c r="AJ511" s="43" t="s">
        <v>268</v>
      </c>
      <c r="AK511">
        <v>11.8</v>
      </c>
    </row>
    <row r="512" spans="31:37" x14ac:dyDescent="0.25">
      <c r="AE512" s="43" t="s">
        <v>34</v>
      </c>
      <c r="AF512" s="43" t="s">
        <v>26</v>
      </c>
      <c r="AG512" s="43" t="s">
        <v>36</v>
      </c>
      <c r="AH512">
        <v>4</v>
      </c>
      <c r="AI512" s="43" t="s">
        <v>330</v>
      </c>
      <c r="AJ512" s="43" t="s">
        <v>308</v>
      </c>
      <c r="AK512">
        <v>3.6</v>
      </c>
    </row>
    <row r="513" spans="31:37" x14ac:dyDescent="0.25">
      <c r="AE513" s="43" t="s">
        <v>34</v>
      </c>
      <c r="AF513" s="43" t="s">
        <v>26</v>
      </c>
      <c r="AG513" s="43" t="s">
        <v>36</v>
      </c>
      <c r="AH513">
        <v>4</v>
      </c>
      <c r="AI513" s="43" t="s">
        <v>330</v>
      </c>
      <c r="AJ513" s="43" t="s">
        <v>309</v>
      </c>
      <c r="AK513">
        <v>8.25</v>
      </c>
    </row>
    <row r="514" spans="31:37" x14ac:dyDescent="0.25">
      <c r="AE514" s="43" t="s">
        <v>34</v>
      </c>
      <c r="AF514" s="43" t="s">
        <v>26</v>
      </c>
      <c r="AG514" s="43" t="s">
        <v>36</v>
      </c>
      <c r="AH514">
        <v>4</v>
      </c>
      <c r="AI514" s="43" t="s">
        <v>330</v>
      </c>
      <c r="AJ514" s="43" t="s">
        <v>268</v>
      </c>
      <c r="AK514">
        <v>11.85</v>
      </c>
    </row>
    <row r="515" spans="31:37" x14ac:dyDescent="0.25">
      <c r="AE515" s="43" t="s">
        <v>34</v>
      </c>
      <c r="AF515" s="43" t="s">
        <v>26</v>
      </c>
      <c r="AG515" s="43" t="s">
        <v>36</v>
      </c>
      <c r="AH515">
        <v>4</v>
      </c>
      <c r="AI515" s="43" t="s">
        <v>343</v>
      </c>
      <c r="AJ515" s="43" t="s">
        <v>308</v>
      </c>
      <c r="AK515">
        <v>3.6</v>
      </c>
    </row>
    <row r="516" spans="31:37" x14ac:dyDescent="0.25">
      <c r="AE516" s="43" t="s">
        <v>34</v>
      </c>
      <c r="AF516" s="43" t="s">
        <v>26</v>
      </c>
      <c r="AG516" s="43" t="s">
        <v>36</v>
      </c>
      <c r="AH516">
        <v>4</v>
      </c>
      <c r="AI516" s="43" t="s">
        <v>343</v>
      </c>
      <c r="AJ516" s="43" t="s">
        <v>309</v>
      </c>
      <c r="AK516">
        <v>7.4</v>
      </c>
    </row>
    <row r="517" spans="31:37" x14ac:dyDescent="0.25">
      <c r="AE517" s="43" t="s">
        <v>34</v>
      </c>
      <c r="AF517" s="43" t="s">
        <v>26</v>
      </c>
      <c r="AG517" s="43" t="s">
        <v>36</v>
      </c>
      <c r="AH517">
        <v>4</v>
      </c>
      <c r="AI517" s="43" t="s">
        <v>343</v>
      </c>
      <c r="AJ517" s="43" t="s">
        <v>268</v>
      </c>
      <c r="AK517">
        <v>11</v>
      </c>
    </row>
    <row r="518" spans="31:37" x14ac:dyDescent="0.25">
      <c r="AE518" s="43" t="s">
        <v>34</v>
      </c>
      <c r="AF518" s="43" t="s">
        <v>26</v>
      </c>
      <c r="AG518" s="43" t="s">
        <v>36</v>
      </c>
      <c r="AH518">
        <v>4</v>
      </c>
      <c r="AI518" s="43" t="s">
        <v>341</v>
      </c>
      <c r="AJ518" s="43" t="s">
        <v>308</v>
      </c>
      <c r="AK518">
        <v>11.1</v>
      </c>
    </row>
    <row r="519" spans="31:37" x14ac:dyDescent="0.25">
      <c r="AE519" s="43" t="s">
        <v>34</v>
      </c>
      <c r="AF519" s="43" t="s">
        <v>26</v>
      </c>
      <c r="AG519" s="43" t="s">
        <v>36</v>
      </c>
      <c r="AH519">
        <v>4</v>
      </c>
      <c r="AI519" s="43" t="s">
        <v>341</v>
      </c>
      <c r="AJ519" s="43" t="s">
        <v>309</v>
      </c>
      <c r="AK519">
        <v>25.049999999999997</v>
      </c>
    </row>
    <row r="520" spans="31:37" x14ac:dyDescent="0.25">
      <c r="AE520" s="43" t="s">
        <v>34</v>
      </c>
      <c r="AF520" s="43" t="s">
        <v>26</v>
      </c>
      <c r="AG520" s="43" t="s">
        <v>36</v>
      </c>
      <c r="AH520">
        <v>4</v>
      </c>
      <c r="AI520" s="43" t="s">
        <v>341</v>
      </c>
      <c r="AJ520" s="43" t="s">
        <v>268</v>
      </c>
      <c r="AK520">
        <v>36.150000000000006</v>
      </c>
    </row>
    <row r="521" spans="31:37" x14ac:dyDescent="0.25">
      <c r="AE521" s="43" t="s">
        <v>34</v>
      </c>
      <c r="AF521" s="43" t="s">
        <v>26</v>
      </c>
      <c r="AG521" s="43" t="s">
        <v>36</v>
      </c>
      <c r="AH521">
        <v>4</v>
      </c>
      <c r="AI521" s="43" t="s">
        <v>273</v>
      </c>
      <c r="AJ521" s="43" t="s">
        <v>308</v>
      </c>
      <c r="AK521">
        <v>3.6999999999999997</v>
      </c>
    </row>
    <row r="522" spans="31:37" x14ac:dyDescent="0.25">
      <c r="AE522" s="43" t="s">
        <v>34</v>
      </c>
      <c r="AF522" s="43" t="s">
        <v>26</v>
      </c>
      <c r="AG522" s="43" t="s">
        <v>36</v>
      </c>
      <c r="AH522">
        <v>4</v>
      </c>
      <c r="AI522" s="43" t="s">
        <v>273</v>
      </c>
      <c r="AJ522" s="43" t="s">
        <v>309</v>
      </c>
      <c r="AK522">
        <v>8.35</v>
      </c>
    </row>
    <row r="523" spans="31:37" x14ac:dyDescent="0.25">
      <c r="AE523" s="43" t="s">
        <v>34</v>
      </c>
      <c r="AF523" s="43" t="s">
        <v>26</v>
      </c>
      <c r="AG523" s="43" t="s">
        <v>36</v>
      </c>
      <c r="AH523">
        <v>4</v>
      </c>
      <c r="AI523" s="43" t="s">
        <v>273</v>
      </c>
      <c r="AJ523" s="43" t="s">
        <v>268</v>
      </c>
      <c r="AK523">
        <v>12.050000000000002</v>
      </c>
    </row>
    <row r="524" spans="31:37" x14ac:dyDescent="0.25">
      <c r="AE524" s="43" t="s">
        <v>48</v>
      </c>
      <c r="AF524" s="43" t="s">
        <v>26</v>
      </c>
      <c r="AG524" s="43" t="s">
        <v>36</v>
      </c>
      <c r="AH524">
        <v>4</v>
      </c>
      <c r="AI524" s="43" t="s">
        <v>317</v>
      </c>
      <c r="AJ524" s="43" t="s">
        <v>308</v>
      </c>
      <c r="AK524">
        <v>3.7</v>
      </c>
    </row>
    <row r="525" spans="31:37" x14ac:dyDescent="0.25">
      <c r="AE525" s="43" t="s">
        <v>48</v>
      </c>
      <c r="AF525" s="43" t="s">
        <v>26</v>
      </c>
      <c r="AG525" s="43" t="s">
        <v>36</v>
      </c>
      <c r="AH525">
        <v>4</v>
      </c>
      <c r="AI525" s="43" t="s">
        <v>317</v>
      </c>
      <c r="AJ525" s="43" t="s">
        <v>309</v>
      </c>
      <c r="AK525">
        <v>7.4</v>
      </c>
    </row>
    <row r="526" spans="31:37" x14ac:dyDescent="0.25">
      <c r="AE526" s="43" t="s">
        <v>48</v>
      </c>
      <c r="AF526" s="43" t="s">
        <v>26</v>
      </c>
      <c r="AG526" s="43" t="s">
        <v>36</v>
      </c>
      <c r="AH526">
        <v>4</v>
      </c>
      <c r="AI526" s="43" t="s">
        <v>317</v>
      </c>
      <c r="AJ526" s="43" t="s">
        <v>268</v>
      </c>
      <c r="AK526">
        <v>11.1</v>
      </c>
    </row>
    <row r="527" spans="31:37" x14ac:dyDescent="0.25">
      <c r="AE527" s="43" t="s">
        <v>48</v>
      </c>
      <c r="AF527" s="43" t="s">
        <v>26</v>
      </c>
      <c r="AG527" s="43" t="s">
        <v>36</v>
      </c>
      <c r="AH527">
        <v>4</v>
      </c>
      <c r="AI527" s="43" t="s">
        <v>325</v>
      </c>
      <c r="AJ527" s="43" t="s">
        <v>308</v>
      </c>
      <c r="AK527">
        <v>3.2</v>
      </c>
    </row>
    <row r="528" spans="31:37" x14ac:dyDescent="0.25">
      <c r="AE528" s="43" t="s">
        <v>48</v>
      </c>
      <c r="AF528" s="43" t="s">
        <v>26</v>
      </c>
      <c r="AG528" s="43" t="s">
        <v>36</v>
      </c>
      <c r="AH528">
        <v>4</v>
      </c>
      <c r="AI528" s="43" t="s">
        <v>325</v>
      </c>
      <c r="AJ528" s="43" t="s">
        <v>309</v>
      </c>
      <c r="AK528">
        <v>8.15</v>
      </c>
    </row>
    <row r="529" spans="31:37" x14ac:dyDescent="0.25">
      <c r="AE529" s="43" t="s">
        <v>48</v>
      </c>
      <c r="AF529" s="43" t="s">
        <v>26</v>
      </c>
      <c r="AG529" s="43" t="s">
        <v>36</v>
      </c>
      <c r="AH529">
        <v>4</v>
      </c>
      <c r="AI529" s="43" t="s">
        <v>325</v>
      </c>
      <c r="AJ529" s="43" t="s">
        <v>268</v>
      </c>
      <c r="AK529">
        <v>11.35</v>
      </c>
    </row>
    <row r="530" spans="31:37" x14ac:dyDescent="0.25">
      <c r="AE530" s="43" t="s">
        <v>48</v>
      </c>
      <c r="AF530" s="43" t="s">
        <v>26</v>
      </c>
      <c r="AG530" s="43" t="s">
        <v>36</v>
      </c>
      <c r="AH530">
        <v>4</v>
      </c>
      <c r="AI530" s="43" t="s">
        <v>330</v>
      </c>
      <c r="AJ530" s="43" t="s">
        <v>308</v>
      </c>
      <c r="AK530">
        <v>3.5</v>
      </c>
    </row>
    <row r="531" spans="31:37" x14ac:dyDescent="0.25">
      <c r="AE531" s="43" t="s">
        <v>48</v>
      </c>
      <c r="AF531" s="43" t="s">
        <v>26</v>
      </c>
      <c r="AG531" s="43" t="s">
        <v>36</v>
      </c>
      <c r="AH531">
        <v>4</v>
      </c>
      <c r="AI531" s="43" t="s">
        <v>330</v>
      </c>
      <c r="AJ531" s="43" t="s">
        <v>309</v>
      </c>
      <c r="AK531">
        <v>7.65</v>
      </c>
    </row>
    <row r="532" spans="31:37" x14ac:dyDescent="0.25">
      <c r="AE532" s="43" t="s">
        <v>48</v>
      </c>
      <c r="AF532" s="43" t="s">
        <v>26</v>
      </c>
      <c r="AG532" s="43" t="s">
        <v>36</v>
      </c>
      <c r="AH532">
        <v>4</v>
      </c>
      <c r="AI532" s="43" t="s">
        <v>330</v>
      </c>
      <c r="AJ532" s="43" t="s">
        <v>268</v>
      </c>
      <c r="AK532">
        <v>11.15</v>
      </c>
    </row>
    <row r="533" spans="31:37" x14ac:dyDescent="0.25">
      <c r="AE533" s="43" t="s">
        <v>48</v>
      </c>
      <c r="AF533" s="43" t="s">
        <v>26</v>
      </c>
      <c r="AG533" s="43" t="s">
        <v>36</v>
      </c>
      <c r="AH533">
        <v>4</v>
      </c>
      <c r="AI533" s="43" t="s">
        <v>343</v>
      </c>
      <c r="AJ533" s="43" t="s">
        <v>308</v>
      </c>
      <c r="AK533">
        <v>3.2</v>
      </c>
    </row>
    <row r="534" spans="31:37" x14ac:dyDescent="0.25">
      <c r="AE534" s="43" t="s">
        <v>48</v>
      </c>
      <c r="AF534" s="43" t="s">
        <v>26</v>
      </c>
      <c r="AG534" s="43" t="s">
        <v>36</v>
      </c>
      <c r="AH534">
        <v>4</v>
      </c>
      <c r="AI534" s="43" t="s">
        <v>343</v>
      </c>
      <c r="AJ534" s="43" t="s">
        <v>309</v>
      </c>
      <c r="AK534">
        <v>7.9</v>
      </c>
    </row>
    <row r="535" spans="31:37" x14ac:dyDescent="0.25">
      <c r="AE535" s="43" t="s">
        <v>48</v>
      </c>
      <c r="AF535" s="43" t="s">
        <v>26</v>
      </c>
      <c r="AG535" s="43" t="s">
        <v>36</v>
      </c>
      <c r="AH535">
        <v>4</v>
      </c>
      <c r="AI535" s="43" t="s">
        <v>343</v>
      </c>
      <c r="AJ535" s="43" t="s">
        <v>268</v>
      </c>
      <c r="AK535">
        <v>11.1</v>
      </c>
    </row>
    <row r="536" spans="31:37" x14ac:dyDescent="0.25">
      <c r="AE536" s="43" t="s">
        <v>48</v>
      </c>
      <c r="AF536" s="43" t="s">
        <v>26</v>
      </c>
      <c r="AG536" s="43" t="s">
        <v>36</v>
      </c>
      <c r="AH536">
        <v>4</v>
      </c>
      <c r="AI536" s="43" t="s">
        <v>341</v>
      </c>
      <c r="AJ536" s="43" t="s">
        <v>308</v>
      </c>
      <c r="AK536">
        <v>10.4</v>
      </c>
    </row>
    <row r="537" spans="31:37" x14ac:dyDescent="0.25">
      <c r="AE537" s="43" t="s">
        <v>48</v>
      </c>
      <c r="AF537" s="43" t="s">
        <v>26</v>
      </c>
      <c r="AG537" s="43" t="s">
        <v>36</v>
      </c>
      <c r="AH537">
        <v>4</v>
      </c>
      <c r="AI537" s="43" t="s">
        <v>341</v>
      </c>
      <c r="AJ537" s="43" t="s">
        <v>309</v>
      </c>
      <c r="AK537">
        <v>23.700000000000003</v>
      </c>
    </row>
    <row r="538" spans="31:37" x14ac:dyDescent="0.25">
      <c r="AE538" s="43" t="s">
        <v>48</v>
      </c>
      <c r="AF538" s="43" t="s">
        <v>26</v>
      </c>
      <c r="AG538" s="43" t="s">
        <v>36</v>
      </c>
      <c r="AH538">
        <v>4</v>
      </c>
      <c r="AI538" s="43" t="s">
        <v>341</v>
      </c>
      <c r="AJ538" s="43" t="s">
        <v>268</v>
      </c>
      <c r="AK538">
        <v>33.6</v>
      </c>
    </row>
    <row r="539" spans="31:37" x14ac:dyDescent="0.25">
      <c r="AE539" s="43" t="s">
        <v>48</v>
      </c>
      <c r="AF539" s="43" t="s">
        <v>26</v>
      </c>
      <c r="AG539" s="43" t="s">
        <v>36</v>
      </c>
      <c r="AH539">
        <v>4</v>
      </c>
      <c r="AI539" s="43" t="s">
        <v>273</v>
      </c>
      <c r="AJ539" s="43" t="s">
        <v>308</v>
      </c>
      <c r="AK539">
        <v>3.4666666666666668</v>
      </c>
    </row>
    <row r="540" spans="31:37" x14ac:dyDescent="0.25">
      <c r="AE540" s="43" t="s">
        <v>48</v>
      </c>
      <c r="AF540" s="43" t="s">
        <v>26</v>
      </c>
      <c r="AG540" s="43" t="s">
        <v>36</v>
      </c>
      <c r="AH540">
        <v>4</v>
      </c>
      <c r="AI540" s="43" t="s">
        <v>273</v>
      </c>
      <c r="AJ540" s="43" t="s">
        <v>309</v>
      </c>
      <c r="AK540">
        <v>7.9000000000000012</v>
      </c>
    </row>
    <row r="541" spans="31:37" x14ac:dyDescent="0.25">
      <c r="AE541" s="43" t="s">
        <v>48</v>
      </c>
      <c r="AF541" s="43" t="s">
        <v>26</v>
      </c>
      <c r="AG541" s="43" t="s">
        <v>36</v>
      </c>
      <c r="AH541">
        <v>4</v>
      </c>
      <c r="AI541" s="43" t="s">
        <v>273</v>
      </c>
      <c r="AJ541" s="43" t="s">
        <v>268</v>
      </c>
      <c r="AK541">
        <v>11.200000000000001</v>
      </c>
    </row>
    <row r="542" spans="31:37" x14ac:dyDescent="0.25">
      <c r="AE542" s="43" t="s">
        <v>44</v>
      </c>
      <c r="AF542" s="43" t="s">
        <v>26</v>
      </c>
      <c r="AG542" s="43" t="s">
        <v>39</v>
      </c>
      <c r="AH542">
        <v>4</v>
      </c>
      <c r="AI542" s="43" t="s">
        <v>317</v>
      </c>
      <c r="AJ542" s="43" t="s">
        <v>308</v>
      </c>
      <c r="AK542">
        <v>3.4</v>
      </c>
    </row>
    <row r="543" spans="31:37" x14ac:dyDescent="0.25">
      <c r="AE543" s="43" t="s">
        <v>44</v>
      </c>
      <c r="AF543" s="43" t="s">
        <v>26</v>
      </c>
      <c r="AG543" s="43" t="s">
        <v>39</v>
      </c>
      <c r="AH543">
        <v>4</v>
      </c>
      <c r="AI543" s="43" t="s">
        <v>317</v>
      </c>
      <c r="AJ543" s="43" t="s">
        <v>309</v>
      </c>
      <c r="AK543">
        <v>8.4</v>
      </c>
    </row>
    <row r="544" spans="31:37" x14ac:dyDescent="0.25">
      <c r="AE544" s="43" t="s">
        <v>44</v>
      </c>
      <c r="AF544" s="43" t="s">
        <v>26</v>
      </c>
      <c r="AG544" s="43" t="s">
        <v>39</v>
      </c>
      <c r="AH544">
        <v>4</v>
      </c>
      <c r="AI544" s="43" t="s">
        <v>317</v>
      </c>
      <c r="AJ544" s="43" t="s">
        <v>268</v>
      </c>
      <c r="AK544">
        <v>11.8</v>
      </c>
    </row>
    <row r="545" spans="31:37" x14ac:dyDescent="0.25">
      <c r="AE545" s="43" t="s">
        <v>44</v>
      </c>
      <c r="AF545" s="43" t="s">
        <v>26</v>
      </c>
      <c r="AG545" s="43" t="s">
        <v>39</v>
      </c>
      <c r="AH545">
        <v>4</v>
      </c>
      <c r="AI545" s="43" t="s">
        <v>325</v>
      </c>
      <c r="AJ545" s="43" t="s">
        <v>308</v>
      </c>
      <c r="AK545">
        <v>3.1</v>
      </c>
    </row>
    <row r="546" spans="31:37" x14ac:dyDescent="0.25">
      <c r="AE546" s="43" t="s">
        <v>44</v>
      </c>
      <c r="AF546" s="43" t="s">
        <v>26</v>
      </c>
      <c r="AG546" s="43" t="s">
        <v>39</v>
      </c>
      <c r="AH546">
        <v>4</v>
      </c>
      <c r="AI546" s="43" t="s">
        <v>325</v>
      </c>
      <c r="AJ546" s="43" t="s">
        <v>309</v>
      </c>
      <c r="AK546">
        <v>8.35</v>
      </c>
    </row>
    <row r="547" spans="31:37" x14ac:dyDescent="0.25">
      <c r="AE547" s="43" t="s">
        <v>44</v>
      </c>
      <c r="AF547" s="43" t="s">
        <v>26</v>
      </c>
      <c r="AG547" s="43" t="s">
        <v>39</v>
      </c>
      <c r="AH547">
        <v>4</v>
      </c>
      <c r="AI547" s="43" t="s">
        <v>325</v>
      </c>
      <c r="AJ547" s="43" t="s">
        <v>268</v>
      </c>
      <c r="AK547">
        <v>11.45</v>
      </c>
    </row>
    <row r="548" spans="31:37" x14ac:dyDescent="0.25">
      <c r="AE548" s="43" t="s">
        <v>44</v>
      </c>
      <c r="AF548" s="43" t="s">
        <v>26</v>
      </c>
      <c r="AG548" s="43" t="s">
        <v>39</v>
      </c>
      <c r="AH548">
        <v>4</v>
      </c>
      <c r="AI548" s="43" t="s">
        <v>330</v>
      </c>
      <c r="AJ548" s="43" t="s">
        <v>308</v>
      </c>
      <c r="AK548">
        <v>3.4</v>
      </c>
    </row>
    <row r="549" spans="31:37" x14ac:dyDescent="0.25">
      <c r="AE549" s="43" t="s">
        <v>44</v>
      </c>
      <c r="AF549" s="43" t="s">
        <v>26</v>
      </c>
      <c r="AG549" s="43" t="s">
        <v>39</v>
      </c>
      <c r="AH549">
        <v>4</v>
      </c>
      <c r="AI549" s="43" t="s">
        <v>330</v>
      </c>
      <c r="AJ549" s="43" t="s">
        <v>309</v>
      </c>
      <c r="AK549">
        <v>8.0500000000000007</v>
      </c>
    </row>
    <row r="550" spans="31:37" x14ac:dyDescent="0.25">
      <c r="AE550" s="43" t="s">
        <v>44</v>
      </c>
      <c r="AF550" s="43" t="s">
        <v>26</v>
      </c>
      <c r="AG550" s="43" t="s">
        <v>39</v>
      </c>
      <c r="AH550">
        <v>4</v>
      </c>
      <c r="AI550" s="43" t="s">
        <v>330</v>
      </c>
      <c r="AJ550" s="43" t="s">
        <v>268</v>
      </c>
      <c r="AK550">
        <v>11.45</v>
      </c>
    </row>
    <row r="551" spans="31:37" x14ac:dyDescent="0.25">
      <c r="AE551" s="43" t="s">
        <v>44</v>
      </c>
      <c r="AF551" s="43" t="s">
        <v>26</v>
      </c>
      <c r="AG551" s="43" t="s">
        <v>39</v>
      </c>
      <c r="AH551">
        <v>4</v>
      </c>
      <c r="AI551" s="43" t="s">
        <v>343</v>
      </c>
      <c r="AJ551" s="43" t="s">
        <v>308</v>
      </c>
      <c r="AK551">
        <v>3.3</v>
      </c>
    </row>
    <row r="552" spans="31:37" x14ac:dyDescent="0.25">
      <c r="AE552" s="43" t="s">
        <v>44</v>
      </c>
      <c r="AF552" s="43" t="s">
        <v>26</v>
      </c>
      <c r="AG552" s="43" t="s">
        <v>39</v>
      </c>
      <c r="AH552">
        <v>4</v>
      </c>
      <c r="AI552" s="43" t="s">
        <v>343</v>
      </c>
      <c r="AJ552" s="43" t="s">
        <v>309</v>
      </c>
      <c r="AK552">
        <v>7.2</v>
      </c>
    </row>
    <row r="553" spans="31:37" x14ac:dyDescent="0.25">
      <c r="AE553" s="43" t="s">
        <v>44</v>
      </c>
      <c r="AF553" s="43" t="s">
        <v>26</v>
      </c>
      <c r="AG553" s="43" t="s">
        <v>39</v>
      </c>
      <c r="AH553">
        <v>4</v>
      </c>
      <c r="AI553" s="43" t="s">
        <v>343</v>
      </c>
      <c r="AJ553" s="43" t="s">
        <v>268</v>
      </c>
      <c r="AK553">
        <v>10.5</v>
      </c>
    </row>
    <row r="554" spans="31:37" x14ac:dyDescent="0.25">
      <c r="AE554" s="43" t="s">
        <v>44</v>
      </c>
      <c r="AF554" s="43" t="s">
        <v>26</v>
      </c>
      <c r="AG554" s="43" t="s">
        <v>39</v>
      </c>
      <c r="AH554">
        <v>4</v>
      </c>
      <c r="AI554" s="43" t="s">
        <v>341</v>
      </c>
      <c r="AJ554" s="43" t="s">
        <v>308</v>
      </c>
      <c r="AK554">
        <v>10.1</v>
      </c>
    </row>
    <row r="555" spans="31:37" x14ac:dyDescent="0.25">
      <c r="AE555" s="43" t="s">
        <v>44</v>
      </c>
      <c r="AF555" s="43" t="s">
        <v>26</v>
      </c>
      <c r="AG555" s="43" t="s">
        <v>39</v>
      </c>
      <c r="AH555">
        <v>4</v>
      </c>
      <c r="AI555" s="43" t="s">
        <v>341</v>
      </c>
      <c r="AJ555" s="43" t="s">
        <v>309</v>
      </c>
      <c r="AK555">
        <v>24.8</v>
      </c>
    </row>
    <row r="556" spans="31:37" x14ac:dyDescent="0.25">
      <c r="AE556" s="43" t="s">
        <v>44</v>
      </c>
      <c r="AF556" s="43" t="s">
        <v>26</v>
      </c>
      <c r="AG556" s="43" t="s">
        <v>39</v>
      </c>
      <c r="AH556">
        <v>4</v>
      </c>
      <c r="AI556" s="43" t="s">
        <v>341</v>
      </c>
      <c r="AJ556" s="43" t="s">
        <v>268</v>
      </c>
      <c r="AK556">
        <v>34.700000000000003</v>
      </c>
    </row>
    <row r="557" spans="31:37" x14ac:dyDescent="0.25">
      <c r="AE557" s="43" t="s">
        <v>44</v>
      </c>
      <c r="AF557" s="43" t="s">
        <v>26</v>
      </c>
      <c r="AG557" s="43" t="s">
        <v>39</v>
      </c>
      <c r="AH557">
        <v>4</v>
      </c>
      <c r="AI557" s="43" t="s">
        <v>273</v>
      </c>
      <c r="AJ557" s="43" t="s">
        <v>308</v>
      </c>
      <c r="AK557">
        <v>3.3666666666666667</v>
      </c>
    </row>
    <row r="558" spans="31:37" x14ac:dyDescent="0.25">
      <c r="AE558" s="43" t="s">
        <v>44</v>
      </c>
      <c r="AF558" s="43" t="s">
        <v>26</v>
      </c>
      <c r="AG558" s="43" t="s">
        <v>39</v>
      </c>
      <c r="AH558">
        <v>4</v>
      </c>
      <c r="AI558" s="43" t="s">
        <v>273</v>
      </c>
      <c r="AJ558" s="43" t="s">
        <v>309</v>
      </c>
      <c r="AK558">
        <v>8.2666666666666675</v>
      </c>
    </row>
    <row r="559" spans="31:37" x14ac:dyDescent="0.25">
      <c r="AE559" s="43" t="s">
        <v>44</v>
      </c>
      <c r="AF559" s="43" t="s">
        <v>26</v>
      </c>
      <c r="AG559" s="43" t="s">
        <v>39</v>
      </c>
      <c r="AH559">
        <v>4</v>
      </c>
      <c r="AI559" s="43" t="s">
        <v>273</v>
      </c>
      <c r="AJ559" s="43" t="s">
        <v>268</v>
      </c>
      <c r="AK559">
        <v>11.566666666666668</v>
      </c>
    </row>
    <row r="560" spans="31:37" x14ac:dyDescent="0.25">
      <c r="AE560" s="43" t="s">
        <v>40</v>
      </c>
      <c r="AF560" s="43" t="s">
        <v>26</v>
      </c>
      <c r="AG560" s="43" t="s">
        <v>39</v>
      </c>
      <c r="AH560">
        <v>3</v>
      </c>
      <c r="AI560" s="43" t="s">
        <v>317</v>
      </c>
      <c r="AJ560" s="43" t="s">
        <v>308</v>
      </c>
      <c r="AK560">
        <v>0</v>
      </c>
    </row>
    <row r="561" spans="31:37" x14ac:dyDescent="0.25">
      <c r="AE561" s="43" t="s">
        <v>40</v>
      </c>
      <c r="AF561" s="43" t="s">
        <v>26</v>
      </c>
      <c r="AG561" s="43" t="s">
        <v>39</v>
      </c>
      <c r="AH561">
        <v>3</v>
      </c>
      <c r="AI561" s="43" t="s">
        <v>317</v>
      </c>
      <c r="AJ561" s="43" t="s">
        <v>309</v>
      </c>
      <c r="AK561">
        <v>0</v>
      </c>
    </row>
    <row r="562" spans="31:37" x14ac:dyDescent="0.25">
      <c r="AE562" s="43" t="s">
        <v>40</v>
      </c>
      <c r="AF562" s="43" t="s">
        <v>26</v>
      </c>
      <c r="AG562" s="43" t="s">
        <v>39</v>
      </c>
      <c r="AH562">
        <v>3</v>
      </c>
      <c r="AI562" s="43" t="s">
        <v>317</v>
      </c>
      <c r="AJ562" s="43" t="s">
        <v>268</v>
      </c>
      <c r="AK562">
        <v>0</v>
      </c>
    </row>
    <row r="563" spans="31:37" x14ac:dyDescent="0.25">
      <c r="AE563" s="43" t="s">
        <v>40</v>
      </c>
      <c r="AF563" s="43" t="s">
        <v>26</v>
      </c>
      <c r="AG563" s="43" t="s">
        <v>39</v>
      </c>
      <c r="AH563">
        <v>3</v>
      </c>
      <c r="AI563" s="43" t="s">
        <v>325</v>
      </c>
      <c r="AJ563" s="43" t="s">
        <v>308</v>
      </c>
      <c r="AK563">
        <v>3.4</v>
      </c>
    </row>
    <row r="564" spans="31:37" x14ac:dyDescent="0.25">
      <c r="AE564" s="43" t="s">
        <v>40</v>
      </c>
      <c r="AF564" s="43" t="s">
        <v>26</v>
      </c>
      <c r="AG564" s="43" t="s">
        <v>39</v>
      </c>
      <c r="AH564">
        <v>3</v>
      </c>
      <c r="AI564" s="43" t="s">
        <v>325</v>
      </c>
      <c r="AJ564" s="43" t="s">
        <v>309</v>
      </c>
      <c r="AK564">
        <v>8.1999999999999993</v>
      </c>
    </row>
    <row r="565" spans="31:37" x14ac:dyDescent="0.25">
      <c r="AE565" s="43" t="s">
        <v>40</v>
      </c>
      <c r="AF565" s="43" t="s">
        <v>26</v>
      </c>
      <c r="AG565" s="43" t="s">
        <v>39</v>
      </c>
      <c r="AH565">
        <v>3</v>
      </c>
      <c r="AI565" s="43" t="s">
        <v>325</v>
      </c>
      <c r="AJ565" s="43" t="s">
        <v>268</v>
      </c>
      <c r="AK565">
        <v>11.6</v>
      </c>
    </row>
    <row r="566" spans="31:37" x14ac:dyDescent="0.25">
      <c r="AE566" s="43" t="s">
        <v>40</v>
      </c>
      <c r="AF566" s="43" t="s">
        <v>26</v>
      </c>
      <c r="AG566" s="43" t="s">
        <v>39</v>
      </c>
      <c r="AH566">
        <v>3</v>
      </c>
      <c r="AI566" s="43" t="s">
        <v>330</v>
      </c>
      <c r="AJ566" s="43" t="s">
        <v>308</v>
      </c>
      <c r="AK566">
        <v>3.4</v>
      </c>
    </row>
    <row r="567" spans="31:37" x14ac:dyDescent="0.25">
      <c r="AE567" s="43" t="s">
        <v>40</v>
      </c>
      <c r="AF567" s="43" t="s">
        <v>26</v>
      </c>
      <c r="AG567" s="43" t="s">
        <v>39</v>
      </c>
      <c r="AH567">
        <v>3</v>
      </c>
      <c r="AI567" s="43" t="s">
        <v>330</v>
      </c>
      <c r="AJ567" s="43" t="s">
        <v>309</v>
      </c>
      <c r="AK567">
        <v>7.95</v>
      </c>
    </row>
    <row r="568" spans="31:37" x14ac:dyDescent="0.25">
      <c r="AE568" s="43" t="s">
        <v>40</v>
      </c>
      <c r="AF568" s="43" t="s">
        <v>26</v>
      </c>
      <c r="AG568" s="43" t="s">
        <v>39</v>
      </c>
      <c r="AH568">
        <v>3</v>
      </c>
      <c r="AI568" s="43" t="s">
        <v>330</v>
      </c>
      <c r="AJ568" s="43" t="s">
        <v>268</v>
      </c>
      <c r="AK568">
        <v>11.35</v>
      </c>
    </row>
    <row r="569" spans="31:37" x14ac:dyDescent="0.25">
      <c r="AE569" s="43" t="s">
        <v>40</v>
      </c>
      <c r="AF569" s="43" t="s">
        <v>26</v>
      </c>
      <c r="AG569" s="43" t="s">
        <v>39</v>
      </c>
      <c r="AH569">
        <v>3</v>
      </c>
      <c r="AI569" s="43" t="s">
        <v>343</v>
      </c>
      <c r="AJ569" s="43" t="s">
        <v>308</v>
      </c>
      <c r="AK569">
        <v>3.1</v>
      </c>
    </row>
    <row r="570" spans="31:37" x14ac:dyDescent="0.25">
      <c r="AE570" s="43" t="s">
        <v>40</v>
      </c>
      <c r="AF570" s="43" t="s">
        <v>26</v>
      </c>
      <c r="AG570" s="43" t="s">
        <v>39</v>
      </c>
      <c r="AH570">
        <v>3</v>
      </c>
      <c r="AI570" s="43" t="s">
        <v>343</v>
      </c>
      <c r="AJ570" s="43" t="s">
        <v>309</v>
      </c>
      <c r="AK570">
        <v>7.3</v>
      </c>
    </row>
    <row r="571" spans="31:37" x14ac:dyDescent="0.25">
      <c r="AE571" s="43" t="s">
        <v>40</v>
      </c>
      <c r="AF571" s="43" t="s">
        <v>26</v>
      </c>
      <c r="AG571" s="43" t="s">
        <v>39</v>
      </c>
      <c r="AH571">
        <v>3</v>
      </c>
      <c r="AI571" s="43" t="s">
        <v>343</v>
      </c>
      <c r="AJ571" s="43" t="s">
        <v>268</v>
      </c>
      <c r="AK571">
        <v>10.4</v>
      </c>
    </row>
    <row r="572" spans="31:37" x14ac:dyDescent="0.25">
      <c r="AE572" s="43" t="s">
        <v>40</v>
      </c>
      <c r="AF572" s="43" t="s">
        <v>26</v>
      </c>
      <c r="AG572" s="43" t="s">
        <v>39</v>
      </c>
      <c r="AH572">
        <v>3</v>
      </c>
      <c r="AI572" s="43" t="s">
        <v>341</v>
      </c>
      <c r="AJ572" s="43" t="s">
        <v>308</v>
      </c>
      <c r="AK572">
        <v>9.9</v>
      </c>
    </row>
    <row r="573" spans="31:37" x14ac:dyDescent="0.25">
      <c r="AE573" s="43" t="s">
        <v>40</v>
      </c>
      <c r="AF573" s="43" t="s">
        <v>26</v>
      </c>
      <c r="AG573" s="43" t="s">
        <v>39</v>
      </c>
      <c r="AH573">
        <v>3</v>
      </c>
      <c r="AI573" s="43" t="s">
        <v>341</v>
      </c>
      <c r="AJ573" s="43" t="s">
        <v>309</v>
      </c>
      <c r="AK573">
        <v>23.45</v>
      </c>
    </row>
    <row r="574" spans="31:37" x14ac:dyDescent="0.25">
      <c r="AE574" s="43" t="s">
        <v>40</v>
      </c>
      <c r="AF574" s="43" t="s">
        <v>26</v>
      </c>
      <c r="AG574" s="43" t="s">
        <v>39</v>
      </c>
      <c r="AH574">
        <v>3</v>
      </c>
      <c r="AI574" s="43" t="s">
        <v>341</v>
      </c>
      <c r="AJ574" s="43" t="s">
        <v>268</v>
      </c>
      <c r="AK574">
        <v>33.35</v>
      </c>
    </row>
    <row r="575" spans="31:37" x14ac:dyDescent="0.25">
      <c r="AE575" s="43" t="s">
        <v>40</v>
      </c>
      <c r="AF575" s="43" t="s">
        <v>26</v>
      </c>
      <c r="AG575" s="43" t="s">
        <v>39</v>
      </c>
      <c r="AH575">
        <v>3</v>
      </c>
      <c r="AI575" s="43" t="s">
        <v>273</v>
      </c>
      <c r="AJ575" s="43" t="s">
        <v>308</v>
      </c>
      <c r="AK575">
        <v>3.3000000000000003</v>
      </c>
    </row>
    <row r="576" spans="31:37" x14ac:dyDescent="0.25">
      <c r="AE576" s="43" t="s">
        <v>40</v>
      </c>
      <c r="AF576" s="43" t="s">
        <v>26</v>
      </c>
      <c r="AG576" s="43" t="s">
        <v>39</v>
      </c>
      <c r="AH576">
        <v>3</v>
      </c>
      <c r="AI576" s="43" t="s">
        <v>273</v>
      </c>
      <c r="AJ576" s="43" t="s">
        <v>309</v>
      </c>
      <c r="AK576">
        <v>7.8166666666666664</v>
      </c>
    </row>
    <row r="577" spans="31:37" x14ac:dyDescent="0.25">
      <c r="AE577" s="43" t="s">
        <v>40</v>
      </c>
      <c r="AF577" s="43" t="s">
        <v>26</v>
      </c>
      <c r="AG577" s="43" t="s">
        <v>39</v>
      </c>
      <c r="AH577">
        <v>3</v>
      </c>
      <c r="AI577" s="43" t="s">
        <v>273</v>
      </c>
      <c r="AJ577" s="43" t="s">
        <v>268</v>
      </c>
      <c r="AK577">
        <v>11.116666666666667</v>
      </c>
    </row>
    <row r="578" spans="31:37" x14ac:dyDescent="0.25">
      <c r="AE578" s="43" t="s">
        <v>37</v>
      </c>
      <c r="AF578" s="43" t="s">
        <v>26</v>
      </c>
      <c r="AG578" s="43" t="s">
        <v>39</v>
      </c>
      <c r="AH578">
        <v>4</v>
      </c>
      <c r="AI578" s="43" t="s">
        <v>317</v>
      </c>
      <c r="AJ578" s="43" t="s">
        <v>308</v>
      </c>
      <c r="AK578">
        <v>3.3</v>
      </c>
    </row>
    <row r="579" spans="31:37" x14ac:dyDescent="0.25">
      <c r="AE579" s="43" t="s">
        <v>37</v>
      </c>
      <c r="AF579" s="43" t="s">
        <v>26</v>
      </c>
      <c r="AG579" s="43" t="s">
        <v>39</v>
      </c>
      <c r="AH579">
        <v>4</v>
      </c>
      <c r="AI579" s="43" t="s">
        <v>317</v>
      </c>
      <c r="AJ579" s="43" t="s">
        <v>309</v>
      </c>
      <c r="AK579">
        <v>8.3000000000000007</v>
      </c>
    </row>
    <row r="580" spans="31:37" x14ac:dyDescent="0.25">
      <c r="AE580" s="43" t="s">
        <v>37</v>
      </c>
      <c r="AF580" s="43" t="s">
        <v>26</v>
      </c>
      <c r="AG580" s="43" t="s">
        <v>39</v>
      </c>
      <c r="AH580">
        <v>4</v>
      </c>
      <c r="AI580" s="43" t="s">
        <v>317</v>
      </c>
      <c r="AJ580" s="43" t="s">
        <v>268</v>
      </c>
      <c r="AK580">
        <v>11.6</v>
      </c>
    </row>
    <row r="581" spans="31:37" x14ac:dyDescent="0.25">
      <c r="AE581" s="43" t="s">
        <v>37</v>
      </c>
      <c r="AF581" s="43" t="s">
        <v>26</v>
      </c>
      <c r="AG581" s="43" t="s">
        <v>39</v>
      </c>
      <c r="AH581">
        <v>4</v>
      </c>
      <c r="AI581" s="43" t="s">
        <v>325</v>
      </c>
      <c r="AJ581" s="43" t="s">
        <v>308</v>
      </c>
      <c r="AK581">
        <v>3.3</v>
      </c>
    </row>
    <row r="582" spans="31:37" x14ac:dyDescent="0.25">
      <c r="AE582" s="43" t="s">
        <v>37</v>
      </c>
      <c r="AF582" s="43" t="s">
        <v>26</v>
      </c>
      <c r="AG582" s="43" t="s">
        <v>39</v>
      </c>
      <c r="AH582">
        <v>4</v>
      </c>
      <c r="AI582" s="43" t="s">
        <v>325</v>
      </c>
      <c r="AJ582" s="43" t="s">
        <v>309</v>
      </c>
      <c r="AK582">
        <v>8.3000000000000007</v>
      </c>
    </row>
    <row r="583" spans="31:37" x14ac:dyDescent="0.25">
      <c r="AE583" s="43" t="s">
        <v>37</v>
      </c>
      <c r="AF583" s="43" t="s">
        <v>26</v>
      </c>
      <c r="AG583" s="43" t="s">
        <v>39</v>
      </c>
      <c r="AH583">
        <v>4</v>
      </c>
      <c r="AI583" s="43" t="s">
        <v>325</v>
      </c>
      <c r="AJ583" s="43" t="s">
        <v>268</v>
      </c>
      <c r="AK583">
        <v>11.6</v>
      </c>
    </row>
    <row r="584" spans="31:37" x14ac:dyDescent="0.25">
      <c r="AE584" s="43" t="s">
        <v>37</v>
      </c>
      <c r="AF584" s="43" t="s">
        <v>26</v>
      </c>
      <c r="AG584" s="43" t="s">
        <v>39</v>
      </c>
      <c r="AH584">
        <v>4</v>
      </c>
      <c r="AI584" s="43" t="s">
        <v>330</v>
      </c>
      <c r="AJ584" s="43" t="s">
        <v>308</v>
      </c>
      <c r="AK584">
        <v>3.3</v>
      </c>
    </row>
    <row r="585" spans="31:37" x14ac:dyDescent="0.25">
      <c r="AE585" s="43" t="s">
        <v>37</v>
      </c>
      <c r="AF585" s="43" t="s">
        <v>26</v>
      </c>
      <c r="AG585" s="43" t="s">
        <v>39</v>
      </c>
      <c r="AH585">
        <v>4</v>
      </c>
      <c r="AI585" s="43" t="s">
        <v>330</v>
      </c>
      <c r="AJ585" s="43" t="s">
        <v>309</v>
      </c>
      <c r="AK585">
        <v>7.25</v>
      </c>
    </row>
    <row r="586" spans="31:37" x14ac:dyDescent="0.25">
      <c r="AE586" s="43" t="s">
        <v>37</v>
      </c>
      <c r="AF586" s="43" t="s">
        <v>26</v>
      </c>
      <c r="AG586" s="43" t="s">
        <v>39</v>
      </c>
      <c r="AH586">
        <v>4</v>
      </c>
      <c r="AI586" s="43" t="s">
        <v>330</v>
      </c>
      <c r="AJ586" s="43" t="s">
        <v>268</v>
      </c>
      <c r="AK586">
        <v>10.55</v>
      </c>
    </row>
    <row r="587" spans="31:37" x14ac:dyDescent="0.25">
      <c r="AE587" s="43" t="s">
        <v>37</v>
      </c>
      <c r="AF587" s="43" t="s">
        <v>26</v>
      </c>
      <c r="AG587" s="43" t="s">
        <v>39</v>
      </c>
      <c r="AH587">
        <v>4</v>
      </c>
      <c r="AI587" s="43" t="s">
        <v>343</v>
      </c>
      <c r="AJ587" s="43" t="s">
        <v>308</v>
      </c>
      <c r="AK587">
        <v>3.3</v>
      </c>
    </row>
    <row r="588" spans="31:37" x14ac:dyDescent="0.25">
      <c r="AE588" s="43" t="s">
        <v>37</v>
      </c>
      <c r="AF588" s="43" t="s">
        <v>26</v>
      </c>
      <c r="AG588" s="43" t="s">
        <v>39</v>
      </c>
      <c r="AH588">
        <v>4</v>
      </c>
      <c r="AI588" s="43" t="s">
        <v>343</v>
      </c>
      <c r="AJ588" s="43" t="s">
        <v>309</v>
      </c>
      <c r="AK588">
        <v>5.9</v>
      </c>
    </row>
    <row r="589" spans="31:37" x14ac:dyDescent="0.25">
      <c r="AE589" s="43" t="s">
        <v>37</v>
      </c>
      <c r="AF589" s="43" t="s">
        <v>26</v>
      </c>
      <c r="AG589" s="43" t="s">
        <v>39</v>
      </c>
      <c r="AH589">
        <v>4</v>
      </c>
      <c r="AI589" s="43" t="s">
        <v>343</v>
      </c>
      <c r="AJ589" s="43" t="s">
        <v>268</v>
      </c>
      <c r="AK589">
        <v>9.1999999999999993</v>
      </c>
    </row>
    <row r="590" spans="31:37" x14ac:dyDescent="0.25">
      <c r="AE590" s="43" t="s">
        <v>37</v>
      </c>
      <c r="AF590" s="43" t="s">
        <v>26</v>
      </c>
      <c r="AG590" s="43" t="s">
        <v>39</v>
      </c>
      <c r="AH590">
        <v>4</v>
      </c>
      <c r="AI590" s="43" t="s">
        <v>341</v>
      </c>
      <c r="AJ590" s="43" t="s">
        <v>308</v>
      </c>
      <c r="AK590">
        <v>9.8999999999999986</v>
      </c>
    </row>
    <row r="591" spans="31:37" x14ac:dyDescent="0.25">
      <c r="AE591" s="43" t="s">
        <v>37</v>
      </c>
      <c r="AF591" s="43" t="s">
        <v>26</v>
      </c>
      <c r="AG591" s="43" t="s">
        <v>39</v>
      </c>
      <c r="AH591">
        <v>4</v>
      </c>
      <c r="AI591" s="43" t="s">
        <v>341</v>
      </c>
      <c r="AJ591" s="43" t="s">
        <v>309</v>
      </c>
      <c r="AK591">
        <v>23.85</v>
      </c>
    </row>
    <row r="592" spans="31:37" x14ac:dyDescent="0.25">
      <c r="AE592" s="43" t="s">
        <v>37</v>
      </c>
      <c r="AF592" s="43" t="s">
        <v>26</v>
      </c>
      <c r="AG592" s="43" t="s">
        <v>39</v>
      </c>
      <c r="AH592">
        <v>4</v>
      </c>
      <c r="AI592" s="43" t="s">
        <v>341</v>
      </c>
      <c r="AJ592" s="43" t="s">
        <v>268</v>
      </c>
      <c r="AK592">
        <v>33.75</v>
      </c>
    </row>
    <row r="593" spans="31:37" x14ac:dyDescent="0.25">
      <c r="AE593" s="43" t="s">
        <v>37</v>
      </c>
      <c r="AF593" s="43" t="s">
        <v>26</v>
      </c>
      <c r="AG593" s="43" t="s">
        <v>39</v>
      </c>
      <c r="AH593">
        <v>4</v>
      </c>
      <c r="AI593" s="43" t="s">
        <v>273</v>
      </c>
      <c r="AJ593" s="43" t="s">
        <v>308</v>
      </c>
      <c r="AK593">
        <v>3.2999999999999994</v>
      </c>
    </row>
    <row r="594" spans="31:37" x14ac:dyDescent="0.25">
      <c r="AE594" s="43" t="s">
        <v>37</v>
      </c>
      <c r="AF594" s="43" t="s">
        <v>26</v>
      </c>
      <c r="AG594" s="43" t="s">
        <v>39</v>
      </c>
      <c r="AH594">
        <v>4</v>
      </c>
      <c r="AI594" s="43" t="s">
        <v>273</v>
      </c>
      <c r="AJ594" s="43" t="s">
        <v>309</v>
      </c>
      <c r="AK594">
        <v>7.95</v>
      </c>
    </row>
    <row r="595" spans="31:37" x14ac:dyDescent="0.25">
      <c r="AE595" s="43" t="s">
        <v>37</v>
      </c>
      <c r="AF595" s="43" t="s">
        <v>26</v>
      </c>
      <c r="AG595" s="43" t="s">
        <v>39</v>
      </c>
      <c r="AH595">
        <v>4</v>
      </c>
      <c r="AI595" s="43" t="s">
        <v>273</v>
      </c>
      <c r="AJ595" s="43" t="s">
        <v>268</v>
      </c>
      <c r="AK595">
        <v>11.25</v>
      </c>
    </row>
    <row r="596" spans="31:37" x14ac:dyDescent="0.25">
      <c r="AE596" s="43" t="s">
        <v>46</v>
      </c>
      <c r="AF596" s="43" t="s">
        <v>26</v>
      </c>
      <c r="AG596" s="43" t="s">
        <v>36</v>
      </c>
      <c r="AH596">
        <v>3</v>
      </c>
      <c r="AI596" s="43" t="s">
        <v>317</v>
      </c>
      <c r="AJ596" s="43" t="s">
        <v>308</v>
      </c>
      <c r="AK596">
        <v>0</v>
      </c>
    </row>
    <row r="597" spans="31:37" x14ac:dyDescent="0.25">
      <c r="AE597" s="43" t="s">
        <v>46</v>
      </c>
      <c r="AF597" s="43" t="s">
        <v>26</v>
      </c>
      <c r="AG597" s="43" t="s">
        <v>36</v>
      </c>
      <c r="AH597">
        <v>3</v>
      </c>
      <c r="AI597" s="43" t="s">
        <v>317</v>
      </c>
      <c r="AJ597" s="43" t="s">
        <v>309</v>
      </c>
      <c r="AK597">
        <v>0</v>
      </c>
    </row>
    <row r="598" spans="31:37" x14ac:dyDescent="0.25">
      <c r="AE598" s="43" t="s">
        <v>46</v>
      </c>
      <c r="AF598" s="43" t="s">
        <v>26</v>
      </c>
      <c r="AG598" s="43" t="s">
        <v>36</v>
      </c>
      <c r="AH598">
        <v>3</v>
      </c>
      <c r="AI598" s="43" t="s">
        <v>317</v>
      </c>
      <c r="AJ598" s="43" t="s">
        <v>268</v>
      </c>
      <c r="AK598">
        <v>0</v>
      </c>
    </row>
    <row r="599" spans="31:37" x14ac:dyDescent="0.25">
      <c r="AE599" s="43" t="s">
        <v>46</v>
      </c>
      <c r="AF599" s="43" t="s">
        <v>26</v>
      </c>
      <c r="AG599" s="43" t="s">
        <v>36</v>
      </c>
      <c r="AH599">
        <v>3</v>
      </c>
      <c r="AI599" s="43" t="s">
        <v>325</v>
      </c>
      <c r="AJ599" s="43" t="s">
        <v>308</v>
      </c>
      <c r="AK599">
        <v>2.9</v>
      </c>
    </row>
    <row r="600" spans="31:37" x14ac:dyDescent="0.25">
      <c r="AE600" s="43" t="s">
        <v>46</v>
      </c>
      <c r="AF600" s="43" t="s">
        <v>26</v>
      </c>
      <c r="AG600" s="43" t="s">
        <v>36</v>
      </c>
      <c r="AH600">
        <v>3</v>
      </c>
      <c r="AI600" s="43" t="s">
        <v>325</v>
      </c>
      <c r="AJ600" s="43" t="s">
        <v>309</v>
      </c>
      <c r="AK600">
        <v>8.1999999999999993</v>
      </c>
    </row>
    <row r="601" spans="31:37" x14ac:dyDescent="0.25">
      <c r="AE601" s="43" t="s">
        <v>46</v>
      </c>
      <c r="AF601" s="43" t="s">
        <v>26</v>
      </c>
      <c r="AG601" s="43" t="s">
        <v>36</v>
      </c>
      <c r="AH601">
        <v>3</v>
      </c>
      <c r="AI601" s="43" t="s">
        <v>325</v>
      </c>
      <c r="AJ601" s="43" t="s">
        <v>268</v>
      </c>
      <c r="AK601">
        <v>11.1</v>
      </c>
    </row>
    <row r="602" spans="31:37" x14ac:dyDescent="0.25">
      <c r="AE602" s="43" t="s">
        <v>46</v>
      </c>
      <c r="AF602" s="43" t="s">
        <v>26</v>
      </c>
      <c r="AG602" s="43" t="s">
        <v>36</v>
      </c>
      <c r="AH602">
        <v>3</v>
      </c>
      <c r="AI602" s="43" t="s">
        <v>330</v>
      </c>
      <c r="AJ602" s="43" t="s">
        <v>308</v>
      </c>
      <c r="AK602">
        <v>3.1</v>
      </c>
    </row>
    <row r="603" spans="31:37" x14ac:dyDescent="0.25">
      <c r="AE603" s="43" t="s">
        <v>46</v>
      </c>
      <c r="AF603" s="43" t="s">
        <v>26</v>
      </c>
      <c r="AG603" s="43" t="s">
        <v>36</v>
      </c>
      <c r="AH603">
        <v>3</v>
      </c>
      <c r="AI603" s="43" t="s">
        <v>330</v>
      </c>
      <c r="AJ603" s="43" t="s">
        <v>309</v>
      </c>
      <c r="AK603">
        <v>7.7</v>
      </c>
    </row>
    <row r="604" spans="31:37" x14ac:dyDescent="0.25">
      <c r="AE604" s="43" t="s">
        <v>46</v>
      </c>
      <c r="AF604" s="43" t="s">
        <v>26</v>
      </c>
      <c r="AG604" s="43" t="s">
        <v>36</v>
      </c>
      <c r="AH604">
        <v>3</v>
      </c>
      <c r="AI604" s="43" t="s">
        <v>330</v>
      </c>
      <c r="AJ604" s="43" t="s">
        <v>268</v>
      </c>
      <c r="AK604">
        <v>10.8</v>
      </c>
    </row>
    <row r="605" spans="31:37" x14ac:dyDescent="0.25">
      <c r="AE605" s="43" t="s">
        <v>46</v>
      </c>
      <c r="AF605" s="43" t="s">
        <v>26</v>
      </c>
      <c r="AG605" s="43" t="s">
        <v>36</v>
      </c>
      <c r="AH605">
        <v>3</v>
      </c>
      <c r="AI605" s="43" t="s">
        <v>343</v>
      </c>
      <c r="AJ605" s="43" t="s">
        <v>308</v>
      </c>
      <c r="AK605">
        <v>2.9</v>
      </c>
    </row>
    <row r="606" spans="31:37" x14ac:dyDescent="0.25">
      <c r="AE606" s="43" t="s">
        <v>46</v>
      </c>
      <c r="AF606" s="43" t="s">
        <v>26</v>
      </c>
      <c r="AG606" s="43" t="s">
        <v>36</v>
      </c>
      <c r="AH606">
        <v>3</v>
      </c>
      <c r="AI606" s="43" t="s">
        <v>343</v>
      </c>
      <c r="AJ606" s="43" t="s">
        <v>309</v>
      </c>
      <c r="AK606">
        <v>7.8</v>
      </c>
    </row>
    <row r="607" spans="31:37" x14ac:dyDescent="0.25">
      <c r="AE607" s="43" t="s">
        <v>46</v>
      </c>
      <c r="AF607" s="43" t="s">
        <v>26</v>
      </c>
      <c r="AG607" s="43" t="s">
        <v>36</v>
      </c>
      <c r="AH607">
        <v>3</v>
      </c>
      <c r="AI607" s="43" t="s">
        <v>343</v>
      </c>
      <c r="AJ607" s="43" t="s">
        <v>268</v>
      </c>
      <c r="AK607">
        <v>10.7</v>
      </c>
    </row>
    <row r="608" spans="31:37" x14ac:dyDescent="0.25">
      <c r="AE608" s="43" t="s">
        <v>46</v>
      </c>
      <c r="AF608" s="43" t="s">
        <v>26</v>
      </c>
      <c r="AG608" s="43" t="s">
        <v>36</v>
      </c>
      <c r="AH608">
        <v>3</v>
      </c>
      <c r="AI608" s="43" t="s">
        <v>341</v>
      </c>
      <c r="AJ608" s="43" t="s">
        <v>308</v>
      </c>
      <c r="AK608">
        <v>8.9</v>
      </c>
    </row>
    <row r="609" spans="31:37" x14ac:dyDescent="0.25">
      <c r="AE609" s="43" t="s">
        <v>46</v>
      </c>
      <c r="AF609" s="43" t="s">
        <v>26</v>
      </c>
      <c r="AG609" s="43" t="s">
        <v>36</v>
      </c>
      <c r="AH609">
        <v>3</v>
      </c>
      <c r="AI609" s="43" t="s">
        <v>341</v>
      </c>
      <c r="AJ609" s="43" t="s">
        <v>309</v>
      </c>
      <c r="AK609">
        <v>23.7</v>
      </c>
    </row>
    <row r="610" spans="31:37" x14ac:dyDescent="0.25">
      <c r="AE610" s="43" t="s">
        <v>46</v>
      </c>
      <c r="AF610" s="43" t="s">
        <v>26</v>
      </c>
      <c r="AG610" s="43" t="s">
        <v>36</v>
      </c>
      <c r="AH610">
        <v>3</v>
      </c>
      <c r="AI610" s="43" t="s">
        <v>341</v>
      </c>
      <c r="AJ610" s="43" t="s">
        <v>268</v>
      </c>
      <c r="AK610">
        <v>32.599999999999994</v>
      </c>
    </row>
    <row r="611" spans="31:37" x14ac:dyDescent="0.25">
      <c r="AE611" s="43" t="s">
        <v>46</v>
      </c>
      <c r="AF611" s="43" t="s">
        <v>26</v>
      </c>
      <c r="AG611" s="43" t="s">
        <v>36</v>
      </c>
      <c r="AH611">
        <v>3</v>
      </c>
      <c r="AI611" s="43" t="s">
        <v>273</v>
      </c>
      <c r="AJ611" s="43" t="s">
        <v>308</v>
      </c>
      <c r="AK611">
        <v>2.9666666666666668</v>
      </c>
    </row>
    <row r="612" spans="31:37" x14ac:dyDescent="0.25">
      <c r="AE612" s="43" t="s">
        <v>46</v>
      </c>
      <c r="AF612" s="43" t="s">
        <v>26</v>
      </c>
      <c r="AG612" s="43" t="s">
        <v>36</v>
      </c>
      <c r="AH612">
        <v>3</v>
      </c>
      <c r="AI612" s="43" t="s">
        <v>273</v>
      </c>
      <c r="AJ612" s="43" t="s">
        <v>309</v>
      </c>
      <c r="AK612">
        <v>7.8999999999999995</v>
      </c>
    </row>
    <row r="613" spans="31:37" x14ac:dyDescent="0.25">
      <c r="AE613" s="43" t="s">
        <v>46</v>
      </c>
      <c r="AF613" s="43" t="s">
        <v>26</v>
      </c>
      <c r="AG613" s="43" t="s">
        <v>36</v>
      </c>
      <c r="AH613">
        <v>3</v>
      </c>
      <c r="AI613" s="43" t="s">
        <v>273</v>
      </c>
      <c r="AJ613" s="43" t="s">
        <v>268</v>
      </c>
      <c r="AK613">
        <v>10.866666666666665</v>
      </c>
    </row>
    <row r="614" spans="31:37" x14ac:dyDescent="0.25">
      <c r="AE614" s="43" t="s">
        <v>112</v>
      </c>
      <c r="AF614" s="43" t="s">
        <v>26</v>
      </c>
      <c r="AG614" s="43" t="s">
        <v>31</v>
      </c>
      <c r="AH614">
        <v>2</v>
      </c>
      <c r="AI614" s="43" t="s">
        <v>317</v>
      </c>
      <c r="AJ614" s="43" t="s">
        <v>308</v>
      </c>
      <c r="AK614">
        <v>4</v>
      </c>
    </row>
    <row r="615" spans="31:37" x14ac:dyDescent="0.25">
      <c r="AE615" s="43" t="s">
        <v>112</v>
      </c>
      <c r="AF615" s="43" t="s">
        <v>26</v>
      </c>
      <c r="AG615" s="43" t="s">
        <v>31</v>
      </c>
      <c r="AH615">
        <v>2</v>
      </c>
      <c r="AI615" s="43" t="s">
        <v>317</v>
      </c>
      <c r="AJ615" s="43" t="s">
        <v>309</v>
      </c>
      <c r="AK615">
        <v>7.8</v>
      </c>
    </row>
    <row r="616" spans="31:37" x14ac:dyDescent="0.25">
      <c r="AE616" s="43" t="s">
        <v>112</v>
      </c>
      <c r="AF616" s="43" t="s">
        <v>26</v>
      </c>
      <c r="AG616" s="43" t="s">
        <v>31</v>
      </c>
      <c r="AH616">
        <v>2</v>
      </c>
      <c r="AI616" s="43" t="s">
        <v>317</v>
      </c>
      <c r="AJ616" s="43" t="s">
        <v>268</v>
      </c>
      <c r="AK616">
        <v>11.8</v>
      </c>
    </row>
    <row r="617" spans="31:37" x14ac:dyDescent="0.25">
      <c r="AE617" s="43" t="s">
        <v>112</v>
      </c>
      <c r="AF617" s="43" t="s">
        <v>26</v>
      </c>
      <c r="AG617" s="43" t="s">
        <v>31</v>
      </c>
      <c r="AH617">
        <v>2</v>
      </c>
      <c r="AI617" s="43" t="s">
        <v>325</v>
      </c>
      <c r="AJ617" s="43" t="s">
        <v>308</v>
      </c>
      <c r="AK617">
        <v>0</v>
      </c>
    </row>
    <row r="618" spans="31:37" x14ac:dyDescent="0.25">
      <c r="AE618" s="43" t="s">
        <v>112</v>
      </c>
      <c r="AF618" s="43" t="s">
        <v>26</v>
      </c>
      <c r="AG618" s="43" t="s">
        <v>31</v>
      </c>
      <c r="AH618">
        <v>2</v>
      </c>
      <c r="AI618" s="43" t="s">
        <v>325</v>
      </c>
      <c r="AJ618" s="43" t="s">
        <v>309</v>
      </c>
      <c r="AK618">
        <v>0</v>
      </c>
    </row>
    <row r="619" spans="31:37" x14ac:dyDescent="0.25">
      <c r="AE619" s="43" t="s">
        <v>112</v>
      </c>
      <c r="AF619" s="43" t="s">
        <v>26</v>
      </c>
      <c r="AG619" s="43" t="s">
        <v>31</v>
      </c>
      <c r="AH619">
        <v>2</v>
      </c>
      <c r="AI619" s="43" t="s">
        <v>325</v>
      </c>
      <c r="AJ619" s="43" t="s">
        <v>268</v>
      </c>
      <c r="AK619">
        <v>0</v>
      </c>
    </row>
    <row r="620" spans="31:37" x14ac:dyDescent="0.25">
      <c r="AE620" s="43" t="s">
        <v>112</v>
      </c>
      <c r="AF620" s="43" t="s">
        <v>26</v>
      </c>
      <c r="AG620" s="43" t="s">
        <v>31</v>
      </c>
      <c r="AH620">
        <v>2</v>
      </c>
      <c r="AI620" s="43" t="s">
        <v>330</v>
      </c>
      <c r="AJ620" s="43" t="s">
        <v>308</v>
      </c>
      <c r="AK620">
        <v>0</v>
      </c>
    </row>
    <row r="621" spans="31:37" x14ac:dyDescent="0.25">
      <c r="AE621" s="43" t="s">
        <v>112</v>
      </c>
      <c r="AF621" s="43" t="s">
        <v>26</v>
      </c>
      <c r="AG621" s="43" t="s">
        <v>31</v>
      </c>
      <c r="AH621">
        <v>2</v>
      </c>
      <c r="AI621" s="43" t="s">
        <v>330</v>
      </c>
      <c r="AJ621" s="43" t="s">
        <v>309</v>
      </c>
      <c r="AK621">
        <v>0</v>
      </c>
    </row>
    <row r="622" spans="31:37" x14ac:dyDescent="0.25">
      <c r="AE622" s="43" t="s">
        <v>112</v>
      </c>
      <c r="AF622" s="43" t="s">
        <v>26</v>
      </c>
      <c r="AG622" s="43" t="s">
        <v>31</v>
      </c>
      <c r="AH622">
        <v>2</v>
      </c>
      <c r="AI622" s="43" t="s">
        <v>330</v>
      </c>
      <c r="AJ622" s="43" t="s">
        <v>268</v>
      </c>
      <c r="AK622">
        <v>0</v>
      </c>
    </row>
    <row r="623" spans="31:37" x14ac:dyDescent="0.25">
      <c r="AE623" s="43" t="s">
        <v>112</v>
      </c>
      <c r="AF623" s="43" t="s">
        <v>26</v>
      </c>
      <c r="AG623" s="43" t="s">
        <v>31</v>
      </c>
      <c r="AH623">
        <v>2</v>
      </c>
      <c r="AI623" s="43" t="s">
        <v>343</v>
      </c>
      <c r="AJ623" s="43" t="s">
        <v>308</v>
      </c>
      <c r="AK623">
        <v>4.2</v>
      </c>
    </row>
    <row r="624" spans="31:37" x14ac:dyDescent="0.25">
      <c r="AE624" s="43" t="s">
        <v>112</v>
      </c>
      <c r="AF624" s="43" t="s">
        <v>26</v>
      </c>
      <c r="AG624" s="43" t="s">
        <v>31</v>
      </c>
      <c r="AH624">
        <v>2</v>
      </c>
      <c r="AI624" s="43" t="s">
        <v>343</v>
      </c>
      <c r="AJ624" s="43" t="s">
        <v>309</v>
      </c>
      <c r="AK624">
        <v>6.3</v>
      </c>
    </row>
    <row r="625" spans="31:37" x14ac:dyDescent="0.25">
      <c r="AE625" s="43" t="s">
        <v>112</v>
      </c>
      <c r="AF625" s="43" t="s">
        <v>26</v>
      </c>
      <c r="AG625" s="43" t="s">
        <v>31</v>
      </c>
      <c r="AH625">
        <v>2</v>
      </c>
      <c r="AI625" s="43" t="s">
        <v>343</v>
      </c>
      <c r="AJ625" s="43" t="s">
        <v>268</v>
      </c>
      <c r="AK625">
        <v>10.5</v>
      </c>
    </row>
    <row r="626" spans="31:37" x14ac:dyDescent="0.25">
      <c r="AE626" s="43" t="s">
        <v>112</v>
      </c>
      <c r="AF626" s="43" t="s">
        <v>26</v>
      </c>
      <c r="AG626" s="43" t="s">
        <v>31</v>
      </c>
      <c r="AH626">
        <v>2</v>
      </c>
      <c r="AI626" s="43" t="s">
        <v>341</v>
      </c>
      <c r="AJ626" s="43" t="s">
        <v>308</v>
      </c>
      <c r="AK626">
        <v>8.1999999999999993</v>
      </c>
    </row>
    <row r="627" spans="31:37" x14ac:dyDescent="0.25">
      <c r="AE627" s="43" t="s">
        <v>112</v>
      </c>
      <c r="AF627" s="43" t="s">
        <v>26</v>
      </c>
      <c r="AG627" s="43" t="s">
        <v>31</v>
      </c>
      <c r="AH627">
        <v>2</v>
      </c>
      <c r="AI627" s="43" t="s">
        <v>341</v>
      </c>
      <c r="AJ627" s="43" t="s">
        <v>309</v>
      </c>
      <c r="AK627">
        <v>14.1</v>
      </c>
    </row>
    <row r="628" spans="31:37" x14ac:dyDescent="0.25">
      <c r="AE628" s="43" t="s">
        <v>112</v>
      </c>
      <c r="AF628" s="43" t="s">
        <v>26</v>
      </c>
      <c r="AG628" s="43" t="s">
        <v>31</v>
      </c>
      <c r="AH628">
        <v>2</v>
      </c>
      <c r="AI628" s="43" t="s">
        <v>341</v>
      </c>
      <c r="AJ628" s="43" t="s">
        <v>268</v>
      </c>
      <c r="AK628">
        <v>22.3</v>
      </c>
    </row>
    <row r="629" spans="31:37" x14ac:dyDescent="0.25">
      <c r="AE629" s="43" t="s">
        <v>112</v>
      </c>
      <c r="AF629" s="43" t="s">
        <v>26</v>
      </c>
      <c r="AG629" s="43" t="s">
        <v>31</v>
      </c>
      <c r="AH629">
        <v>2</v>
      </c>
      <c r="AI629" s="43" t="s">
        <v>273</v>
      </c>
      <c r="AJ629" s="43" t="s">
        <v>308</v>
      </c>
      <c r="AK629">
        <v>0</v>
      </c>
    </row>
    <row r="630" spans="31:37" x14ac:dyDescent="0.25">
      <c r="AE630" s="43" t="s">
        <v>112</v>
      </c>
      <c r="AF630" s="43" t="s">
        <v>26</v>
      </c>
      <c r="AG630" s="43" t="s">
        <v>31</v>
      </c>
      <c r="AH630">
        <v>2</v>
      </c>
      <c r="AI630" s="43" t="s">
        <v>273</v>
      </c>
      <c r="AJ630" s="43" t="s">
        <v>309</v>
      </c>
      <c r="AK630">
        <v>0</v>
      </c>
    </row>
    <row r="631" spans="31:37" x14ac:dyDescent="0.25">
      <c r="AE631" s="43" t="s">
        <v>112</v>
      </c>
      <c r="AF631" s="43" t="s">
        <v>26</v>
      </c>
      <c r="AG631" s="43" t="s">
        <v>31</v>
      </c>
      <c r="AH631">
        <v>2</v>
      </c>
      <c r="AI631" s="43" t="s">
        <v>273</v>
      </c>
      <c r="AJ631" s="43" t="s">
        <v>268</v>
      </c>
      <c r="AK631">
        <v>0</v>
      </c>
    </row>
    <row r="632" spans="31:37" x14ac:dyDescent="0.25">
      <c r="AE632" s="43" t="s">
        <v>120</v>
      </c>
      <c r="AF632" s="43" t="s">
        <v>26</v>
      </c>
      <c r="AG632" s="43" t="s">
        <v>39</v>
      </c>
      <c r="AH632">
        <v>2</v>
      </c>
      <c r="AI632" s="43" t="s">
        <v>317</v>
      </c>
      <c r="AJ632" s="43" t="s">
        <v>308</v>
      </c>
      <c r="AK632">
        <v>3</v>
      </c>
    </row>
    <row r="633" spans="31:37" x14ac:dyDescent="0.25">
      <c r="AE633" s="43" t="s">
        <v>120</v>
      </c>
      <c r="AF633" s="43" t="s">
        <v>26</v>
      </c>
      <c r="AG633" s="43" t="s">
        <v>39</v>
      </c>
      <c r="AH633">
        <v>2</v>
      </c>
      <c r="AI633" s="43" t="s">
        <v>317</v>
      </c>
      <c r="AJ633" s="43" t="s">
        <v>309</v>
      </c>
      <c r="AK633">
        <v>8.3000000000000007</v>
      </c>
    </row>
    <row r="634" spans="31:37" x14ac:dyDescent="0.25">
      <c r="AE634" s="43" t="s">
        <v>120</v>
      </c>
      <c r="AF634" s="43" t="s">
        <v>26</v>
      </c>
      <c r="AG634" s="43" t="s">
        <v>39</v>
      </c>
      <c r="AH634">
        <v>2</v>
      </c>
      <c r="AI634" s="43" t="s">
        <v>317</v>
      </c>
      <c r="AJ634" s="43" t="s">
        <v>268</v>
      </c>
      <c r="AK634">
        <v>11.3</v>
      </c>
    </row>
    <row r="635" spans="31:37" x14ac:dyDescent="0.25">
      <c r="AE635" s="43" t="s">
        <v>120</v>
      </c>
      <c r="AF635" s="43" t="s">
        <v>26</v>
      </c>
      <c r="AG635" s="43" t="s">
        <v>39</v>
      </c>
      <c r="AH635">
        <v>2</v>
      </c>
      <c r="AI635" s="43" t="s">
        <v>325</v>
      </c>
      <c r="AJ635" s="43" t="s">
        <v>308</v>
      </c>
      <c r="AK635">
        <v>0</v>
      </c>
    </row>
    <row r="636" spans="31:37" x14ac:dyDescent="0.25">
      <c r="AE636" s="43" t="s">
        <v>120</v>
      </c>
      <c r="AF636" s="43" t="s">
        <v>26</v>
      </c>
      <c r="AG636" s="43" t="s">
        <v>39</v>
      </c>
      <c r="AH636">
        <v>2</v>
      </c>
      <c r="AI636" s="43" t="s">
        <v>325</v>
      </c>
      <c r="AJ636" s="43" t="s">
        <v>309</v>
      </c>
      <c r="AK636">
        <v>0</v>
      </c>
    </row>
    <row r="637" spans="31:37" x14ac:dyDescent="0.25">
      <c r="AE637" s="43" t="s">
        <v>120</v>
      </c>
      <c r="AF637" s="43" t="s">
        <v>26</v>
      </c>
      <c r="AG637" s="43" t="s">
        <v>39</v>
      </c>
      <c r="AH637">
        <v>2</v>
      </c>
      <c r="AI637" s="43" t="s">
        <v>325</v>
      </c>
      <c r="AJ637" s="43" t="s">
        <v>268</v>
      </c>
      <c r="AK637">
        <v>0</v>
      </c>
    </row>
    <row r="638" spans="31:37" x14ac:dyDescent="0.25">
      <c r="AE638" s="43" t="s">
        <v>120</v>
      </c>
      <c r="AF638" s="43" t="s">
        <v>26</v>
      </c>
      <c r="AG638" s="43" t="s">
        <v>39</v>
      </c>
      <c r="AH638">
        <v>2</v>
      </c>
      <c r="AI638" s="43" t="s">
        <v>330</v>
      </c>
      <c r="AJ638" s="43" t="s">
        <v>308</v>
      </c>
      <c r="AK638">
        <v>2.6</v>
      </c>
    </row>
    <row r="639" spans="31:37" x14ac:dyDescent="0.25">
      <c r="AE639" s="43" t="s">
        <v>120</v>
      </c>
      <c r="AF639" s="43" t="s">
        <v>26</v>
      </c>
      <c r="AG639" s="43" t="s">
        <v>39</v>
      </c>
      <c r="AH639">
        <v>2</v>
      </c>
      <c r="AI639" s="43" t="s">
        <v>330</v>
      </c>
      <c r="AJ639" s="43" t="s">
        <v>309</v>
      </c>
      <c r="AK639">
        <v>7.8</v>
      </c>
    </row>
    <row r="640" spans="31:37" x14ac:dyDescent="0.25">
      <c r="AE640" s="43" t="s">
        <v>120</v>
      </c>
      <c r="AF640" s="43" t="s">
        <v>26</v>
      </c>
      <c r="AG640" s="43" t="s">
        <v>39</v>
      </c>
      <c r="AH640">
        <v>2</v>
      </c>
      <c r="AI640" s="43" t="s">
        <v>330</v>
      </c>
      <c r="AJ640" s="43" t="s">
        <v>268</v>
      </c>
      <c r="AK640">
        <v>10.4</v>
      </c>
    </row>
    <row r="641" spans="31:37" x14ac:dyDescent="0.25">
      <c r="AE641" s="43" t="s">
        <v>120</v>
      </c>
      <c r="AF641" s="43" t="s">
        <v>26</v>
      </c>
      <c r="AG641" s="43" t="s">
        <v>39</v>
      </c>
      <c r="AH641">
        <v>2</v>
      </c>
      <c r="AI641" s="43" t="s">
        <v>343</v>
      </c>
      <c r="AJ641" s="43" t="s">
        <v>308</v>
      </c>
      <c r="AK641">
        <v>0</v>
      </c>
    </row>
    <row r="642" spans="31:37" x14ac:dyDescent="0.25">
      <c r="AE642" s="43" t="s">
        <v>120</v>
      </c>
      <c r="AF642" s="43" t="s">
        <v>26</v>
      </c>
      <c r="AG642" s="43" t="s">
        <v>39</v>
      </c>
      <c r="AH642">
        <v>2</v>
      </c>
      <c r="AI642" s="43" t="s">
        <v>343</v>
      </c>
      <c r="AJ642" s="43" t="s">
        <v>309</v>
      </c>
      <c r="AK642">
        <v>0</v>
      </c>
    </row>
    <row r="643" spans="31:37" x14ac:dyDescent="0.25">
      <c r="AE643" s="43" t="s">
        <v>120</v>
      </c>
      <c r="AF643" s="43" t="s">
        <v>26</v>
      </c>
      <c r="AG643" s="43" t="s">
        <v>39</v>
      </c>
      <c r="AH643">
        <v>2</v>
      </c>
      <c r="AI643" s="43" t="s">
        <v>343</v>
      </c>
      <c r="AJ643" s="43" t="s">
        <v>268</v>
      </c>
      <c r="AK643">
        <v>0</v>
      </c>
    </row>
    <row r="644" spans="31:37" x14ac:dyDescent="0.25">
      <c r="AE644" s="43" t="s">
        <v>120</v>
      </c>
      <c r="AF644" s="43" t="s">
        <v>26</v>
      </c>
      <c r="AG644" s="43" t="s">
        <v>39</v>
      </c>
      <c r="AH644">
        <v>2</v>
      </c>
      <c r="AI644" s="43" t="s">
        <v>341</v>
      </c>
      <c r="AJ644" s="43" t="s">
        <v>308</v>
      </c>
      <c r="AK644">
        <v>5.6</v>
      </c>
    </row>
    <row r="645" spans="31:37" x14ac:dyDescent="0.25">
      <c r="AE645" s="43" t="s">
        <v>120</v>
      </c>
      <c r="AF645" s="43" t="s">
        <v>26</v>
      </c>
      <c r="AG645" s="43" t="s">
        <v>39</v>
      </c>
      <c r="AH645">
        <v>2</v>
      </c>
      <c r="AI645" s="43" t="s">
        <v>341</v>
      </c>
      <c r="AJ645" s="43" t="s">
        <v>309</v>
      </c>
      <c r="AK645">
        <v>16.100000000000001</v>
      </c>
    </row>
    <row r="646" spans="31:37" x14ac:dyDescent="0.25">
      <c r="AE646" s="43" t="s">
        <v>120</v>
      </c>
      <c r="AF646" s="43" t="s">
        <v>26</v>
      </c>
      <c r="AG646" s="43" t="s">
        <v>39</v>
      </c>
      <c r="AH646">
        <v>2</v>
      </c>
      <c r="AI646" s="43" t="s">
        <v>341</v>
      </c>
      <c r="AJ646" s="43" t="s">
        <v>268</v>
      </c>
      <c r="AK646">
        <v>21.700000000000003</v>
      </c>
    </row>
    <row r="647" spans="31:37" x14ac:dyDescent="0.25">
      <c r="AE647" s="43" t="s">
        <v>120</v>
      </c>
      <c r="AF647" s="43" t="s">
        <v>26</v>
      </c>
      <c r="AG647" s="43" t="s">
        <v>39</v>
      </c>
      <c r="AH647">
        <v>2</v>
      </c>
      <c r="AI647" s="43" t="s">
        <v>273</v>
      </c>
      <c r="AJ647" s="43" t="s">
        <v>308</v>
      </c>
      <c r="AK647">
        <v>0</v>
      </c>
    </row>
    <row r="648" spans="31:37" x14ac:dyDescent="0.25">
      <c r="AE648" s="43" t="s">
        <v>120</v>
      </c>
      <c r="AF648" s="43" t="s">
        <v>26</v>
      </c>
      <c r="AG648" s="43" t="s">
        <v>39</v>
      </c>
      <c r="AH648">
        <v>2</v>
      </c>
      <c r="AI648" s="43" t="s">
        <v>273</v>
      </c>
      <c r="AJ648" s="43" t="s">
        <v>309</v>
      </c>
      <c r="AK648">
        <v>0</v>
      </c>
    </row>
    <row r="649" spans="31:37" x14ac:dyDescent="0.25">
      <c r="AE649" s="43" t="s">
        <v>120</v>
      </c>
      <c r="AF649" s="43" t="s">
        <v>26</v>
      </c>
      <c r="AG649" s="43" t="s">
        <v>39</v>
      </c>
      <c r="AH649">
        <v>2</v>
      </c>
      <c r="AI649" s="43" t="s">
        <v>273</v>
      </c>
      <c r="AJ649" s="43" t="s">
        <v>268</v>
      </c>
      <c r="AK649">
        <v>0</v>
      </c>
    </row>
    <row r="650" spans="31:37" x14ac:dyDescent="0.25">
      <c r="AE650" s="43" t="s">
        <v>50</v>
      </c>
      <c r="AF650" s="43" t="s">
        <v>26</v>
      </c>
      <c r="AG650" s="43" t="s">
        <v>36</v>
      </c>
      <c r="AH650">
        <v>2</v>
      </c>
      <c r="AI650" s="43" t="s">
        <v>317</v>
      </c>
      <c r="AJ650" s="43" t="s">
        <v>308</v>
      </c>
      <c r="AK650">
        <v>0</v>
      </c>
    </row>
    <row r="651" spans="31:37" x14ac:dyDescent="0.25">
      <c r="AE651" s="43" t="s">
        <v>50</v>
      </c>
      <c r="AF651" s="43" t="s">
        <v>26</v>
      </c>
      <c r="AG651" s="43" t="s">
        <v>36</v>
      </c>
      <c r="AH651">
        <v>2</v>
      </c>
      <c r="AI651" s="43" t="s">
        <v>317</v>
      </c>
      <c r="AJ651" s="43" t="s">
        <v>309</v>
      </c>
      <c r="AK651">
        <v>0</v>
      </c>
    </row>
    <row r="652" spans="31:37" x14ac:dyDescent="0.25">
      <c r="AE652" s="43" t="s">
        <v>50</v>
      </c>
      <c r="AF652" s="43" t="s">
        <v>26</v>
      </c>
      <c r="AG652" s="43" t="s">
        <v>36</v>
      </c>
      <c r="AH652">
        <v>2</v>
      </c>
      <c r="AI652" s="43" t="s">
        <v>317</v>
      </c>
      <c r="AJ652" s="43" t="s">
        <v>268</v>
      </c>
      <c r="AK652">
        <v>0</v>
      </c>
    </row>
    <row r="653" spans="31:37" x14ac:dyDescent="0.25">
      <c r="AE653" s="43" t="s">
        <v>50</v>
      </c>
      <c r="AF653" s="43" t="s">
        <v>26</v>
      </c>
      <c r="AG653" s="43" t="s">
        <v>36</v>
      </c>
      <c r="AH653">
        <v>2</v>
      </c>
      <c r="AI653" s="43" t="s">
        <v>325</v>
      </c>
      <c r="AJ653" s="43" t="s">
        <v>308</v>
      </c>
      <c r="AK653">
        <v>3.7</v>
      </c>
    </row>
    <row r="654" spans="31:37" x14ac:dyDescent="0.25">
      <c r="AE654" s="43" t="s">
        <v>50</v>
      </c>
      <c r="AF654" s="43" t="s">
        <v>26</v>
      </c>
      <c r="AG654" s="43" t="s">
        <v>36</v>
      </c>
      <c r="AH654">
        <v>2</v>
      </c>
      <c r="AI654" s="43" t="s">
        <v>325</v>
      </c>
      <c r="AJ654" s="43" t="s">
        <v>309</v>
      </c>
      <c r="AK654">
        <v>8.3000000000000007</v>
      </c>
    </row>
    <row r="655" spans="31:37" x14ac:dyDescent="0.25">
      <c r="AE655" s="43" t="s">
        <v>50</v>
      </c>
      <c r="AF655" s="43" t="s">
        <v>26</v>
      </c>
      <c r="AG655" s="43" t="s">
        <v>36</v>
      </c>
      <c r="AH655">
        <v>2</v>
      </c>
      <c r="AI655" s="43" t="s">
        <v>325</v>
      </c>
      <c r="AJ655" s="43" t="s">
        <v>268</v>
      </c>
      <c r="AK655">
        <v>12</v>
      </c>
    </row>
    <row r="656" spans="31:37" x14ac:dyDescent="0.25">
      <c r="AE656" s="43" t="s">
        <v>50</v>
      </c>
      <c r="AF656" s="43" t="s">
        <v>26</v>
      </c>
      <c r="AG656" s="43" t="s">
        <v>36</v>
      </c>
      <c r="AH656">
        <v>2</v>
      </c>
      <c r="AI656" s="43" t="s">
        <v>330</v>
      </c>
      <c r="AJ656" s="43" t="s">
        <v>308</v>
      </c>
      <c r="AK656">
        <v>3.9</v>
      </c>
    </row>
    <row r="657" spans="31:37" x14ac:dyDescent="0.25">
      <c r="AE657" s="43" t="s">
        <v>50</v>
      </c>
      <c r="AF657" s="43" t="s">
        <v>26</v>
      </c>
      <c r="AG657" s="43" t="s">
        <v>36</v>
      </c>
      <c r="AH657">
        <v>2</v>
      </c>
      <c r="AI657" s="43" t="s">
        <v>330</v>
      </c>
      <c r="AJ657" s="43" t="s">
        <v>309</v>
      </c>
      <c r="AK657">
        <v>7.35</v>
      </c>
    </row>
    <row r="658" spans="31:37" x14ac:dyDescent="0.25">
      <c r="AE658" s="43" t="s">
        <v>50</v>
      </c>
      <c r="AF658" s="43" t="s">
        <v>26</v>
      </c>
      <c r="AG658" s="43" t="s">
        <v>36</v>
      </c>
      <c r="AH658">
        <v>2</v>
      </c>
      <c r="AI658" s="43" t="s">
        <v>330</v>
      </c>
      <c r="AJ658" s="43" t="s">
        <v>268</v>
      </c>
      <c r="AK658">
        <v>11.25</v>
      </c>
    </row>
    <row r="659" spans="31:37" x14ac:dyDescent="0.25">
      <c r="AE659" s="43" t="s">
        <v>50</v>
      </c>
      <c r="AF659" s="43" t="s">
        <v>26</v>
      </c>
      <c r="AG659" s="43" t="s">
        <v>36</v>
      </c>
      <c r="AH659">
        <v>2</v>
      </c>
      <c r="AI659" s="43" t="s">
        <v>343</v>
      </c>
      <c r="AJ659" s="43" t="s">
        <v>308</v>
      </c>
      <c r="AK659">
        <v>0</v>
      </c>
    </row>
    <row r="660" spans="31:37" x14ac:dyDescent="0.25">
      <c r="AE660" s="43" t="s">
        <v>50</v>
      </c>
      <c r="AF660" s="43" t="s">
        <v>26</v>
      </c>
      <c r="AG660" s="43" t="s">
        <v>36</v>
      </c>
      <c r="AH660">
        <v>2</v>
      </c>
      <c r="AI660" s="43" t="s">
        <v>343</v>
      </c>
      <c r="AJ660" s="43" t="s">
        <v>309</v>
      </c>
      <c r="AK660">
        <v>0</v>
      </c>
    </row>
    <row r="661" spans="31:37" x14ac:dyDescent="0.25">
      <c r="AE661" s="43" t="s">
        <v>50</v>
      </c>
      <c r="AF661" s="43" t="s">
        <v>26</v>
      </c>
      <c r="AG661" s="43" t="s">
        <v>36</v>
      </c>
      <c r="AH661">
        <v>2</v>
      </c>
      <c r="AI661" s="43" t="s">
        <v>343</v>
      </c>
      <c r="AJ661" s="43" t="s">
        <v>268</v>
      </c>
      <c r="AK661">
        <v>0</v>
      </c>
    </row>
    <row r="662" spans="31:37" x14ac:dyDescent="0.25">
      <c r="AE662" s="43" t="s">
        <v>50</v>
      </c>
      <c r="AF662" s="43" t="s">
        <v>26</v>
      </c>
      <c r="AG662" s="43" t="s">
        <v>36</v>
      </c>
      <c r="AH662">
        <v>2</v>
      </c>
      <c r="AI662" s="43" t="s">
        <v>341</v>
      </c>
      <c r="AJ662" s="43" t="s">
        <v>308</v>
      </c>
      <c r="AK662">
        <v>7.6</v>
      </c>
    </row>
    <row r="663" spans="31:37" x14ac:dyDescent="0.25">
      <c r="AE663" s="43" t="s">
        <v>50</v>
      </c>
      <c r="AF663" s="43" t="s">
        <v>26</v>
      </c>
      <c r="AG663" s="43" t="s">
        <v>36</v>
      </c>
      <c r="AH663">
        <v>2</v>
      </c>
      <c r="AI663" s="43" t="s">
        <v>341</v>
      </c>
      <c r="AJ663" s="43" t="s">
        <v>309</v>
      </c>
      <c r="AK663">
        <v>15.65</v>
      </c>
    </row>
    <row r="664" spans="31:37" x14ac:dyDescent="0.25">
      <c r="AE664" s="43" t="s">
        <v>50</v>
      </c>
      <c r="AF664" s="43" t="s">
        <v>26</v>
      </c>
      <c r="AG664" s="43" t="s">
        <v>36</v>
      </c>
      <c r="AH664">
        <v>2</v>
      </c>
      <c r="AI664" s="43" t="s">
        <v>341</v>
      </c>
      <c r="AJ664" s="43" t="s">
        <v>268</v>
      </c>
      <c r="AK664">
        <v>23.25</v>
      </c>
    </row>
    <row r="665" spans="31:37" x14ac:dyDescent="0.25">
      <c r="AE665" s="43" t="s">
        <v>50</v>
      </c>
      <c r="AF665" s="43" t="s">
        <v>26</v>
      </c>
      <c r="AG665" s="43" t="s">
        <v>36</v>
      </c>
      <c r="AH665">
        <v>2</v>
      </c>
      <c r="AI665" s="43" t="s">
        <v>273</v>
      </c>
      <c r="AJ665" s="43" t="s">
        <v>308</v>
      </c>
      <c r="AK665">
        <v>0</v>
      </c>
    </row>
    <row r="666" spans="31:37" x14ac:dyDescent="0.25">
      <c r="AE666" s="43" t="s">
        <v>50</v>
      </c>
      <c r="AF666" s="43" t="s">
        <v>26</v>
      </c>
      <c r="AG666" s="43" t="s">
        <v>36</v>
      </c>
      <c r="AH666">
        <v>2</v>
      </c>
      <c r="AI666" s="43" t="s">
        <v>273</v>
      </c>
      <c r="AJ666" s="43" t="s">
        <v>309</v>
      </c>
      <c r="AK666">
        <v>0</v>
      </c>
    </row>
    <row r="667" spans="31:37" x14ac:dyDescent="0.25">
      <c r="AE667" s="43" t="s">
        <v>50</v>
      </c>
      <c r="AF667" s="43" t="s">
        <v>26</v>
      </c>
      <c r="AG667" s="43" t="s">
        <v>36</v>
      </c>
      <c r="AH667">
        <v>2</v>
      </c>
      <c r="AI667" s="43" t="s">
        <v>273</v>
      </c>
      <c r="AJ667" s="43" t="s">
        <v>268</v>
      </c>
      <c r="AK667">
        <v>0</v>
      </c>
    </row>
    <row r="668" spans="31:37" x14ac:dyDescent="0.25">
      <c r="AE668" s="43" t="s">
        <v>132</v>
      </c>
      <c r="AF668" s="43" t="s">
        <v>26</v>
      </c>
      <c r="AG668" s="43" t="s">
        <v>39</v>
      </c>
      <c r="AH668">
        <v>1</v>
      </c>
      <c r="AI668" s="43" t="s">
        <v>317</v>
      </c>
      <c r="AJ668" s="43" t="s">
        <v>308</v>
      </c>
      <c r="AK668">
        <v>3.8</v>
      </c>
    </row>
    <row r="669" spans="31:37" x14ac:dyDescent="0.25">
      <c r="AE669" s="43" t="s">
        <v>132</v>
      </c>
      <c r="AF669" s="43" t="s">
        <v>26</v>
      </c>
      <c r="AG669" s="43" t="s">
        <v>39</v>
      </c>
      <c r="AH669">
        <v>1</v>
      </c>
      <c r="AI669" s="43" t="s">
        <v>317</v>
      </c>
      <c r="AJ669" s="43" t="s">
        <v>309</v>
      </c>
      <c r="AK669">
        <v>7.8</v>
      </c>
    </row>
    <row r="670" spans="31:37" x14ac:dyDescent="0.25">
      <c r="AE670" s="43" t="s">
        <v>132</v>
      </c>
      <c r="AF670" s="43" t="s">
        <v>26</v>
      </c>
      <c r="AG670" s="43" t="s">
        <v>39</v>
      </c>
      <c r="AH670">
        <v>1</v>
      </c>
      <c r="AI670" s="43" t="s">
        <v>317</v>
      </c>
      <c r="AJ670" s="43" t="s">
        <v>268</v>
      </c>
      <c r="AK670">
        <v>11.6</v>
      </c>
    </row>
    <row r="671" spans="31:37" x14ac:dyDescent="0.25">
      <c r="AE671" s="43" t="s">
        <v>132</v>
      </c>
      <c r="AF671" s="43" t="s">
        <v>26</v>
      </c>
      <c r="AG671" s="43" t="s">
        <v>39</v>
      </c>
      <c r="AH671">
        <v>1</v>
      </c>
      <c r="AI671" s="43" t="s">
        <v>325</v>
      </c>
      <c r="AJ671" s="43" t="s">
        <v>308</v>
      </c>
      <c r="AK671">
        <v>0</v>
      </c>
    </row>
    <row r="672" spans="31:37" x14ac:dyDescent="0.25">
      <c r="AE672" s="43" t="s">
        <v>132</v>
      </c>
      <c r="AF672" s="43" t="s">
        <v>26</v>
      </c>
      <c r="AG672" s="43" t="s">
        <v>39</v>
      </c>
      <c r="AH672">
        <v>1</v>
      </c>
      <c r="AI672" s="43" t="s">
        <v>325</v>
      </c>
      <c r="AJ672" s="43" t="s">
        <v>309</v>
      </c>
      <c r="AK672">
        <v>0</v>
      </c>
    </row>
    <row r="673" spans="31:37" x14ac:dyDescent="0.25">
      <c r="AE673" s="43" t="s">
        <v>132</v>
      </c>
      <c r="AF673" s="43" t="s">
        <v>26</v>
      </c>
      <c r="AG673" s="43" t="s">
        <v>39</v>
      </c>
      <c r="AH673">
        <v>1</v>
      </c>
      <c r="AI673" s="43" t="s">
        <v>325</v>
      </c>
      <c r="AJ673" s="43" t="s">
        <v>268</v>
      </c>
      <c r="AK673">
        <v>0</v>
      </c>
    </row>
    <row r="674" spans="31:37" x14ac:dyDescent="0.25">
      <c r="AE674" s="43" t="s">
        <v>132</v>
      </c>
      <c r="AF674" s="43" t="s">
        <v>26</v>
      </c>
      <c r="AG674" s="43" t="s">
        <v>39</v>
      </c>
      <c r="AH674">
        <v>1</v>
      </c>
      <c r="AI674" s="43" t="s">
        <v>330</v>
      </c>
      <c r="AJ674" s="43" t="s">
        <v>308</v>
      </c>
      <c r="AK674">
        <v>0</v>
      </c>
    </row>
    <row r="675" spans="31:37" x14ac:dyDescent="0.25">
      <c r="AE675" s="43" t="s">
        <v>132</v>
      </c>
      <c r="AF675" s="43" t="s">
        <v>26</v>
      </c>
      <c r="AG675" s="43" t="s">
        <v>39</v>
      </c>
      <c r="AH675">
        <v>1</v>
      </c>
      <c r="AI675" s="43" t="s">
        <v>330</v>
      </c>
      <c r="AJ675" s="43" t="s">
        <v>309</v>
      </c>
      <c r="AK675">
        <v>0</v>
      </c>
    </row>
    <row r="676" spans="31:37" x14ac:dyDescent="0.25">
      <c r="AE676" s="43" t="s">
        <v>132</v>
      </c>
      <c r="AF676" s="43" t="s">
        <v>26</v>
      </c>
      <c r="AG676" s="43" t="s">
        <v>39</v>
      </c>
      <c r="AH676">
        <v>1</v>
      </c>
      <c r="AI676" s="43" t="s">
        <v>330</v>
      </c>
      <c r="AJ676" s="43" t="s">
        <v>268</v>
      </c>
      <c r="AK676">
        <v>0</v>
      </c>
    </row>
    <row r="677" spans="31:37" x14ac:dyDescent="0.25">
      <c r="AE677" s="43" t="s">
        <v>132</v>
      </c>
      <c r="AF677" s="43" t="s">
        <v>26</v>
      </c>
      <c r="AG677" s="43" t="s">
        <v>39</v>
      </c>
      <c r="AH677">
        <v>1</v>
      </c>
      <c r="AI677" s="43" t="s">
        <v>343</v>
      </c>
      <c r="AJ677" s="43" t="s">
        <v>308</v>
      </c>
      <c r="AK677">
        <v>0</v>
      </c>
    </row>
    <row r="678" spans="31:37" x14ac:dyDescent="0.25">
      <c r="AE678" s="43" t="s">
        <v>132</v>
      </c>
      <c r="AF678" s="43" t="s">
        <v>26</v>
      </c>
      <c r="AG678" s="43" t="s">
        <v>39</v>
      </c>
      <c r="AH678">
        <v>1</v>
      </c>
      <c r="AI678" s="43" t="s">
        <v>343</v>
      </c>
      <c r="AJ678" s="43" t="s">
        <v>309</v>
      </c>
      <c r="AK678">
        <v>0</v>
      </c>
    </row>
    <row r="679" spans="31:37" x14ac:dyDescent="0.25">
      <c r="AE679" s="43" t="s">
        <v>132</v>
      </c>
      <c r="AF679" s="43" t="s">
        <v>26</v>
      </c>
      <c r="AG679" s="43" t="s">
        <v>39</v>
      </c>
      <c r="AH679">
        <v>1</v>
      </c>
      <c r="AI679" s="43" t="s">
        <v>343</v>
      </c>
      <c r="AJ679" s="43" t="s">
        <v>268</v>
      </c>
      <c r="AK679">
        <v>0</v>
      </c>
    </row>
    <row r="680" spans="31:37" x14ac:dyDescent="0.25">
      <c r="AE680" s="43" t="s">
        <v>132</v>
      </c>
      <c r="AF680" s="43" t="s">
        <v>26</v>
      </c>
      <c r="AG680" s="43" t="s">
        <v>39</v>
      </c>
      <c r="AH680">
        <v>1</v>
      </c>
      <c r="AI680" s="43" t="s">
        <v>341</v>
      </c>
      <c r="AJ680" s="43" t="s">
        <v>308</v>
      </c>
      <c r="AK680">
        <v>3.8</v>
      </c>
    </row>
    <row r="681" spans="31:37" x14ac:dyDescent="0.25">
      <c r="AE681" s="43" t="s">
        <v>132</v>
      </c>
      <c r="AF681" s="43" t="s">
        <v>26</v>
      </c>
      <c r="AG681" s="43" t="s">
        <v>39</v>
      </c>
      <c r="AH681">
        <v>1</v>
      </c>
      <c r="AI681" s="43" t="s">
        <v>341</v>
      </c>
      <c r="AJ681" s="43" t="s">
        <v>309</v>
      </c>
      <c r="AK681">
        <v>7.8</v>
      </c>
    </row>
    <row r="682" spans="31:37" x14ac:dyDescent="0.25">
      <c r="AE682" s="43" t="s">
        <v>132</v>
      </c>
      <c r="AF682" s="43" t="s">
        <v>26</v>
      </c>
      <c r="AG682" s="43" t="s">
        <v>39</v>
      </c>
      <c r="AH682">
        <v>1</v>
      </c>
      <c r="AI682" s="43" t="s">
        <v>341</v>
      </c>
      <c r="AJ682" s="43" t="s">
        <v>268</v>
      </c>
      <c r="AK682">
        <v>11.6</v>
      </c>
    </row>
    <row r="683" spans="31:37" x14ac:dyDescent="0.25">
      <c r="AE683" s="43" t="s">
        <v>132</v>
      </c>
      <c r="AF683" s="43" t="s">
        <v>26</v>
      </c>
      <c r="AG683" s="43" t="s">
        <v>39</v>
      </c>
      <c r="AH683">
        <v>1</v>
      </c>
      <c r="AI683" s="43" t="s">
        <v>273</v>
      </c>
      <c r="AJ683" s="43" t="s">
        <v>308</v>
      </c>
      <c r="AK683">
        <v>0</v>
      </c>
    </row>
    <row r="684" spans="31:37" x14ac:dyDescent="0.25">
      <c r="AE684" s="43" t="s">
        <v>132</v>
      </c>
      <c r="AF684" s="43" t="s">
        <v>26</v>
      </c>
      <c r="AG684" s="43" t="s">
        <v>39</v>
      </c>
      <c r="AH684">
        <v>1</v>
      </c>
      <c r="AI684" s="43" t="s">
        <v>273</v>
      </c>
      <c r="AJ684" s="43" t="s">
        <v>309</v>
      </c>
      <c r="AK684">
        <v>0</v>
      </c>
    </row>
    <row r="685" spans="31:37" x14ac:dyDescent="0.25">
      <c r="AE685" s="43" t="s">
        <v>132</v>
      </c>
      <c r="AF685" s="43" t="s">
        <v>26</v>
      </c>
      <c r="AG685" s="43" t="s">
        <v>39</v>
      </c>
      <c r="AH685">
        <v>1</v>
      </c>
      <c r="AI685" s="43" t="s">
        <v>273</v>
      </c>
      <c r="AJ685" s="43" t="s">
        <v>268</v>
      </c>
      <c r="AK685">
        <v>0</v>
      </c>
    </row>
    <row r="686" spans="31:37" x14ac:dyDescent="0.25">
      <c r="AE686" s="43" t="s">
        <v>57</v>
      </c>
      <c r="AF686" s="43" t="s">
        <v>26</v>
      </c>
      <c r="AG686" s="43" t="s">
        <v>36</v>
      </c>
      <c r="AH686">
        <v>1</v>
      </c>
      <c r="AI686" s="43" t="s">
        <v>317</v>
      </c>
      <c r="AJ686" s="43" t="s">
        <v>308</v>
      </c>
      <c r="AK686">
        <v>3.2</v>
      </c>
    </row>
    <row r="687" spans="31:37" x14ac:dyDescent="0.25">
      <c r="AE687" s="43" t="s">
        <v>57</v>
      </c>
      <c r="AF687" s="43" t="s">
        <v>26</v>
      </c>
      <c r="AG687" s="43" t="s">
        <v>36</v>
      </c>
      <c r="AH687">
        <v>1</v>
      </c>
      <c r="AI687" s="43" t="s">
        <v>317</v>
      </c>
      <c r="AJ687" s="43" t="s">
        <v>309</v>
      </c>
      <c r="AK687">
        <v>7.3</v>
      </c>
    </row>
    <row r="688" spans="31:37" x14ac:dyDescent="0.25">
      <c r="AE688" s="43" t="s">
        <v>57</v>
      </c>
      <c r="AF688" s="43" t="s">
        <v>26</v>
      </c>
      <c r="AG688" s="43" t="s">
        <v>36</v>
      </c>
      <c r="AH688">
        <v>1</v>
      </c>
      <c r="AI688" s="43" t="s">
        <v>317</v>
      </c>
      <c r="AJ688" s="43" t="s">
        <v>268</v>
      </c>
      <c r="AK688">
        <v>10.5</v>
      </c>
    </row>
    <row r="689" spans="31:37" x14ac:dyDescent="0.25">
      <c r="AE689" s="43" t="s">
        <v>57</v>
      </c>
      <c r="AF689" s="43" t="s">
        <v>26</v>
      </c>
      <c r="AG689" s="43" t="s">
        <v>36</v>
      </c>
      <c r="AH689">
        <v>1</v>
      </c>
      <c r="AI689" s="43" t="s">
        <v>325</v>
      </c>
      <c r="AJ689" s="43" t="s">
        <v>308</v>
      </c>
      <c r="AK689">
        <v>0</v>
      </c>
    </row>
    <row r="690" spans="31:37" x14ac:dyDescent="0.25">
      <c r="AE690" s="43" t="s">
        <v>57</v>
      </c>
      <c r="AF690" s="43" t="s">
        <v>26</v>
      </c>
      <c r="AG690" s="43" t="s">
        <v>36</v>
      </c>
      <c r="AH690">
        <v>1</v>
      </c>
      <c r="AI690" s="43" t="s">
        <v>325</v>
      </c>
      <c r="AJ690" s="43" t="s">
        <v>309</v>
      </c>
      <c r="AK690">
        <v>0</v>
      </c>
    </row>
    <row r="691" spans="31:37" x14ac:dyDescent="0.25">
      <c r="AE691" s="43" t="s">
        <v>57</v>
      </c>
      <c r="AF691" s="43" t="s">
        <v>26</v>
      </c>
      <c r="AG691" s="43" t="s">
        <v>36</v>
      </c>
      <c r="AH691">
        <v>1</v>
      </c>
      <c r="AI691" s="43" t="s">
        <v>325</v>
      </c>
      <c r="AJ691" s="43" t="s">
        <v>268</v>
      </c>
      <c r="AK691">
        <v>0</v>
      </c>
    </row>
    <row r="692" spans="31:37" x14ac:dyDescent="0.25">
      <c r="AE692" s="43" t="s">
        <v>57</v>
      </c>
      <c r="AF692" s="43" t="s">
        <v>26</v>
      </c>
      <c r="AG692" s="43" t="s">
        <v>36</v>
      </c>
      <c r="AH692">
        <v>1</v>
      </c>
      <c r="AI692" s="43" t="s">
        <v>330</v>
      </c>
      <c r="AJ692" s="43" t="s">
        <v>308</v>
      </c>
      <c r="AK692">
        <v>0</v>
      </c>
    </row>
    <row r="693" spans="31:37" x14ac:dyDescent="0.25">
      <c r="AE693" s="43" t="s">
        <v>57</v>
      </c>
      <c r="AF693" s="43" t="s">
        <v>26</v>
      </c>
      <c r="AG693" s="43" t="s">
        <v>36</v>
      </c>
      <c r="AH693">
        <v>1</v>
      </c>
      <c r="AI693" s="43" t="s">
        <v>330</v>
      </c>
      <c r="AJ693" s="43" t="s">
        <v>309</v>
      </c>
      <c r="AK693">
        <v>0</v>
      </c>
    </row>
    <row r="694" spans="31:37" x14ac:dyDescent="0.25">
      <c r="AE694" s="43" t="s">
        <v>57</v>
      </c>
      <c r="AF694" s="43" t="s">
        <v>26</v>
      </c>
      <c r="AG694" s="43" t="s">
        <v>36</v>
      </c>
      <c r="AH694">
        <v>1</v>
      </c>
      <c r="AI694" s="43" t="s">
        <v>330</v>
      </c>
      <c r="AJ694" s="43" t="s">
        <v>268</v>
      </c>
      <c r="AK694">
        <v>0</v>
      </c>
    </row>
    <row r="695" spans="31:37" x14ac:dyDescent="0.25">
      <c r="AE695" s="43" t="s">
        <v>57</v>
      </c>
      <c r="AF695" s="43" t="s">
        <v>26</v>
      </c>
      <c r="AG695" s="43" t="s">
        <v>36</v>
      </c>
      <c r="AH695">
        <v>1</v>
      </c>
      <c r="AI695" s="43" t="s">
        <v>343</v>
      </c>
      <c r="AJ695" s="43" t="s">
        <v>308</v>
      </c>
      <c r="AK695">
        <v>0</v>
      </c>
    </row>
    <row r="696" spans="31:37" x14ac:dyDescent="0.25">
      <c r="AE696" s="43" t="s">
        <v>57</v>
      </c>
      <c r="AF696" s="43" t="s">
        <v>26</v>
      </c>
      <c r="AG696" s="43" t="s">
        <v>36</v>
      </c>
      <c r="AH696">
        <v>1</v>
      </c>
      <c r="AI696" s="43" t="s">
        <v>343</v>
      </c>
      <c r="AJ696" s="43" t="s">
        <v>309</v>
      </c>
      <c r="AK696">
        <v>0</v>
      </c>
    </row>
    <row r="697" spans="31:37" x14ac:dyDescent="0.25">
      <c r="AE697" s="43" t="s">
        <v>57</v>
      </c>
      <c r="AF697" s="43" t="s">
        <v>26</v>
      </c>
      <c r="AG697" s="43" t="s">
        <v>36</v>
      </c>
      <c r="AH697">
        <v>1</v>
      </c>
      <c r="AI697" s="43" t="s">
        <v>343</v>
      </c>
      <c r="AJ697" s="43" t="s">
        <v>268</v>
      </c>
      <c r="AK697">
        <v>0</v>
      </c>
    </row>
    <row r="698" spans="31:37" x14ac:dyDescent="0.25">
      <c r="AE698" s="43" t="s">
        <v>57</v>
      </c>
      <c r="AF698" s="43" t="s">
        <v>26</v>
      </c>
      <c r="AG698" s="43" t="s">
        <v>36</v>
      </c>
      <c r="AH698">
        <v>1</v>
      </c>
      <c r="AI698" s="43" t="s">
        <v>341</v>
      </c>
      <c r="AJ698" s="43" t="s">
        <v>308</v>
      </c>
      <c r="AK698">
        <v>3.2</v>
      </c>
    </row>
    <row r="699" spans="31:37" x14ac:dyDescent="0.25">
      <c r="AE699" s="43" t="s">
        <v>57</v>
      </c>
      <c r="AF699" s="43" t="s">
        <v>26</v>
      </c>
      <c r="AG699" s="43" t="s">
        <v>36</v>
      </c>
      <c r="AH699">
        <v>1</v>
      </c>
      <c r="AI699" s="43" t="s">
        <v>341</v>
      </c>
      <c r="AJ699" s="43" t="s">
        <v>309</v>
      </c>
      <c r="AK699">
        <v>7.3</v>
      </c>
    </row>
    <row r="700" spans="31:37" x14ac:dyDescent="0.25">
      <c r="AE700" s="43" t="s">
        <v>57</v>
      </c>
      <c r="AF700" s="43" t="s">
        <v>26</v>
      </c>
      <c r="AG700" s="43" t="s">
        <v>36</v>
      </c>
      <c r="AH700">
        <v>1</v>
      </c>
      <c r="AI700" s="43" t="s">
        <v>341</v>
      </c>
      <c r="AJ700" s="43" t="s">
        <v>268</v>
      </c>
      <c r="AK700">
        <v>10.5</v>
      </c>
    </row>
    <row r="701" spans="31:37" x14ac:dyDescent="0.25">
      <c r="AE701" s="43" t="s">
        <v>57</v>
      </c>
      <c r="AF701" s="43" t="s">
        <v>26</v>
      </c>
      <c r="AG701" s="43" t="s">
        <v>36</v>
      </c>
      <c r="AH701">
        <v>1</v>
      </c>
      <c r="AI701" s="43" t="s">
        <v>273</v>
      </c>
      <c r="AJ701" s="43" t="s">
        <v>308</v>
      </c>
      <c r="AK701">
        <v>0</v>
      </c>
    </row>
    <row r="702" spans="31:37" x14ac:dyDescent="0.25">
      <c r="AE702" s="43" t="s">
        <v>57</v>
      </c>
      <c r="AF702" s="43" t="s">
        <v>26</v>
      </c>
      <c r="AG702" s="43" t="s">
        <v>36</v>
      </c>
      <c r="AH702">
        <v>1</v>
      </c>
      <c r="AI702" s="43" t="s">
        <v>273</v>
      </c>
      <c r="AJ702" s="43" t="s">
        <v>309</v>
      </c>
      <c r="AK702">
        <v>0</v>
      </c>
    </row>
    <row r="703" spans="31:37" x14ac:dyDescent="0.25">
      <c r="AE703" s="43" t="s">
        <v>57</v>
      </c>
      <c r="AF703" s="43" t="s">
        <v>26</v>
      </c>
      <c r="AG703" s="43" t="s">
        <v>36</v>
      </c>
      <c r="AH703">
        <v>1</v>
      </c>
      <c r="AI703" s="43" t="s">
        <v>273</v>
      </c>
      <c r="AJ703" s="43" t="s">
        <v>268</v>
      </c>
      <c r="AK703">
        <v>0</v>
      </c>
    </row>
    <row r="704" spans="31:37" x14ac:dyDescent="0.25">
      <c r="AE704" s="43" t="s">
        <v>139</v>
      </c>
      <c r="AF704" s="43" t="s">
        <v>26</v>
      </c>
      <c r="AG704" s="43" t="s">
        <v>124</v>
      </c>
      <c r="AH704">
        <v>1</v>
      </c>
      <c r="AI704" s="43" t="s">
        <v>317</v>
      </c>
      <c r="AJ704" s="43" t="s">
        <v>308</v>
      </c>
      <c r="AK704">
        <v>3</v>
      </c>
    </row>
    <row r="705" spans="31:37" x14ac:dyDescent="0.25">
      <c r="AE705" s="43" t="s">
        <v>139</v>
      </c>
      <c r="AF705" s="43" t="s">
        <v>26</v>
      </c>
      <c r="AG705" s="43" t="s">
        <v>124</v>
      </c>
      <c r="AH705">
        <v>1</v>
      </c>
      <c r="AI705" s="43" t="s">
        <v>317</v>
      </c>
      <c r="AJ705" s="43" t="s">
        <v>309</v>
      </c>
      <c r="AK705">
        <v>8.1999999999999993</v>
      </c>
    </row>
    <row r="706" spans="31:37" x14ac:dyDescent="0.25">
      <c r="AE706" s="43" t="s">
        <v>139</v>
      </c>
      <c r="AF706" s="43" t="s">
        <v>26</v>
      </c>
      <c r="AG706" s="43" t="s">
        <v>124</v>
      </c>
      <c r="AH706">
        <v>1</v>
      </c>
      <c r="AI706" s="43" t="s">
        <v>317</v>
      </c>
      <c r="AJ706" s="43" t="s">
        <v>268</v>
      </c>
      <c r="AK706">
        <v>11.2</v>
      </c>
    </row>
    <row r="707" spans="31:37" x14ac:dyDescent="0.25">
      <c r="AE707" s="43" t="s">
        <v>139</v>
      </c>
      <c r="AF707" s="43" t="s">
        <v>26</v>
      </c>
      <c r="AG707" s="43" t="s">
        <v>124</v>
      </c>
      <c r="AH707">
        <v>1</v>
      </c>
      <c r="AI707" s="43" t="s">
        <v>325</v>
      </c>
      <c r="AJ707" s="43" t="s">
        <v>308</v>
      </c>
      <c r="AK707">
        <v>0</v>
      </c>
    </row>
    <row r="708" spans="31:37" x14ac:dyDescent="0.25">
      <c r="AE708" s="43" t="s">
        <v>139</v>
      </c>
      <c r="AF708" s="43" t="s">
        <v>26</v>
      </c>
      <c r="AG708" s="43" t="s">
        <v>124</v>
      </c>
      <c r="AH708">
        <v>1</v>
      </c>
      <c r="AI708" s="43" t="s">
        <v>325</v>
      </c>
      <c r="AJ708" s="43" t="s">
        <v>309</v>
      </c>
      <c r="AK708">
        <v>0</v>
      </c>
    </row>
    <row r="709" spans="31:37" x14ac:dyDescent="0.25">
      <c r="AE709" s="43" t="s">
        <v>139</v>
      </c>
      <c r="AF709" s="43" t="s">
        <v>26</v>
      </c>
      <c r="AG709" s="43" t="s">
        <v>124</v>
      </c>
      <c r="AH709">
        <v>1</v>
      </c>
      <c r="AI709" s="43" t="s">
        <v>325</v>
      </c>
      <c r="AJ709" s="43" t="s">
        <v>268</v>
      </c>
      <c r="AK709">
        <v>0</v>
      </c>
    </row>
    <row r="710" spans="31:37" x14ac:dyDescent="0.25">
      <c r="AE710" s="43" t="s">
        <v>139</v>
      </c>
      <c r="AF710" s="43" t="s">
        <v>26</v>
      </c>
      <c r="AG710" s="43" t="s">
        <v>124</v>
      </c>
      <c r="AH710">
        <v>1</v>
      </c>
      <c r="AI710" s="43" t="s">
        <v>330</v>
      </c>
      <c r="AJ710" s="43" t="s">
        <v>308</v>
      </c>
      <c r="AK710">
        <v>0</v>
      </c>
    </row>
    <row r="711" spans="31:37" x14ac:dyDescent="0.25">
      <c r="AE711" s="43" t="s">
        <v>139</v>
      </c>
      <c r="AF711" s="43" t="s">
        <v>26</v>
      </c>
      <c r="AG711" s="43" t="s">
        <v>124</v>
      </c>
      <c r="AH711">
        <v>1</v>
      </c>
      <c r="AI711" s="43" t="s">
        <v>330</v>
      </c>
      <c r="AJ711" s="43" t="s">
        <v>309</v>
      </c>
      <c r="AK711">
        <v>0</v>
      </c>
    </row>
    <row r="712" spans="31:37" x14ac:dyDescent="0.25">
      <c r="AE712" s="43" t="s">
        <v>139</v>
      </c>
      <c r="AF712" s="43" t="s">
        <v>26</v>
      </c>
      <c r="AG712" s="43" t="s">
        <v>124</v>
      </c>
      <c r="AH712">
        <v>1</v>
      </c>
      <c r="AI712" s="43" t="s">
        <v>330</v>
      </c>
      <c r="AJ712" s="43" t="s">
        <v>268</v>
      </c>
      <c r="AK712">
        <v>0</v>
      </c>
    </row>
    <row r="713" spans="31:37" x14ac:dyDescent="0.25">
      <c r="AE713" s="43" t="s">
        <v>139</v>
      </c>
      <c r="AF713" s="43" t="s">
        <v>26</v>
      </c>
      <c r="AG713" s="43" t="s">
        <v>124</v>
      </c>
      <c r="AH713">
        <v>1</v>
      </c>
      <c r="AI713" s="43" t="s">
        <v>343</v>
      </c>
      <c r="AJ713" s="43" t="s">
        <v>308</v>
      </c>
      <c r="AK713">
        <v>0</v>
      </c>
    </row>
    <row r="714" spans="31:37" x14ac:dyDescent="0.25">
      <c r="AE714" s="43" t="s">
        <v>139</v>
      </c>
      <c r="AF714" s="43" t="s">
        <v>26</v>
      </c>
      <c r="AG714" s="43" t="s">
        <v>124</v>
      </c>
      <c r="AH714">
        <v>1</v>
      </c>
      <c r="AI714" s="43" t="s">
        <v>343</v>
      </c>
      <c r="AJ714" s="43" t="s">
        <v>309</v>
      </c>
      <c r="AK714">
        <v>0</v>
      </c>
    </row>
    <row r="715" spans="31:37" x14ac:dyDescent="0.25">
      <c r="AE715" s="43" t="s">
        <v>139</v>
      </c>
      <c r="AF715" s="43" t="s">
        <v>26</v>
      </c>
      <c r="AG715" s="43" t="s">
        <v>124</v>
      </c>
      <c r="AH715">
        <v>1</v>
      </c>
      <c r="AI715" s="43" t="s">
        <v>343</v>
      </c>
      <c r="AJ715" s="43" t="s">
        <v>268</v>
      </c>
      <c r="AK715">
        <v>0</v>
      </c>
    </row>
    <row r="716" spans="31:37" x14ac:dyDescent="0.25">
      <c r="AE716" s="43" t="s">
        <v>139</v>
      </c>
      <c r="AF716" s="43" t="s">
        <v>26</v>
      </c>
      <c r="AG716" s="43" t="s">
        <v>124</v>
      </c>
      <c r="AH716">
        <v>1</v>
      </c>
      <c r="AI716" s="43" t="s">
        <v>341</v>
      </c>
      <c r="AJ716" s="43" t="s">
        <v>308</v>
      </c>
      <c r="AK716">
        <v>3</v>
      </c>
    </row>
    <row r="717" spans="31:37" x14ac:dyDescent="0.25">
      <c r="AE717" s="43" t="s">
        <v>139</v>
      </c>
      <c r="AF717" s="43" t="s">
        <v>26</v>
      </c>
      <c r="AG717" s="43" t="s">
        <v>124</v>
      </c>
      <c r="AH717">
        <v>1</v>
      </c>
      <c r="AI717" s="43" t="s">
        <v>341</v>
      </c>
      <c r="AJ717" s="43" t="s">
        <v>309</v>
      </c>
      <c r="AK717">
        <v>8.1999999999999993</v>
      </c>
    </row>
    <row r="718" spans="31:37" x14ac:dyDescent="0.25">
      <c r="AE718" s="43" t="s">
        <v>139</v>
      </c>
      <c r="AF718" s="43" t="s">
        <v>26</v>
      </c>
      <c r="AG718" s="43" t="s">
        <v>124</v>
      </c>
      <c r="AH718">
        <v>1</v>
      </c>
      <c r="AI718" s="43" t="s">
        <v>341</v>
      </c>
      <c r="AJ718" s="43" t="s">
        <v>268</v>
      </c>
      <c r="AK718">
        <v>11.2</v>
      </c>
    </row>
    <row r="719" spans="31:37" x14ac:dyDescent="0.25">
      <c r="AE719" s="43" t="s">
        <v>139</v>
      </c>
      <c r="AF719" s="43" t="s">
        <v>26</v>
      </c>
      <c r="AG719" s="43" t="s">
        <v>124</v>
      </c>
      <c r="AH719">
        <v>1</v>
      </c>
      <c r="AI719" s="43" t="s">
        <v>273</v>
      </c>
      <c r="AJ719" s="43" t="s">
        <v>308</v>
      </c>
      <c r="AK719">
        <v>0</v>
      </c>
    </row>
    <row r="720" spans="31:37" x14ac:dyDescent="0.25">
      <c r="AE720" s="43" t="s">
        <v>139</v>
      </c>
      <c r="AF720" s="43" t="s">
        <v>26</v>
      </c>
      <c r="AG720" s="43" t="s">
        <v>124</v>
      </c>
      <c r="AH720">
        <v>1</v>
      </c>
      <c r="AI720" s="43" t="s">
        <v>273</v>
      </c>
      <c r="AJ720" s="43" t="s">
        <v>309</v>
      </c>
      <c r="AK720">
        <v>0</v>
      </c>
    </row>
    <row r="721" spans="31:37" x14ac:dyDescent="0.25">
      <c r="AE721" s="43" t="s">
        <v>139</v>
      </c>
      <c r="AF721" s="43" t="s">
        <v>26</v>
      </c>
      <c r="AG721" s="43" t="s">
        <v>124</v>
      </c>
      <c r="AH721">
        <v>1</v>
      </c>
      <c r="AI721" s="43" t="s">
        <v>273</v>
      </c>
      <c r="AJ721" s="43" t="s">
        <v>268</v>
      </c>
      <c r="AK721">
        <v>0</v>
      </c>
    </row>
    <row r="722" spans="31:37" x14ac:dyDescent="0.25">
      <c r="AE722" s="43" t="s">
        <v>135</v>
      </c>
      <c r="AF722" s="43" t="s">
        <v>26</v>
      </c>
      <c r="AG722" s="43" t="s">
        <v>124</v>
      </c>
      <c r="AH722">
        <v>1</v>
      </c>
      <c r="AI722" s="43" t="s">
        <v>317</v>
      </c>
      <c r="AJ722" s="43" t="s">
        <v>308</v>
      </c>
      <c r="AK722">
        <v>2.9</v>
      </c>
    </row>
    <row r="723" spans="31:37" x14ac:dyDescent="0.25">
      <c r="AE723" s="43" t="s">
        <v>135</v>
      </c>
      <c r="AF723" s="43" t="s">
        <v>26</v>
      </c>
      <c r="AG723" s="43" t="s">
        <v>124</v>
      </c>
      <c r="AH723">
        <v>1</v>
      </c>
      <c r="AI723" s="43" t="s">
        <v>317</v>
      </c>
      <c r="AJ723" s="43" t="s">
        <v>309</v>
      </c>
      <c r="AK723">
        <v>7.8</v>
      </c>
    </row>
    <row r="724" spans="31:37" x14ac:dyDescent="0.25">
      <c r="AE724" s="43" t="s">
        <v>135</v>
      </c>
      <c r="AF724" s="43" t="s">
        <v>26</v>
      </c>
      <c r="AG724" s="43" t="s">
        <v>124</v>
      </c>
      <c r="AH724">
        <v>1</v>
      </c>
      <c r="AI724" s="43" t="s">
        <v>317</v>
      </c>
      <c r="AJ724" s="43" t="s">
        <v>268</v>
      </c>
      <c r="AK724">
        <v>10.7</v>
      </c>
    </row>
    <row r="725" spans="31:37" x14ac:dyDescent="0.25">
      <c r="AE725" s="43" t="s">
        <v>135</v>
      </c>
      <c r="AF725" s="43" t="s">
        <v>26</v>
      </c>
      <c r="AG725" s="43" t="s">
        <v>124</v>
      </c>
      <c r="AH725">
        <v>1</v>
      </c>
      <c r="AI725" s="43" t="s">
        <v>325</v>
      </c>
      <c r="AJ725" s="43" t="s">
        <v>308</v>
      </c>
      <c r="AK725">
        <v>0</v>
      </c>
    </row>
    <row r="726" spans="31:37" x14ac:dyDescent="0.25">
      <c r="AE726" s="43" t="s">
        <v>135</v>
      </c>
      <c r="AF726" s="43" t="s">
        <v>26</v>
      </c>
      <c r="AG726" s="43" t="s">
        <v>124</v>
      </c>
      <c r="AH726">
        <v>1</v>
      </c>
      <c r="AI726" s="43" t="s">
        <v>325</v>
      </c>
      <c r="AJ726" s="43" t="s">
        <v>309</v>
      </c>
      <c r="AK726">
        <v>0</v>
      </c>
    </row>
    <row r="727" spans="31:37" x14ac:dyDescent="0.25">
      <c r="AE727" s="43" t="s">
        <v>135</v>
      </c>
      <c r="AF727" s="43" t="s">
        <v>26</v>
      </c>
      <c r="AG727" s="43" t="s">
        <v>124</v>
      </c>
      <c r="AH727">
        <v>1</v>
      </c>
      <c r="AI727" s="43" t="s">
        <v>325</v>
      </c>
      <c r="AJ727" s="43" t="s">
        <v>268</v>
      </c>
      <c r="AK727">
        <v>0</v>
      </c>
    </row>
    <row r="728" spans="31:37" x14ac:dyDescent="0.25">
      <c r="AE728" s="43" t="s">
        <v>135</v>
      </c>
      <c r="AF728" s="43" t="s">
        <v>26</v>
      </c>
      <c r="AG728" s="43" t="s">
        <v>124</v>
      </c>
      <c r="AH728">
        <v>1</v>
      </c>
      <c r="AI728" s="43" t="s">
        <v>330</v>
      </c>
      <c r="AJ728" s="43" t="s">
        <v>308</v>
      </c>
      <c r="AK728">
        <v>0</v>
      </c>
    </row>
    <row r="729" spans="31:37" x14ac:dyDescent="0.25">
      <c r="AE729" s="43" t="s">
        <v>135</v>
      </c>
      <c r="AF729" s="43" t="s">
        <v>26</v>
      </c>
      <c r="AG729" s="43" t="s">
        <v>124</v>
      </c>
      <c r="AH729">
        <v>1</v>
      </c>
      <c r="AI729" s="43" t="s">
        <v>330</v>
      </c>
      <c r="AJ729" s="43" t="s">
        <v>309</v>
      </c>
      <c r="AK729">
        <v>0</v>
      </c>
    </row>
    <row r="730" spans="31:37" x14ac:dyDescent="0.25">
      <c r="AE730" s="43" t="s">
        <v>135</v>
      </c>
      <c r="AF730" s="43" t="s">
        <v>26</v>
      </c>
      <c r="AG730" s="43" t="s">
        <v>124</v>
      </c>
      <c r="AH730">
        <v>1</v>
      </c>
      <c r="AI730" s="43" t="s">
        <v>330</v>
      </c>
      <c r="AJ730" s="43" t="s">
        <v>268</v>
      </c>
      <c r="AK730">
        <v>0</v>
      </c>
    </row>
    <row r="731" spans="31:37" x14ac:dyDescent="0.25">
      <c r="AE731" s="43" t="s">
        <v>135</v>
      </c>
      <c r="AF731" s="43" t="s">
        <v>26</v>
      </c>
      <c r="AG731" s="43" t="s">
        <v>124</v>
      </c>
      <c r="AH731">
        <v>1</v>
      </c>
      <c r="AI731" s="43" t="s">
        <v>343</v>
      </c>
      <c r="AJ731" s="43" t="s">
        <v>308</v>
      </c>
      <c r="AK731">
        <v>0</v>
      </c>
    </row>
    <row r="732" spans="31:37" x14ac:dyDescent="0.25">
      <c r="AE732" s="43" t="s">
        <v>135</v>
      </c>
      <c r="AF732" s="43" t="s">
        <v>26</v>
      </c>
      <c r="AG732" s="43" t="s">
        <v>124</v>
      </c>
      <c r="AH732">
        <v>1</v>
      </c>
      <c r="AI732" s="43" t="s">
        <v>343</v>
      </c>
      <c r="AJ732" s="43" t="s">
        <v>309</v>
      </c>
      <c r="AK732">
        <v>0</v>
      </c>
    </row>
    <row r="733" spans="31:37" x14ac:dyDescent="0.25">
      <c r="AE733" s="43" t="s">
        <v>135</v>
      </c>
      <c r="AF733" s="43" t="s">
        <v>26</v>
      </c>
      <c r="AG733" s="43" t="s">
        <v>124</v>
      </c>
      <c r="AH733">
        <v>1</v>
      </c>
      <c r="AI733" s="43" t="s">
        <v>343</v>
      </c>
      <c r="AJ733" s="43" t="s">
        <v>268</v>
      </c>
      <c r="AK733">
        <v>0</v>
      </c>
    </row>
    <row r="734" spans="31:37" x14ac:dyDescent="0.25">
      <c r="AE734" s="43" t="s">
        <v>135</v>
      </c>
      <c r="AF734" s="43" t="s">
        <v>26</v>
      </c>
      <c r="AG734" s="43" t="s">
        <v>124</v>
      </c>
      <c r="AH734">
        <v>1</v>
      </c>
      <c r="AI734" s="43" t="s">
        <v>341</v>
      </c>
      <c r="AJ734" s="43" t="s">
        <v>308</v>
      </c>
      <c r="AK734">
        <v>2.9</v>
      </c>
    </row>
    <row r="735" spans="31:37" x14ac:dyDescent="0.25">
      <c r="AE735" s="43" t="s">
        <v>135</v>
      </c>
      <c r="AF735" s="43" t="s">
        <v>26</v>
      </c>
      <c r="AG735" s="43" t="s">
        <v>124</v>
      </c>
      <c r="AH735">
        <v>1</v>
      </c>
      <c r="AI735" s="43" t="s">
        <v>341</v>
      </c>
      <c r="AJ735" s="43" t="s">
        <v>309</v>
      </c>
      <c r="AK735">
        <v>7.8</v>
      </c>
    </row>
    <row r="736" spans="31:37" x14ac:dyDescent="0.25">
      <c r="AE736" s="43" t="s">
        <v>135</v>
      </c>
      <c r="AF736" s="43" t="s">
        <v>26</v>
      </c>
      <c r="AG736" s="43" t="s">
        <v>124</v>
      </c>
      <c r="AH736">
        <v>1</v>
      </c>
      <c r="AI736" s="43" t="s">
        <v>341</v>
      </c>
      <c r="AJ736" s="43" t="s">
        <v>268</v>
      </c>
      <c r="AK736">
        <v>10.7</v>
      </c>
    </row>
    <row r="737" spans="31:37" x14ac:dyDescent="0.25">
      <c r="AE737" s="43" t="s">
        <v>135</v>
      </c>
      <c r="AF737" s="43" t="s">
        <v>26</v>
      </c>
      <c r="AG737" s="43" t="s">
        <v>124</v>
      </c>
      <c r="AH737">
        <v>1</v>
      </c>
      <c r="AI737" s="43" t="s">
        <v>273</v>
      </c>
      <c r="AJ737" s="43" t="s">
        <v>308</v>
      </c>
      <c r="AK737">
        <v>0</v>
      </c>
    </row>
    <row r="738" spans="31:37" x14ac:dyDescent="0.25">
      <c r="AE738" s="43" t="s">
        <v>135</v>
      </c>
      <c r="AF738" s="43" t="s">
        <v>26</v>
      </c>
      <c r="AG738" s="43" t="s">
        <v>124</v>
      </c>
      <c r="AH738">
        <v>1</v>
      </c>
      <c r="AI738" s="43" t="s">
        <v>273</v>
      </c>
      <c r="AJ738" s="43" t="s">
        <v>309</v>
      </c>
      <c r="AK738">
        <v>0</v>
      </c>
    </row>
    <row r="739" spans="31:37" x14ac:dyDescent="0.25">
      <c r="AE739" s="43" t="s">
        <v>135</v>
      </c>
      <c r="AF739" s="43" t="s">
        <v>26</v>
      </c>
      <c r="AG739" s="43" t="s">
        <v>124</v>
      </c>
      <c r="AH739">
        <v>1</v>
      </c>
      <c r="AI739" s="43" t="s">
        <v>273</v>
      </c>
      <c r="AJ739" s="43" t="s">
        <v>268</v>
      </c>
      <c r="AK739">
        <v>0</v>
      </c>
    </row>
    <row r="740" spans="31:37" x14ac:dyDescent="0.25">
      <c r="AE740" s="43" t="s">
        <v>137</v>
      </c>
      <c r="AF740" s="43" t="s">
        <v>26</v>
      </c>
      <c r="AG740" s="43" t="s">
        <v>124</v>
      </c>
      <c r="AH740">
        <v>1</v>
      </c>
      <c r="AI740" s="43" t="s">
        <v>317</v>
      </c>
      <c r="AJ740" s="43" t="s">
        <v>308</v>
      </c>
      <c r="AK740">
        <v>2.5</v>
      </c>
    </row>
    <row r="741" spans="31:37" x14ac:dyDescent="0.25">
      <c r="AE741" s="43" t="s">
        <v>137</v>
      </c>
      <c r="AF741" s="43" t="s">
        <v>26</v>
      </c>
      <c r="AG741" s="43" t="s">
        <v>124</v>
      </c>
      <c r="AH741">
        <v>1</v>
      </c>
      <c r="AI741" s="43" t="s">
        <v>317</v>
      </c>
      <c r="AJ741" s="43" t="s">
        <v>309</v>
      </c>
      <c r="AK741">
        <v>8.3000000000000007</v>
      </c>
    </row>
    <row r="742" spans="31:37" x14ac:dyDescent="0.25">
      <c r="AE742" s="43" t="s">
        <v>137</v>
      </c>
      <c r="AF742" s="43" t="s">
        <v>26</v>
      </c>
      <c r="AG742" s="43" t="s">
        <v>124</v>
      </c>
      <c r="AH742">
        <v>1</v>
      </c>
      <c r="AI742" s="43" t="s">
        <v>317</v>
      </c>
      <c r="AJ742" s="43" t="s">
        <v>268</v>
      </c>
      <c r="AK742">
        <v>10.8</v>
      </c>
    </row>
    <row r="743" spans="31:37" x14ac:dyDescent="0.25">
      <c r="AE743" s="43" t="s">
        <v>137</v>
      </c>
      <c r="AF743" s="43" t="s">
        <v>26</v>
      </c>
      <c r="AG743" s="43" t="s">
        <v>124</v>
      </c>
      <c r="AH743">
        <v>1</v>
      </c>
      <c r="AI743" s="43" t="s">
        <v>325</v>
      </c>
      <c r="AJ743" s="43" t="s">
        <v>308</v>
      </c>
      <c r="AK743">
        <v>0</v>
      </c>
    </row>
    <row r="744" spans="31:37" x14ac:dyDescent="0.25">
      <c r="AE744" s="43" t="s">
        <v>137</v>
      </c>
      <c r="AF744" s="43" t="s">
        <v>26</v>
      </c>
      <c r="AG744" s="43" t="s">
        <v>124</v>
      </c>
      <c r="AH744">
        <v>1</v>
      </c>
      <c r="AI744" s="43" t="s">
        <v>325</v>
      </c>
      <c r="AJ744" s="43" t="s">
        <v>309</v>
      </c>
      <c r="AK744">
        <v>0</v>
      </c>
    </row>
    <row r="745" spans="31:37" x14ac:dyDescent="0.25">
      <c r="AE745" s="43" t="s">
        <v>137</v>
      </c>
      <c r="AF745" s="43" t="s">
        <v>26</v>
      </c>
      <c r="AG745" s="43" t="s">
        <v>124</v>
      </c>
      <c r="AH745">
        <v>1</v>
      </c>
      <c r="AI745" s="43" t="s">
        <v>325</v>
      </c>
      <c r="AJ745" s="43" t="s">
        <v>268</v>
      </c>
      <c r="AK745">
        <v>0</v>
      </c>
    </row>
    <row r="746" spans="31:37" x14ac:dyDescent="0.25">
      <c r="AE746" s="43" t="s">
        <v>137</v>
      </c>
      <c r="AF746" s="43" t="s">
        <v>26</v>
      </c>
      <c r="AG746" s="43" t="s">
        <v>124</v>
      </c>
      <c r="AH746">
        <v>1</v>
      </c>
      <c r="AI746" s="43" t="s">
        <v>330</v>
      </c>
      <c r="AJ746" s="43" t="s">
        <v>308</v>
      </c>
      <c r="AK746">
        <v>0</v>
      </c>
    </row>
    <row r="747" spans="31:37" x14ac:dyDescent="0.25">
      <c r="AE747" s="43" t="s">
        <v>137</v>
      </c>
      <c r="AF747" s="43" t="s">
        <v>26</v>
      </c>
      <c r="AG747" s="43" t="s">
        <v>124</v>
      </c>
      <c r="AH747">
        <v>1</v>
      </c>
      <c r="AI747" s="43" t="s">
        <v>330</v>
      </c>
      <c r="AJ747" s="43" t="s">
        <v>309</v>
      </c>
      <c r="AK747">
        <v>0</v>
      </c>
    </row>
    <row r="748" spans="31:37" x14ac:dyDescent="0.25">
      <c r="AE748" s="43" t="s">
        <v>137</v>
      </c>
      <c r="AF748" s="43" t="s">
        <v>26</v>
      </c>
      <c r="AG748" s="43" t="s">
        <v>124</v>
      </c>
      <c r="AH748">
        <v>1</v>
      </c>
      <c r="AI748" s="43" t="s">
        <v>330</v>
      </c>
      <c r="AJ748" s="43" t="s">
        <v>268</v>
      </c>
      <c r="AK748">
        <v>0</v>
      </c>
    </row>
    <row r="749" spans="31:37" x14ac:dyDescent="0.25">
      <c r="AE749" s="43" t="s">
        <v>137</v>
      </c>
      <c r="AF749" s="43" t="s">
        <v>26</v>
      </c>
      <c r="AG749" s="43" t="s">
        <v>124</v>
      </c>
      <c r="AH749">
        <v>1</v>
      </c>
      <c r="AI749" s="43" t="s">
        <v>343</v>
      </c>
      <c r="AJ749" s="43" t="s">
        <v>308</v>
      </c>
      <c r="AK749">
        <v>0</v>
      </c>
    </row>
    <row r="750" spans="31:37" x14ac:dyDescent="0.25">
      <c r="AE750" s="43" t="s">
        <v>137</v>
      </c>
      <c r="AF750" s="43" t="s">
        <v>26</v>
      </c>
      <c r="AG750" s="43" t="s">
        <v>124</v>
      </c>
      <c r="AH750">
        <v>1</v>
      </c>
      <c r="AI750" s="43" t="s">
        <v>343</v>
      </c>
      <c r="AJ750" s="43" t="s">
        <v>309</v>
      </c>
      <c r="AK750">
        <v>0</v>
      </c>
    </row>
    <row r="751" spans="31:37" x14ac:dyDescent="0.25">
      <c r="AE751" s="43" t="s">
        <v>137</v>
      </c>
      <c r="AF751" s="43" t="s">
        <v>26</v>
      </c>
      <c r="AG751" s="43" t="s">
        <v>124</v>
      </c>
      <c r="AH751">
        <v>1</v>
      </c>
      <c r="AI751" s="43" t="s">
        <v>343</v>
      </c>
      <c r="AJ751" s="43" t="s">
        <v>268</v>
      </c>
      <c r="AK751">
        <v>0</v>
      </c>
    </row>
    <row r="752" spans="31:37" x14ac:dyDescent="0.25">
      <c r="AE752" s="43" t="s">
        <v>137</v>
      </c>
      <c r="AF752" s="43" t="s">
        <v>26</v>
      </c>
      <c r="AG752" s="43" t="s">
        <v>124</v>
      </c>
      <c r="AH752">
        <v>1</v>
      </c>
      <c r="AI752" s="43" t="s">
        <v>341</v>
      </c>
      <c r="AJ752" s="43" t="s">
        <v>308</v>
      </c>
      <c r="AK752">
        <v>2.5</v>
      </c>
    </row>
    <row r="753" spans="31:37" x14ac:dyDescent="0.25">
      <c r="AE753" s="43" t="s">
        <v>137</v>
      </c>
      <c r="AF753" s="43" t="s">
        <v>26</v>
      </c>
      <c r="AG753" s="43" t="s">
        <v>124</v>
      </c>
      <c r="AH753">
        <v>1</v>
      </c>
      <c r="AI753" s="43" t="s">
        <v>341</v>
      </c>
      <c r="AJ753" s="43" t="s">
        <v>309</v>
      </c>
      <c r="AK753">
        <v>8.3000000000000007</v>
      </c>
    </row>
    <row r="754" spans="31:37" x14ac:dyDescent="0.25">
      <c r="AE754" s="43" t="s">
        <v>137</v>
      </c>
      <c r="AF754" s="43" t="s">
        <v>26</v>
      </c>
      <c r="AG754" s="43" t="s">
        <v>124</v>
      </c>
      <c r="AH754">
        <v>1</v>
      </c>
      <c r="AI754" s="43" t="s">
        <v>341</v>
      </c>
      <c r="AJ754" s="43" t="s">
        <v>268</v>
      </c>
      <c r="AK754">
        <v>10.8</v>
      </c>
    </row>
    <row r="755" spans="31:37" x14ac:dyDescent="0.25">
      <c r="AE755" s="43" t="s">
        <v>137</v>
      </c>
      <c r="AF755" s="43" t="s">
        <v>26</v>
      </c>
      <c r="AG755" s="43" t="s">
        <v>124</v>
      </c>
      <c r="AH755">
        <v>1</v>
      </c>
      <c r="AI755" s="43" t="s">
        <v>273</v>
      </c>
      <c r="AJ755" s="43" t="s">
        <v>308</v>
      </c>
      <c r="AK755">
        <v>0</v>
      </c>
    </row>
    <row r="756" spans="31:37" x14ac:dyDescent="0.25">
      <c r="AE756" s="43" t="s">
        <v>137</v>
      </c>
      <c r="AF756" s="43" t="s">
        <v>26</v>
      </c>
      <c r="AG756" s="43" t="s">
        <v>124</v>
      </c>
      <c r="AH756">
        <v>1</v>
      </c>
      <c r="AI756" s="43" t="s">
        <v>273</v>
      </c>
      <c r="AJ756" s="43" t="s">
        <v>309</v>
      </c>
      <c r="AK756">
        <v>0</v>
      </c>
    </row>
    <row r="757" spans="31:37" x14ac:dyDescent="0.25">
      <c r="AE757" s="43" t="s">
        <v>137</v>
      </c>
      <c r="AF757" s="43" t="s">
        <v>26</v>
      </c>
      <c r="AG757" s="43" t="s">
        <v>124</v>
      </c>
      <c r="AH757">
        <v>1</v>
      </c>
      <c r="AI757" s="43" t="s">
        <v>273</v>
      </c>
      <c r="AJ757" s="43" t="s">
        <v>268</v>
      </c>
      <c r="AK757">
        <v>0</v>
      </c>
    </row>
    <row r="758" spans="31:37" x14ac:dyDescent="0.25">
      <c r="AE758" s="43" t="s">
        <v>125</v>
      </c>
      <c r="AF758" s="43" t="s">
        <v>26</v>
      </c>
      <c r="AG758" s="43" t="s">
        <v>67</v>
      </c>
      <c r="AH758">
        <v>1</v>
      </c>
      <c r="AI758" s="43" t="s">
        <v>317</v>
      </c>
      <c r="AJ758" s="43" t="s">
        <v>308</v>
      </c>
      <c r="AK758">
        <v>0</v>
      </c>
    </row>
    <row r="759" spans="31:37" x14ac:dyDescent="0.25">
      <c r="AE759" s="43" t="s">
        <v>125</v>
      </c>
      <c r="AF759" s="43" t="s">
        <v>26</v>
      </c>
      <c r="AG759" s="43" t="s">
        <v>67</v>
      </c>
      <c r="AH759">
        <v>1</v>
      </c>
      <c r="AI759" s="43" t="s">
        <v>317</v>
      </c>
      <c r="AJ759" s="43" t="s">
        <v>309</v>
      </c>
      <c r="AK759">
        <v>0</v>
      </c>
    </row>
    <row r="760" spans="31:37" x14ac:dyDescent="0.25">
      <c r="AE760" s="43" t="s">
        <v>125</v>
      </c>
      <c r="AF760" s="43" t="s">
        <v>26</v>
      </c>
      <c r="AG760" s="43" t="s">
        <v>67</v>
      </c>
      <c r="AH760">
        <v>1</v>
      </c>
      <c r="AI760" s="43" t="s">
        <v>317</v>
      </c>
      <c r="AJ760" s="43" t="s">
        <v>268</v>
      </c>
      <c r="AK760">
        <v>0</v>
      </c>
    </row>
    <row r="761" spans="31:37" x14ac:dyDescent="0.25">
      <c r="AE761" s="43" t="s">
        <v>125</v>
      </c>
      <c r="AF761" s="43" t="s">
        <v>26</v>
      </c>
      <c r="AG761" s="43" t="s">
        <v>67</v>
      </c>
      <c r="AH761">
        <v>1</v>
      </c>
      <c r="AI761" s="43" t="s">
        <v>325</v>
      </c>
      <c r="AJ761" s="43" t="s">
        <v>308</v>
      </c>
      <c r="AK761">
        <v>0</v>
      </c>
    </row>
    <row r="762" spans="31:37" x14ac:dyDescent="0.25">
      <c r="AE762" s="43" t="s">
        <v>125</v>
      </c>
      <c r="AF762" s="43" t="s">
        <v>26</v>
      </c>
      <c r="AG762" s="43" t="s">
        <v>67</v>
      </c>
      <c r="AH762">
        <v>1</v>
      </c>
      <c r="AI762" s="43" t="s">
        <v>325</v>
      </c>
      <c r="AJ762" s="43" t="s">
        <v>309</v>
      </c>
      <c r="AK762">
        <v>0</v>
      </c>
    </row>
    <row r="763" spans="31:37" x14ac:dyDescent="0.25">
      <c r="AE763" s="43" t="s">
        <v>125</v>
      </c>
      <c r="AF763" s="43" t="s">
        <v>26</v>
      </c>
      <c r="AG763" s="43" t="s">
        <v>67</v>
      </c>
      <c r="AH763">
        <v>1</v>
      </c>
      <c r="AI763" s="43" t="s">
        <v>325</v>
      </c>
      <c r="AJ763" s="43" t="s">
        <v>268</v>
      </c>
      <c r="AK763">
        <v>0</v>
      </c>
    </row>
    <row r="764" spans="31:37" x14ac:dyDescent="0.25">
      <c r="AE764" s="43" t="s">
        <v>125</v>
      </c>
      <c r="AF764" s="43" t="s">
        <v>26</v>
      </c>
      <c r="AG764" s="43" t="s">
        <v>67</v>
      </c>
      <c r="AH764">
        <v>1</v>
      </c>
      <c r="AI764" s="43" t="s">
        <v>330</v>
      </c>
      <c r="AJ764" s="43" t="s">
        <v>308</v>
      </c>
      <c r="AK764">
        <v>3.5</v>
      </c>
    </row>
    <row r="765" spans="31:37" x14ac:dyDescent="0.25">
      <c r="AE765" s="43" t="s">
        <v>125</v>
      </c>
      <c r="AF765" s="43" t="s">
        <v>26</v>
      </c>
      <c r="AG765" s="43" t="s">
        <v>67</v>
      </c>
      <c r="AH765">
        <v>1</v>
      </c>
      <c r="AI765" s="43" t="s">
        <v>330</v>
      </c>
      <c r="AJ765" s="43" t="s">
        <v>309</v>
      </c>
      <c r="AK765">
        <v>7.85</v>
      </c>
    </row>
    <row r="766" spans="31:37" x14ac:dyDescent="0.25">
      <c r="AE766" s="43" t="s">
        <v>125</v>
      </c>
      <c r="AF766" s="43" t="s">
        <v>26</v>
      </c>
      <c r="AG766" s="43" t="s">
        <v>67</v>
      </c>
      <c r="AH766">
        <v>1</v>
      </c>
      <c r="AI766" s="43" t="s">
        <v>330</v>
      </c>
      <c r="AJ766" s="43" t="s">
        <v>268</v>
      </c>
      <c r="AK766">
        <v>11.35</v>
      </c>
    </row>
    <row r="767" spans="31:37" x14ac:dyDescent="0.25">
      <c r="AE767" s="43" t="s">
        <v>125</v>
      </c>
      <c r="AF767" s="43" t="s">
        <v>26</v>
      </c>
      <c r="AG767" s="43" t="s">
        <v>67</v>
      </c>
      <c r="AH767">
        <v>1</v>
      </c>
      <c r="AI767" s="43" t="s">
        <v>343</v>
      </c>
      <c r="AJ767" s="43" t="s">
        <v>308</v>
      </c>
      <c r="AK767">
        <v>0</v>
      </c>
    </row>
    <row r="768" spans="31:37" x14ac:dyDescent="0.25">
      <c r="AE768" s="43" t="s">
        <v>125</v>
      </c>
      <c r="AF768" s="43" t="s">
        <v>26</v>
      </c>
      <c r="AG768" s="43" t="s">
        <v>67</v>
      </c>
      <c r="AH768">
        <v>1</v>
      </c>
      <c r="AI768" s="43" t="s">
        <v>343</v>
      </c>
      <c r="AJ768" s="43" t="s">
        <v>309</v>
      </c>
      <c r="AK768">
        <v>0</v>
      </c>
    </row>
    <row r="769" spans="31:37" x14ac:dyDescent="0.25">
      <c r="AE769" s="43" t="s">
        <v>125</v>
      </c>
      <c r="AF769" s="43" t="s">
        <v>26</v>
      </c>
      <c r="AG769" s="43" t="s">
        <v>67</v>
      </c>
      <c r="AH769">
        <v>1</v>
      </c>
      <c r="AI769" s="43" t="s">
        <v>343</v>
      </c>
      <c r="AJ769" s="43" t="s">
        <v>268</v>
      </c>
      <c r="AK769">
        <v>0</v>
      </c>
    </row>
    <row r="770" spans="31:37" x14ac:dyDescent="0.25">
      <c r="AE770" s="43" t="s">
        <v>125</v>
      </c>
      <c r="AF770" s="43" t="s">
        <v>26</v>
      </c>
      <c r="AG770" s="43" t="s">
        <v>67</v>
      </c>
      <c r="AH770">
        <v>1</v>
      </c>
      <c r="AI770" s="43" t="s">
        <v>341</v>
      </c>
      <c r="AJ770" s="43" t="s">
        <v>308</v>
      </c>
      <c r="AK770">
        <v>3.5</v>
      </c>
    </row>
    <row r="771" spans="31:37" x14ac:dyDescent="0.25">
      <c r="AE771" s="43" t="s">
        <v>125</v>
      </c>
      <c r="AF771" s="43" t="s">
        <v>26</v>
      </c>
      <c r="AG771" s="43" t="s">
        <v>67</v>
      </c>
      <c r="AH771">
        <v>1</v>
      </c>
      <c r="AI771" s="43" t="s">
        <v>341</v>
      </c>
      <c r="AJ771" s="43" t="s">
        <v>309</v>
      </c>
      <c r="AK771">
        <v>7.85</v>
      </c>
    </row>
    <row r="772" spans="31:37" x14ac:dyDescent="0.25">
      <c r="AE772" s="43" t="s">
        <v>125</v>
      </c>
      <c r="AF772" s="43" t="s">
        <v>26</v>
      </c>
      <c r="AG772" s="43" t="s">
        <v>67</v>
      </c>
      <c r="AH772">
        <v>1</v>
      </c>
      <c r="AI772" s="43" t="s">
        <v>341</v>
      </c>
      <c r="AJ772" s="43" t="s">
        <v>268</v>
      </c>
      <c r="AK772">
        <v>11.35</v>
      </c>
    </row>
    <row r="773" spans="31:37" x14ac:dyDescent="0.25">
      <c r="AE773" s="43" t="s">
        <v>125</v>
      </c>
      <c r="AF773" s="43" t="s">
        <v>26</v>
      </c>
      <c r="AG773" s="43" t="s">
        <v>67</v>
      </c>
      <c r="AH773">
        <v>1</v>
      </c>
      <c r="AI773" s="43" t="s">
        <v>273</v>
      </c>
      <c r="AJ773" s="43" t="s">
        <v>308</v>
      </c>
      <c r="AK773">
        <v>0</v>
      </c>
    </row>
    <row r="774" spans="31:37" x14ac:dyDescent="0.25">
      <c r="AE774" s="43" t="s">
        <v>125</v>
      </c>
      <c r="AF774" s="43" t="s">
        <v>26</v>
      </c>
      <c r="AG774" s="43" t="s">
        <v>67</v>
      </c>
      <c r="AH774">
        <v>1</v>
      </c>
      <c r="AI774" s="43" t="s">
        <v>273</v>
      </c>
      <c r="AJ774" s="43" t="s">
        <v>309</v>
      </c>
      <c r="AK774">
        <v>0</v>
      </c>
    </row>
    <row r="775" spans="31:37" x14ac:dyDescent="0.25">
      <c r="AE775" s="43" t="s">
        <v>125</v>
      </c>
      <c r="AF775" s="43" t="s">
        <v>26</v>
      </c>
      <c r="AG775" s="43" t="s">
        <v>67</v>
      </c>
      <c r="AH775">
        <v>1</v>
      </c>
      <c r="AI775" s="43" t="s">
        <v>273</v>
      </c>
      <c r="AJ775" s="43" t="s">
        <v>268</v>
      </c>
      <c r="AK775">
        <v>0</v>
      </c>
    </row>
    <row r="776" spans="31:37" x14ac:dyDescent="0.25">
      <c r="AE776" s="43" t="s">
        <v>122</v>
      </c>
      <c r="AF776" s="43" t="s">
        <v>26</v>
      </c>
      <c r="AG776" s="43" t="s">
        <v>124</v>
      </c>
      <c r="AH776">
        <v>1</v>
      </c>
      <c r="AI776" s="43" t="s">
        <v>317</v>
      </c>
      <c r="AJ776" s="43" t="s">
        <v>308</v>
      </c>
      <c r="AK776">
        <v>0</v>
      </c>
    </row>
    <row r="777" spans="31:37" x14ac:dyDescent="0.25">
      <c r="AE777" s="43" t="s">
        <v>122</v>
      </c>
      <c r="AF777" s="43" t="s">
        <v>26</v>
      </c>
      <c r="AG777" s="43" t="s">
        <v>124</v>
      </c>
      <c r="AH777">
        <v>1</v>
      </c>
      <c r="AI777" s="43" t="s">
        <v>317</v>
      </c>
      <c r="AJ777" s="43" t="s">
        <v>309</v>
      </c>
      <c r="AK777">
        <v>0</v>
      </c>
    </row>
    <row r="778" spans="31:37" x14ac:dyDescent="0.25">
      <c r="AE778" s="43" t="s">
        <v>122</v>
      </c>
      <c r="AF778" s="43" t="s">
        <v>26</v>
      </c>
      <c r="AG778" s="43" t="s">
        <v>124</v>
      </c>
      <c r="AH778">
        <v>1</v>
      </c>
      <c r="AI778" s="43" t="s">
        <v>317</v>
      </c>
      <c r="AJ778" s="43" t="s">
        <v>268</v>
      </c>
      <c r="AK778">
        <v>0</v>
      </c>
    </row>
    <row r="779" spans="31:37" x14ac:dyDescent="0.25">
      <c r="AE779" s="43" t="s">
        <v>122</v>
      </c>
      <c r="AF779" s="43" t="s">
        <v>26</v>
      </c>
      <c r="AG779" s="43" t="s">
        <v>124</v>
      </c>
      <c r="AH779">
        <v>1</v>
      </c>
      <c r="AI779" s="43" t="s">
        <v>325</v>
      </c>
      <c r="AJ779" s="43" t="s">
        <v>308</v>
      </c>
      <c r="AK779">
        <v>0</v>
      </c>
    </row>
    <row r="780" spans="31:37" x14ac:dyDescent="0.25">
      <c r="AE780" s="43" t="s">
        <v>122</v>
      </c>
      <c r="AF780" s="43" t="s">
        <v>26</v>
      </c>
      <c r="AG780" s="43" t="s">
        <v>124</v>
      </c>
      <c r="AH780">
        <v>1</v>
      </c>
      <c r="AI780" s="43" t="s">
        <v>325</v>
      </c>
      <c r="AJ780" s="43" t="s">
        <v>309</v>
      </c>
      <c r="AK780">
        <v>0</v>
      </c>
    </row>
    <row r="781" spans="31:37" x14ac:dyDescent="0.25">
      <c r="AE781" s="43" t="s">
        <v>122</v>
      </c>
      <c r="AF781" s="43" t="s">
        <v>26</v>
      </c>
      <c r="AG781" s="43" t="s">
        <v>124</v>
      </c>
      <c r="AH781">
        <v>1</v>
      </c>
      <c r="AI781" s="43" t="s">
        <v>325</v>
      </c>
      <c r="AJ781" s="43" t="s">
        <v>268</v>
      </c>
      <c r="AK781">
        <v>0</v>
      </c>
    </row>
    <row r="782" spans="31:37" x14ac:dyDescent="0.25">
      <c r="AE782" s="43" t="s">
        <v>122</v>
      </c>
      <c r="AF782" s="43" t="s">
        <v>26</v>
      </c>
      <c r="AG782" s="43" t="s">
        <v>124</v>
      </c>
      <c r="AH782">
        <v>1</v>
      </c>
      <c r="AI782" s="43" t="s">
        <v>330</v>
      </c>
      <c r="AJ782" s="43" t="s">
        <v>308</v>
      </c>
      <c r="AK782">
        <v>3.1</v>
      </c>
    </row>
    <row r="783" spans="31:37" x14ac:dyDescent="0.25">
      <c r="AE783" s="43" t="s">
        <v>122</v>
      </c>
      <c r="AF783" s="43" t="s">
        <v>26</v>
      </c>
      <c r="AG783" s="43" t="s">
        <v>124</v>
      </c>
      <c r="AH783">
        <v>1</v>
      </c>
      <c r="AI783" s="43" t="s">
        <v>330</v>
      </c>
      <c r="AJ783" s="43" t="s">
        <v>309</v>
      </c>
      <c r="AK783">
        <v>7.55</v>
      </c>
    </row>
    <row r="784" spans="31:37" x14ac:dyDescent="0.25">
      <c r="AE784" s="43" t="s">
        <v>122</v>
      </c>
      <c r="AF784" s="43" t="s">
        <v>26</v>
      </c>
      <c r="AG784" s="43" t="s">
        <v>124</v>
      </c>
      <c r="AH784">
        <v>1</v>
      </c>
      <c r="AI784" s="43" t="s">
        <v>330</v>
      </c>
      <c r="AJ784" s="43" t="s">
        <v>268</v>
      </c>
      <c r="AK784">
        <v>10.65</v>
      </c>
    </row>
    <row r="785" spans="31:37" x14ac:dyDescent="0.25">
      <c r="AE785" s="43" t="s">
        <v>122</v>
      </c>
      <c r="AF785" s="43" t="s">
        <v>26</v>
      </c>
      <c r="AG785" s="43" t="s">
        <v>124</v>
      </c>
      <c r="AH785">
        <v>1</v>
      </c>
      <c r="AI785" s="43" t="s">
        <v>343</v>
      </c>
      <c r="AJ785" s="43" t="s">
        <v>308</v>
      </c>
      <c r="AK785">
        <v>0</v>
      </c>
    </row>
    <row r="786" spans="31:37" x14ac:dyDescent="0.25">
      <c r="AE786" s="43" t="s">
        <v>122</v>
      </c>
      <c r="AF786" s="43" t="s">
        <v>26</v>
      </c>
      <c r="AG786" s="43" t="s">
        <v>124</v>
      </c>
      <c r="AH786">
        <v>1</v>
      </c>
      <c r="AI786" s="43" t="s">
        <v>343</v>
      </c>
      <c r="AJ786" s="43" t="s">
        <v>309</v>
      </c>
      <c r="AK786">
        <v>0</v>
      </c>
    </row>
    <row r="787" spans="31:37" x14ac:dyDescent="0.25">
      <c r="AE787" s="43" t="s">
        <v>122</v>
      </c>
      <c r="AF787" s="43" t="s">
        <v>26</v>
      </c>
      <c r="AG787" s="43" t="s">
        <v>124</v>
      </c>
      <c r="AH787">
        <v>1</v>
      </c>
      <c r="AI787" s="43" t="s">
        <v>343</v>
      </c>
      <c r="AJ787" s="43" t="s">
        <v>268</v>
      </c>
      <c r="AK787">
        <v>0</v>
      </c>
    </row>
    <row r="788" spans="31:37" x14ac:dyDescent="0.25">
      <c r="AE788" s="43" t="s">
        <v>122</v>
      </c>
      <c r="AF788" s="43" t="s">
        <v>26</v>
      </c>
      <c r="AG788" s="43" t="s">
        <v>124</v>
      </c>
      <c r="AH788">
        <v>1</v>
      </c>
      <c r="AI788" s="43" t="s">
        <v>341</v>
      </c>
      <c r="AJ788" s="43" t="s">
        <v>308</v>
      </c>
      <c r="AK788">
        <v>3.1</v>
      </c>
    </row>
    <row r="789" spans="31:37" x14ac:dyDescent="0.25">
      <c r="AE789" s="43" t="s">
        <v>122</v>
      </c>
      <c r="AF789" s="43" t="s">
        <v>26</v>
      </c>
      <c r="AG789" s="43" t="s">
        <v>124</v>
      </c>
      <c r="AH789">
        <v>1</v>
      </c>
      <c r="AI789" s="43" t="s">
        <v>341</v>
      </c>
      <c r="AJ789" s="43" t="s">
        <v>309</v>
      </c>
      <c r="AK789">
        <v>7.55</v>
      </c>
    </row>
    <row r="790" spans="31:37" x14ac:dyDescent="0.25">
      <c r="AE790" s="43" t="s">
        <v>122</v>
      </c>
      <c r="AF790" s="43" t="s">
        <v>26</v>
      </c>
      <c r="AG790" s="43" t="s">
        <v>124</v>
      </c>
      <c r="AH790">
        <v>1</v>
      </c>
      <c r="AI790" s="43" t="s">
        <v>341</v>
      </c>
      <c r="AJ790" s="43" t="s">
        <v>268</v>
      </c>
      <c r="AK790">
        <v>10.65</v>
      </c>
    </row>
    <row r="791" spans="31:37" x14ac:dyDescent="0.25">
      <c r="AE791" s="43" t="s">
        <v>122</v>
      </c>
      <c r="AF791" s="43" t="s">
        <v>26</v>
      </c>
      <c r="AG791" s="43" t="s">
        <v>124</v>
      </c>
      <c r="AH791">
        <v>1</v>
      </c>
      <c r="AI791" s="43" t="s">
        <v>273</v>
      </c>
      <c r="AJ791" s="43" t="s">
        <v>308</v>
      </c>
      <c r="AK791">
        <v>0</v>
      </c>
    </row>
    <row r="792" spans="31:37" x14ac:dyDescent="0.25">
      <c r="AE792" s="43" t="s">
        <v>122</v>
      </c>
      <c r="AF792" s="43" t="s">
        <v>26</v>
      </c>
      <c r="AG792" s="43" t="s">
        <v>124</v>
      </c>
      <c r="AH792">
        <v>1</v>
      </c>
      <c r="AI792" s="43" t="s">
        <v>273</v>
      </c>
      <c r="AJ792" s="43" t="s">
        <v>309</v>
      </c>
      <c r="AK792">
        <v>0</v>
      </c>
    </row>
    <row r="793" spans="31:37" x14ac:dyDescent="0.25">
      <c r="AE793" s="43" t="s">
        <v>122</v>
      </c>
      <c r="AF793" s="43" t="s">
        <v>26</v>
      </c>
      <c r="AG793" s="43" t="s">
        <v>124</v>
      </c>
      <c r="AH793">
        <v>1</v>
      </c>
      <c r="AI793" s="43" t="s">
        <v>273</v>
      </c>
      <c r="AJ793" s="43" t="s">
        <v>268</v>
      </c>
      <c r="AK793">
        <v>0</v>
      </c>
    </row>
    <row r="794" spans="31:37" x14ac:dyDescent="0.25">
      <c r="AE794" s="43" t="s">
        <v>114</v>
      </c>
      <c r="AF794" s="43" t="s">
        <v>26</v>
      </c>
      <c r="AG794" s="43" t="s">
        <v>36</v>
      </c>
      <c r="AH794">
        <v>1</v>
      </c>
      <c r="AI794" s="43" t="s">
        <v>317</v>
      </c>
      <c r="AJ794" s="43" t="s">
        <v>308</v>
      </c>
      <c r="AK794">
        <v>0</v>
      </c>
    </row>
    <row r="795" spans="31:37" x14ac:dyDescent="0.25">
      <c r="AE795" s="43" t="s">
        <v>114</v>
      </c>
      <c r="AF795" s="43" t="s">
        <v>26</v>
      </c>
      <c r="AG795" s="43" t="s">
        <v>36</v>
      </c>
      <c r="AH795">
        <v>1</v>
      </c>
      <c r="AI795" s="43" t="s">
        <v>317</v>
      </c>
      <c r="AJ795" s="43" t="s">
        <v>309</v>
      </c>
      <c r="AK795">
        <v>0</v>
      </c>
    </row>
    <row r="796" spans="31:37" x14ac:dyDescent="0.25">
      <c r="AE796" s="43" t="s">
        <v>114</v>
      </c>
      <c r="AF796" s="43" t="s">
        <v>26</v>
      </c>
      <c r="AG796" s="43" t="s">
        <v>36</v>
      </c>
      <c r="AH796">
        <v>1</v>
      </c>
      <c r="AI796" s="43" t="s">
        <v>317</v>
      </c>
      <c r="AJ796" s="43" t="s">
        <v>268</v>
      </c>
      <c r="AK796">
        <v>0</v>
      </c>
    </row>
    <row r="797" spans="31:37" x14ac:dyDescent="0.25">
      <c r="AE797" s="43" t="s">
        <v>114</v>
      </c>
      <c r="AF797" s="43" t="s">
        <v>26</v>
      </c>
      <c r="AG797" s="43" t="s">
        <v>36</v>
      </c>
      <c r="AH797">
        <v>1</v>
      </c>
      <c r="AI797" s="43" t="s">
        <v>325</v>
      </c>
      <c r="AJ797" s="43" t="s">
        <v>308</v>
      </c>
      <c r="AK797">
        <v>0</v>
      </c>
    </row>
    <row r="798" spans="31:37" x14ac:dyDescent="0.25">
      <c r="AE798" s="43" t="s">
        <v>114</v>
      </c>
      <c r="AF798" s="43" t="s">
        <v>26</v>
      </c>
      <c r="AG798" s="43" t="s">
        <v>36</v>
      </c>
      <c r="AH798">
        <v>1</v>
      </c>
      <c r="AI798" s="43" t="s">
        <v>325</v>
      </c>
      <c r="AJ798" s="43" t="s">
        <v>309</v>
      </c>
      <c r="AK798">
        <v>0</v>
      </c>
    </row>
    <row r="799" spans="31:37" x14ac:dyDescent="0.25">
      <c r="AE799" s="43" t="s">
        <v>114</v>
      </c>
      <c r="AF799" s="43" t="s">
        <v>26</v>
      </c>
      <c r="AG799" s="43" t="s">
        <v>36</v>
      </c>
      <c r="AH799">
        <v>1</v>
      </c>
      <c r="AI799" s="43" t="s">
        <v>325</v>
      </c>
      <c r="AJ799" s="43" t="s">
        <v>268</v>
      </c>
      <c r="AK799">
        <v>0</v>
      </c>
    </row>
    <row r="800" spans="31:37" x14ac:dyDescent="0.25">
      <c r="AE800" s="43" t="s">
        <v>114</v>
      </c>
      <c r="AF800" s="43" t="s">
        <v>26</v>
      </c>
      <c r="AG800" s="43" t="s">
        <v>36</v>
      </c>
      <c r="AH800">
        <v>1</v>
      </c>
      <c r="AI800" s="43" t="s">
        <v>330</v>
      </c>
      <c r="AJ800" s="43" t="s">
        <v>308</v>
      </c>
      <c r="AK800">
        <v>0</v>
      </c>
    </row>
    <row r="801" spans="31:37" x14ac:dyDescent="0.25">
      <c r="AE801" s="43" t="s">
        <v>114</v>
      </c>
      <c r="AF801" s="43" t="s">
        <v>26</v>
      </c>
      <c r="AG801" s="43" t="s">
        <v>36</v>
      </c>
      <c r="AH801">
        <v>1</v>
      </c>
      <c r="AI801" s="43" t="s">
        <v>330</v>
      </c>
      <c r="AJ801" s="43" t="s">
        <v>309</v>
      </c>
      <c r="AK801">
        <v>0</v>
      </c>
    </row>
    <row r="802" spans="31:37" x14ac:dyDescent="0.25">
      <c r="AE802" s="43" t="s">
        <v>114</v>
      </c>
      <c r="AF802" s="43" t="s">
        <v>26</v>
      </c>
      <c r="AG802" s="43" t="s">
        <v>36</v>
      </c>
      <c r="AH802">
        <v>1</v>
      </c>
      <c r="AI802" s="43" t="s">
        <v>330</v>
      </c>
      <c r="AJ802" s="43" t="s">
        <v>268</v>
      </c>
      <c r="AK802">
        <v>0</v>
      </c>
    </row>
    <row r="803" spans="31:37" x14ac:dyDescent="0.25">
      <c r="AE803" s="43" t="s">
        <v>114</v>
      </c>
      <c r="AF803" s="43" t="s">
        <v>26</v>
      </c>
      <c r="AG803" s="43" t="s">
        <v>36</v>
      </c>
      <c r="AH803">
        <v>1</v>
      </c>
      <c r="AI803" s="43" t="s">
        <v>343</v>
      </c>
      <c r="AJ803" s="43" t="s">
        <v>308</v>
      </c>
      <c r="AK803">
        <v>3.4</v>
      </c>
    </row>
    <row r="804" spans="31:37" x14ac:dyDescent="0.25">
      <c r="AE804" s="43" t="s">
        <v>114</v>
      </c>
      <c r="AF804" s="43" t="s">
        <v>26</v>
      </c>
      <c r="AG804" s="43" t="s">
        <v>36</v>
      </c>
      <c r="AH804">
        <v>1</v>
      </c>
      <c r="AI804" s="43" t="s">
        <v>343</v>
      </c>
      <c r="AJ804" s="43" t="s">
        <v>309</v>
      </c>
      <c r="AK804">
        <v>7.1</v>
      </c>
    </row>
    <row r="805" spans="31:37" x14ac:dyDescent="0.25">
      <c r="AE805" s="43" t="s">
        <v>114</v>
      </c>
      <c r="AF805" s="43" t="s">
        <v>26</v>
      </c>
      <c r="AG805" s="43" t="s">
        <v>36</v>
      </c>
      <c r="AH805">
        <v>1</v>
      </c>
      <c r="AI805" s="43" t="s">
        <v>343</v>
      </c>
      <c r="AJ805" s="43" t="s">
        <v>268</v>
      </c>
      <c r="AK805">
        <v>10.5</v>
      </c>
    </row>
    <row r="806" spans="31:37" x14ac:dyDescent="0.25">
      <c r="AE806" s="43" t="s">
        <v>114</v>
      </c>
      <c r="AF806" s="43" t="s">
        <v>26</v>
      </c>
      <c r="AG806" s="43" t="s">
        <v>36</v>
      </c>
      <c r="AH806">
        <v>1</v>
      </c>
      <c r="AI806" s="43" t="s">
        <v>341</v>
      </c>
      <c r="AJ806" s="43" t="s">
        <v>308</v>
      </c>
      <c r="AK806">
        <v>3.4</v>
      </c>
    </row>
    <row r="807" spans="31:37" x14ac:dyDescent="0.25">
      <c r="AE807" s="43" t="s">
        <v>114</v>
      </c>
      <c r="AF807" s="43" t="s">
        <v>26</v>
      </c>
      <c r="AG807" s="43" t="s">
        <v>36</v>
      </c>
      <c r="AH807">
        <v>1</v>
      </c>
      <c r="AI807" s="43" t="s">
        <v>341</v>
      </c>
      <c r="AJ807" s="43" t="s">
        <v>309</v>
      </c>
      <c r="AK807">
        <v>7.1</v>
      </c>
    </row>
    <row r="808" spans="31:37" x14ac:dyDescent="0.25">
      <c r="AE808" s="43" t="s">
        <v>114</v>
      </c>
      <c r="AF808" s="43" t="s">
        <v>26</v>
      </c>
      <c r="AG808" s="43" t="s">
        <v>36</v>
      </c>
      <c r="AH808">
        <v>1</v>
      </c>
      <c r="AI808" s="43" t="s">
        <v>341</v>
      </c>
      <c r="AJ808" s="43" t="s">
        <v>268</v>
      </c>
      <c r="AK808">
        <v>10.5</v>
      </c>
    </row>
    <row r="809" spans="31:37" x14ac:dyDescent="0.25">
      <c r="AE809" s="43" t="s">
        <v>114</v>
      </c>
      <c r="AF809" s="43" t="s">
        <v>26</v>
      </c>
      <c r="AG809" s="43" t="s">
        <v>36</v>
      </c>
      <c r="AH809">
        <v>1</v>
      </c>
      <c r="AI809" s="43" t="s">
        <v>273</v>
      </c>
      <c r="AJ809" s="43" t="s">
        <v>308</v>
      </c>
      <c r="AK809">
        <v>0</v>
      </c>
    </row>
    <row r="810" spans="31:37" x14ac:dyDescent="0.25">
      <c r="AE810" s="43" t="s">
        <v>114</v>
      </c>
      <c r="AF810" s="43" t="s">
        <v>26</v>
      </c>
      <c r="AG810" s="43" t="s">
        <v>36</v>
      </c>
      <c r="AH810">
        <v>1</v>
      </c>
      <c r="AI810" s="43" t="s">
        <v>273</v>
      </c>
      <c r="AJ810" s="43" t="s">
        <v>309</v>
      </c>
      <c r="AK810">
        <v>0</v>
      </c>
    </row>
    <row r="811" spans="31:37" x14ac:dyDescent="0.25">
      <c r="AE811" s="43" t="s">
        <v>114</v>
      </c>
      <c r="AF811" s="43" t="s">
        <v>26</v>
      </c>
      <c r="AG811" s="43" t="s">
        <v>36</v>
      </c>
      <c r="AH811">
        <v>1</v>
      </c>
      <c r="AI811" s="43" t="s">
        <v>273</v>
      </c>
      <c r="AJ811" s="43" t="s">
        <v>268</v>
      </c>
      <c r="AK811">
        <v>0</v>
      </c>
    </row>
    <row r="812" spans="31:37" x14ac:dyDescent="0.25">
      <c r="AE812" s="43" t="s">
        <v>52</v>
      </c>
      <c r="AF812" s="43" t="s">
        <v>26</v>
      </c>
      <c r="AG812" s="43" t="s">
        <v>36</v>
      </c>
      <c r="AH812">
        <v>1</v>
      </c>
      <c r="AI812" s="43" t="s">
        <v>317</v>
      </c>
      <c r="AJ812" s="43" t="s">
        <v>308</v>
      </c>
      <c r="AK812">
        <v>0</v>
      </c>
    </row>
    <row r="813" spans="31:37" x14ac:dyDescent="0.25">
      <c r="AE813" s="43" t="s">
        <v>52</v>
      </c>
      <c r="AF813" s="43" t="s">
        <v>26</v>
      </c>
      <c r="AG813" s="43" t="s">
        <v>36</v>
      </c>
      <c r="AH813">
        <v>1</v>
      </c>
      <c r="AI813" s="43" t="s">
        <v>317</v>
      </c>
      <c r="AJ813" s="43" t="s">
        <v>309</v>
      </c>
      <c r="AK813">
        <v>0</v>
      </c>
    </row>
    <row r="814" spans="31:37" x14ac:dyDescent="0.25">
      <c r="AE814" s="43" t="s">
        <v>52</v>
      </c>
      <c r="AF814" s="43" t="s">
        <v>26</v>
      </c>
      <c r="AG814" s="43" t="s">
        <v>36</v>
      </c>
      <c r="AH814">
        <v>1</v>
      </c>
      <c r="AI814" s="43" t="s">
        <v>317</v>
      </c>
      <c r="AJ814" s="43" t="s">
        <v>268</v>
      </c>
      <c r="AK814">
        <v>0</v>
      </c>
    </row>
    <row r="815" spans="31:37" x14ac:dyDescent="0.25">
      <c r="AE815" s="43" t="s">
        <v>52</v>
      </c>
      <c r="AF815" s="43" t="s">
        <v>26</v>
      </c>
      <c r="AG815" s="43" t="s">
        <v>36</v>
      </c>
      <c r="AH815">
        <v>1</v>
      </c>
      <c r="AI815" s="43" t="s">
        <v>325</v>
      </c>
      <c r="AJ815" s="43" t="s">
        <v>308</v>
      </c>
      <c r="AK815">
        <v>0</v>
      </c>
    </row>
    <row r="816" spans="31:37" x14ac:dyDescent="0.25">
      <c r="AE816" s="43" t="s">
        <v>52</v>
      </c>
      <c r="AF816" s="43" t="s">
        <v>26</v>
      </c>
      <c r="AG816" s="43" t="s">
        <v>36</v>
      </c>
      <c r="AH816">
        <v>1</v>
      </c>
      <c r="AI816" s="43" t="s">
        <v>325</v>
      </c>
      <c r="AJ816" s="43" t="s">
        <v>309</v>
      </c>
      <c r="AK816">
        <v>0</v>
      </c>
    </row>
    <row r="817" spans="31:37" x14ac:dyDescent="0.25">
      <c r="AE817" s="43" t="s">
        <v>52</v>
      </c>
      <c r="AF817" s="43" t="s">
        <v>26</v>
      </c>
      <c r="AG817" s="43" t="s">
        <v>36</v>
      </c>
      <c r="AH817">
        <v>1</v>
      </c>
      <c r="AI817" s="43" t="s">
        <v>325</v>
      </c>
      <c r="AJ817" s="43" t="s">
        <v>268</v>
      </c>
      <c r="AK817">
        <v>0</v>
      </c>
    </row>
    <row r="818" spans="31:37" x14ac:dyDescent="0.25">
      <c r="AE818" s="43" t="s">
        <v>52</v>
      </c>
      <c r="AF818" s="43" t="s">
        <v>26</v>
      </c>
      <c r="AG818" s="43" t="s">
        <v>36</v>
      </c>
      <c r="AH818">
        <v>1</v>
      </c>
      <c r="AI818" s="43" t="s">
        <v>330</v>
      </c>
      <c r="AJ818" s="43" t="s">
        <v>308</v>
      </c>
      <c r="AK818">
        <v>0</v>
      </c>
    </row>
    <row r="819" spans="31:37" x14ac:dyDescent="0.25">
      <c r="AE819" s="43" t="s">
        <v>52</v>
      </c>
      <c r="AF819" s="43" t="s">
        <v>26</v>
      </c>
      <c r="AG819" s="43" t="s">
        <v>36</v>
      </c>
      <c r="AH819">
        <v>1</v>
      </c>
      <c r="AI819" s="43" t="s">
        <v>330</v>
      </c>
      <c r="AJ819" s="43" t="s">
        <v>309</v>
      </c>
      <c r="AK819">
        <v>0</v>
      </c>
    </row>
    <row r="820" spans="31:37" x14ac:dyDescent="0.25">
      <c r="AE820" s="43" t="s">
        <v>52</v>
      </c>
      <c r="AF820" s="43" t="s">
        <v>26</v>
      </c>
      <c r="AG820" s="43" t="s">
        <v>36</v>
      </c>
      <c r="AH820">
        <v>1</v>
      </c>
      <c r="AI820" s="43" t="s">
        <v>330</v>
      </c>
      <c r="AJ820" s="43" t="s">
        <v>268</v>
      </c>
      <c r="AK820">
        <v>0</v>
      </c>
    </row>
    <row r="821" spans="31:37" x14ac:dyDescent="0.25">
      <c r="AE821" s="43" t="s">
        <v>52</v>
      </c>
      <c r="AF821" s="43" t="s">
        <v>26</v>
      </c>
      <c r="AG821" s="43" t="s">
        <v>36</v>
      </c>
      <c r="AH821">
        <v>1</v>
      </c>
      <c r="AI821" s="43" t="s">
        <v>343</v>
      </c>
      <c r="AJ821" s="43" t="s">
        <v>308</v>
      </c>
      <c r="AK821">
        <v>3.2</v>
      </c>
    </row>
    <row r="822" spans="31:37" x14ac:dyDescent="0.25">
      <c r="AE822" s="43" t="s">
        <v>52</v>
      </c>
      <c r="AF822" s="43" t="s">
        <v>26</v>
      </c>
      <c r="AG822" s="43" t="s">
        <v>36</v>
      </c>
      <c r="AH822">
        <v>1</v>
      </c>
      <c r="AI822" s="43" t="s">
        <v>343</v>
      </c>
      <c r="AJ822" s="43" t="s">
        <v>309</v>
      </c>
      <c r="AK822">
        <v>6.9</v>
      </c>
    </row>
    <row r="823" spans="31:37" x14ac:dyDescent="0.25">
      <c r="AE823" s="43" t="s">
        <v>52</v>
      </c>
      <c r="AF823" s="43" t="s">
        <v>26</v>
      </c>
      <c r="AG823" s="43" t="s">
        <v>36</v>
      </c>
      <c r="AH823">
        <v>1</v>
      </c>
      <c r="AI823" s="43" t="s">
        <v>343</v>
      </c>
      <c r="AJ823" s="43" t="s">
        <v>268</v>
      </c>
      <c r="AK823">
        <v>10.1</v>
      </c>
    </row>
    <row r="824" spans="31:37" x14ac:dyDescent="0.25">
      <c r="AE824" s="43" t="s">
        <v>52</v>
      </c>
      <c r="AF824" s="43" t="s">
        <v>26</v>
      </c>
      <c r="AG824" s="43" t="s">
        <v>36</v>
      </c>
      <c r="AH824">
        <v>1</v>
      </c>
      <c r="AI824" s="43" t="s">
        <v>341</v>
      </c>
      <c r="AJ824" s="43" t="s">
        <v>308</v>
      </c>
      <c r="AK824">
        <v>3.2</v>
      </c>
    </row>
    <row r="825" spans="31:37" x14ac:dyDescent="0.25">
      <c r="AE825" s="43" t="s">
        <v>52</v>
      </c>
      <c r="AF825" s="43" t="s">
        <v>26</v>
      </c>
      <c r="AG825" s="43" t="s">
        <v>36</v>
      </c>
      <c r="AH825">
        <v>1</v>
      </c>
      <c r="AI825" s="43" t="s">
        <v>341</v>
      </c>
      <c r="AJ825" s="43" t="s">
        <v>309</v>
      </c>
      <c r="AK825">
        <v>6.9</v>
      </c>
    </row>
    <row r="826" spans="31:37" x14ac:dyDescent="0.25">
      <c r="AE826" s="43" t="s">
        <v>52</v>
      </c>
      <c r="AF826" s="43" t="s">
        <v>26</v>
      </c>
      <c r="AG826" s="43" t="s">
        <v>36</v>
      </c>
      <c r="AH826">
        <v>1</v>
      </c>
      <c r="AI826" s="43" t="s">
        <v>341</v>
      </c>
      <c r="AJ826" s="43" t="s">
        <v>268</v>
      </c>
      <c r="AK826">
        <v>10.1</v>
      </c>
    </row>
    <row r="827" spans="31:37" x14ac:dyDescent="0.25">
      <c r="AE827" s="43" t="s">
        <v>52</v>
      </c>
      <c r="AF827" s="43" t="s">
        <v>26</v>
      </c>
      <c r="AG827" s="43" t="s">
        <v>36</v>
      </c>
      <c r="AH827">
        <v>1</v>
      </c>
      <c r="AI827" s="43" t="s">
        <v>273</v>
      </c>
      <c r="AJ827" s="43" t="s">
        <v>308</v>
      </c>
      <c r="AK827">
        <v>0</v>
      </c>
    </row>
    <row r="828" spans="31:37" x14ac:dyDescent="0.25">
      <c r="AE828" s="43" t="s">
        <v>52</v>
      </c>
      <c r="AF828" s="43" t="s">
        <v>26</v>
      </c>
      <c r="AG828" s="43" t="s">
        <v>36</v>
      </c>
      <c r="AH828">
        <v>1</v>
      </c>
      <c r="AI828" s="43" t="s">
        <v>273</v>
      </c>
      <c r="AJ828" s="43" t="s">
        <v>309</v>
      </c>
      <c r="AK828">
        <v>0</v>
      </c>
    </row>
    <row r="829" spans="31:37" x14ac:dyDescent="0.25">
      <c r="AE829" s="43" t="s">
        <v>52</v>
      </c>
      <c r="AF829" s="43" t="s">
        <v>26</v>
      </c>
      <c r="AG829" s="43" t="s">
        <v>36</v>
      </c>
      <c r="AH829">
        <v>1</v>
      </c>
      <c r="AI829" s="43" t="s">
        <v>273</v>
      </c>
      <c r="AJ829" s="43" t="s">
        <v>268</v>
      </c>
      <c r="AK829">
        <v>0</v>
      </c>
    </row>
  </sheetData>
  <mergeCells count="2">
    <mergeCell ref="Y2:Y7"/>
    <mergeCell ref="Y8:Y13"/>
  </mergeCells>
  <conditionalFormatting sqref="A2:A47">
    <cfRule type="expression" dxfId="594" priority="1">
      <formula>IF($B2="junior",$T2=MAX(_xlfn._xlws.FILTER($T$2:$T$47,$B$2:$B$47="junior")),$T2=MAX(_xlfn._xlws.FILTER($T$2:$T$47,$B$2:$B$47="senior")))</formula>
    </cfRule>
    <cfRule type="expression" dxfId="593" priority="2">
      <formula>IF($B2="junior",$T2=LARGE(_xlfn._xlws.FILTER($T$2:$T$47,$B$2:$B$47="junior"),2),$T2=LARGE(_xlfn._xlws.FILTER($T$2:$T$47,$B$2:$B$47="senior"),2))</formula>
    </cfRule>
    <cfRule type="expression" dxfId="592" priority="3">
      <formula>IF($B2="junior",$T2=LARGE(_xlfn._xlws.FILTER($T$2:$T$47,$B$2:$B$47="junior"),3),$T2=LARGE(_xlfn._xlws.FILTER($T$2:$T$47,$B$2:$B$47="senior"),3))</formula>
    </cfRule>
    <cfRule type="expression" dxfId="591" priority="4">
      <formula>IF($B2="junior",$R2=MAX(_xlfn._xlws.FILTER($R$2:$R$47,$B$2:$B$47="junior")),$R2=MAX(_xlfn._xlws.FILTER($R$2:$R$47,$B$2:$B$47="senior")))</formula>
    </cfRule>
    <cfRule type="expression" dxfId="590" priority="5">
      <formula>IF($B2="junior",$S2=MAX(_xlfn._xlws.FILTER($S$2:$S$47,$B$2:$B$47="junior")),$S2=MAX(_xlfn._xlws.FILTER($S$2:$S$47,$B$2:$B$47="senior")))</formula>
    </cfRule>
  </conditionalFormatting>
  <conditionalFormatting sqref="F2:F47 I2:I47 L2:L47 O2:O47 U2:U47">
    <cfRule type="expression" dxfId="589" priority="11">
      <formula>IF($B2="junior",F2&gt;=($AA$8+$AB$8),F2&gt;=($AA$2+$AB$2))</formula>
    </cfRule>
  </conditionalFormatting>
  <conditionalFormatting sqref="F2:F47 I2:I47 L2:L47 O2:O47">
    <cfRule type="expression" dxfId="588" priority="39">
      <formula>AND(AND($B2="junior",F2&lt;2.6),F2&gt;0)</formula>
    </cfRule>
    <cfRule type="expression" dxfId="587" priority="41">
      <formula>AND(AND($B2="senior",F2&lt;2.9),F2&gt;0)</formula>
    </cfRule>
  </conditionalFormatting>
  <conditionalFormatting sqref="F2:W47">
    <cfRule type="cellIs" dxfId="586" priority="52" operator="equal">
      <formula>0</formula>
    </cfRule>
  </conditionalFormatting>
  <conditionalFormatting sqref="H2:H47 K2:K47 N2:N47 Q2:Q47 W2:W47">
    <cfRule type="expression" dxfId="585" priority="14">
      <formula>IF($B2="junior",H2&gt;=($AA$10+$AB$10),H2&gt;=($AA$4+$AB$4))</formula>
    </cfRule>
  </conditionalFormatting>
  <conditionalFormatting sqref="H2:H47 K2:K47 N2:N47 Q2:Q47">
    <cfRule type="expression" dxfId="584" priority="9">
      <formula>IF($B2="junior",H2&gt;=$AC$10,H2&gt;=$AC$4)</formula>
    </cfRule>
  </conditionalFormatting>
  <conditionalFormatting sqref="R2:R47">
    <cfRule type="expression" dxfId="583" priority="10">
      <formula>IF($B2="junior",R2&gt;=($AA$11+$AB$11),R2&gt;=($AA$5+$AB$5))</formula>
    </cfRule>
  </conditionalFormatting>
  <conditionalFormatting sqref="S2:S47">
    <cfRule type="expression" dxfId="582" priority="24">
      <formula>IF($B2="junior",S2&gt;=$AA$12+$AB$12,S2&gt;=$AA$6+$AB$6)</formula>
    </cfRule>
  </conditionalFormatting>
  <conditionalFormatting sqref="T2:T47">
    <cfRule type="expression" dxfId="581" priority="8">
      <formula>IF($B2="junior",T2&gt;=$AC$13,T2&gt;=$AC$7)</formula>
    </cfRule>
    <cfRule type="expression" dxfId="580" priority="18">
      <formula>IF($B2="junior",T2&gt;=($AA$13+$AB$13),T2&gt;=($AA$7+$AB$7))</formula>
    </cfRule>
  </conditionalFormatting>
  <conditionalFormatting sqref="V2:V47">
    <cfRule type="expression" dxfId="579" priority="7">
      <formula>IF($B2="junior",V2&gt;=$AA$9+$AB$9,V2&gt;=$AA$3+$AB$3)</formula>
    </cfRule>
  </conditionalFormatting>
  <pageMargins left="0.7" right="0.7" top="0.75" bottom="0.75" header="0.3" footer="0.3"/>
  <drawing r:id="rId2"/>
  <tableParts count="3">
    <tablePart r:id="rId3"/>
    <tablePart r:id="rId4"/>
    <tablePart r:id="rId5"/>
  </tablePart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FA210-7223-194C-8078-5CFFCA13D484}">
  <sheetPr codeName="Arkusz7">
    <tabColor theme="5" tint="0.39997558519241921"/>
  </sheetPr>
  <dimension ref="A1:AL775"/>
  <sheetViews>
    <sheetView topLeftCell="E38" zoomScale="75" zoomScaleNormal="75" workbookViewId="0">
      <selection activeCell="Z27" sqref="Z27"/>
    </sheetView>
  </sheetViews>
  <sheetFormatPr defaultColWidth="11" defaultRowHeight="15.75" x14ac:dyDescent="0.25"/>
  <cols>
    <col min="1" max="1" width="23.125" bestFit="1" customWidth="1"/>
    <col min="2" max="3" width="20" style="2" bestFit="1" customWidth="1"/>
    <col min="4" max="4" width="22" customWidth="1"/>
    <col min="5" max="5" width="27.125" style="3" bestFit="1" customWidth="1"/>
    <col min="6" max="6" width="25.125" style="5" bestFit="1" customWidth="1"/>
    <col min="7" max="7" width="24.625" style="8" bestFit="1" customWidth="1"/>
    <col min="8" max="8" width="29.25" style="8" bestFit="1" customWidth="1"/>
    <col min="9" max="9" width="22" style="5" bestFit="1" customWidth="1"/>
    <col min="10" max="10" width="21.625" style="8" bestFit="1" customWidth="1"/>
    <col min="11" max="11" width="8" style="8" customWidth="1"/>
    <col min="12" max="12" width="8" style="5" customWidth="1"/>
    <col min="13" max="14" width="8" style="8" customWidth="1"/>
    <col min="15" max="15" width="8" style="5" customWidth="1"/>
    <col min="16" max="16" width="8" style="8" customWidth="1"/>
    <col min="17" max="17" width="10.375" style="8" customWidth="1"/>
    <col min="18" max="23" width="8" style="3" customWidth="1"/>
    <col min="25" max="25" width="13" bestFit="1" customWidth="1"/>
    <col min="26" max="26" width="17.125" bestFit="1" customWidth="1"/>
    <col min="27" max="27" width="14" bestFit="1" customWidth="1"/>
    <col min="28" max="28" width="8.125" bestFit="1" customWidth="1"/>
    <col min="34" max="34" width="21.25" customWidth="1"/>
    <col min="35" max="35" width="6" customWidth="1"/>
  </cols>
  <sheetData>
    <row r="1" spans="1:38" s="2" customFormat="1" x14ac:dyDescent="0.25">
      <c r="A1" s="2" t="s">
        <v>1</v>
      </c>
      <c r="B1" s="2" t="s">
        <v>2</v>
      </c>
      <c r="C1" s="2" t="s">
        <v>4</v>
      </c>
      <c r="D1" s="2" t="s">
        <v>5</v>
      </c>
      <c r="E1" s="2" t="s">
        <v>228</v>
      </c>
      <c r="F1" s="2" t="s">
        <v>157</v>
      </c>
      <c r="G1" s="2" t="s">
        <v>158</v>
      </c>
      <c r="H1" s="2" t="s">
        <v>159</v>
      </c>
      <c r="I1" s="2" t="s">
        <v>160</v>
      </c>
      <c r="J1" s="2" t="s">
        <v>161</v>
      </c>
      <c r="K1" s="2" t="s">
        <v>162</v>
      </c>
      <c r="L1" s="2" t="s">
        <v>163</v>
      </c>
      <c r="M1" s="2" t="s">
        <v>164</v>
      </c>
      <c r="N1" s="2" t="s">
        <v>165</v>
      </c>
      <c r="O1" s="2" t="s">
        <v>166</v>
      </c>
      <c r="P1" s="2" t="s">
        <v>167</v>
      </c>
      <c r="Q1" s="2" t="s">
        <v>168</v>
      </c>
      <c r="R1" s="2" t="s">
        <v>219</v>
      </c>
      <c r="S1" s="2" t="s">
        <v>220</v>
      </c>
      <c r="T1" s="2" t="s">
        <v>221</v>
      </c>
      <c r="U1" s="2" t="s">
        <v>235</v>
      </c>
      <c r="V1" s="2" t="s">
        <v>236</v>
      </c>
      <c r="W1" s="2" t="s">
        <v>237</v>
      </c>
      <c r="AA1" s="20" t="s">
        <v>273</v>
      </c>
      <c r="AB1" s="20" t="s">
        <v>272</v>
      </c>
      <c r="AC1" s="20" t="s">
        <v>274</v>
      </c>
      <c r="AE1" t="s">
        <v>1</v>
      </c>
      <c r="AF1" t="s">
        <v>2</v>
      </c>
      <c r="AG1" t="s">
        <v>4</v>
      </c>
      <c r="AH1" t="s">
        <v>5</v>
      </c>
      <c r="AI1" t="s">
        <v>228</v>
      </c>
      <c r="AJ1" t="s">
        <v>345</v>
      </c>
      <c r="AK1" t="s">
        <v>266</v>
      </c>
      <c r="AL1" t="s">
        <v>307</v>
      </c>
    </row>
    <row r="2" spans="1:38" x14ac:dyDescent="0.25">
      <c r="A2" t="s">
        <v>92</v>
      </c>
      <c r="B2" s="2" t="s">
        <v>60</v>
      </c>
      <c r="C2" s="2" t="s">
        <v>93</v>
      </c>
      <c r="D2" t="s">
        <v>39</v>
      </c>
      <c r="E2" s="9">
        <f>COUNTIF(PH[[#This Row],[bydgoszcz_PH_Total_Score]],"&gt;0")+COUNTIF(PH[[#This Row],[zabrze_PH_Total_Score]],"&gt;0")+COUNTIF(PH[[#This Row],[cracow_PH_Total_Score]],"&gt;0")+COUNTIF(PH[[#This Row],[gdansk_PH_Total_Score]],"&gt;0")</f>
        <v>3</v>
      </c>
      <c r="F2" s="4">
        <v>4</v>
      </c>
      <c r="G2" s="7">
        <v>8.65</v>
      </c>
      <c r="H2" s="7">
        <v>12.65</v>
      </c>
      <c r="I2" s="4">
        <v>3.7</v>
      </c>
      <c r="J2" s="7">
        <v>8.6</v>
      </c>
      <c r="K2" s="7">
        <v>12.3</v>
      </c>
      <c r="L2" s="4">
        <v>3.7</v>
      </c>
      <c r="M2" s="7">
        <v>8.85</v>
      </c>
      <c r="N2" s="7">
        <v>12.55</v>
      </c>
      <c r="O2" s="4">
        <v>0</v>
      </c>
      <c r="P2" s="7">
        <v>0</v>
      </c>
      <c r="Q2" s="7">
        <v>0</v>
      </c>
      <c r="R2" s="4">
        <f>LARGE(CHOOSE({1;2;3;4},F2,I2,L2,O2),1)+LARGE(CHOOSE({1;2;3;4},F2,I2,L2,O2),2)+LARGE(CHOOSE({1;2;3;4},F2,I2,L2,O2),3)</f>
        <v>11.4</v>
      </c>
      <c r="S2" s="7">
        <f>LARGE(CHOOSE({1;2;3;4},G2,J2,M2,P2),1)+LARGE(CHOOSE({1;2;3;4},G2,J2,M2,P2),2)+LARGE(CHOOSE({1;2;3;4},G2,J2,M2,P2),3)</f>
        <v>26.1</v>
      </c>
      <c r="T2" s="7">
        <f>LARGE(CHOOSE({1;2;3;4},H2,K2,N2,Q2),1)+LARGE(CHOOSE({1;2;3;4},H2,K2,N2,Q2),2)+LARGE(CHOOSE({1;2;3;4},H2,K2,N2,Q2),3)</f>
        <v>37.5</v>
      </c>
      <c r="U2" s="4" cm="1">
        <f t="array" ref="U2">IF(PH[[#This Row],[Number_of_Competition]:[Number_of_Competition]]&gt;=3,(LARGE(CHOOSE({1;2;3;4},F2,I2,L2,O2),1)+LARGE(CHOOSE({1;2;3;4},F2,I2,L2,O2),2)+LARGE(CHOOSE({1;2;3;4},F2,I2,L2,O2),3))/3,0)</f>
        <v>3.8000000000000003</v>
      </c>
      <c r="V2" s="7" cm="1">
        <f t="array" ref="V2">IF(PH[[#This Row],[Number_of_Competition]:[Number_of_Competition]]&gt;=3,(LARGE(CHOOSE({1;2;3;4},G2,J2,M2,P2),1)+LARGE(CHOOSE({1;2;3;4},G2,J2,M2,P2),2)+LARGE(CHOOSE({1;2;3;4},G2,J2,M2,P2),3))/3,0)</f>
        <v>8.7000000000000011</v>
      </c>
      <c r="W2" s="7" cm="1">
        <f t="array" ref="W2">IF(PH[[#This Row],[Number_of_Competition]:[Number_of_Competition]]&gt;=3,(LARGE(CHOOSE({1;2;3;4},H2,K2,N2,Q2),1)+LARGE(CHOOSE({1;2;3;4},H2,K2,N2,Q2),2)+LARGE(CHOOSE({1;2;3;4},H2,K2,N2,Q2),3))/3,0)</f>
        <v>12.5</v>
      </c>
      <c r="Y2" s="39" t="s">
        <v>60</v>
      </c>
      <c r="Z2" s="20" t="s">
        <v>269</v>
      </c>
      <c r="AA2" s="21" cm="1">
        <f t="array" ref="AA2">SUM(_xlfn._xlws.FILTER(PH[bydgoszcz_PH_Dscore],PH[Category]="senior"),_xlfn._xlws.FILTER(PH[zabrze_PH_Dscore],PH[Category]="senior"),_xlfn._xlws.FILTER(PH[cracow_PH_Dscore],PH[Category]="senior"),_xlfn._xlws.FILTER(PH[gdansk_PH_Dscore],PH[Category]="senior"))/(COUNTIFS(PH[bydgoszcz_PH_Dscore],"&gt;0",PH[Category],"senior")+COUNTIFS(PH[zabrze_PH_Dscore],"&gt;0",PH[Category],"senior")+COUNTIFS(PH[cracow_PH_Dscore],"&gt;0",PH[Category],"senior")+COUNTIFS(PH[gdansk_PH_Dscore],"&gt;0",PH[Category],"senior"))</f>
        <v>3.6766666666666663</v>
      </c>
      <c r="AB2" s="21" cm="1">
        <f t="array" ref="AB2">_xlfn.STDEV.S(_xlfn._xlws.FILTER(PH[bydgoszcz_PH_Dscore],(PH[Category]="senior")*(PH[bydgoszcz_PH_Dscore])&gt;0),_xlfn._xlws.FILTER(PH[zabrze_PH_Dscore],(PH[Category]="senior")*(PH[zabrze_PH_Dscore])&gt;0),_xlfn._xlws.FILTER(PH[cracow_PH_Dscore],(PH[Category]="senior")*(PH[cracow_PH_Dscore])&gt;0),_xlfn._xlws.FILTER(PH[gdansk_PH_Dscore],(PH[Category]="senior")*(PH[gdansk_PH_Dscore])&gt;0))</f>
        <v>0.66060236165638186</v>
      </c>
      <c r="AC2" s="21" cm="1">
        <f t="array" ref="AC2">MAX(_xlfn._xlws.FILTER(PH[bydgoszcz_PH_Dscore],PH[Category]="senior"),_xlfn._xlws.FILTER(PH[zabrze_PH_Dscore],PH[Category]="senior"),_xlfn._xlws.FILTER(PH[cracow_PH_Dscore],PH[Category]="senior"),_xlfn._xlws.FILTER(PH[gdansk_PH_Dscore],PH[Category]="senior"))</f>
        <v>5.2</v>
      </c>
      <c r="AE2" s="43" t="s">
        <v>92</v>
      </c>
      <c r="AF2" s="43" t="s">
        <v>60</v>
      </c>
      <c r="AG2" s="43" t="s">
        <v>93</v>
      </c>
      <c r="AH2" s="43" t="s">
        <v>39</v>
      </c>
      <c r="AI2">
        <v>3</v>
      </c>
      <c r="AJ2" s="43" t="s">
        <v>317</v>
      </c>
      <c r="AK2" s="43" t="s">
        <v>308</v>
      </c>
      <c r="AL2">
        <v>4</v>
      </c>
    </row>
    <row r="3" spans="1:38" x14ac:dyDescent="0.25">
      <c r="A3" t="s">
        <v>59</v>
      </c>
      <c r="B3" s="2" t="s">
        <v>60</v>
      </c>
      <c r="C3" s="2" t="s">
        <v>61</v>
      </c>
      <c r="D3" t="s">
        <v>62</v>
      </c>
      <c r="E3" s="9">
        <f>COUNTIF(PH[[#This Row],[bydgoszcz_PH_Total_Score]],"&gt;0")+COUNTIF(PH[[#This Row],[zabrze_PH_Total_Score]],"&gt;0")+COUNTIF(PH[[#This Row],[cracow_PH_Total_Score]],"&gt;0")+COUNTIF(PH[[#This Row],[gdansk_PH_Total_Score]],"&gt;0")</f>
        <v>3</v>
      </c>
      <c r="F3" s="4">
        <v>0</v>
      </c>
      <c r="G3" s="7">
        <v>0</v>
      </c>
      <c r="H3" s="7">
        <v>0</v>
      </c>
      <c r="I3" s="4">
        <v>4.9000000000000004</v>
      </c>
      <c r="J3" s="7">
        <v>7.4</v>
      </c>
      <c r="K3" s="7">
        <v>12.3</v>
      </c>
      <c r="L3" s="4">
        <v>5.2</v>
      </c>
      <c r="M3" s="7">
        <v>7.7</v>
      </c>
      <c r="N3" s="7">
        <v>12.9</v>
      </c>
      <c r="O3" s="4">
        <v>4.9000000000000004</v>
      </c>
      <c r="P3" s="7">
        <v>6</v>
      </c>
      <c r="Q3" s="7">
        <v>10.9</v>
      </c>
      <c r="R3" s="4">
        <f>LARGE(CHOOSE({1;2;3;4},F3,I3,L3,O3),1)+LARGE(CHOOSE({1;2;3;4},F3,I3,L3,O3),2)+LARGE(CHOOSE({1;2;3;4},F3,I3,L3,O3),3)</f>
        <v>15.000000000000002</v>
      </c>
      <c r="S3" s="7">
        <f>LARGE(CHOOSE({1;2;3;4},G3,J3,M3,P3),1)+LARGE(CHOOSE({1;2;3;4},G3,J3,M3,P3),2)+LARGE(CHOOSE({1;2;3;4},G3,J3,M3,P3),3)</f>
        <v>21.1</v>
      </c>
      <c r="T3" s="7">
        <f>LARGE(CHOOSE({1;2;3;4},H3,K3,N3,Q3),1)+LARGE(CHOOSE({1;2;3;4},H3,K3,N3,Q3),2)+LARGE(CHOOSE({1;2;3;4},H3,K3,N3,Q3),3)</f>
        <v>36.1</v>
      </c>
      <c r="U3" s="4" cm="1">
        <f t="array" ref="U3">IF(PH[[#This Row],[Number_of_Competition]:[Number_of_Competition]]&gt;=3,(LARGE(CHOOSE({1;2;3;4},F3,I3,L3,O3),1)+LARGE(CHOOSE({1;2;3;4},F3,I3,L3,O3),2)+LARGE(CHOOSE({1;2;3;4},F3,I3,L3,O3),3))/3,0)</f>
        <v>5.0000000000000009</v>
      </c>
      <c r="V3" s="7" cm="1">
        <f t="array" ref="V3">IF(PH[[#This Row],[Number_of_Competition]:[Number_of_Competition]]&gt;=3,(LARGE(CHOOSE({1;2;3;4},G3,J3,M3,P3),1)+LARGE(CHOOSE({1;2;3;4},G3,J3,M3,P3),2)+LARGE(CHOOSE({1;2;3;4},G3,J3,M3,P3),3))/3,0)</f>
        <v>7.0333333333333341</v>
      </c>
      <c r="W3" s="7" cm="1">
        <f t="array" ref="W3">IF(PH[[#This Row],[Number_of_Competition]:[Number_of_Competition]]&gt;=3,(LARGE(CHOOSE({1;2;3;4},H3,K3,N3,Q3),1)+LARGE(CHOOSE({1;2;3;4},H3,K3,N3,Q3),2)+LARGE(CHOOSE({1;2;3;4},H3,K3,N3,Q3),3))/3,0)</f>
        <v>12.033333333333333</v>
      </c>
      <c r="Y3" s="40"/>
      <c r="Z3" s="20" t="s">
        <v>267</v>
      </c>
      <c r="AA3" s="22" cm="1">
        <f t="array" ref="AA3">SUM(_xlfn._xlws.FILTER(PH[bydgoszcz_PH_Escore],PH[Category]="senior"),_xlfn._xlws.FILTER(PH[zabrze_PH_Escore],PH[Category]="senior"),_xlfn._xlws.FILTER(PH[cracow_PH_Escore],PH[Category]="senior"),_xlfn._xlws.FILTER(PH[gdansk_PH_Escore],PH[Category]="senior"))/(COUNTIFS(PH[bydgoszcz_PH_Escore],"&gt;0",PH[Category],"senior")+COUNTIFS(PH[zabrze_PH_Escore],"&gt;0",PH[Category],"senior")+COUNTIFS(PH[cracow_PH_Escore],"&gt;0",PH[Category],"senior")+COUNTIFS(PH[gdansk_PH_Escore],"&gt;0",PH[Category],"senior"))</f>
        <v>6.7406779661016945</v>
      </c>
      <c r="AB3" s="22" cm="1">
        <f t="array" ref="AB3">_xlfn.STDEV.S(_xlfn._xlws.FILTER(PH[bydgoszcz_PH_Escore],(PH[Category]="senior")*(PH[bydgoszcz_PH_Escore])&gt;0),_xlfn._xlws.FILTER(PH[zabrze_PH_Escore],(PH[Category]="senior")*(PH[zabrze_PH_Escore])&gt;0),_xlfn._xlws.FILTER(PH[cracow_PH_Escore],(PH[Category]="senior")*(PH[cracow_PH_Escore])&gt;0),_xlfn._xlws.FILTER(PH[gdansk_PH_Escore],(PH[Category]="senior")*(PH[gdansk_PH_Escore])&gt;0))</f>
        <v>1.5524306463567139</v>
      </c>
      <c r="AC3" s="22" cm="1">
        <f t="array" ref="AC3">MAX(_xlfn._xlws.FILTER(PH[bydgoszcz_PH_Escore],PH[Category]="senior"),_xlfn._xlws.FILTER(PH[zabrze_PH_Escore],PH[Category]="senior"),_xlfn._xlws.FILTER(PH[cracow_PH_Escore],PH[Category]="senior"),_xlfn._xlws.FILTER(PH[gdansk_PH_Escore],PH[Category]="senior"))</f>
        <v>8.85</v>
      </c>
      <c r="AE3" s="43" t="s">
        <v>92</v>
      </c>
      <c r="AF3" s="43" t="s">
        <v>60</v>
      </c>
      <c r="AG3" s="43" t="s">
        <v>93</v>
      </c>
      <c r="AH3" s="43" t="s">
        <v>39</v>
      </c>
      <c r="AI3">
        <v>3</v>
      </c>
      <c r="AJ3" s="43" t="s">
        <v>317</v>
      </c>
      <c r="AK3" s="43" t="s">
        <v>309</v>
      </c>
      <c r="AL3">
        <v>8.65</v>
      </c>
    </row>
    <row r="4" spans="1:38" x14ac:dyDescent="0.25">
      <c r="A4" t="s">
        <v>86</v>
      </c>
      <c r="B4" s="2" t="s">
        <v>60</v>
      </c>
      <c r="C4" s="2" t="s">
        <v>87</v>
      </c>
      <c r="D4" t="s">
        <v>72</v>
      </c>
      <c r="E4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4" s="4">
        <v>3.8</v>
      </c>
      <c r="G4" s="7">
        <v>7.1</v>
      </c>
      <c r="H4" s="7">
        <v>10.9</v>
      </c>
      <c r="I4" s="4">
        <v>4</v>
      </c>
      <c r="J4" s="7">
        <v>7.8</v>
      </c>
      <c r="K4" s="7">
        <v>11.8</v>
      </c>
      <c r="L4" s="4">
        <v>4.2</v>
      </c>
      <c r="M4" s="7">
        <v>8</v>
      </c>
      <c r="N4" s="7">
        <v>12.2</v>
      </c>
      <c r="O4" s="4">
        <v>3.8</v>
      </c>
      <c r="P4" s="7">
        <v>7.6</v>
      </c>
      <c r="Q4" s="7">
        <v>11.4</v>
      </c>
      <c r="R4" s="4">
        <f>LARGE(CHOOSE({1;2;3;4},F4,I4,L4,O4),1)+LARGE(CHOOSE({1;2;3;4},F4,I4,L4,O4),2)+LARGE(CHOOSE({1;2;3;4},F4,I4,L4,O4),3)</f>
        <v>12</v>
      </c>
      <c r="S4" s="7">
        <f>LARGE(CHOOSE({1;2;3;4},G4,J4,M4,P4),1)+LARGE(CHOOSE({1;2;3;4},G4,J4,M4,P4),2)+LARGE(CHOOSE({1;2;3;4},G4,J4,M4,P4),3)</f>
        <v>23.4</v>
      </c>
      <c r="T4" s="7">
        <f>LARGE(CHOOSE({1;2;3;4},H4,K4,N4,Q4),1)+LARGE(CHOOSE({1;2;3;4},H4,K4,N4,Q4),2)+LARGE(CHOOSE({1;2;3;4},H4,K4,N4,Q4),3)</f>
        <v>35.4</v>
      </c>
      <c r="U4" s="4" cm="1">
        <f t="array" ref="U4">IF(PH[[#This Row],[Number_of_Competition]:[Number_of_Competition]]&gt;=3,(LARGE(CHOOSE({1;2;3;4},F4,I4,L4,O4),1)+LARGE(CHOOSE({1;2;3;4},F4,I4,L4,O4),2)+LARGE(CHOOSE({1;2;3;4},F4,I4,L4,O4),3))/3,0)</f>
        <v>4</v>
      </c>
      <c r="V4" s="7" cm="1">
        <f t="array" ref="V4">IF(PH[[#This Row],[Number_of_Competition]:[Number_of_Competition]]&gt;=3,(LARGE(CHOOSE({1;2;3;4},G4,J4,M4,P4),1)+LARGE(CHOOSE({1;2;3;4},G4,J4,M4,P4),2)+LARGE(CHOOSE({1;2;3;4},G4,J4,M4,P4),3))/3,0)</f>
        <v>7.8</v>
      </c>
      <c r="W4" s="7" cm="1">
        <f t="array" ref="W4">IF(PH[[#This Row],[Number_of_Competition]:[Number_of_Competition]]&gt;=3,(LARGE(CHOOSE({1;2;3;4},H4,K4,N4,Q4),1)+LARGE(CHOOSE({1;2;3;4},H4,K4,N4,Q4),2)+LARGE(CHOOSE({1;2;3;4},H4,K4,N4,Q4),3))/3,0)</f>
        <v>11.799999999999999</v>
      </c>
      <c r="Y4" s="40"/>
      <c r="Z4" s="20" t="s">
        <v>268</v>
      </c>
      <c r="AA4" s="22" cm="1">
        <f t="array" ref="AA4">SUM(_xlfn._xlws.FILTER(PH[bydgoszcz_PH_Total_Score],PH[Category]="senior"),_xlfn._xlws.FILTER(PH[zabrze_PH_Total_Score],PH[Category]="senior"),_xlfn._xlws.FILTER(PH[cracow_PH_Total_Score],PH[Category]="senior"),_xlfn._xlws.FILTER(PH[gdansk_PH_Total_Score],PH[Category]="senior"))/(COUNTIFS(PH[bydgoszcz_PH_Total_Score],"&gt;0",PH[Category],"senior")+COUNTIFS(PH[zabrze_PH_Total_Score],"&gt;0",PH[Category],"senior")+COUNTIFS(PH[cracow_PH_Total_Score],"&gt;0",PH[Category],"senior")+COUNTIFS(PH[gdansk_PH_Total_Score],"&gt;0",PH[Category],"senior"))</f>
        <v>10.304999999999998</v>
      </c>
      <c r="AB4" s="22" cm="1">
        <f t="array" ref="AB4">_xlfn.STDEV.S(_xlfn._xlws.FILTER(PH[bydgoszcz_PH_Total_Score],(PH[Category]="senior")*(PH[bydgoszcz_PH_Total_Score])&gt;0),_xlfn._xlws.FILTER(PH[zabrze_PH_Total_Score],(PH[Category]="senior")*(PH[zabrze_PH_Total_Score])&gt;0),_xlfn._xlws.FILTER(PH[cracow_PH_Total_Score],(PH[Category]="senior")*(PH[cracow_PH_Total_Score])&gt;0),_xlfn._xlws.FILTER(PH[gdansk_PH_Total_Score],(PH[Category]="senior")*(PH[gdansk_PH_Total_Score])&gt;0))</f>
        <v>2.1695055282916864</v>
      </c>
      <c r="AC4" s="22" cm="1">
        <f t="array" ref="AC4">MAX(_xlfn._xlws.FILTER(PH[bydgoszcz_PH_Total_Score],PH[Category]="senior"),_xlfn._xlws.FILTER(PH[zabrze_PH_Total_Score],PH[Category]="senior"),_xlfn._xlws.FILTER(PH[cracow_PH_Total_Score],PH[Category]="senior"),_xlfn._xlws.FILTER(PH[gdansk_PH_Total_Score],PH[Category]="senior"))</f>
        <v>12.9</v>
      </c>
      <c r="AE4" s="43" t="s">
        <v>92</v>
      </c>
      <c r="AF4" s="43" t="s">
        <v>60</v>
      </c>
      <c r="AG4" s="43" t="s">
        <v>93</v>
      </c>
      <c r="AH4" s="43" t="s">
        <v>39</v>
      </c>
      <c r="AI4">
        <v>3</v>
      </c>
      <c r="AJ4" s="43" t="s">
        <v>317</v>
      </c>
      <c r="AK4" s="43" t="s">
        <v>268</v>
      </c>
      <c r="AL4">
        <v>12.65</v>
      </c>
    </row>
    <row r="5" spans="1:38" x14ac:dyDescent="0.25">
      <c r="A5" t="s">
        <v>68</v>
      </c>
      <c r="B5" s="2" t="s">
        <v>60</v>
      </c>
      <c r="C5" s="2" t="s">
        <v>69</v>
      </c>
      <c r="D5" t="s">
        <v>31</v>
      </c>
      <c r="E5" s="9">
        <f>COUNTIF(PH[[#This Row],[bydgoszcz_PH_Total_Score]],"&gt;0")+COUNTIF(PH[[#This Row],[zabrze_PH_Total_Score]],"&gt;0")+COUNTIF(PH[[#This Row],[cracow_PH_Total_Score]],"&gt;0")+COUNTIF(PH[[#This Row],[gdansk_PH_Total_Score]],"&gt;0")</f>
        <v>3</v>
      </c>
      <c r="F5" s="4">
        <v>0</v>
      </c>
      <c r="G5" s="7">
        <v>0</v>
      </c>
      <c r="H5" s="7">
        <v>0</v>
      </c>
      <c r="I5" s="4">
        <v>3.8</v>
      </c>
      <c r="J5" s="7">
        <v>7.75</v>
      </c>
      <c r="K5" s="7">
        <v>11.55</v>
      </c>
      <c r="L5" s="4">
        <v>3.8</v>
      </c>
      <c r="M5" s="7">
        <v>8</v>
      </c>
      <c r="N5" s="7">
        <v>11.8</v>
      </c>
      <c r="O5" s="4">
        <v>3.2</v>
      </c>
      <c r="P5" s="7">
        <v>7.4</v>
      </c>
      <c r="Q5" s="7">
        <v>10.6</v>
      </c>
      <c r="R5" s="4">
        <f>LARGE(CHOOSE({1;2;3;4},F5,I5,L5,O5),1)+LARGE(CHOOSE({1;2;3;4},F5,I5,L5,O5),2)+LARGE(CHOOSE({1;2;3;4},F5,I5,L5,O5),3)</f>
        <v>10.8</v>
      </c>
      <c r="S5" s="7">
        <f>LARGE(CHOOSE({1;2;3;4},G5,J5,M5,P5),1)+LARGE(CHOOSE({1;2;3;4},G5,J5,M5,P5),2)+LARGE(CHOOSE({1;2;3;4},G5,J5,M5,P5),3)</f>
        <v>23.15</v>
      </c>
      <c r="T5" s="7">
        <f>LARGE(CHOOSE({1;2;3;4},H5,K5,N5,Q5),1)+LARGE(CHOOSE({1;2;3;4},H5,K5,N5,Q5),2)+LARGE(CHOOSE({1;2;3;4},H5,K5,N5,Q5),3)</f>
        <v>33.950000000000003</v>
      </c>
      <c r="U5" s="4" cm="1">
        <f t="array" ref="U5">IF(PH[[#This Row],[Number_of_Competition]:[Number_of_Competition]]&gt;=3,(LARGE(CHOOSE({1;2;3;4},F5,I5,L5,O5),1)+LARGE(CHOOSE({1;2;3;4},F5,I5,L5,O5),2)+LARGE(CHOOSE({1;2;3;4},F5,I5,L5,O5),3))/3,0)</f>
        <v>3.6</v>
      </c>
      <c r="V5" s="7" cm="1">
        <f t="array" ref="V5">IF(PH[[#This Row],[Number_of_Competition]:[Number_of_Competition]]&gt;=3,(LARGE(CHOOSE({1;2;3;4},G5,J5,M5,P5),1)+LARGE(CHOOSE({1;2;3;4},G5,J5,M5,P5),2)+LARGE(CHOOSE({1;2;3;4},G5,J5,M5,P5),3))/3,0)</f>
        <v>7.7166666666666659</v>
      </c>
      <c r="W5" s="7" cm="1">
        <f t="array" ref="W5">IF(PH[[#This Row],[Number_of_Competition]:[Number_of_Competition]]&gt;=3,(LARGE(CHOOSE({1;2;3;4},H5,K5,N5,Q5),1)+LARGE(CHOOSE({1;2;3;4},H5,K5,N5,Q5),2)+LARGE(CHOOSE({1;2;3;4},H5,K5,N5,Q5),3))/3,0)</f>
        <v>11.316666666666668</v>
      </c>
      <c r="Y5" s="40"/>
      <c r="Z5" s="20" t="s">
        <v>275</v>
      </c>
      <c r="AA5" s="21" cm="1">
        <f t="array" ref="AA5">SUM(_xlfn._xlws.FILTER(PH[Year_Dscore],(PH[Category]="senior")*(PH[Number_of_Competition]&gt;=3))/COUNTIFS(PH[Number_of_Competition],"&gt;=3",PH[Category],"senior"))</f>
        <v>11.370000000000001</v>
      </c>
      <c r="AB5" s="21" cm="1">
        <f t="array" ref="AB5">_xlfn.STDEV.S(_xlfn._xlws.FILTER(PH[Year_Dscore],(PH[Category]="senior")*(PH[Number_of_Competition]&gt;=3)))</f>
        <v>1.8744184283250112</v>
      </c>
      <c r="AC5" s="21" cm="1">
        <f t="array" ref="AC5">MAX(_xlfn._xlws.FILTER(PH[Year_Dscore],PH[Category]="senior"))</f>
        <v>15.000000000000002</v>
      </c>
      <c r="AE5" s="43" t="s">
        <v>92</v>
      </c>
      <c r="AF5" s="43" t="s">
        <v>60</v>
      </c>
      <c r="AG5" s="43" t="s">
        <v>93</v>
      </c>
      <c r="AH5" s="43" t="s">
        <v>39</v>
      </c>
      <c r="AI5">
        <v>3</v>
      </c>
      <c r="AJ5" s="43" t="s">
        <v>325</v>
      </c>
      <c r="AK5" s="43" t="s">
        <v>308</v>
      </c>
      <c r="AL5">
        <v>3.7</v>
      </c>
    </row>
    <row r="6" spans="1:38" x14ac:dyDescent="0.25">
      <c r="A6" t="s">
        <v>63</v>
      </c>
      <c r="B6" s="2" t="s">
        <v>60</v>
      </c>
      <c r="C6" s="2" t="s">
        <v>64</v>
      </c>
      <c r="D6" t="s">
        <v>39</v>
      </c>
      <c r="E6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6" s="4">
        <v>4.4000000000000004</v>
      </c>
      <c r="G6" s="7">
        <v>7.1</v>
      </c>
      <c r="H6" s="7">
        <v>11.5</v>
      </c>
      <c r="I6" s="4">
        <v>4.5999999999999996</v>
      </c>
      <c r="J6" s="7">
        <v>6.4</v>
      </c>
      <c r="K6" s="7">
        <v>11</v>
      </c>
      <c r="L6" s="4">
        <v>4.4000000000000004</v>
      </c>
      <c r="M6" s="7">
        <v>7</v>
      </c>
      <c r="N6" s="7">
        <v>11.4</v>
      </c>
      <c r="O6" s="4">
        <v>4.4000000000000004</v>
      </c>
      <c r="P6" s="7">
        <v>5</v>
      </c>
      <c r="Q6" s="7">
        <v>9.4</v>
      </c>
      <c r="R6" s="4">
        <f>LARGE(CHOOSE({1;2;3;4},F6,I6,L6,O6),1)+LARGE(CHOOSE({1;2;3;4},F6,I6,L6,O6),2)+LARGE(CHOOSE({1;2;3;4},F6,I6,L6,O6),3)</f>
        <v>13.4</v>
      </c>
      <c r="S6" s="7">
        <f>LARGE(CHOOSE({1;2;3;4},G6,J6,M6,P6),1)+LARGE(CHOOSE({1;2;3;4},G6,J6,M6,P6),2)+LARGE(CHOOSE({1;2;3;4},G6,J6,M6,P6),3)</f>
        <v>20.5</v>
      </c>
      <c r="T6" s="7">
        <f>LARGE(CHOOSE({1;2;3;4},H6,K6,N6,Q6),1)+LARGE(CHOOSE({1;2;3;4},H6,K6,N6,Q6),2)+LARGE(CHOOSE({1;2;3;4},H6,K6,N6,Q6),3)</f>
        <v>33.9</v>
      </c>
      <c r="U6" s="4" cm="1">
        <f t="array" ref="U6">IF(PH[[#This Row],[Number_of_Competition]:[Number_of_Competition]]&gt;=3,(LARGE(CHOOSE({1;2;3;4},F6,I6,L6,O6),1)+LARGE(CHOOSE({1;2;3;4},F6,I6,L6,O6),2)+LARGE(CHOOSE({1;2;3;4},F6,I6,L6,O6),3))/3,0)</f>
        <v>4.4666666666666668</v>
      </c>
      <c r="V6" s="7" cm="1">
        <f t="array" ref="V6">IF(PH[[#This Row],[Number_of_Competition]:[Number_of_Competition]]&gt;=3,(LARGE(CHOOSE({1;2;3;4},G6,J6,M6,P6),1)+LARGE(CHOOSE({1;2;3;4},G6,J6,M6,P6),2)+LARGE(CHOOSE({1;2;3;4},G6,J6,M6,P6),3))/3,0)</f>
        <v>6.833333333333333</v>
      </c>
      <c r="W6" s="7" cm="1">
        <f t="array" ref="W6">IF(PH[[#This Row],[Number_of_Competition]:[Number_of_Competition]]&gt;=3,(LARGE(CHOOSE({1;2;3;4},H6,K6,N6,Q6),1)+LARGE(CHOOSE({1;2;3;4},H6,K6,N6,Q6),2)+LARGE(CHOOSE({1;2;3;4},H6,K6,N6,Q6),3))/3,0)</f>
        <v>11.299999999999999</v>
      </c>
      <c r="Y6" s="40"/>
      <c r="Z6" s="20" t="s">
        <v>276</v>
      </c>
      <c r="AA6" s="22" cm="1">
        <f t="array" ref="AA6">SUM(_xlfn._xlws.FILTER(PH[Year_Escore],(PH[Category]="senior")*(PH[Number_of_Competition]&gt;=3))/COUNTIFS(PH[Number_of_Competition],"&gt;=3",PH[Category],"senior"))</f>
        <v>20.955000000000002</v>
      </c>
      <c r="AB6" s="22" cm="1">
        <f t="array" ref="AB6">_xlfn.STDEV.S(_xlfn._xlws.FILTER(PH[Year_Escore],(PH[Category]="senior")*(PH[Number_of_Competition]&gt;=3)))</f>
        <v>3.644588835215536</v>
      </c>
      <c r="AC6" s="22" cm="1">
        <f t="array" ref="AC6">MAX(_xlfn._xlws.FILTER(PH[Year_Escore],PH[Category]="senior"))</f>
        <v>26.1</v>
      </c>
      <c r="AE6" s="43" t="s">
        <v>92</v>
      </c>
      <c r="AF6" s="43" t="s">
        <v>60</v>
      </c>
      <c r="AG6" s="43" t="s">
        <v>93</v>
      </c>
      <c r="AH6" s="43" t="s">
        <v>39</v>
      </c>
      <c r="AI6">
        <v>3</v>
      </c>
      <c r="AJ6" s="43" t="s">
        <v>325</v>
      </c>
      <c r="AK6" s="43" t="s">
        <v>309</v>
      </c>
      <c r="AL6">
        <v>8.6</v>
      </c>
    </row>
    <row r="7" spans="1:38" x14ac:dyDescent="0.25">
      <c r="A7" t="s">
        <v>80</v>
      </c>
      <c r="B7" s="2" t="s">
        <v>60</v>
      </c>
      <c r="C7" s="2" t="s">
        <v>81</v>
      </c>
      <c r="D7" t="s">
        <v>62</v>
      </c>
      <c r="E7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7" s="4">
        <v>3.6</v>
      </c>
      <c r="G7" s="7">
        <v>7.55</v>
      </c>
      <c r="H7" s="7">
        <v>11.15</v>
      </c>
      <c r="I7" s="4">
        <v>4.0999999999999996</v>
      </c>
      <c r="J7" s="7">
        <v>6.7</v>
      </c>
      <c r="K7" s="7">
        <v>10.8</v>
      </c>
      <c r="L7" s="4">
        <v>3.6</v>
      </c>
      <c r="M7" s="7">
        <v>8</v>
      </c>
      <c r="N7" s="7">
        <v>11.6</v>
      </c>
      <c r="O7" s="4">
        <v>4.0999999999999996</v>
      </c>
      <c r="P7" s="7">
        <v>6.7</v>
      </c>
      <c r="Q7" s="7">
        <v>10.8</v>
      </c>
      <c r="R7" s="4">
        <f>LARGE(CHOOSE({1;2;3;4},F7,I7,L7,O7),1)+LARGE(CHOOSE({1;2;3;4},F7,I7,L7,O7),2)+LARGE(CHOOSE({1;2;3;4},F7,I7,L7,O7),3)</f>
        <v>11.799999999999999</v>
      </c>
      <c r="S7" s="7">
        <f>LARGE(CHOOSE({1;2;3;4},G7,J7,M7,P7),1)+LARGE(CHOOSE({1;2;3;4},G7,J7,M7,P7),2)+LARGE(CHOOSE({1;2;3;4},G7,J7,M7,P7),3)</f>
        <v>22.25</v>
      </c>
      <c r="T7" s="7">
        <f>LARGE(CHOOSE({1;2;3;4},H7,K7,N7,Q7),1)+LARGE(CHOOSE({1;2;3;4},H7,K7,N7,Q7),2)+LARGE(CHOOSE({1;2;3;4},H7,K7,N7,Q7),3)</f>
        <v>33.549999999999997</v>
      </c>
      <c r="U7" s="4" cm="1">
        <f t="array" ref="U7">IF(PH[[#This Row],[Number_of_Competition]:[Number_of_Competition]]&gt;=3,(LARGE(CHOOSE({1;2;3;4},F7,I7,L7,O7),1)+LARGE(CHOOSE({1;2;3;4},F7,I7,L7,O7),2)+LARGE(CHOOSE({1;2;3;4},F7,I7,L7,O7),3))/3,0)</f>
        <v>3.9333333333333331</v>
      </c>
      <c r="V7" s="7" cm="1">
        <f t="array" ref="V7">IF(PH[[#This Row],[Number_of_Competition]:[Number_of_Competition]]&gt;=3,(LARGE(CHOOSE({1;2;3;4},G7,J7,M7,P7),1)+LARGE(CHOOSE({1;2;3;4},G7,J7,M7,P7),2)+LARGE(CHOOSE({1;2;3;4},G7,J7,M7,P7),3))/3,0)</f>
        <v>7.416666666666667</v>
      </c>
      <c r="W7" s="7" cm="1">
        <f t="array" ref="W7">IF(PH[[#This Row],[Number_of_Competition]:[Number_of_Competition]]&gt;=3,(LARGE(CHOOSE({1;2;3;4},H7,K7,N7,Q7),1)+LARGE(CHOOSE({1;2;3;4},H7,K7,N7,Q7),2)+LARGE(CHOOSE({1;2;3;4},H7,K7,N7,Q7),3))/3,0)</f>
        <v>11.183333333333332</v>
      </c>
      <c r="Y7" s="41"/>
      <c r="Z7" s="20" t="s">
        <v>277</v>
      </c>
      <c r="AA7" s="22" cm="1">
        <f t="array" ref="AA7">SUM(_xlfn._xlws.FILTER(PH[Year_Total_Score],(PH[Category]="senior")*(PH[Number_of_Competition]&gt;=3))/COUNTIFS(PH[Number_of_Competition],"&gt;=3",PH[Category],"senior"))</f>
        <v>32.185000000000002</v>
      </c>
      <c r="AB7" s="22" cm="1">
        <f t="array" ref="AB7">_xlfn.STDEV.S(_xlfn._xlws.FILTER(PH[Year_Total_Score],(PH[Category]="senior")*(PH[Number_of_Competition]&gt;=3)))</f>
        <v>4.7292852408043027</v>
      </c>
      <c r="AC7" s="22" cm="1">
        <f t="array" ref="AC7">MAX(_xlfn._xlws.FILTER(PH[Year_Total_Score],PH[Category]="senior"))</f>
        <v>37.5</v>
      </c>
      <c r="AE7" s="43" t="s">
        <v>92</v>
      </c>
      <c r="AF7" s="43" t="s">
        <v>60</v>
      </c>
      <c r="AG7" s="43" t="s">
        <v>93</v>
      </c>
      <c r="AH7" s="43" t="s">
        <v>39</v>
      </c>
      <c r="AI7">
        <v>3</v>
      </c>
      <c r="AJ7" s="43" t="s">
        <v>325</v>
      </c>
      <c r="AK7" s="43" t="s">
        <v>268</v>
      </c>
      <c r="AL7">
        <v>12.3</v>
      </c>
    </row>
    <row r="8" spans="1:38" x14ac:dyDescent="0.25">
      <c r="A8" t="s">
        <v>77</v>
      </c>
      <c r="B8" s="2" t="s">
        <v>60</v>
      </c>
      <c r="C8" s="2" t="s">
        <v>78</v>
      </c>
      <c r="D8" t="s">
        <v>79</v>
      </c>
      <c r="E8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8" s="4">
        <v>3.9</v>
      </c>
      <c r="G8" s="7">
        <v>7.8</v>
      </c>
      <c r="H8" s="7">
        <v>11.7</v>
      </c>
      <c r="I8" s="4">
        <v>3.8</v>
      </c>
      <c r="J8" s="7">
        <v>6.2</v>
      </c>
      <c r="K8" s="7">
        <v>10</v>
      </c>
      <c r="L8" s="4">
        <v>3.7</v>
      </c>
      <c r="M8" s="7">
        <v>7</v>
      </c>
      <c r="N8" s="7">
        <v>10.7</v>
      </c>
      <c r="O8" s="4">
        <v>3.1</v>
      </c>
      <c r="P8" s="7">
        <v>7.6</v>
      </c>
      <c r="Q8" s="7">
        <v>10.7</v>
      </c>
      <c r="R8" s="4">
        <f>LARGE(CHOOSE({1;2;3;4},F8,I8,L8,O8),1)+LARGE(CHOOSE({1;2;3;4},F8,I8,L8,O8),2)+LARGE(CHOOSE({1;2;3;4},F8,I8,L8,O8),3)</f>
        <v>11.399999999999999</v>
      </c>
      <c r="S8" s="7">
        <f>LARGE(CHOOSE({1;2;3;4},G8,J8,M8,P8),1)+LARGE(CHOOSE({1;2;3;4},G8,J8,M8,P8),2)+LARGE(CHOOSE({1;2;3;4},G8,J8,M8,P8),3)</f>
        <v>22.4</v>
      </c>
      <c r="T8" s="7">
        <f>LARGE(CHOOSE({1;2;3;4},H8,K8,N8,Q8),1)+LARGE(CHOOSE({1;2;3;4},H8,K8,N8,Q8),2)+LARGE(CHOOSE({1;2;3;4},H8,K8,N8,Q8),3)</f>
        <v>33.099999999999994</v>
      </c>
      <c r="U8" s="4" cm="1">
        <f t="array" ref="U8">IF(PH[[#This Row],[Number_of_Competition]:[Number_of_Competition]]&gt;=3,(LARGE(CHOOSE({1;2;3;4},F8,I8,L8,O8),1)+LARGE(CHOOSE({1;2;3;4},F8,I8,L8,O8),2)+LARGE(CHOOSE({1;2;3;4},F8,I8,L8,O8),3))/3,0)</f>
        <v>3.7999999999999994</v>
      </c>
      <c r="V8" s="7" cm="1">
        <f t="array" ref="V8">IF(PH[[#This Row],[Number_of_Competition]:[Number_of_Competition]]&gt;=3,(LARGE(CHOOSE({1;2;3;4},G8,J8,M8,P8),1)+LARGE(CHOOSE({1;2;3;4},G8,J8,M8,P8),2)+LARGE(CHOOSE({1;2;3;4},G8,J8,M8,P8),3))/3,0)</f>
        <v>7.4666666666666659</v>
      </c>
      <c r="W8" s="7" cm="1">
        <f t="array" ref="W8">IF(PH[[#This Row],[Number_of_Competition]:[Number_of_Competition]]&gt;=3,(LARGE(CHOOSE({1;2;3;4},H8,K8,N8,Q8),1)+LARGE(CHOOSE({1;2;3;4},H8,K8,N8,Q8),2)+LARGE(CHOOSE({1;2;3;4},H8,K8,N8,Q8),3))/3,0)</f>
        <v>11.033333333333331</v>
      </c>
      <c r="Y8" s="39" t="s">
        <v>26</v>
      </c>
      <c r="Z8" s="20" t="s">
        <v>269</v>
      </c>
      <c r="AA8" s="21" cm="1">
        <f t="array" ref="AA8">SUM(_xlfn._xlws.FILTER(PH[bydgoszcz_PH_Dscore],PH[Category]="junior"),_xlfn._xlws.FILTER(PH[zabrze_PH_Dscore],PH[Category]="junior"),_xlfn._xlws.FILTER(PH[cracow_PH_Dscore],PH[Category]="junior"),_xlfn._xlws.FILTER(PH[gdansk_PH_Dscore],PH[Category]="junior"))/(COUNTIFS(PH[bydgoszcz_PH_Dscore],"&gt;0",PH[Category],"junior")+COUNTIFS(PH[zabrze_PH_Dscore],"&gt;0",PH[Category],"junior")+COUNTIFS(PH[cracow_PH_Dscore],"&gt;0",PH[Category],"junior")+COUNTIFS(PH[gdansk_PH_Dscore],"&gt;0",PH[Category],"junior"))</f>
        <v>2.9377358490566037</v>
      </c>
      <c r="AB8" s="21" cm="1">
        <f t="array" ref="AB8">_xlfn.STDEV.S(_xlfn._xlws.FILTER(PH[bydgoszcz_PH_Dscore],(PH[Category]="junior")*(PH[bydgoszcz_PH_Dscore])&gt;0),_xlfn._xlws.FILTER(PH[zabrze_PH_Dscore],(PH[Category]="junior")*(PH[zabrze_PH_Dscore])&gt;0),_xlfn._xlws.FILTER(PH[cracow_PH_Dscore],(PH[Category]="junior")*(PH[cracow_PH_Dscore])&gt;0),_xlfn._xlws.FILTER(PH[gdansk_PH_Dscore],(PH[Category]="junior")*(PH[gdansk_PH_Dscore])&gt;0))</f>
        <v>0.77191729705831846</v>
      </c>
      <c r="AC8" s="21" cm="1">
        <f t="array" ref="AC8">MAX(_xlfn._xlws.FILTER(PH[bydgoszcz_PH_Dscore],PH[Category]="junior"),_xlfn._xlws.FILTER(PH[zabrze_PH_Dscore],PH[Category]="junior"),_xlfn._xlws.FILTER(PH[cracow_PH_Dscore],PH[Category]="junior"),_xlfn._xlws.FILTER(PH[gdansk_PH_Dscore],PH[Category]="junior"))</f>
        <v>4.4000000000000004</v>
      </c>
      <c r="AE8" s="43" t="s">
        <v>92</v>
      </c>
      <c r="AF8" s="43" t="s">
        <v>60</v>
      </c>
      <c r="AG8" s="43" t="s">
        <v>93</v>
      </c>
      <c r="AH8" s="43" t="s">
        <v>39</v>
      </c>
      <c r="AI8">
        <v>3</v>
      </c>
      <c r="AJ8" s="43" t="s">
        <v>330</v>
      </c>
      <c r="AK8" s="43" t="s">
        <v>308</v>
      </c>
      <c r="AL8">
        <v>3.7</v>
      </c>
    </row>
    <row r="9" spans="1:38" x14ac:dyDescent="0.25">
      <c r="A9" t="s">
        <v>73</v>
      </c>
      <c r="B9" s="2" t="s">
        <v>60</v>
      </c>
      <c r="C9" s="2" t="s">
        <v>74</v>
      </c>
      <c r="D9" t="s">
        <v>62</v>
      </c>
      <c r="E9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9" s="4">
        <v>3</v>
      </c>
      <c r="G9" s="7">
        <v>6.3</v>
      </c>
      <c r="H9" s="7">
        <v>9.3000000000000007</v>
      </c>
      <c r="I9" s="4">
        <v>3</v>
      </c>
      <c r="J9" s="7">
        <v>7.5</v>
      </c>
      <c r="K9" s="7">
        <v>10.5</v>
      </c>
      <c r="L9" s="4">
        <v>3.1</v>
      </c>
      <c r="M9" s="7">
        <v>3.05</v>
      </c>
      <c r="N9" s="7">
        <v>6.15</v>
      </c>
      <c r="O9" s="4">
        <v>2.9</v>
      </c>
      <c r="P9" s="7">
        <v>7.1</v>
      </c>
      <c r="Q9" s="7">
        <v>10</v>
      </c>
      <c r="R9" s="4">
        <f>LARGE(CHOOSE({1;2;3;4},F9,I9,L9,O9),1)+LARGE(CHOOSE({1;2;3;4},F9,I9,L9,O9),2)+LARGE(CHOOSE({1;2;3;4},F9,I9,L9,O9),3)</f>
        <v>9.1</v>
      </c>
      <c r="S9" s="7">
        <f>LARGE(CHOOSE({1;2;3;4},G9,J9,M9,P9),1)+LARGE(CHOOSE({1;2;3;4},G9,J9,M9,P9),2)+LARGE(CHOOSE({1;2;3;4},G9,J9,M9,P9),3)</f>
        <v>20.9</v>
      </c>
      <c r="T9" s="7">
        <f>LARGE(CHOOSE({1;2;3;4},H9,K9,N9,Q9),1)+LARGE(CHOOSE({1;2;3;4},H9,K9,N9,Q9),2)+LARGE(CHOOSE({1;2;3;4},H9,K9,N9,Q9),3)</f>
        <v>29.8</v>
      </c>
      <c r="U9" s="4" cm="1">
        <f t="array" ref="U9">IF(PH[[#This Row],[Number_of_Competition]:[Number_of_Competition]]&gt;=3,(LARGE(CHOOSE({1;2;3;4},F9,I9,L9,O9),1)+LARGE(CHOOSE({1;2;3;4},F9,I9,L9,O9),2)+LARGE(CHOOSE({1;2;3;4},F9,I9,L9,O9),3))/3,0)</f>
        <v>3.0333333333333332</v>
      </c>
      <c r="V9" s="7" cm="1">
        <f t="array" ref="V9">IF(PH[[#This Row],[Number_of_Competition]:[Number_of_Competition]]&gt;=3,(LARGE(CHOOSE({1;2;3;4},G9,J9,M9,P9),1)+LARGE(CHOOSE({1;2;3;4},G9,J9,M9,P9),2)+LARGE(CHOOSE({1;2;3;4},G9,J9,M9,P9),3))/3,0)</f>
        <v>6.9666666666666659</v>
      </c>
      <c r="W9" s="7" cm="1">
        <f t="array" ref="W9">IF(PH[[#This Row],[Number_of_Competition]:[Number_of_Competition]]&gt;=3,(LARGE(CHOOSE({1;2;3;4},H9,K9,N9,Q9),1)+LARGE(CHOOSE({1;2;3;4},H9,K9,N9,Q9),2)+LARGE(CHOOSE({1;2;3;4},H9,K9,N9,Q9),3))/3,0)</f>
        <v>9.9333333333333336</v>
      </c>
      <c r="Y9" s="40"/>
      <c r="Z9" s="20" t="s">
        <v>267</v>
      </c>
      <c r="AA9" s="22" cm="1">
        <f t="array" ref="AA9">SUM(_xlfn._xlws.FILTER(PH[bydgoszcz_PH_Escore],PH[Category]="junior"),_xlfn._xlws.FILTER(PH[zabrze_PH_Escore],PH[Category]="junior"),_xlfn._xlws.FILTER(PH[cracow_PH_Escore],PH[Category]="junior"),_xlfn._xlws.FILTER(PH[gdansk_PH_Escore],PH[Category]="junior"))/(COUNTIFS(PH[bydgoszcz_PH_Escore],"&gt;0",PH[Category],"junior")+COUNTIFS(PH[zabrze_PH_Escore],"&gt;0",PH[Category],"junior")+COUNTIFS(PH[cracow_PH_Escore],"&gt;0",PH[Category],"junior")+COUNTIFS(PH[gdansk_PH_Escore],"&gt;0",PH[Category],"junior"))</f>
        <v>6.8330000000000011</v>
      </c>
      <c r="AB9" s="22" cm="1">
        <f t="array" ref="AB9">_xlfn.STDEV.S(_xlfn._xlws.FILTER(PH[bydgoszcz_PH_Escore],(PH[Category]="junior")*(PH[bydgoszcz_PH_Escore])&gt;0),_xlfn._xlws.FILTER(PH[zabrze_PH_Escore],(PH[Category]="junior")*(PH[zabrze_PH_Escore])&gt;0),_xlfn._xlws.FILTER(PH[cracow_PH_Escore],(PH[Category]="junior")*(PH[cracow_PH_Escore])&gt;0),_xlfn._xlws.FILTER(PH[gdansk_PH_Escore],(PH[Category]="junior")*(PH[gdansk_PH_Escore])&gt;0))</f>
        <v>1.646133689117927</v>
      </c>
      <c r="AC9" s="22" cm="1">
        <f t="array" ref="AC9">MAX(_xlfn._xlws.FILTER(PH[bydgoszcz_PH_Escore],PH[Category]="junior"),_xlfn._xlws.FILTER(PH[zabrze_PH_Escore],PH[Category]="junior"),_xlfn._xlws.FILTER(PH[cracow_PH_Escore],PH[Category]="junior"),_xlfn._xlws.FILTER(PH[gdansk_PH_Escore],PH[Category]="junior"))</f>
        <v>8.9499999999999993</v>
      </c>
      <c r="AE9" s="43" t="s">
        <v>92</v>
      </c>
      <c r="AF9" s="43" t="s">
        <v>60</v>
      </c>
      <c r="AG9" s="43" t="s">
        <v>93</v>
      </c>
      <c r="AH9" s="43" t="s">
        <v>39</v>
      </c>
      <c r="AI9">
        <v>3</v>
      </c>
      <c r="AJ9" s="43" t="s">
        <v>330</v>
      </c>
      <c r="AK9" s="43" t="s">
        <v>309</v>
      </c>
      <c r="AL9">
        <v>8.85</v>
      </c>
    </row>
    <row r="10" spans="1:38" x14ac:dyDescent="0.25">
      <c r="A10" t="s">
        <v>84</v>
      </c>
      <c r="B10" s="2" t="s">
        <v>60</v>
      </c>
      <c r="C10" s="2" t="s">
        <v>85</v>
      </c>
      <c r="D10" t="s">
        <v>39</v>
      </c>
      <c r="E10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10" s="4">
        <v>3.2</v>
      </c>
      <c r="G10" s="7">
        <v>6.1</v>
      </c>
      <c r="H10" s="7">
        <v>9.3000000000000007</v>
      </c>
      <c r="I10" s="4">
        <v>3.2</v>
      </c>
      <c r="J10" s="7">
        <v>4.75</v>
      </c>
      <c r="K10" s="7">
        <v>7.95</v>
      </c>
      <c r="L10" s="4">
        <v>3.2</v>
      </c>
      <c r="M10" s="7">
        <v>4.5999999999999996</v>
      </c>
      <c r="N10" s="7">
        <v>7.8</v>
      </c>
      <c r="O10" s="4">
        <v>3.5</v>
      </c>
      <c r="P10" s="7">
        <v>5.5</v>
      </c>
      <c r="Q10" s="7">
        <v>9</v>
      </c>
      <c r="R10" s="4">
        <f>LARGE(CHOOSE({1;2;3;4},F10,I10,L10,O10),1)+LARGE(CHOOSE({1;2;3;4},F10,I10,L10,O10),2)+LARGE(CHOOSE({1;2;3;4},F10,I10,L10,O10),3)</f>
        <v>9.9</v>
      </c>
      <c r="S10" s="7">
        <f>LARGE(CHOOSE({1;2;3;4},G10,J10,M10,P10),1)+LARGE(CHOOSE({1;2;3;4},G10,J10,M10,P10),2)+LARGE(CHOOSE({1;2;3;4},G10,J10,M10,P10),3)</f>
        <v>16.350000000000001</v>
      </c>
      <c r="T10" s="7">
        <f>LARGE(CHOOSE({1;2;3;4},H10,K10,N10,Q10),1)+LARGE(CHOOSE({1;2;3;4},H10,K10,N10,Q10),2)+LARGE(CHOOSE({1;2;3;4},H10,K10,N10,Q10),3)</f>
        <v>26.25</v>
      </c>
      <c r="U10" s="4" cm="1">
        <f t="array" ref="U10">IF(PH[[#This Row],[Number_of_Competition]:[Number_of_Competition]]&gt;=3,(LARGE(CHOOSE({1;2;3;4},F10,I10,L10,O10),1)+LARGE(CHOOSE({1;2;3;4},F10,I10,L10,O10),2)+LARGE(CHOOSE({1;2;3;4},F10,I10,L10,O10),3))/3,0)</f>
        <v>3.3000000000000003</v>
      </c>
      <c r="V10" s="7" cm="1">
        <f t="array" ref="V10">IF(PH[[#This Row],[Number_of_Competition]:[Number_of_Competition]]&gt;=3,(LARGE(CHOOSE({1;2;3;4},G10,J10,M10,P10),1)+LARGE(CHOOSE({1;2;3;4},G10,J10,M10,P10),2)+LARGE(CHOOSE({1;2;3;4},G10,J10,M10,P10),3))/3,0)</f>
        <v>5.45</v>
      </c>
      <c r="W10" s="7" cm="1">
        <f t="array" ref="W10">IF(PH[[#This Row],[Number_of_Competition]:[Number_of_Competition]]&gt;=3,(LARGE(CHOOSE({1;2;3;4},H10,K10,N10,Q10),1)+LARGE(CHOOSE({1;2;3;4},H10,K10,N10,Q10),2)+LARGE(CHOOSE({1;2;3;4},H10,K10,N10,Q10),3))/3,0)</f>
        <v>8.75</v>
      </c>
      <c r="Y10" s="40"/>
      <c r="Z10" s="20" t="s">
        <v>268</v>
      </c>
      <c r="AA10" s="22" cm="1">
        <f t="array" ref="AA10">SUM(_xlfn._xlws.FILTER(PH[bydgoszcz_PH_Total_Score],PH[Category]="junior"),_xlfn._xlws.FILTER(PH[zabrze_PH_Total_Score],PH[Category]="junior"),_xlfn._xlws.FILTER(PH[cracow_PH_Total_Score],PH[Category]="junior"),_xlfn._xlws.FILTER(PH[gdansk_PH_Total_Score],PH[Category]="junior"))/(COUNTIFS(PH[bydgoszcz_PH_Total_Score],"&gt;0",PH[Category],"junior")+COUNTIFS(PH[zabrze_PH_Total_Score],"&gt;0",PH[Category],"junior")+COUNTIFS(PH[cracow_PH_Total_Score],"&gt;0",PH[Category],"junior")+COUNTIFS(PH[gdansk_PH_Total_Score],"&gt;0",PH[Category],"junior"))</f>
        <v>9.3839622641509433</v>
      </c>
      <c r="AB10" s="22" cm="1">
        <f t="array" ref="AB10">_xlfn.STDEV.S(_xlfn._xlws.FILTER(PH[bydgoszcz_PH_Total_Score],(PH[Category]="junior")*(PH[bydgoszcz_PH_Total_Score])&gt;0),_xlfn._xlws.FILTER(PH[zabrze_PH_Total_Score],(PH[Category]="junior")*(PH[zabrze_PH_Total_Score])&gt;0),_xlfn._xlws.FILTER(PH[cracow_PH_Total_Score],(PH[Category]="junior")*(PH[cracow_PH_Total_Score])&gt;0),_xlfn._xlws.FILTER(PH[gdansk_PH_Total_Score],(PH[Category]="junior")*(PH[gdansk_PH_Total_Score])&gt;0))</f>
        <v>2.8721101460174343</v>
      </c>
      <c r="AC10" s="22" cm="1">
        <f t="array" ref="AC10">MAX(_xlfn._xlws.FILTER(PH[bydgoszcz_PH_Total_Score],PH[Category]="junior"),_xlfn._xlws.FILTER(PH[zabrze_PH_Total_Score],PH[Category]="junior"),_xlfn._xlws.FILTER(PH[cracow_PH_Total_Score],PH[Category]="junior"),_xlfn._xlws.FILTER(PH[gdansk_PH_Total_Score],PH[Category]="junior"))</f>
        <v>12.75</v>
      </c>
      <c r="AE10" s="43" t="s">
        <v>92</v>
      </c>
      <c r="AF10" s="43" t="s">
        <v>60</v>
      </c>
      <c r="AG10" s="43" t="s">
        <v>93</v>
      </c>
      <c r="AH10" s="43" t="s">
        <v>39</v>
      </c>
      <c r="AI10">
        <v>3</v>
      </c>
      <c r="AJ10" s="43" t="s">
        <v>330</v>
      </c>
      <c r="AK10" s="43" t="s">
        <v>268</v>
      </c>
      <c r="AL10">
        <v>12.55</v>
      </c>
    </row>
    <row r="11" spans="1:38" x14ac:dyDescent="0.25">
      <c r="A11" t="s">
        <v>75</v>
      </c>
      <c r="B11" s="2" t="s">
        <v>60</v>
      </c>
      <c r="C11" s="2" t="s">
        <v>76</v>
      </c>
      <c r="D11" t="s">
        <v>28</v>
      </c>
      <c r="E11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11" s="4">
        <v>0</v>
      </c>
      <c r="G11" s="7">
        <v>0</v>
      </c>
      <c r="H11" s="7">
        <v>0</v>
      </c>
      <c r="I11" s="4">
        <v>4.2</v>
      </c>
      <c r="J11" s="7">
        <v>8.25</v>
      </c>
      <c r="K11" s="7">
        <v>12.45</v>
      </c>
      <c r="L11" s="4">
        <v>4.2</v>
      </c>
      <c r="M11" s="7">
        <v>8.5</v>
      </c>
      <c r="N11" s="7">
        <v>12.7</v>
      </c>
      <c r="O11" s="4">
        <v>0</v>
      </c>
      <c r="P11" s="7">
        <v>0</v>
      </c>
      <c r="Q11" s="7">
        <v>0</v>
      </c>
      <c r="R11" s="4">
        <f>LARGE(CHOOSE({1;2;3;4},F11,I11,L11,O11),1)+LARGE(CHOOSE({1;2;3;4},F11,I11,L11,O11),2)+LARGE(CHOOSE({1;2;3;4},F11,I11,L11,O11),3)</f>
        <v>8.4</v>
      </c>
      <c r="S11" s="7">
        <f>LARGE(CHOOSE({1;2;3;4},G11,J11,M11,P11),1)+LARGE(CHOOSE({1;2;3;4},G11,J11,M11,P11),2)+LARGE(CHOOSE({1;2;3;4},G11,J11,M11,P11),3)</f>
        <v>16.75</v>
      </c>
      <c r="T11" s="7">
        <f>LARGE(CHOOSE({1;2;3;4},H11,K11,N11,Q11),1)+LARGE(CHOOSE({1;2;3;4},H11,K11,N11,Q11),2)+LARGE(CHOOSE({1;2;3;4},H11,K11,N11,Q11),3)</f>
        <v>25.15</v>
      </c>
      <c r="U11" s="4" cm="1">
        <f t="array" ref="U11">IF(PH[[#This Row],[Number_of_Competition]:[Number_of_Competition]]&gt;=3,(LARGE(CHOOSE({1;2;3;4},F11,I11,L11,O11),1)+LARGE(CHOOSE({1;2;3;4},F11,I11,L11,O11),2)+LARGE(CHOOSE({1;2;3;4},F11,I11,L11,O11),3))/3,0)</f>
        <v>0</v>
      </c>
      <c r="V11" s="7" cm="1">
        <f t="array" ref="V11">IF(PH[[#This Row],[Number_of_Competition]:[Number_of_Competition]]&gt;=3,(LARGE(CHOOSE({1;2;3;4},G11,J11,M11,P11),1)+LARGE(CHOOSE({1;2;3;4},G11,J11,M11,P11),2)+LARGE(CHOOSE({1;2;3;4},G11,J11,M11,P11),3))/3,0)</f>
        <v>0</v>
      </c>
      <c r="W11" s="7" cm="1">
        <f t="array" ref="W11">IF(PH[[#This Row],[Number_of_Competition]:[Number_of_Competition]]&gt;=3,(LARGE(CHOOSE({1;2;3;4},H11,K11,N11,Q11),1)+LARGE(CHOOSE({1;2;3;4},H11,K11,N11,Q11),2)+LARGE(CHOOSE({1;2;3;4},H11,K11,N11,Q11),3))/3,0)</f>
        <v>0</v>
      </c>
      <c r="Y11" s="40"/>
      <c r="Z11" s="20" t="s">
        <v>275</v>
      </c>
      <c r="AA11" s="21" cm="1">
        <f t="array" ref="AA11">SUM(_xlfn._xlws.FILTER(PH[Year_Dscore],(PH[Category]="junior")*(PH[Number_of_Competition]&gt;=3))/COUNTIFS(PH[Number_of_Competition],"&gt;=3",PH[Category],"junior"))</f>
        <v>9.3333333333333339</v>
      </c>
      <c r="AB11" s="21" cm="1">
        <f t="array" ref="AB11">_xlfn.STDEV.S(_xlfn._xlws.FILTER(PH[Year_Dscore],(PH[Category]="junior")*(PH[Number_of_Competition]&gt;=3)))</f>
        <v>2.0388648059569077</v>
      </c>
      <c r="AC11" s="21" cm="1">
        <f t="array" ref="AC11">MAX(_xlfn._xlws.FILTER(PH[Year_Dscore],PH[Category]="junior"))</f>
        <v>12.6</v>
      </c>
      <c r="AE11" s="43" t="s">
        <v>92</v>
      </c>
      <c r="AF11" s="43" t="s">
        <v>60</v>
      </c>
      <c r="AG11" s="43" t="s">
        <v>93</v>
      </c>
      <c r="AH11" s="43" t="s">
        <v>39</v>
      </c>
      <c r="AI11">
        <v>3</v>
      </c>
      <c r="AJ11" s="43" t="s">
        <v>331</v>
      </c>
      <c r="AK11" s="43" t="s">
        <v>308</v>
      </c>
      <c r="AL11">
        <v>0</v>
      </c>
    </row>
    <row r="12" spans="1:38" x14ac:dyDescent="0.25">
      <c r="A12" t="s">
        <v>127</v>
      </c>
      <c r="B12" s="2" t="s">
        <v>60</v>
      </c>
      <c r="C12" s="2" t="s">
        <v>128</v>
      </c>
      <c r="D12" t="s">
        <v>72</v>
      </c>
      <c r="E12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12" s="4">
        <v>4.2</v>
      </c>
      <c r="G12" s="7">
        <v>8</v>
      </c>
      <c r="H12" s="7">
        <v>12.2</v>
      </c>
      <c r="I12" s="4">
        <v>0</v>
      </c>
      <c r="J12" s="7">
        <v>0</v>
      </c>
      <c r="K12" s="7">
        <v>0</v>
      </c>
      <c r="L12" s="4">
        <v>4.4000000000000004</v>
      </c>
      <c r="M12" s="7">
        <v>7.2</v>
      </c>
      <c r="N12" s="7">
        <v>11.6</v>
      </c>
      <c r="O12" s="4">
        <v>0</v>
      </c>
      <c r="P12" s="7">
        <v>0</v>
      </c>
      <c r="Q12" s="7">
        <v>0</v>
      </c>
      <c r="R12" s="4">
        <f>LARGE(CHOOSE({1;2;3;4},F12,I12,L12,O12),1)+LARGE(CHOOSE({1;2;3;4},F12,I12,L12,O12),2)+LARGE(CHOOSE({1;2;3;4},F12,I12,L12,O12),3)</f>
        <v>8.6000000000000014</v>
      </c>
      <c r="S12" s="7">
        <f>LARGE(CHOOSE({1;2;3;4},G12,J12,M12,P12),1)+LARGE(CHOOSE({1;2;3;4},G12,J12,M12,P12),2)+LARGE(CHOOSE({1;2;3;4},G12,J12,M12,P12),3)</f>
        <v>15.2</v>
      </c>
      <c r="T12" s="7">
        <f>LARGE(CHOOSE({1;2;3;4},H12,K12,N12,Q12),1)+LARGE(CHOOSE({1;2;3;4},H12,K12,N12,Q12),2)+LARGE(CHOOSE({1;2;3;4},H12,K12,N12,Q12),3)</f>
        <v>23.799999999999997</v>
      </c>
      <c r="U12" s="4" cm="1">
        <f t="array" ref="U12">IF(PH[[#This Row],[Number_of_Competition]:[Number_of_Competition]]&gt;=3,(LARGE(CHOOSE({1;2;3;4},F12,I12,L12,O12),1)+LARGE(CHOOSE({1;2;3;4},F12,I12,L12,O12),2)+LARGE(CHOOSE({1;2;3;4},F12,I12,L12,O12),3))/3,0)</f>
        <v>0</v>
      </c>
      <c r="V12" s="7" cm="1">
        <f t="array" ref="V12">IF(PH[[#This Row],[Number_of_Competition]:[Number_of_Competition]]&gt;=3,(LARGE(CHOOSE({1;2;3;4},G12,J12,M12,P12),1)+LARGE(CHOOSE({1;2;3;4},G12,J12,M12,P12),2)+LARGE(CHOOSE({1;2;3;4},G12,J12,M12,P12),3))/3,0)</f>
        <v>0</v>
      </c>
      <c r="W12" s="7" cm="1">
        <f t="array" ref="W12">IF(PH[[#This Row],[Number_of_Competition]:[Number_of_Competition]]&gt;=3,(LARGE(CHOOSE({1;2;3;4},H12,K12,N12,Q12),1)+LARGE(CHOOSE({1;2;3;4},H12,K12,N12,Q12),2)+LARGE(CHOOSE({1;2;3;4},H12,K12,N12,Q12),3))/3,0)</f>
        <v>0</v>
      </c>
      <c r="Y12" s="40"/>
      <c r="Z12" s="20" t="s">
        <v>276</v>
      </c>
      <c r="AA12" s="22" cm="1">
        <f t="array" ref="AA12">SUM(_xlfn._xlws.FILTER(PH[Year_Escore],(PH[Category]="junior")*(PH[Number_of_Competition]&gt;=3))/COUNTIFS(PH[Number_of_Competition],"&gt;=3",PH[Category],"junior"))</f>
        <v>21.391666666666669</v>
      </c>
      <c r="AB12" s="22" cm="1">
        <f t="array" ref="AB12">_xlfn.STDEV.S(_xlfn._xlws.FILTER(PH[Year_Escore],(PH[Category]="junior")*(PH[Number_of_Competition]&gt;=3)))</f>
        <v>3.92282558955409</v>
      </c>
      <c r="AC12" s="22" cm="1">
        <f t="array" ref="AC12">MAX(_xlfn._xlws.FILTER(PH[Year_Escore],PH[Category]="junior"))</f>
        <v>26.650000000000002</v>
      </c>
      <c r="AE12" s="43" t="s">
        <v>92</v>
      </c>
      <c r="AF12" s="43" t="s">
        <v>60</v>
      </c>
      <c r="AG12" s="43" t="s">
        <v>93</v>
      </c>
      <c r="AH12" s="43" t="s">
        <v>39</v>
      </c>
      <c r="AI12">
        <v>3</v>
      </c>
      <c r="AJ12" s="43" t="s">
        <v>331</v>
      </c>
      <c r="AK12" s="43" t="s">
        <v>309</v>
      </c>
      <c r="AL12">
        <v>0</v>
      </c>
    </row>
    <row r="13" spans="1:38" x14ac:dyDescent="0.25">
      <c r="A13" t="s">
        <v>96</v>
      </c>
      <c r="B13" s="2" t="s">
        <v>60</v>
      </c>
      <c r="C13" s="2" t="s">
        <v>97</v>
      </c>
      <c r="D13" t="s">
        <v>62</v>
      </c>
      <c r="E13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13" s="4">
        <v>0</v>
      </c>
      <c r="G13" s="7">
        <v>0</v>
      </c>
      <c r="H13" s="7">
        <v>0</v>
      </c>
      <c r="I13" s="4">
        <v>4.5</v>
      </c>
      <c r="J13" s="7">
        <v>7.3</v>
      </c>
      <c r="K13" s="7">
        <v>11.8</v>
      </c>
      <c r="L13" s="4">
        <v>4.7</v>
      </c>
      <c r="M13" s="7">
        <v>6.8</v>
      </c>
      <c r="N13" s="7">
        <v>11.5</v>
      </c>
      <c r="O13" s="4">
        <v>0</v>
      </c>
      <c r="P13" s="7">
        <v>0</v>
      </c>
      <c r="Q13" s="7">
        <v>0</v>
      </c>
      <c r="R13" s="4">
        <f>LARGE(CHOOSE({1;2;3;4},F13,I13,L13,O13),1)+LARGE(CHOOSE({1;2;3;4},F13,I13,L13,O13),2)+LARGE(CHOOSE({1;2;3;4},F13,I13,L13,O13),3)</f>
        <v>9.1999999999999993</v>
      </c>
      <c r="S13" s="7">
        <f>LARGE(CHOOSE({1;2;3;4},G13,J13,M13,P13),1)+LARGE(CHOOSE({1;2;3;4},G13,J13,M13,P13),2)+LARGE(CHOOSE({1;2;3;4},G13,J13,M13,P13),3)</f>
        <v>14.1</v>
      </c>
      <c r="T13" s="7">
        <f>LARGE(CHOOSE({1;2;3;4},H13,K13,N13,Q13),1)+LARGE(CHOOSE({1;2;3;4},H13,K13,N13,Q13),2)+LARGE(CHOOSE({1;2;3;4},H13,K13,N13,Q13),3)</f>
        <v>23.3</v>
      </c>
      <c r="U13" s="4" cm="1">
        <f t="array" ref="U13">IF(PH[[#This Row],[Number_of_Competition]:[Number_of_Competition]]&gt;=3,(LARGE(CHOOSE({1;2;3;4},F13,I13,L13,O13),1)+LARGE(CHOOSE({1;2;3;4},F13,I13,L13,O13),2)+LARGE(CHOOSE({1;2;3;4},F13,I13,L13,O13),3))/3,0)</f>
        <v>0</v>
      </c>
      <c r="V13" s="7" cm="1">
        <f t="array" ref="V13">IF(PH[[#This Row],[Number_of_Competition]:[Number_of_Competition]]&gt;=3,(LARGE(CHOOSE({1;2;3;4},G13,J13,M13,P13),1)+LARGE(CHOOSE({1;2;3;4},G13,J13,M13,P13),2)+LARGE(CHOOSE({1;2;3;4},G13,J13,M13,P13),3))/3,0)</f>
        <v>0</v>
      </c>
      <c r="W13" s="7" cm="1">
        <f t="array" ref="W13">IF(PH[[#This Row],[Number_of_Competition]:[Number_of_Competition]]&gt;=3,(LARGE(CHOOSE({1;2;3;4},H13,K13,N13,Q13),1)+LARGE(CHOOSE({1;2;3;4},H13,K13,N13,Q13),2)+LARGE(CHOOSE({1;2;3;4},H13,K13,N13,Q13),3))/3,0)</f>
        <v>0</v>
      </c>
      <c r="Y13" s="41"/>
      <c r="Z13" s="20" t="s">
        <v>277</v>
      </c>
      <c r="AA13" s="22" cm="1">
        <f t="array" ref="AA13">SUM(_xlfn._xlws.FILTER(PH[Year_Total_Score],(PH[Category]="junior")*(PH[Number_of_Competition]&gt;=3))/COUNTIFS(PH[Number_of_Competition],"&gt;=3",PH[Category],"junior"))</f>
        <v>30.616666666666664</v>
      </c>
      <c r="AB13" s="22" cm="1">
        <f t="array" ref="AB13">_xlfn.STDEV.S(_xlfn._xlws.FILTER(PH[Year_Total_Score],(PH[Category]="junior")*(PH[Number_of_Competition]&gt;=3)))</f>
        <v>5.5501160239032918</v>
      </c>
      <c r="AC13" s="22" cm="1">
        <f t="array" ref="AC13">MAX(_xlfn._xlws.FILTER(PH[Year_Total_Score],PH[Category]="junior"))</f>
        <v>37.950000000000003</v>
      </c>
      <c r="AE13" s="43" t="s">
        <v>92</v>
      </c>
      <c r="AF13" s="43" t="s">
        <v>60</v>
      </c>
      <c r="AG13" s="43" t="s">
        <v>93</v>
      </c>
      <c r="AH13" s="43" t="s">
        <v>39</v>
      </c>
      <c r="AI13">
        <v>3</v>
      </c>
      <c r="AJ13" s="43" t="s">
        <v>331</v>
      </c>
      <c r="AK13" s="43" t="s">
        <v>268</v>
      </c>
      <c r="AL13">
        <v>0</v>
      </c>
    </row>
    <row r="14" spans="1:38" x14ac:dyDescent="0.25">
      <c r="A14" t="s">
        <v>116</v>
      </c>
      <c r="B14" s="2" t="s">
        <v>60</v>
      </c>
      <c r="C14" s="2" t="s">
        <v>117</v>
      </c>
      <c r="D14" t="s">
        <v>62</v>
      </c>
      <c r="E14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14" s="4">
        <v>0</v>
      </c>
      <c r="G14" s="7">
        <v>0</v>
      </c>
      <c r="H14" s="7">
        <v>0</v>
      </c>
      <c r="I14" s="4">
        <v>0</v>
      </c>
      <c r="J14" s="7">
        <v>0</v>
      </c>
      <c r="K14" s="7">
        <v>0</v>
      </c>
      <c r="L14" s="4">
        <v>4.2</v>
      </c>
      <c r="M14" s="7">
        <v>6.5</v>
      </c>
      <c r="N14" s="7">
        <v>10.7</v>
      </c>
      <c r="O14" s="4">
        <v>4.0999999999999996</v>
      </c>
      <c r="P14" s="7">
        <v>7.9</v>
      </c>
      <c r="Q14" s="7">
        <v>12</v>
      </c>
      <c r="R14" s="4">
        <f>LARGE(CHOOSE({1;2;3;4},F14,I14,L14,O14),1)+LARGE(CHOOSE({1;2;3;4},F14,I14,L14,O14),2)+LARGE(CHOOSE({1;2;3;4},F14,I14,L14,O14),3)</f>
        <v>8.3000000000000007</v>
      </c>
      <c r="S14" s="7">
        <f>LARGE(CHOOSE({1;2;3;4},G14,J14,M14,P14),1)+LARGE(CHOOSE({1;2;3;4},G14,J14,M14,P14),2)+LARGE(CHOOSE({1;2;3;4},G14,J14,M14,P14),3)</f>
        <v>14.4</v>
      </c>
      <c r="T14" s="7">
        <f>LARGE(CHOOSE({1;2;3;4},H14,K14,N14,Q14),1)+LARGE(CHOOSE({1;2;3;4},H14,K14,N14,Q14),2)+LARGE(CHOOSE({1;2;3;4},H14,K14,N14,Q14),3)</f>
        <v>22.7</v>
      </c>
      <c r="U14" s="4" cm="1">
        <f t="array" ref="U14">IF(PH[[#This Row],[Number_of_Competition]:[Number_of_Competition]]&gt;=3,(LARGE(CHOOSE({1;2;3;4},F14,I14,L14,O14),1)+LARGE(CHOOSE({1;2;3;4},F14,I14,L14,O14),2)+LARGE(CHOOSE({1;2;3;4},F14,I14,L14,O14),3))/3,0)</f>
        <v>0</v>
      </c>
      <c r="V14" s="7" cm="1">
        <f t="array" ref="V14">IF(PH[[#This Row],[Number_of_Competition]:[Number_of_Competition]]&gt;=3,(LARGE(CHOOSE({1;2;3;4},G14,J14,M14,P14),1)+LARGE(CHOOSE({1;2;3;4},G14,J14,M14,P14),2)+LARGE(CHOOSE({1;2;3;4},G14,J14,M14,P14),3))/3,0)</f>
        <v>0</v>
      </c>
      <c r="W14" s="7" cm="1">
        <f t="array" ref="W14">IF(PH[[#This Row],[Number_of_Competition]:[Number_of_Competition]]&gt;=3,(LARGE(CHOOSE({1;2;3;4},H14,K14,N14,Q14),1)+LARGE(CHOOSE({1;2;3;4},H14,K14,N14,Q14),2)+LARGE(CHOOSE({1;2;3;4},H14,K14,N14,Q14),3))/3,0)</f>
        <v>0</v>
      </c>
      <c r="AE14" s="43" t="s">
        <v>92</v>
      </c>
      <c r="AF14" s="43" t="s">
        <v>60</v>
      </c>
      <c r="AG14" s="43" t="s">
        <v>93</v>
      </c>
      <c r="AH14" s="43" t="s">
        <v>39</v>
      </c>
      <c r="AI14">
        <v>3</v>
      </c>
      <c r="AJ14" s="43" t="s">
        <v>341</v>
      </c>
      <c r="AK14" s="43" t="s">
        <v>308</v>
      </c>
      <c r="AL14">
        <v>11.4</v>
      </c>
    </row>
    <row r="15" spans="1:38" x14ac:dyDescent="0.25">
      <c r="A15" t="s">
        <v>65</v>
      </c>
      <c r="B15" s="2" t="s">
        <v>60</v>
      </c>
      <c r="C15" s="2" t="s">
        <v>66</v>
      </c>
      <c r="D15" t="s">
        <v>67</v>
      </c>
      <c r="E15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15" s="4">
        <v>0</v>
      </c>
      <c r="G15" s="7">
        <v>0</v>
      </c>
      <c r="H15" s="7">
        <v>0</v>
      </c>
      <c r="I15" s="4">
        <v>3</v>
      </c>
      <c r="J15" s="7">
        <v>8.4</v>
      </c>
      <c r="K15" s="7">
        <v>11.4</v>
      </c>
      <c r="L15" s="4">
        <v>0</v>
      </c>
      <c r="M15" s="7">
        <v>0</v>
      </c>
      <c r="N15" s="7">
        <v>0</v>
      </c>
      <c r="O15" s="4">
        <v>3.2</v>
      </c>
      <c r="P15" s="7">
        <v>7.8</v>
      </c>
      <c r="Q15" s="7">
        <v>11</v>
      </c>
      <c r="R15" s="4">
        <f>LARGE(CHOOSE({1;2;3;4},F15,I15,L15,O15),1)+LARGE(CHOOSE({1;2;3;4},F15,I15,L15,O15),2)+LARGE(CHOOSE({1;2;3;4},F15,I15,L15,O15),3)</f>
        <v>6.2</v>
      </c>
      <c r="S15" s="7">
        <f>LARGE(CHOOSE({1;2;3;4},G15,J15,M15,P15),1)+LARGE(CHOOSE({1;2;3;4},G15,J15,M15,P15),2)+LARGE(CHOOSE({1;2;3;4},G15,J15,M15,P15),3)</f>
        <v>16.2</v>
      </c>
      <c r="T15" s="7">
        <f>LARGE(CHOOSE({1;2;3;4},H15,K15,N15,Q15),1)+LARGE(CHOOSE({1;2;3;4},H15,K15,N15,Q15),2)+LARGE(CHOOSE({1;2;3;4},H15,K15,N15,Q15),3)</f>
        <v>22.4</v>
      </c>
      <c r="U15" s="4" cm="1">
        <f t="array" ref="U15">IF(PH[[#This Row],[Number_of_Competition]:[Number_of_Competition]]&gt;=3,(LARGE(CHOOSE({1;2;3;4},F15,I15,L15,O15),1)+LARGE(CHOOSE({1;2;3;4},F15,I15,L15,O15),2)+LARGE(CHOOSE({1;2;3;4},F15,I15,L15,O15),3))/3,0)</f>
        <v>0</v>
      </c>
      <c r="V15" s="7" cm="1">
        <f t="array" ref="V15">IF(PH[[#This Row],[Number_of_Competition]:[Number_of_Competition]]&gt;=3,(LARGE(CHOOSE({1;2;3;4},G15,J15,M15,P15),1)+LARGE(CHOOSE({1;2;3;4},G15,J15,M15,P15),2)+LARGE(CHOOSE({1;2;3;4},G15,J15,M15,P15),3))/3,0)</f>
        <v>0</v>
      </c>
      <c r="W15" s="7" cm="1">
        <f t="array" ref="W15">IF(PH[[#This Row],[Number_of_Competition]:[Number_of_Competition]]&gt;=3,(LARGE(CHOOSE({1;2;3;4},H15,K15,N15,Q15),1)+LARGE(CHOOSE({1;2;3;4},H15,K15,N15,Q15),2)+LARGE(CHOOSE({1;2;3;4},H15,K15,N15,Q15),3))/3,0)</f>
        <v>0</v>
      </c>
      <c r="Y15" s="28" t="s">
        <v>296</v>
      </c>
      <c r="AE15" s="43" t="s">
        <v>92</v>
      </c>
      <c r="AF15" s="43" t="s">
        <v>60</v>
      </c>
      <c r="AG15" s="43" t="s">
        <v>93</v>
      </c>
      <c r="AH15" s="43" t="s">
        <v>39</v>
      </c>
      <c r="AI15">
        <v>3</v>
      </c>
      <c r="AJ15" s="43" t="s">
        <v>341</v>
      </c>
      <c r="AK15" s="43" t="s">
        <v>309</v>
      </c>
      <c r="AL15">
        <v>26.1</v>
      </c>
    </row>
    <row r="16" spans="1:38" x14ac:dyDescent="0.25">
      <c r="A16" t="s">
        <v>90</v>
      </c>
      <c r="B16" s="2" t="s">
        <v>60</v>
      </c>
      <c r="C16" s="2" t="s">
        <v>91</v>
      </c>
      <c r="D16" t="s">
        <v>36</v>
      </c>
      <c r="E16" s="9">
        <f>COUNTIF(PH[[#This Row],[bydgoszcz_PH_Total_Score]],"&gt;0")+COUNTIF(PH[[#This Row],[zabrze_PH_Total_Score]],"&gt;0")+COUNTIF(PH[[#This Row],[cracow_PH_Total_Score]],"&gt;0")+COUNTIF(PH[[#This Row],[gdansk_PH_Total_Score]],"&gt;0")</f>
        <v>3</v>
      </c>
      <c r="F16" s="4">
        <v>0</v>
      </c>
      <c r="G16" s="7">
        <v>0</v>
      </c>
      <c r="H16" s="7">
        <v>0</v>
      </c>
      <c r="I16" s="4">
        <v>2.6</v>
      </c>
      <c r="J16" s="7">
        <v>0</v>
      </c>
      <c r="K16" s="7">
        <v>2.6</v>
      </c>
      <c r="L16" s="4">
        <v>2.9</v>
      </c>
      <c r="M16" s="7">
        <v>5</v>
      </c>
      <c r="N16" s="7">
        <v>7.9</v>
      </c>
      <c r="O16" s="4">
        <v>3.4</v>
      </c>
      <c r="P16" s="7">
        <v>8.4</v>
      </c>
      <c r="Q16" s="7">
        <v>11.8</v>
      </c>
      <c r="R16" s="4">
        <f>LARGE(CHOOSE({1;2;3;4},F16,I16,L16,O16),1)+LARGE(CHOOSE({1;2;3;4},F16,I16,L16,O16),2)+LARGE(CHOOSE({1;2;3;4},F16,I16,L16,O16),3)</f>
        <v>8.9</v>
      </c>
      <c r="S16" s="7">
        <f>LARGE(CHOOSE({1;2;3;4},G16,J16,M16,P16),1)+LARGE(CHOOSE({1;2;3;4},G16,J16,M16,P16),2)+LARGE(CHOOSE({1;2;3;4},G16,J16,M16,P16),3)</f>
        <v>13.4</v>
      </c>
      <c r="T16" s="7">
        <f>LARGE(CHOOSE({1;2;3;4},H16,K16,N16,Q16),1)+LARGE(CHOOSE({1;2;3;4},H16,K16,N16,Q16),2)+LARGE(CHOOSE({1;2;3;4},H16,K16,N16,Q16),3)</f>
        <v>22.300000000000004</v>
      </c>
      <c r="U16" s="4" cm="1">
        <f t="array" ref="U16">IF(PH[[#This Row],[Number_of_Competition]:[Number_of_Competition]]&gt;=3,(LARGE(CHOOSE({1;2;3;4},F16,I16,L16,O16),1)+LARGE(CHOOSE({1;2;3;4},F16,I16,L16,O16),2)+LARGE(CHOOSE({1;2;3;4},F16,I16,L16,O16),3))/3,0)</f>
        <v>2.9666666666666668</v>
      </c>
      <c r="V16" s="7" cm="1">
        <f t="array" ref="V16">IF(PH[[#This Row],[Number_of_Competition]:[Number_of_Competition]]&gt;=3,(LARGE(CHOOSE({1;2;3;4},G16,J16,M16,P16),1)+LARGE(CHOOSE({1;2;3;4},G16,J16,M16,P16),2)+LARGE(CHOOSE({1;2;3;4},G16,J16,M16,P16),3))/3,0)</f>
        <v>4.4666666666666668</v>
      </c>
      <c r="W16" s="7" cm="1">
        <f t="array" ref="W16">IF(PH[[#This Row],[Number_of_Competition]:[Number_of_Competition]]&gt;=3,(LARGE(CHOOSE({1;2;3;4},H16,K16,N16,Q16),1)+LARGE(CHOOSE({1;2;3;4},H16,K16,N16,Q16),2)+LARGE(CHOOSE({1;2;3;4},H16,K16,N16,Q16),3))/3,0)</f>
        <v>7.4333333333333345</v>
      </c>
      <c r="Y16" s="29" t="s">
        <v>297</v>
      </c>
      <c r="AE16" s="43" t="s">
        <v>92</v>
      </c>
      <c r="AF16" s="43" t="s">
        <v>60</v>
      </c>
      <c r="AG16" s="43" t="s">
        <v>93</v>
      </c>
      <c r="AH16" s="43" t="s">
        <v>39</v>
      </c>
      <c r="AI16">
        <v>3</v>
      </c>
      <c r="AJ16" s="43" t="s">
        <v>341</v>
      </c>
      <c r="AK16" s="43" t="s">
        <v>268</v>
      </c>
      <c r="AL16">
        <v>37.5</v>
      </c>
    </row>
    <row r="17" spans="1:38" x14ac:dyDescent="0.25">
      <c r="A17" t="s">
        <v>70</v>
      </c>
      <c r="B17" s="2" t="s">
        <v>60</v>
      </c>
      <c r="C17" s="2" t="s">
        <v>71</v>
      </c>
      <c r="D17" t="s">
        <v>72</v>
      </c>
      <c r="E17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17" s="4">
        <v>0</v>
      </c>
      <c r="G17" s="7">
        <v>0</v>
      </c>
      <c r="H17" s="7">
        <v>0</v>
      </c>
      <c r="I17" s="4">
        <v>3.3</v>
      </c>
      <c r="J17" s="7">
        <v>6</v>
      </c>
      <c r="K17" s="7">
        <v>9.3000000000000007</v>
      </c>
      <c r="L17" s="4">
        <v>3.6</v>
      </c>
      <c r="M17" s="7">
        <v>6.7</v>
      </c>
      <c r="N17" s="7">
        <v>10.3</v>
      </c>
      <c r="O17" s="4">
        <v>0</v>
      </c>
      <c r="P17" s="7">
        <v>0</v>
      </c>
      <c r="Q17" s="7">
        <v>0</v>
      </c>
      <c r="R17" s="4">
        <f>LARGE(CHOOSE({1;2;3;4},F17,I17,L17,O17),1)+LARGE(CHOOSE({1;2;3;4},F17,I17,L17,O17),2)+LARGE(CHOOSE({1;2;3;4},F17,I17,L17,O17),3)</f>
        <v>6.9</v>
      </c>
      <c r="S17" s="7">
        <f>LARGE(CHOOSE({1;2;3;4},G17,J17,M17,P17),1)+LARGE(CHOOSE({1;2;3;4},G17,J17,M17,P17),2)+LARGE(CHOOSE({1;2;3;4},G17,J17,M17,P17),3)</f>
        <v>12.7</v>
      </c>
      <c r="T17" s="7">
        <f>LARGE(CHOOSE({1;2;3;4},H17,K17,N17,Q17),1)+LARGE(CHOOSE({1;2;3;4},H17,K17,N17,Q17),2)+LARGE(CHOOSE({1;2;3;4},H17,K17,N17,Q17),3)</f>
        <v>19.600000000000001</v>
      </c>
      <c r="U17" s="4" cm="1">
        <f t="array" ref="U17">IF(PH[[#This Row],[Number_of_Competition]:[Number_of_Competition]]&gt;=3,(LARGE(CHOOSE({1;2;3;4},F17,I17,L17,O17),1)+LARGE(CHOOSE({1;2;3;4},F17,I17,L17,O17),2)+LARGE(CHOOSE({1;2;3;4},F17,I17,L17,O17),3))/3,0)</f>
        <v>0</v>
      </c>
      <c r="V17" s="7" cm="1">
        <f t="array" ref="V17">IF(PH[[#This Row],[Number_of_Competition]:[Number_of_Competition]]&gt;=3,(LARGE(CHOOSE({1;2;3;4},G17,J17,M17,P17),1)+LARGE(CHOOSE({1;2;3;4},G17,J17,M17,P17),2)+LARGE(CHOOSE({1;2;3;4},G17,J17,M17,P17),3))/3,0)</f>
        <v>0</v>
      </c>
      <c r="W17" s="7" cm="1">
        <f t="array" ref="W17">IF(PH[[#This Row],[Number_of_Competition]:[Number_of_Competition]]&gt;=3,(LARGE(CHOOSE({1;2;3;4},H17,K17,N17,Q17),1)+LARGE(CHOOSE({1;2;3;4},H17,K17,N17,Q17),2)+LARGE(CHOOSE({1;2;3;4},H17,K17,N17,Q17),3))/3,0)</f>
        <v>0</v>
      </c>
      <c r="Y17" s="30" t="s">
        <v>298</v>
      </c>
      <c r="AE17" s="43" t="s">
        <v>92</v>
      </c>
      <c r="AF17" s="43" t="s">
        <v>60</v>
      </c>
      <c r="AG17" s="43" t="s">
        <v>93</v>
      </c>
      <c r="AH17" s="43" t="s">
        <v>39</v>
      </c>
      <c r="AI17">
        <v>3</v>
      </c>
      <c r="AJ17" s="43" t="s">
        <v>344</v>
      </c>
      <c r="AK17" s="43" t="s">
        <v>308</v>
      </c>
      <c r="AL17">
        <v>3.8000000000000003</v>
      </c>
    </row>
    <row r="18" spans="1:38" x14ac:dyDescent="0.25">
      <c r="A18" t="s">
        <v>82</v>
      </c>
      <c r="B18" s="2" t="s">
        <v>60</v>
      </c>
      <c r="C18" s="2" t="s">
        <v>83</v>
      </c>
      <c r="D18" t="s">
        <v>36</v>
      </c>
      <c r="E18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18" s="4">
        <v>0</v>
      </c>
      <c r="G18" s="7">
        <v>0</v>
      </c>
      <c r="H18" s="7">
        <v>0</v>
      </c>
      <c r="I18" s="4">
        <v>3.4</v>
      </c>
      <c r="J18" s="7">
        <v>5.5</v>
      </c>
      <c r="K18" s="7">
        <v>8.9</v>
      </c>
      <c r="L18" s="4">
        <v>0</v>
      </c>
      <c r="M18" s="7">
        <v>0</v>
      </c>
      <c r="N18" s="7">
        <v>0</v>
      </c>
      <c r="O18" s="4">
        <v>3.4</v>
      </c>
      <c r="P18" s="7">
        <v>6.4</v>
      </c>
      <c r="Q18" s="7">
        <v>9.8000000000000007</v>
      </c>
      <c r="R18" s="4">
        <f>LARGE(CHOOSE({1;2;3;4},F18,I18,L18,O18),1)+LARGE(CHOOSE({1;2;3;4},F18,I18,L18,O18),2)+LARGE(CHOOSE({1;2;3;4},F18,I18,L18,O18),3)</f>
        <v>6.8</v>
      </c>
      <c r="S18" s="7">
        <f>LARGE(CHOOSE({1;2;3;4},G18,J18,M18,P18),1)+LARGE(CHOOSE({1;2;3;4},G18,J18,M18,P18),2)+LARGE(CHOOSE({1;2;3;4},G18,J18,M18,P18),3)</f>
        <v>11.9</v>
      </c>
      <c r="T18" s="7">
        <f>LARGE(CHOOSE({1;2;3;4},H18,K18,N18,Q18),1)+LARGE(CHOOSE({1;2;3;4},H18,K18,N18,Q18),2)+LARGE(CHOOSE({1;2;3;4},H18,K18,N18,Q18),3)</f>
        <v>18.700000000000003</v>
      </c>
      <c r="U18" s="4" cm="1">
        <f t="array" ref="U18">IF(PH[[#This Row],[Number_of_Competition]:[Number_of_Competition]]&gt;=3,(LARGE(CHOOSE({1;2;3;4},F18,I18,L18,O18),1)+LARGE(CHOOSE({1;2;3;4},F18,I18,L18,O18),2)+LARGE(CHOOSE({1;2;3;4},F18,I18,L18,O18),3))/3,0)</f>
        <v>0</v>
      </c>
      <c r="V18" s="7" cm="1">
        <f t="array" ref="V18">IF(PH[[#This Row],[Number_of_Competition]:[Number_of_Competition]]&gt;=3,(LARGE(CHOOSE({1;2;3;4},G18,J18,M18,P18),1)+LARGE(CHOOSE({1;2;3;4},G18,J18,M18,P18),2)+LARGE(CHOOSE({1;2;3;4},G18,J18,M18,P18),3))/3,0)</f>
        <v>0</v>
      </c>
      <c r="W18" s="7" cm="1">
        <f t="array" ref="W18">IF(PH[[#This Row],[Number_of_Competition]:[Number_of_Competition]]&gt;=3,(LARGE(CHOOSE({1;2;3;4},H18,K18,N18,Q18),1)+LARGE(CHOOSE({1;2;3;4},H18,K18,N18,Q18),2)+LARGE(CHOOSE({1;2;3;4},H18,K18,N18,Q18),3))/3,0)</f>
        <v>0</v>
      </c>
      <c r="Y18" s="31" t="s">
        <v>300</v>
      </c>
      <c r="AE18" s="43" t="s">
        <v>92</v>
      </c>
      <c r="AF18" s="43" t="s">
        <v>60</v>
      </c>
      <c r="AG18" s="43" t="s">
        <v>93</v>
      </c>
      <c r="AH18" s="43" t="s">
        <v>39</v>
      </c>
      <c r="AI18">
        <v>3</v>
      </c>
      <c r="AJ18" s="43" t="s">
        <v>344</v>
      </c>
      <c r="AK18" s="43" t="s">
        <v>309</v>
      </c>
      <c r="AL18">
        <v>8.7000000000000011</v>
      </c>
    </row>
    <row r="19" spans="1:38" x14ac:dyDescent="0.25">
      <c r="A19" t="s">
        <v>110</v>
      </c>
      <c r="B19" s="2" t="s">
        <v>60</v>
      </c>
      <c r="C19" s="2" t="s">
        <v>111</v>
      </c>
      <c r="D19" t="s">
        <v>36</v>
      </c>
      <c r="E19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19" s="4">
        <v>0</v>
      </c>
      <c r="G19" s="7">
        <v>0</v>
      </c>
      <c r="H19" s="7">
        <v>0</v>
      </c>
      <c r="I19" s="4">
        <v>3.1</v>
      </c>
      <c r="J19" s="7">
        <v>6</v>
      </c>
      <c r="K19" s="7">
        <v>9.1</v>
      </c>
      <c r="L19" s="4">
        <v>3.5</v>
      </c>
      <c r="M19" s="7">
        <v>5.6</v>
      </c>
      <c r="N19" s="7">
        <v>9.1</v>
      </c>
      <c r="O19" s="4">
        <v>0</v>
      </c>
      <c r="P19" s="7">
        <v>0</v>
      </c>
      <c r="Q19" s="7">
        <v>0</v>
      </c>
      <c r="R19" s="4">
        <f>LARGE(CHOOSE({1;2;3;4},F19,I19,L19,O19),1)+LARGE(CHOOSE({1;2;3;4},F19,I19,L19,O19),2)+LARGE(CHOOSE({1;2;3;4},F19,I19,L19,O19),3)</f>
        <v>6.6</v>
      </c>
      <c r="S19" s="7">
        <f>LARGE(CHOOSE({1;2;3;4},G19,J19,M19,P19),1)+LARGE(CHOOSE({1;2;3;4},G19,J19,M19,P19),2)+LARGE(CHOOSE({1;2;3;4},G19,J19,M19,P19),3)</f>
        <v>11.6</v>
      </c>
      <c r="T19" s="7">
        <f>LARGE(CHOOSE({1;2;3;4},H19,K19,N19,Q19),1)+LARGE(CHOOSE({1;2;3;4},H19,K19,N19,Q19),2)+LARGE(CHOOSE({1;2;3;4},H19,K19,N19,Q19),3)</f>
        <v>18.2</v>
      </c>
      <c r="U19" s="4" cm="1">
        <f t="array" ref="U19">IF(PH[[#This Row],[Number_of_Competition]:[Number_of_Competition]]&gt;=3,(LARGE(CHOOSE({1;2;3;4},F19,I19,L19,O19),1)+LARGE(CHOOSE({1;2;3;4},F19,I19,L19,O19),2)+LARGE(CHOOSE({1;2;3;4},F19,I19,L19,O19),3))/3,0)</f>
        <v>0</v>
      </c>
      <c r="V19" s="7" cm="1">
        <f t="array" ref="V19">IF(PH[[#This Row],[Number_of_Competition]:[Number_of_Competition]]&gt;=3,(LARGE(CHOOSE({1;2;3;4},G19,J19,M19,P19),1)+LARGE(CHOOSE({1;2;3;4},G19,J19,M19,P19),2)+LARGE(CHOOSE({1;2;3;4},G19,J19,M19,P19),3))/3,0)</f>
        <v>0</v>
      </c>
      <c r="W19" s="7" cm="1">
        <f t="array" ref="W19">IF(PH[[#This Row],[Number_of_Competition]:[Number_of_Competition]]&gt;=3,(LARGE(CHOOSE({1;2;3;4},H19,K19,N19,Q19),1)+LARGE(CHOOSE({1;2;3;4},H19,K19,N19,Q19),2)+LARGE(CHOOSE({1;2;3;4},H19,K19,N19,Q19),3))/3,0)</f>
        <v>0</v>
      </c>
      <c r="Y19" s="32" t="s">
        <v>299</v>
      </c>
      <c r="AE19" s="43" t="s">
        <v>92</v>
      </c>
      <c r="AF19" s="43" t="s">
        <v>60</v>
      </c>
      <c r="AG19" s="43" t="s">
        <v>93</v>
      </c>
      <c r="AH19" s="43" t="s">
        <v>39</v>
      </c>
      <c r="AI19">
        <v>3</v>
      </c>
      <c r="AJ19" s="43" t="s">
        <v>344</v>
      </c>
      <c r="AK19" s="43" t="s">
        <v>268</v>
      </c>
      <c r="AL19">
        <v>12.5</v>
      </c>
    </row>
    <row r="20" spans="1:38" x14ac:dyDescent="0.25">
      <c r="A20" t="s">
        <v>88</v>
      </c>
      <c r="B20" s="2" t="s">
        <v>60</v>
      </c>
      <c r="C20" s="2" t="s">
        <v>89</v>
      </c>
      <c r="D20" t="s">
        <v>36</v>
      </c>
      <c r="E20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20" s="4">
        <v>0</v>
      </c>
      <c r="G20" s="7">
        <v>0</v>
      </c>
      <c r="H20" s="7">
        <v>0</v>
      </c>
      <c r="I20" s="4">
        <v>2.7</v>
      </c>
      <c r="J20" s="7">
        <v>7</v>
      </c>
      <c r="K20" s="7">
        <v>9.6999999999999993</v>
      </c>
      <c r="L20" s="4">
        <v>0</v>
      </c>
      <c r="M20" s="7">
        <v>0</v>
      </c>
      <c r="N20" s="7">
        <v>0</v>
      </c>
      <c r="O20" s="4">
        <v>2.4</v>
      </c>
      <c r="P20" s="7">
        <v>5.8</v>
      </c>
      <c r="Q20" s="7">
        <v>8.1999999999999993</v>
      </c>
      <c r="R20" s="4">
        <f>LARGE(CHOOSE({1;2;3;4},F20,I20,L20,O20),1)+LARGE(CHOOSE({1;2;3;4},F20,I20,L20,O20),2)+LARGE(CHOOSE({1;2;3;4},F20,I20,L20,O20),3)</f>
        <v>5.0999999999999996</v>
      </c>
      <c r="S20" s="7">
        <f>LARGE(CHOOSE({1;2;3;4},G20,J20,M20,P20),1)+LARGE(CHOOSE({1;2;3;4},G20,J20,M20,P20),2)+LARGE(CHOOSE({1;2;3;4},G20,J20,M20,P20),3)</f>
        <v>12.8</v>
      </c>
      <c r="T20" s="7">
        <f>LARGE(CHOOSE({1;2;3;4},H20,K20,N20,Q20),1)+LARGE(CHOOSE({1;2;3;4},H20,K20,N20,Q20),2)+LARGE(CHOOSE({1;2;3;4},H20,K20,N20,Q20),3)</f>
        <v>17.899999999999999</v>
      </c>
      <c r="U20" s="4" cm="1">
        <f t="array" ref="U20">IF(PH[[#This Row],[Number_of_Competition]:[Number_of_Competition]]&gt;=3,(LARGE(CHOOSE({1;2;3;4},F20,I20,L20,O20),1)+LARGE(CHOOSE({1;2;3;4},F20,I20,L20,O20),2)+LARGE(CHOOSE({1;2;3;4},F20,I20,L20,O20),3))/3,0)</f>
        <v>0</v>
      </c>
      <c r="V20" s="7" cm="1">
        <f t="array" ref="V20">IF(PH[[#This Row],[Number_of_Competition]:[Number_of_Competition]]&gt;=3,(LARGE(CHOOSE({1;2;3;4},G20,J20,M20,P20),1)+LARGE(CHOOSE({1;2;3;4},G20,J20,M20,P20),2)+LARGE(CHOOSE({1;2;3;4},G20,J20,M20,P20),3))/3,0)</f>
        <v>0</v>
      </c>
      <c r="W20" s="7" cm="1">
        <f t="array" ref="W20">IF(PH[[#This Row],[Number_of_Competition]:[Number_of_Competition]]&gt;=3,(LARGE(CHOOSE({1;2;3;4},H20,K20,N20,Q20),1)+LARGE(CHOOSE({1;2;3;4},H20,K20,N20,Q20),2)+LARGE(CHOOSE({1;2;3;4},H20,K20,N20,Q20),3))/3,0)</f>
        <v>0</v>
      </c>
      <c r="Y20" s="33" t="s">
        <v>252</v>
      </c>
      <c r="AE20" s="43" t="s">
        <v>59</v>
      </c>
      <c r="AF20" s="43" t="s">
        <v>60</v>
      </c>
      <c r="AG20" s="43" t="s">
        <v>61</v>
      </c>
      <c r="AH20" s="43" t="s">
        <v>62</v>
      </c>
      <c r="AI20">
        <v>3</v>
      </c>
      <c r="AJ20" s="43" t="s">
        <v>317</v>
      </c>
      <c r="AK20" s="43" t="s">
        <v>308</v>
      </c>
      <c r="AL20">
        <v>0</v>
      </c>
    </row>
    <row r="21" spans="1:38" x14ac:dyDescent="0.25">
      <c r="A21" t="s">
        <v>98</v>
      </c>
      <c r="B21" s="2" t="s">
        <v>60</v>
      </c>
      <c r="C21" s="2" t="s">
        <v>99</v>
      </c>
      <c r="D21" t="s">
        <v>72</v>
      </c>
      <c r="E21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21" s="4">
        <v>0</v>
      </c>
      <c r="G21" s="7">
        <v>0</v>
      </c>
      <c r="H21" s="7">
        <v>0</v>
      </c>
      <c r="I21" s="4">
        <v>3.4</v>
      </c>
      <c r="J21" s="7">
        <v>7</v>
      </c>
      <c r="K21" s="7">
        <v>10.4</v>
      </c>
      <c r="L21" s="4">
        <v>3.3</v>
      </c>
      <c r="M21" s="7">
        <v>4.1500000000000004</v>
      </c>
      <c r="N21" s="7">
        <v>7.45</v>
      </c>
      <c r="O21" s="4">
        <v>0</v>
      </c>
      <c r="P21" s="7">
        <v>0</v>
      </c>
      <c r="Q21" s="7">
        <v>0</v>
      </c>
      <c r="R21" s="4">
        <f>LARGE(CHOOSE({1;2;3;4},F21,I21,L21,O21),1)+LARGE(CHOOSE({1;2;3;4},F21,I21,L21,O21),2)+LARGE(CHOOSE({1;2;3;4},F21,I21,L21,O21),3)</f>
        <v>6.6999999999999993</v>
      </c>
      <c r="S21" s="7">
        <f>LARGE(CHOOSE({1;2;3;4},G21,J21,M21,P21),1)+LARGE(CHOOSE({1;2;3;4},G21,J21,M21,P21),2)+LARGE(CHOOSE({1;2;3;4},G21,J21,M21,P21),3)</f>
        <v>11.15</v>
      </c>
      <c r="T21" s="7">
        <f>LARGE(CHOOSE({1;2;3;4},H21,K21,N21,Q21),1)+LARGE(CHOOSE({1;2;3;4},H21,K21,N21,Q21),2)+LARGE(CHOOSE({1;2;3;4},H21,K21,N21,Q21),3)</f>
        <v>17.850000000000001</v>
      </c>
      <c r="U21" s="4" cm="1">
        <f t="array" ref="U21">IF(PH[[#This Row],[Number_of_Competition]:[Number_of_Competition]]&gt;=3,(LARGE(CHOOSE({1;2;3;4},F21,I21,L21,O21),1)+LARGE(CHOOSE({1;2;3;4},F21,I21,L21,O21),2)+LARGE(CHOOSE({1;2;3;4},F21,I21,L21,O21),3))/3,0)</f>
        <v>0</v>
      </c>
      <c r="V21" s="7" cm="1">
        <f t="array" ref="V21">IF(PH[[#This Row],[Number_of_Competition]:[Number_of_Competition]]&gt;=3,(LARGE(CHOOSE({1;2;3;4},G21,J21,M21,P21),1)+LARGE(CHOOSE({1;2;3;4},G21,J21,M21,P21),2)+LARGE(CHOOSE({1;2;3;4},G21,J21,M21,P21),3))/3,0)</f>
        <v>0</v>
      </c>
      <c r="W21" s="7" cm="1">
        <f t="array" ref="W21">IF(PH[[#This Row],[Number_of_Competition]:[Number_of_Competition]]&gt;=3,(LARGE(CHOOSE({1;2;3;4},H21,K21,N21,Q21),1)+LARGE(CHOOSE({1;2;3;4},H21,K21,N21,Q21),2)+LARGE(CHOOSE({1;2;3;4},H21,K21,N21,Q21),3))/3,0)</f>
        <v>0</v>
      </c>
      <c r="Y21" s="34" t="s">
        <v>301</v>
      </c>
      <c r="AE21" s="43" t="s">
        <v>59</v>
      </c>
      <c r="AF21" s="43" t="s">
        <v>60</v>
      </c>
      <c r="AG21" s="43" t="s">
        <v>61</v>
      </c>
      <c r="AH21" s="43" t="s">
        <v>62</v>
      </c>
      <c r="AI21">
        <v>3</v>
      </c>
      <c r="AJ21" s="43" t="s">
        <v>317</v>
      </c>
      <c r="AK21" s="43" t="s">
        <v>309</v>
      </c>
      <c r="AL21">
        <v>0</v>
      </c>
    </row>
    <row r="22" spans="1:38" x14ac:dyDescent="0.25">
      <c r="A22" t="s">
        <v>118</v>
      </c>
      <c r="B22" s="2" t="s">
        <v>60</v>
      </c>
      <c r="C22" s="2" t="s">
        <v>119</v>
      </c>
      <c r="D22" t="s">
        <v>31</v>
      </c>
      <c r="E22" s="9">
        <f>COUNTIF(PH[[#This Row],[bydgoszcz_PH_Total_Score]],"&gt;0")+COUNTIF(PH[[#This Row],[zabrze_PH_Total_Score]],"&gt;0")+COUNTIF(PH[[#This Row],[cracow_PH_Total_Score]],"&gt;0")+COUNTIF(PH[[#This Row],[gdansk_PH_Total_Score]],"&gt;0")</f>
        <v>1</v>
      </c>
      <c r="F22" s="4">
        <v>0</v>
      </c>
      <c r="G22" s="7">
        <v>0</v>
      </c>
      <c r="H22" s="7">
        <v>0</v>
      </c>
      <c r="I22" s="4">
        <v>0</v>
      </c>
      <c r="J22" s="7">
        <v>0</v>
      </c>
      <c r="K22" s="7">
        <v>0</v>
      </c>
      <c r="L22" s="4">
        <v>4.5999999999999996</v>
      </c>
      <c r="M22" s="7">
        <v>7.7</v>
      </c>
      <c r="N22" s="7">
        <v>12.3</v>
      </c>
      <c r="O22" s="4">
        <v>0</v>
      </c>
      <c r="P22" s="7">
        <v>0</v>
      </c>
      <c r="Q22" s="7">
        <v>0</v>
      </c>
      <c r="R22" s="4">
        <f>LARGE(CHOOSE({1;2;3;4},F22,I22,L22,O22),1)+LARGE(CHOOSE({1;2;3;4},F22,I22,L22,O22),2)+LARGE(CHOOSE({1;2;3;4},F22,I22,L22,O22),3)</f>
        <v>4.5999999999999996</v>
      </c>
      <c r="S22" s="7">
        <f>LARGE(CHOOSE({1;2;3;4},G22,J22,M22,P22),1)+LARGE(CHOOSE({1;2;3;4},G22,J22,M22,P22),2)+LARGE(CHOOSE({1;2;3;4},G22,J22,M22,P22),3)</f>
        <v>7.7</v>
      </c>
      <c r="T22" s="7">
        <f>LARGE(CHOOSE({1;2;3;4},H22,K22,N22,Q22),1)+LARGE(CHOOSE({1;2;3;4},H22,K22,N22,Q22),2)+LARGE(CHOOSE({1;2;3;4},H22,K22,N22,Q22),3)</f>
        <v>12.3</v>
      </c>
      <c r="U22" s="4" cm="1">
        <f t="array" ref="U22">IF(PH[[#This Row],[Number_of_Competition]:[Number_of_Competition]]&gt;=3,(LARGE(CHOOSE({1;2;3;4},F22,I22,L22,O22),1)+LARGE(CHOOSE({1;2;3;4},F22,I22,L22,O22),2)+LARGE(CHOOSE({1;2;3;4},F22,I22,L22,O22),3))/3,0)</f>
        <v>0</v>
      </c>
      <c r="V22" s="7" cm="1">
        <f t="array" ref="V22">IF(PH[[#This Row],[Number_of_Competition]:[Number_of_Competition]]&gt;=3,(LARGE(CHOOSE({1;2;3;4},G22,J22,M22,P22),1)+LARGE(CHOOSE({1;2;3;4},G22,J22,M22,P22),2)+LARGE(CHOOSE({1;2;3;4},G22,J22,M22,P22),3))/3,0)</f>
        <v>0</v>
      </c>
      <c r="W22" s="7" cm="1">
        <f t="array" ref="W22">IF(PH[[#This Row],[Number_of_Competition]:[Number_of_Competition]]&gt;=3,(LARGE(CHOOSE({1;2;3;4},H22,K22,N22,Q22),1)+LARGE(CHOOSE({1;2;3;4},H22,K22,N22,Q22),2)+LARGE(CHOOSE({1;2;3;4},H22,K22,N22,Q22),3))/3,0)</f>
        <v>0</v>
      </c>
      <c r="Y22" s="37" t="s">
        <v>304</v>
      </c>
      <c r="AE22" s="43" t="s">
        <v>59</v>
      </c>
      <c r="AF22" s="43" t="s">
        <v>60</v>
      </c>
      <c r="AG22" s="43" t="s">
        <v>61</v>
      </c>
      <c r="AH22" s="43" t="s">
        <v>62</v>
      </c>
      <c r="AI22">
        <v>3</v>
      </c>
      <c r="AJ22" s="43" t="s">
        <v>317</v>
      </c>
      <c r="AK22" s="43" t="s">
        <v>268</v>
      </c>
      <c r="AL22">
        <v>0</v>
      </c>
    </row>
    <row r="23" spans="1:38" x14ac:dyDescent="0.25">
      <c r="A23" t="s">
        <v>142</v>
      </c>
      <c r="B23" s="2" t="s">
        <v>60</v>
      </c>
      <c r="C23" s="2" t="s">
        <v>143</v>
      </c>
      <c r="D23" t="s">
        <v>62</v>
      </c>
      <c r="E23" s="9">
        <f>COUNTIF(PH[[#This Row],[bydgoszcz_PH_Total_Score]],"&gt;0")+COUNTIF(PH[[#This Row],[zabrze_PH_Total_Score]],"&gt;0")+COUNTIF(PH[[#This Row],[cracow_PH_Total_Score]],"&gt;0")+COUNTIF(PH[[#This Row],[gdansk_PH_Total_Score]],"&gt;0")</f>
        <v>1</v>
      </c>
      <c r="F23" s="4">
        <v>3.8</v>
      </c>
      <c r="G23" s="7">
        <v>7.9</v>
      </c>
      <c r="H23" s="7">
        <v>11.7</v>
      </c>
      <c r="I23" s="4">
        <v>0</v>
      </c>
      <c r="J23" s="7">
        <v>0</v>
      </c>
      <c r="K23" s="7">
        <v>0</v>
      </c>
      <c r="L23" s="4">
        <v>0</v>
      </c>
      <c r="M23" s="7">
        <v>0</v>
      </c>
      <c r="N23" s="7">
        <v>0</v>
      </c>
      <c r="O23" s="4">
        <v>0</v>
      </c>
      <c r="P23" s="7">
        <v>0</v>
      </c>
      <c r="Q23" s="7">
        <v>0</v>
      </c>
      <c r="R23" s="4">
        <f>LARGE(CHOOSE({1;2;3;4},F23,I23,L23,O23),1)+LARGE(CHOOSE({1;2;3;4},F23,I23,L23,O23),2)+LARGE(CHOOSE({1;2;3;4},F23,I23,L23,O23),3)</f>
        <v>3.8</v>
      </c>
      <c r="S23" s="7">
        <f>LARGE(CHOOSE({1;2;3;4},G23,J23,M23,P23),1)+LARGE(CHOOSE({1;2;3;4},G23,J23,M23,P23),2)+LARGE(CHOOSE({1;2;3;4},G23,J23,M23,P23),3)</f>
        <v>7.9</v>
      </c>
      <c r="T23" s="7">
        <f>LARGE(CHOOSE({1;2;3;4},H23,K23,N23,Q23),1)+LARGE(CHOOSE({1;2;3;4},H23,K23,N23,Q23),2)+LARGE(CHOOSE({1;2;3;4},H23,K23,N23,Q23),3)</f>
        <v>11.7</v>
      </c>
      <c r="U23" s="4" cm="1">
        <f t="array" ref="U23">IF(PH[[#This Row],[Number_of_Competition]:[Number_of_Competition]]&gt;=3,(LARGE(CHOOSE({1;2;3;4},F23,I23,L23,O23),1)+LARGE(CHOOSE({1;2;3;4},F23,I23,L23,O23),2)+LARGE(CHOOSE({1;2;3;4},F23,I23,L23,O23),3))/3,0)</f>
        <v>0</v>
      </c>
      <c r="V23" s="7" cm="1">
        <f t="array" ref="V23">IF(PH[[#This Row],[Number_of_Competition]:[Number_of_Competition]]&gt;=3,(LARGE(CHOOSE({1;2;3;4},G23,J23,M23,P23),1)+LARGE(CHOOSE({1;2;3;4},G23,J23,M23,P23),2)+LARGE(CHOOSE({1;2;3;4},G23,J23,M23,P23),3))/3,0)</f>
        <v>0</v>
      </c>
      <c r="W23" s="7" cm="1">
        <f t="array" ref="W23">IF(PH[[#This Row],[Number_of_Competition]:[Number_of_Competition]]&gt;=3,(LARGE(CHOOSE({1;2;3;4},H23,K23,N23,Q23),1)+LARGE(CHOOSE({1;2;3;4},H23,K23,N23,Q23),2)+LARGE(CHOOSE({1;2;3;4},H23,K23,N23,Q23),3))/3,0)</f>
        <v>0</v>
      </c>
      <c r="Y23" s="35" t="s">
        <v>302</v>
      </c>
      <c r="AE23" s="43" t="s">
        <v>59</v>
      </c>
      <c r="AF23" s="43" t="s">
        <v>60</v>
      </c>
      <c r="AG23" s="43" t="s">
        <v>61</v>
      </c>
      <c r="AH23" s="43" t="s">
        <v>62</v>
      </c>
      <c r="AI23">
        <v>3</v>
      </c>
      <c r="AJ23" s="43" t="s">
        <v>325</v>
      </c>
      <c r="AK23" s="43" t="s">
        <v>308</v>
      </c>
      <c r="AL23">
        <v>4.9000000000000004</v>
      </c>
    </row>
    <row r="24" spans="1:38" x14ac:dyDescent="0.25">
      <c r="A24" t="s">
        <v>106</v>
      </c>
      <c r="B24" s="2" t="s">
        <v>60</v>
      </c>
      <c r="C24" s="2" t="s">
        <v>107</v>
      </c>
      <c r="D24" t="s">
        <v>31</v>
      </c>
      <c r="E24" s="9">
        <f>COUNTIF(PH[[#This Row],[bydgoszcz_PH_Total_Score]],"&gt;0")+COUNTIF(PH[[#This Row],[zabrze_PH_Total_Score]],"&gt;0")+COUNTIF(PH[[#This Row],[cracow_PH_Total_Score]],"&gt;0")+COUNTIF(PH[[#This Row],[gdansk_PH_Total_Score]],"&gt;0")</f>
        <v>1</v>
      </c>
      <c r="F24" s="4">
        <v>2.2999999999999998</v>
      </c>
      <c r="G24" s="7">
        <v>2</v>
      </c>
      <c r="H24" s="7">
        <v>4.3</v>
      </c>
      <c r="I24" s="4">
        <v>0</v>
      </c>
      <c r="J24" s="7">
        <v>0</v>
      </c>
      <c r="K24" s="7">
        <v>0</v>
      </c>
      <c r="L24" s="4">
        <v>0</v>
      </c>
      <c r="M24" s="7">
        <v>0</v>
      </c>
      <c r="N24" s="7">
        <v>0</v>
      </c>
      <c r="O24" s="4">
        <v>0</v>
      </c>
      <c r="P24" s="7">
        <v>0</v>
      </c>
      <c r="Q24" s="7">
        <v>0</v>
      </c>
      <c r="R24" s="4">
        <f>LARGE(CHOOSE({1;2;3;4},F24,I24,L24,O24),1)+LARGE(CHOOSE({1;2;3;4},F24,I24,L24,O24),2)+LARGE(CHOOSE({1;2;3;4},F24,I24,L24,O24),3)</f>
        <v>2.2999999999999998</v>
      </c>
      <c r="S24" s="7">
        <f>LARGE(CHOOSE({1;2;3;4},G24,J24,M24,P24),1)+LARGE(CHOOSE({1;2;3;4},G24,J24,M24,P24),2)+LARGE(CHOOSE({1;2;3;4},G24,J24,M24,P24),3)</f>
        <v>2</v>
      </c>
      <c r="T24" s="7">
        <f>LARGE(CHOOSE({1;2;3;4},H24,K24,N24,Q24),1)+LARGE(CHOOSE({1;2;3;4},H24,K24,N24,Q24),2)+LARGE(CHOOSE({1;2;3;4},H24,K24,N24,Q24),3)</f>
        <v>4.3</v>
      </c>
      <c r="U24" s="4" cm="1">
        <f t="array" ref="U24">IF(PH[[#This Row],[Number_of_Competition]:[Number_of_Competition]]&gt;=3,(LARGE(CHOOSE({1;2;3;4},F24,I24,L24,O24),1)+LARGE(CHOOSE({1;2;3;4},F24,I24,L24,O24),2)+LARGE(CHOOSE({1;2;3;4},F24,I24,L24,O24),3))/3,0)</f>
        <v>0</v>
      </c>
      <c r="V24" s="7" cm="1">
        <f t="array" ref="V24">IF(PH[[#This Row],[Number_of_Competition]:[Number_of_Competition]]&gt;=3,(LARGE(CHOOSE({1;2;3;4},G24,J24,M24,P24),1)+LARGE(CHOOSE({1;2;3;4},G24,J24,M24,P24),2)+LARGE(CHOOSE({1;2;3;4},G24,J24,M24,P24),3))/3,0)</f>
        <v>0</v>
      </c>
      <c r="W24" s="7" cm="1">
        <f t="array" ref="W24">IF(PH[[#This Row],[Number_of_Competition]:[Number_of_Competition]]&gt;=3,(LARGE(CHOOSE({1;2;3;4},H24,K24,N24,Q24),1)+LARGE(CHOOSE({1;2;3;4},H24,K24,N24,Q24),2)+LARGE(CHOOSE({1;2;3;4},H24,K24,N24,Q24),3))/3,0)</f>
        <v>0</v>
      </c>
      <c r="Y24" s="36" t="s">
        <v>303</v>
      </c>
      <c r="AE24" s="43" t="s">
        <v>59</v>
      </c>
      <c r="AF24" s="43" t="s">
        <v>60</v>
      </c>
      <c r="AG24" s="43" t="s">
        <v>61</v>
      </c>
      <c r="AH24" s="43" t="s">
        <v>62</v>
      </c>
      <c r="AI24">
        <v>3</v>
      </c>
      <c r="AJ24" s="43" t="s">
        <v>325</v>
      </c>
      <c r="AK24" s="43" t="s">
        <v>309</v>
      </c>
      <c r="AL24">
        <v>7.4</v>
      </c>
    </row>
    <row r="25" spans="1:38" x14ac:dyDescent="0.25">
      <c r="A25" t="s">
        <v>100</v>
      </c>
      <c r="B25" s="2" t="s">
        <v>60</v>
      </c>
      <c r="C25" s="2" t="s">
        <v>101</v>
      </c>
      <c r="D25" t="s">
        <v>31</v>
      </c>
      <c r="E25" s="9">
        <f>COUNTIF(PH[[#This Row],[bydgoszcz_PH_Total_Score]],"&gt;0")+COUNTIF(PH[[#This Row],[zabrze_PH_Total_Score]],"&gt;0")+COUNTIF(PH[[#This Row],[cracow_PH_Total_Score]],"&gt;0")+COUNTIF(PH[[#This Row],[gdansk_PH_Total_Score]],"&gt;0")</f>
        <v>1</v>
      </c>
      <c r="F25" s="4">
        <v>2.4</v>
      </c>
      <c r="G25" s="7">
        <v>1.1000000000000001</v>
      </c>
      <c r="H25" s="7">
        <v>3.5</v>
      </c>
      <c r="I25" s="4">
        <v>0</v>
      </c>
      <c r="J25" s="7">
        <v>0</v>
      </c>
      <c r="K25" s="7">
        <v>0</v>
      </c>
      <c r="L25" s="4">
        <v>0</v>
      </c>
      <c r="M25" s="7">
        <v>0</v>
      </c>
      <c r="N25" s="7">
        <v>0</v>
      </c>
      <c r="O25" s="4">
        <v>0</v>
      </c>
      <c r="P25" s="7">
        <v>0</v>
      </c>
      <c r="Q25" s="7">
        <v>0</v>
      </c>
      <c r="R25" s="4">
        <f>LARGE(CHOOSE({1;2;3;4},F25,I25,L25,O25),1)+LARGE(CHOOSE({1;2;3;4},F25,I25,L25,O25),2)+LARGE(CHOOSE({1;2;3;4},F25,I25,L25,O25),3)</f>
        <v>2.4</v>
      </c>
      <c r="S25" s="7">
        <f>LARGE(CHOOSE({1;2;3;4},G25,J25,M25,P25),1)+LARGE(CHOOSE({1;2;3;4},G25,J25,M25,P25),2)+LARGE(CHOOSE({1;2;3;4},G25,J25,M25,P25),3)</f>
        <v>1.1000000000000001</v>
      </c>
      <c r="T25" s="7">
        <f>LARGE(CHOOSE({1;2;3;4},H25,K25,N25,Q25),1)+LARGE(CHOOSE({1;2;3;4},H25,K25,N25,Q25),2)+LARGE(CHOOSE({1;2;3;4},H25,K25,N25,Q25),3)</f>
        <v>3.5</v>
      </c>
      <c r="U25" s="4" cm="1">
        <f t="array" ref="U25">IF(PH[[#This Row],[Number_of_Competition]:[Number_of_Competition]]&gt;=3,(LARGE(CHOOSE({1;2;3;4},F25,I25,L25,O25),1)+LARGE(CHOOSE({1;2;3;4},F25,I25,L25,O25),2)+LARGE(CHOOSE({1;2;3;4},F25,I25,L25,O25),3))/3,0)</f>
        <v>0</v>
      </c>
      <c r="V25" s="7" cm="1">
        <f t="array" ref="V25">IF(PH[[#This Row],[Number_of_Competition]:[Number_of_Competition]]&gt;=3,(LARGE(CHOOSE({1;2;3;4},G25,J25,M25,P25),1)+LARGE(CHOOSE({1;2;3;4},G25,J25,M25,P25),2)+LARGE(CHOOSE({1;2;3;4},G25,J25,M25,P25),3))/3,0)</f>
        <v>0</v>
      </c>
      <c r="W25" s="7" cm="1">
        <f t="array" ref="W25">IF(PH[[#This Row],[Number_of_Competition]:[Number_of_Competition]]&gt;=3,(LARGE(CHOOSE({1;2;3;4},H25,K25,N25,Q25),1)+LARGE(CHOOSE({1;2;3;4},H25,K25,N25,Q25),2)+LARGE(CHOOSE({1;2;3;4},H25,K25,N25,Q25),3))/3,0)</f>
        <v>0</v>
      </c>
      <c r="AE25" s="43" t="s">
        <v>59</v>
      </c>
      <c r="AF25" s="43" t="s">
        <v>60</v>
      </c>
      <c r="AG25" s="43" t="s">
        <v>61</v>
      </c>
      <c r="AH25" s="43" t="s">
        <v>62</v>
      </c>
      <c r="AI25">
        <v>3</v>
      </c>
      <c r="AJ25" s="43" t="s">
        <v>325</v>
      </c>
      <c r="AK25" s="43" t="s">
        <v>268</v>
      </c>
      <c r="AL25">
        <v>12.3</v>
      </c>
    </row>
    <row r="26" spans="1:38" ht="21" x14ac:dyDescent="0.35">
      <c r="A26" t="s">
        <v>25</v>
      </c>
      <c r="B26" s="2" t="s">
        <v>26</v>
      </c>
      <c r="C26" s="2" t="s">
        <v>27</v>
      </c>
      <c r="D26" t="s">
        <v>28</v>
      </c>
      <c r="E26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26" s="4">
        <v>3.8</v>
      </c>
      <c r="G26" s="7">
        <v>8.9499999999999993</v>
      </c>
      <c r="H26" s="7">
        <v>12.75</v>
      </c>
      <c r="I26" s="4">
        <v>3.8</v>
      </c>
      <c r="J26" s="7">
        <v>8.9</v>
      </c>
      <c r="K26" s="7">
        <v>12.7</v>
      </c>
      <c r="L26" s="4">
        <v>3.8</v>
      </c>
      <c r="M26" s="7">
        <v>8.5500000000000007</v>
      </c>
      <c r="N26" s="7">
        <v>12.35</v>
      </c>
      <c r="O26" s="4">
        <v>3.7</v>
      </c>
      <c r="P26" s="7">
        <v>8.8000000000000007</v>
      </c>
      <c r="Q26" s="7">
        <v>12.5</v>
      </c>
      <c r="R26" s="4">
        <f>LARGE(CHOOSE({1;2;3;4},F26,I26,L26,O26),1)+LARGE(CHOOSE({1;2;3;4},F26,I26,L26,O26),2)+LARGE(CHOOSE({1;2;3;4},F26,I26,L26,O26),3)</f>
        <v>11.399999999999999</v>
      </c>
      <c r="S26" s="7">
        <f>LARGE(CHOOSE({1;2;3;4},G26,J26,M26,P26),1)+LARGE(CHOOSE({1;2;3;4},G26,J26,M26,P26),2)+LARGE(CHOOSE({1;2;3;4},G26,J26,M26,P26),3)</f>
        <v>26.650000000000002</v>
      </c>
      <c r="T26" s="7">
        <f>LARGE(CHOOSE({1;2;3;4},H26,K26,N26,Q26),1)+LARGE(CHOOSE({1;2;3;4},H26,K26,N26,Q26),2)+LARGE(CHOOSE({1;2;3;4},H26,K26,N26,Q26),3)</f>
        <v>37.950000000000003</v>
      </c>
      <c r="U26" s="4" cm="1">
        <f t="array" ref="U26">IF(PH[[#This Row],[Number_of_Competition]:[Number_of_Competition]]&gt;=3,(LARGE(CHOOSE({1;2;3;4},F26,I26,L26,O26),1)+LARGE(CHOOSE({1;2;3;4},F26,I26,L26,O26),2)+LARGE(CHOOSE({1;2;3;4},F26,I26,L26,O26),3))/3,0)</f>
        <v>3.7999999999999994</v>
      </c>
      <c r="V26" s="7" cm="1">
        <f t="array" ref="V26">IF(PH[[#This Row],[Number_of_Competition]:[Number_of_Competition]]&gt;=3,(LARGE(CHOOSE({1;2;3;4},G26,J26,M26,P26),1)+LARGE(CHOOSE({1;2;3;4},G26,J26,M26,P26),2)+LARGE(CHOOSE({1;2;3;4},G26,J26,M26,P26),3))/3,0)</f>
        <v>8.8833333333333346</v>
      </c>
      <c r="W26" s="7" cm="1">
        <f t="array" ref="W26">IF(PH[[#This Row],[Number_of_Competition]:[Number_of_Competition]]&gt;=3,(LARGE(CHOOSE({1;2;3;4},H26,K26,N26,Q26),1)+LARGE(CHOOSE({1;2;3;4},H26,K26,N26,Q26),2)+LARGE(CHOOSE({1;2;3;4},H26,K26,N26,Q26),3))/3,0)</f>
        <v>12.65</v>
      </c>
      <c r="Z26" s="49" t="s">
        <v>332</v>
      </c>
      <c r="AA26" s="49" t="s">
        <v>2</v>
      </c>
      <c r="AB26" s="45"/>
      <c r="AE26" s="43" t="s">
        <v>59</v>
      </c>
      <c r="AF26" s="43" t="s">
        <v>60</v>
      </c>
      <c r="AG26" s="43" t="s">
        <v>61</v>
      </c>
      <c r="AH26" s="43" t="s">
        <v>62</v>
      </c>
      <c r="AI26">
        <v>3</v>
      </c>
      <c r="AJ26" s="43" t="s">
        <v>330</v>
      </c>
      <c r="AK26" s="43" t="s">
        <v>308</v>
      </c>
      <c r="AL26">
        <v>5.2</v>
      </c>
    </row>
    <row r="27" spans="1:38" ht="21" x14ac:dyDescent="0.35">
      <c r="A27" t="s">
        <v>37</v>
      </c>
      <c r="B27" s="2" t="s">
        <v>26</v>
      </c>
      <c r="C27" s="2" t="s">
        <v>38</v>
      </c>
      <c r="D27" t="s">
        <v>39</v>
      </c>
      <c r="E27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27" s="4">
        <v>4.4000000000000004</v>
      </c>
      <c r="G27" s="7">
        <v>7.85</v>
      </c>
      <c r="H27" s="7">
        <v>12.25</v>
      </c>
      <c r="I27" s="4">
        <v>4.3</v>
      </c>
      <c r="J27" s="7">
        <v>7.9</v>
      </c>
      <c r="K27" s="7">
        <v>12.2</v>
      </c>
      <c r="L27" s="4">
        <v>3.6</v>
      </c>
      <c r="M27" s="7">
        <v>7.45</v>
      </c>
      <c r="N27" s="7">
        <v>11.05</v>
      </c>
      <c r="O27" s="4">
        <v>3.9</v>
      </c>
      <c r="P27" s="7">
        <v>8.1999999999999993</v>
      </c>
      <c r="Q27" s="7">
        <v>12.1</v>
      </c>
      <c r="R27" s="4">
        <f>LARGE(CHOOSE({1;2;3;4},F27,I27,L27,O27),1)+LARGE(CHOOSE({1;2;3;4},F27,I27,L27,O27),2)+LARGE(CHOOSE({1;2;3;4},F27,I27,L27,O27),3)</f>
        <v>12.6</v>
      </c>
      <c r="S27" s="7">
        <f>LARGE(CHOOSE({1;2;3;4},G27,J27,M27,P27),1)+LARGE(CHOOSE({1;2;3;4},G27,J27,M27,P27),2)+LARGE(CHOOSE({1;2;3;4},G27,J27,M27,P27),3)</f>
        <v>23.950000000000003</v>
      </c>
      <c r="T27" s="7">
        <f>LARGE(CHOOSE({1;2;3;4},H27,K27,N27,Q27),1)+LARGE(CHOOSE({1;2;3;4},H27,K27,N27,Q27),2)+LARGE(CHOOSE({1;2;3;4},H27,K27,N27,Q27),3)</f>
        <v>36.549999999999997</v>
      </c>
      <c r="U27" s="4" cm="1">
        <f t="array" ref="U27">IF(PH[[#This Row],[Number_of_Competition]:[Number_of_Competition]]&gt;=3,(LARGE(CHOOSE({1;2;3;4},F27,I27,L27,O27),1)+LARGE(CHOOSE({1;2;3;4},F27,I27,L27,O27),2)+LARGE(CHOOSE({1;2;3;4},F27,I27,L27,O27),3))/3,0)</f>
        <v>4.2</v>
      </c>
      <c r="V27" s="7" cm="1">
        <f t="array" ref="V27">IF(PH[[#This Row],[Number_of_Competition]:[Number_of_Competition]]&gt;=3,(LARGE(CHOOSE({1;2;3;4},G27,J27,M27,P27),1)+LARGE(CHOOSE({1;2;3;4},G27,J27,M27,P27),2)+LARGE(CHOOSE({1;2;3;4},G27,J27,M27,P27),3))/3,0)</f>
        <v>7.9833333333333343</v>
      </c>
      <c r="W27" s="7" cm="1">
        <f t="array" ref="W27">IF(PH[[#This Row],[Number_of_Competition]:[Number_of_Competition]]&gt;=3,(LARGE(CHOOSE({1;2;3;4},H27,K27,N27,Q27),1)+LARGE(CHOOSE({1;2;3;4},H27,K27,N27,Q27),2)+LARGE(CHOOSE({1;2;3;4},H27,K27,N27,Q27),3))/3,0)</f>
        <v>12.183333333333332</v>
      </c>
      <c r="Z27" s="44" t="s">
        <v>346</v>
      </c>
      <c r="AA27" s="45" t="s">
        <v>26</v>
      </c>
      <c r="AB27" s="45" t="s">
        <v>60</v>
      </c>
      <c r="AE27" s="43" t="s">
        <v>59</v>
      </c>
      <c r="AF27" s="43" t="s">
        <v>60</v>
      </c>
      <c r="AG27" s="43" t="s">
        <v>61</v>
      </c>
      <c r="AH27" s="43" t="s">
        <v>62</v>
      </c>
      <c r="AI27">
        <v>3</v>
      </c>
      <c r="AJ27" s="43" t="s">
        <v>330</v>
      </c>
      <c r="AK27" s="43" t="s">
        <v>309</v>
      </c>
      <c r="AL27">
        <v>7.7</v>
      </c>
    </row>
    <row r="28" spans="1:38" ht="21" x14ac:dyDescent="0.35">
      <c r="A28" t="s">
        <v>34</v>
      </c>
      <c r="B28" s="2" t="s">
        <v>26</v>
      </c>
      <c r="C28" s="2" t="s">
        <v>35</v>
      </c>
      <c r="D28" t="s">
        <v>36</v>
      </c>
      <c r="E28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28" s="4">
        <v>4.4000000000000004</v>
      </c>
      <c r="G28" s="7">
        <v>7</v>
      </c>
      <c r="H28" s="7">
        <v>11.4</v>
      </c>
      <c r="I28" s="4">
        <v>3.9</v>
      </c>
      <c r="J28" s="7">
        <v>7</v>
      </c>
      <c r="K28" s="7">
        <v>10.9</v>
      </c>
      <c r="L28" s="4">
        <v>3.6</v>
      </c>
      <c r="M28" s="7">
        <v>8.4</v>
      </c>
      <c r="N28" s="7">
        <v>12</v>
      </c>
      <c r="O28" s="4">
        <v>3.6</v>
      </c>
      <c r="P28" s="7">
        <v>8.3000000000000007</v>
      </c>
      <c r="Q28" s="7">
        <v>11.9</v>
      </c>
      <c r="R28" s="4">
        <f>LARGE(CHOOSE({1;2;3;4},F28,I28,L28,O28),1)+LARGE(CHOOSE({1;2;3;4},F28,I28,L28,O28),2)+LARGE(CHOOSE({1;2;3;4},F28,I28,L28,O28),3)</f>
        <v>11.9</v>
      </c>
      <c r="S28" s="7">
        <f>LARGE(CHOOSE({1;2;3;4},G28,J28,M28,P28),1)+LARGE(CHOOSE({1;2;3;4},G28,J28,M28,P28),2)+LARGE(CHOOSE({1;2;3;4},G28,J28,M28,P28),3)</f>
        <v>23.700000000000003</v>
      </c>
      <c r="T28" s="7">
        <f>LARGE(CHOOSE({1;2;3;4},H28,K28,N28,Q28),1)+LARGE(CHOOSE({1;2;3;4},H28,K28,N28,Q28),2)+LARGE(CHOOSE({1;2;3;4},H28,K28,N28,Q28),3)</f>
        <v>35.299999999999997</v>
      </c>
      <c r="U28" s="4" cm="1">
        <f t="array" ref="U28">IF(PH[[#This Row],[Number_of_Competition]:[Number_of_Competition]]&gt;=3,(LARGE(CHOOSE({1;2;3;4},F28,I28,L28,O28),1)+LARGE(CHOOSE({1;2;3;4},F28,I28,L28,O28),2)+LARGE(CHOOSE({1;2;3;4},F28,I28,L28,O28),3))/3,0)</f>
        <v>3.9666666666666668</v>
      </c>
      <c r="V28" s="7" cm="1">
        <f t="array" ref="V28">IF(PH[[#This Row],[Number_of_Competition]:[Number_of_Competition]]&gt;=3,(LARGE(CHOOSE({1;2;3;4},G28,J28,M28,P28),1)+LARGE(CHOOSE({1;2;3;4},G28,J28,M28,P28),2)+LARGE(CHOOSE({1;2;3;4},G28,J28,M28,P28),3))/3,0)</f>
        <v>7.9000000000000012</v>
      </c>
      <c r="W28" s="7" cm="1">
        <f t="array" ref="W28">IF(PH[[#This Row],[Number_of_Competition]:[Number_of_Competition]]&gt;=3,(LARGE(CHOOSE({1;2;3;4},H28,K28,N28,Q28),1)+LARGE(CHOOSE({1;2;3;4},H28,K28,N28,Q28),2)+LARGE(CHOOSE({1;2;3;4},H28,K28,N28,Q28),3))/3,0)</f>
        <v>11.766666666666666</v>
      </c>
      <c r="Z28" s="46" t="s">
        <v>308</v>
      </c>
      <c r="AA28" s="47">
        <v>53</v>
      </c>
      <c r="AB28" s="47">
        <v>60</v>
      </c>
      <c r="AE28" s="43" t="s">
        <v>59</v>
      </c>
      <c r="AF28" s="43" t="s">
        <v>60</v>
      </c>
      <c r="AG28" s="43" t="s">
        <v>61</v>
      </c>
      <c r="AH28" s="43" t="s">
        <v>62</v>
      </c>
      <c r="AI28">
        <v>3</v>
      </c>
      <c r="AJ28" s="43" t="s">
        <v>330</v>
      </c>
      <c r="AK28" s="43" t="s">
        <v>268</v>
      </c>
      <c r="AL28">
        <v>12.9</v>
      </c>
    </row>
    <row r="29" spans="1:38" ht="21" x14ac:dyDescent="0.35">
      <c r="A29" t="s">
        <v>32</v>
      </c>
      <c r="B29" s="2" t="s">
        <v>26</v>
      </c>
      <c r="C29" s="2" t="s">
        <v>33</v>
      </c>
      <c r="D29" t="s">
        <v>31</v>
      </c>
      <c r="E29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29" s="4">
        <v>3.6</v>
      </c>
      <c r="G29" s="7">
        <v>7</v>
      </c>
      <c r="H29" s="7">
        <v>10.6</v>
      </c>
      <c r="I29" s="4">
        <v>3.6</v>
      </c>
      <c r="J29" s="7">
        <v>6.2</v>
      </c>
      <c r="K29" s="7">
        <v>9.8000000000000007</v>
      </c>
      <c r="L29" s="4">
        <v>3.4</v>
      </c>
      <c r="M29" s="7">
        <v>7.95</v>
      </c>
      <c r="N29" s="7">
        <v>11.35</v>
      </c>
      <c r="O29" s="4">
        <v>3.6</v>
      </c>
      <c r="P29" s="7">
        <v>8.3000000000000007</v>
      </c>
      <c r="Q29" s="7">
        <v>11.9</v>
      </c>
      <c r="R29" s="4">
        <f>LARGE(CHOOSE({1;2;3;4},F29,I29,L29,O29),1)+LARGE(CHOOSE({1;2;3;4},F29,I29,L29,O29),2)+LARGE(CHOOSE({1;2;3;4},F29,I29,L29,O29),3)</f>
        <v>10.8</v>
      </c>
      <c r="S29" s="7">
        <f>LARGE(CHOOSE({1;2;3;4},G29,J29,M29,P29),1)+LARGE(CHOOSE({1;2;3;4},G29,J29,M29,P29),2)+LARGE(CHOOSE({1;2;3;4},G29,J29,M29,P29),3)</f>
        <v>23.25</v>
      </c>
      <c r="T29" s="7">
        <f>LARGE(CHOOSE({1;2;3;4},H29,K29,N29,Q29),1)+LARGE(CHOOSE({1;2;3;4},H29,K29,N29,Q29),2)+LARGE(CHOOSE({1;2;3;4},H29,K29,N29,Q29),3)</f>
        <v>33.85</v>
      </c>
      <c r="U29" s="4" cm="1">
        <f t="array" ref="U29">IF(PH[[#This Row],[Number_of_Competition]:[Number_of_Competition]]&gt;=3,(LARGE(CHOOSE({1;2;3;4},F29,I29,L29,O29),1)+LARGE(CHOOSE({1;2;3;4},F29,I29,L29,O29),2)+LARGE(CHOOSE({1;2;3;4},F29,I29,L29,O29),3))/3,0)</f>
        <v>3.6</v>
      </c>
      <c r="V29" s="7" cm="1">
        <f t="array" ref="V29">IF(PH[[#This Row],[Number_of_Competition]:[Number_of_Competition]]&gt;=3,(LARGE(CHOOSE({1;2;3;4},G29,J29,M29,P29),1)+LARGE(CHOOSE({1;2;3;4},G29,J29,M29,P29),2)+LARGE(CHOOSE({1;2;3;4},G29,J29,M29,P29),3))/3,0)</f>
        <v>7.75</v>
      </c>
      <c r="W29" s="7" cm="1">
        <f t="array" ref="W29">IF(PH[[#This Row],[Number_of_Competition]:[Number_of_Competition]]&gt;=3,(LARGE(CHOOSE({1;2;3;4},H29,K29,N29,Q29),1)+LARGE(CHOOSE({1;2;3;4},H29,K29,N29,Q29),2)+LARGE(CHOOSE({1;2;3;4},H29,K29,N29,Q29),3))/3,0)</f>
        <v>11.283333333333333</v>
      </c>
      <c r="Z29" s="48" t="s">
        <v>315</v>
      </c>
      <c r="AA29" s="47">
        <v>12</v>
      </c>
      <c r="AB29" s="47">
        <v>3</v>
      </c>
      <c r="AE29" s="43" t="s">
        <v>59</v>
      </c>
      <c r="AF29" s="43" t="s">
        <v>60</v>
      </c>
      <c r="AG29" s="43" t="s">
        <v>61</v>
      </c>
      <c r="AH29" s="43" t="s">
        <v>62</v>
      </c>
      <c r="AI29">
        <v>3</v>
      </c>
      <c r="AJ29" s="43" t="s">
        <v>331</v>
      </c>
      <c r="AK29" s="43" t="s">
        <v>308</v>
      </c>
      <c r="AL29">
        <v>4.9000000000000004</v>
      </c>
    </row>
    <row r="30" spans="1:38" ht="21" x14ac:dyDescent="0.35">
      <c r="A30" t="s">
        <v>44</v>
      </c>
      <c r="B30" s="2" t="s">
        <v>26</v>
      </c>
      <c r="C30" s="2" t="s">
        <v>45</v>
      </c>
      <c r="D30" t="s">
        <v>39</v>
      </c>
      <c r="E30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30" s="4">
        <v>3</v>
      </c>
      <c r="G30" s="7">
        <v>8.6</v>
      </c>
      <c r="H30" s="7">
        <v>11.6</v>
      </c>
      <c r="I30" s="4">
        <v>3</v>
      </c>
      <c r="J30" s="7">
        <v>7.2</v>
      </c>
      <c r="K30" s="7">
        <v>10.199999999999999</v>
      </c>
      <c r="L30" s="4">
        <v>3</v>
      </c>
      <c r="M30" s="7">
        <v>5.75</v>
      </c>
      <c r="N30" s="7">
        <v>8.75</v>
      </c>
      <c r="O30" s="4">
        <v>2.8</v>
      </c>
      <c r="P30" s="7">
        <v>8.5</v>
      </c>
      <c r="Q30" s="7">
        <v>11.3</v>
      </c>
      <c r="R30" s="4">
        <f>LARGE(CHOOSE({1;2;3;4},F30,I30,L30,O30),1)+LARGE(CHOOSE({1;2;3;4},F30,I30,L30,O30),2)+LARGE(CHOOSE({1;2;3;4},F30,I30,L30,O30),3)</f>
        <v>9</v>
      </c>
      <c r="S30" s="7">
        <f>LARGE(CHOOSE({1;2;3;4},G30,J30,M30,P30),1)+LARGE(CHOOSE({1;2;3;4},G30,J30,M30,P30),2)+LARGE(CHOOSE({1;2;3;4},G30,J30,M30,P30),3)</f>
        <v>24.3</v>
      </c>
      <c r="T30" s="7">
        <f>LARGE(CHOOSE({1;2;3;4},H30,K30,N30,Q30),1)+LARGE(CHOOSE({1;2;3;4},H30,K30,N30,Q30),2)+LARGE(CHOOSE({1;2;3;4},H30,K30,N30,Q30),3)</f>
        <v>33.099999999999994</v>
      </c>
      <c r="U30" s="4" cm="1">
        <f t="array" ref="U30">IF(PH[[#This Row],[Number_of_Competition]:[Number_of_Competition]]&gt;=3,(LARGE(CHOOSE({1;2;3;4},F30,I30,L30,O30),1)+LARGE(CHOOSE({1;2;3;4},F30,I30,L30,O30),2)+LARGE(CHOOSE({1;2;3;4},F30,I30,L30,O30),3))/3,0)</f>
        <v>3</v>
      </c>
      <c r="V30" s="7" cm="1">
        <f t="array" ref="V30">IF(PH[[#This Row],[Number_of_Competition]:[Number_of_Competition]]&gt;=3,(LARGE(CHOOSE({1;2;3;4},G30,J30,M30,P30),1)+LARGE(CHOOSE({1;2;3;4},G30,J30,M30,P30),2)+LARGE(CHOOSE({1;2;3;4},G30,J30,M30,P30),3))/3,0)</f>
        <v>8.1</v>
      </c>
      <c r="W30" s="7" cm="1">
        <f t="array" ref="W30">IF(PH[[#This Row],[Number_of_Competition]:[Number_of_Competition]]&gt;=3,(LARGE(CHOOSE({1;2;3;4},H30,K30,N30,Q30),1)+LARGE(CHOOSE({1;2;3;4},H30,K30,N30,Q30),2)+LARGE(CHOOSE({1;2;3;4},H30,K30,N30,Q30),3))/3,0)</f>
        <v>11.033333333333331</v>
      </c>
      <c r="Z30" s="48" t="s">
        <v>318</v>
      </c>
      <c r="AA30" s="47">
        <v>21</v>
      </c>
      <c r="AB30" s="47">
        <v>7</v>
      </c>
      <c r="AE30" s="43" t="s">
        <v>59</v>
      </c>
      <c r="AF30" s="43" t="s">
        <v>60</v>
      </c>
      <c r="AG30" s="43" t="s">
        <v>61</v>
      </c>
      <c r="AH30" s="43" t="s">
        <v>62</v>
      </c>
      <c r="AI30">
        <v>3</v>
      </c>
      <c r="AJ30" s="43" t="s">
        <v>331</v>
      </c>
      <c r="AK30" s="43" t="s">
        <v>309</v>
      </c>
      <c r="AL30">
        <v>6</v>
      </c>
    </row>
    <row r="31" spans="1:38" ht="21" x14ac:dyDescent="0.35">
      <c r="A31" t="s">
        <v>40</v>
      </c>
      <c r="B31" s="2" t="s">
        <v>26</v>
      </c>
      <c r="C31" s="2" t="s">
        <v>41</v>
      </c>
      <c r="D31" t="s">
        <v>39</v>
      </c>
      <c r="E31" s="9">
        <f>COUNTIF(PH[[#This Row],[bydgoszcz_PH_Total_Score]],"&gt;0")+COUNTIF(PH[[#This Row],[zabrze_PH_Total_Score]],"&gt;0")+COUNTIF(PH[[#This Row],[cracow_PH_Total_Score]],"&gt;0")+COUNTIF(PH[[#This Row],[gdansk_PH_Total_Score]],"&gt;0")</f>
        <v>3</v>
      </c>
      <c r="F31" s="4">
        <v>0</v>
      </c>
      <c r="G31" s="7">
        <v>0</v>
      </c>
      <c r="H31" s="7">
        <v>0</v>
      </c>
      <c r="I31" s="4">
        <v>2.9</v>
      </c>
      <c r="J31" s="7">
        <v>7.2</v>
      </c>
      <c r="K31" s="7">
        <v>10.1</v>
      </c>
      <c r="L31" s="4">
        <v>2.9</v>
      </c>
      <c r="M31" s="7">
        <v>8.15</v>
      </c>
      <c r="N31" s="7">
        <v>11.05</v>
      </c>
      <c r="O31" s="4">
        <v>2.9</v>
      </c>
      <c r="P31" s="7">
        <v>8.1</v>
      </c>
      <c r="Q31" s="7">
        <v>11</v>
      </c>
      <c r="R31" s="4">
        <f>LARGE(CHOOSE({1;2;3;4},F31,I31,L31,O31),1)+LARGE(CHOOSE({1;2;3;4},F31,I31,L31,O31),2)+LARGE(CHOOSE({1;2;3;4},F31,I31,L31,O31),3)</f>
        <v>8.6999999999999993</v>
      </c>
      <c r="S31" s="7">
        <f>LARGE(CHOOSE({1;2;3;4},G31,J31,M31,P31),1)+LARGE(CHOOSE({1;2;3;4},G31,J31,M31,P31),2)+LARGE(CHOOSE({1;2;3;4},G31,J31,M31,P31),3)</f>
        <v>23.45</v>
      </c>
      <c r="T31" s="7">
        <f>LARGE(CHOOSE({1;2;3;4},H31,K31,N31,Q31),1)+LARGE(CHOOSE({1;2;3;4},H31,K31,N31,Q31),2)+LARGE(CHOOSE({1;2;3;4},H31,K31,N31,Q31),3)</f>
        <v>32.15</v>
      </c>
      <c r="U31" s="4" cm="1">
        <f t="array" ref="U31">IF(PH[[#This Row],[Number_of_Competition]:[Number_of_Competition]]&gt;=3,(LARGE(CHOOSE({1;2;3;4},F31,I31,L31,O31),1)+LARGE(CHOOSE({1;2;3;4},F31,I31,L31,O31),2)+LARGE(CHOOSE({1;2;3;4},F31,I31,L31,O31),3))/3,0)</f>
        <v>2.9</v>
      </c>
      <c r="V31" s="7" cm="1">
        <f t="array" ref="V31">IF(PH[[#This Row],[Number_of_Competition]:[Number_of_Competition]]&gt;=3,(LARGE(CHOOSE({1;2;3;4},G31,J31,M31,P31),1)+LARGE(CHOOSE({1;2;3;4},G31,J31,M31,P31),2)+LARGE(CHOOSE({1;2;3;4},G31,J31,M31,P31),3))/3,0)</f>
        <v>7.8166666666666664</v>
      </c>
      <c r="W31" s="7" cm="1">
        <f t="array" ref="W31">IF(PH[[#This Row],[Number_of_Competition]:[Number_of_Competition]]&gt;=3,(LARGE(CHOOSE({1;2;3;4},H31,K31,N31,Q31),1)+LARGE(CHOOSE({1;2;3;4},H31,K31,N31,Q31),2)+LARGE(CHOOSE({1;2;3;4},H31,K31,N31,Q31),3))/3,0)</f>
        <v>10.716666666666667</v>
      </c>
      <c r="Z31" s="48" t="s">
        <v>319</v>
      </c>
      <c r="AA31" s="47">
        <v>3</v>
      </c>
      <c r="AB31" s="47">
        <v>16</v>
      </c>
      <c r="AE31" s="43" t="s">
        <v>59</v>
      </c>
      <c r="AF31" s="43" t="s">
        <v>60</v>
      </c>
      <c r="AG31" s="43" t="s">
        <v>61</v>
      </c>
      <c r="AH31" s="43" t="s">
        <v>62</v>
      </c>
      <c r="AI31">
        <v>3</v>
      </c>
      <c r="AJ31" s="43" t="s">
        <v>331</v>
      </c>
      <c r="AK31" s="43" t="s">
        <v>268</v>
      </c>
      <c r="AL31">
        <v>10.9</v>
      </c>
    </row>
    <row r="32" spans="1:38" ht="21" x14ac:dyDescent="0.35">
      <c r="A32" t="s">
        <v>29</v>
      </c>
      <c r="B32" s="2" t="s">
        <v>26</v>
      </c>
      <c r="C32" s="2" t="s">
        <v>30</v>
      </c>
      <c r="D32" t="s">
        <v>31</v>
      </c>
      <c r="E32" s="9">
        <f>COUNTIF(PH[[#This Row],[bydgoszcz_PH_Total_Score]],"&gt;0")+COUNTIF(PH[[#This Row],[zabrze_PH_Total_Score]],"&gt;0")+COUNTIF(PH[[#This Row],[cracow_PH_Total_Score]],"&gt;0")+COUNTIF(PH[[#This Row],[gdansk_PH_Total_Score]],"&gt;0")</f>
        <v>3</v>
      </c>
      <c r="F32" s="4">
        <v>3.3</v>
      </c>
      <c r="G32" s="7">
        <v>6.65</v>
      </c>
      <c r="H32" s="7">
        <v>9.9499999999999993</v>
      </c>
      <c r="I32" s="4">
        <v>3.6</v>
      </c>
      <c r="J32" s="7">
        <v>8.35</v>
      </c>
      <c r="K32" s="7">
        <v>11.95</v>
      </c>
      <c r="L32" s="4">
        <v>0</v>
      </c>
      <c r="M32" s="7">
        <v>0</v>
      </c>
      <c r="N32" s="7">
        <v>0</v>
      </c>
      <c r="O32" s="4">
        <v>3.6</v>
      </c>
      <c r="P32" s="7">
        <v>6.3</v>
      </c>
      <c r="Q32" s="7">
        <v>9.9</v>
      </c>
      <c r="R32" s="4">
        <f>LARGE(CHOOSE({1;2;3;4},F32,I32,L32,O32),1)+LARGE(CHOOSE({1;2;3;4},F32,I32,L32,O32),2)+LARGE(CHOOSE({1;2;3;4},F32,I32,L32,O32),3)</f>
        <v>10.5</v>
      </c>
      <c r="S32" s="7">
        <f>LARGE(CHOOSE({1;2;3;4},G32,J32,M32,P32),1)+LARGE(CHOOSE({1;2;3;4},G32,J32,M32,P32),2)+LARGE(CHOOSE({1;2;3;4},G32,J32,M32,P32),3)</f>
        <v>21.3</v>
      </c>
      <c r="T32" s="7">
        <f>LARGE(CHOOSE({1;2;3;4},H32,K32,N32,Q32),1)+LARGE(CHOOSE({1;2;3;4},H32,K32,N32,Q32),2)+LARGE(CHOOSE({1;2;3;4},H32,K32,N32,Q32),3)</f>
        <v>31.799999999999997</v>
      </c>
      <c r="U32" s="4" cm="1">
        <f t="array" ref="U32">IF(PH[[#This Row],[Number_of_Competition]:[Number_of_Competition]]&gt;=3,(LARGE(CHOOSE({1;2;3;4},F32,I32,L32,O32),1)+LARGE(CHOOSE({1;2;3;4},F32,I32,L32,O32),2)+LARGE(CHOOSE({1;2;3;4},F32,I32,L32,O32),3))/3,0)</f>
        <v>3.5</v>
      </c>
      <c r="V32" s="7" cm="1">
        <f t="array" ref="V32">IF(PH[[#This Row],[Number_of_Competition]:[Number_of_Competition]]&gt;=3,(LARGE(CHOOSE({1;2;3;4},G32,J32,M32,P32),1)+LARGE(CHOOSE({1;2;3;4},G32,J32,M32,P32),2)+LARGE(CHOOSE({1;2;3;4},G32,J32,M32,P32),3))/3,0)</f>
        <v>7.1000000000000005</v>
      </c>
      <c r="W32" s="7" cm="1">
        <f t="array" ref="W32">IF(PH[[#This Row],[Number_of_Competition]:[Number_of_Competition]]&gt;=3,(LARGE(CHOOSE({1;2;3;4},H32,K32,N32,Q32),1)+LARGE(CHOOSE({1;2;3;4},H32,K32,N32,Q32),2)+LARGE(CHOOSE({1;2;3;4},H32,K32,N32,Q32),3))/3,0)</f>
        <v>10.6</v>
      </c>
      <c r="Z32" s="48" t="s">
        <v>320</v>
      </c>
      <c r="AA32" s="47">
        <v>14</v>
      </c>
      <c r="AB32" s="47">
        <v>15</v>
      </c>
      <c r="AE32" s="43" t="s">
        <v>59</v>
      </c>
      <c r="AF32" s="43" t="s">
        <v>60</v>
      </c>
      <c r="AG32" s="43" t="s">
        <v>61</v>
      </c>
      <c r="AH32" s="43" t="s">
        <v>62</v>
      </c>
      <c r="AI32">
        <v>3</v>
      </c>
      <c r="AJ32" s="43" t="s">
        <v>341</v>
      </c>
      <c r="AK32" s="43" t="s">
        <v>308</v>
      </c>
      <c r="AL32">
        <v>15.000000000000002</v>
      </c>
    </row>
    <row r="33" spans="1:38" ht="21" x14ac:dyDescent="0.35">
      <c r="A33" t="s">
        <v>42</v>
      </c>
      <c r="B33" s="2" t="s">
        <v>26</v>
      </c>
      <c r="C33" s="2" t="s">
        <v>43</v>
      </c>
      <c r="D33" t="s">
        <v>36</v>
      </c>
      <c r="E33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33" s="4">
        <v>2.6</v>
      </c>
      <c r="G33" s="7">
        <v>7.7</v>
      </c>
      <c r="H33" s="7">
        <v>10.3</v>
      </c>
      <c r="I33" s="4">
        <v>2.6</v>
      </c>
      <c r="J33" s="7">
        <v>8.5500000000000007</v>
      </c>
      <c r="K33" s="7">
        <v>11.15</v>
      </c>
      <c r="L33" s="4">
        <v>2.6</v>
      </c>
      <c r="M33" s="7">
        <v>7.65</v>
      </c>
      <c r="N33" s="7">
        <v>10.25</v>
      </c>
      <c r="O33" s="4">
        <v>2.6</v>
      </c>
      <c r="P33" s="7">
        <v>7.2</v>
      </c>
      <c r="Q33" s="7">
        <v>9.8000000000000007</v>
      </c>
      <c r="R33" s="4">
        <f>LARGE(CHOOSE({1;2;3;4},F33,I33,L33,O33),1)+LARGE(CHOOSE({1;2;3;4},F33,I33,L33,O33),2)+LARGE(CHOOSE({1;2;3;4},F33,I33,L33,O33),3)</f>
        <v>7.8000000000000007</v>
      </c>
      <c r="S33" s="7">
        <f>LARGE(CHOOSE({1;2;3;4},G33,J33,M33,P33),1)+LARGE(CHOOSE({1;2;3;4},G33,J33,M33,P33),2)+LARGE(CHOOSE({1;2;3;4},G33,J33,M33,P33),3)</f>
        <v>23.9</v>
      </c>
      <c r="T33" s="7">
        <f>LARGE(CHOOSE({1;2;3;4},H33,K33,N33,Q33),1)+LARGE(CHOOSE({1;2;3;4},H33,K33,N33,Q33),2)+LARGE(CHOOSE({1;2;3;4},H33,K33,N33,Q33),3)</f>
        <v>31.700000000000003</v>
      </c>
      <c r="U33" s="4" cm="1">
        <f t="array" ref="U33">IF(PH[[#This Row],[Number_of_Competition]:[Number_of_Competition]]&gt;=3,(LARGE(CHOOSE({1;2;3;4},F33,I33,L33,O33),1)+LARGE(CHOOSE({1;2;3;4},F33,I33,L33,O33),2)+LARGE(CHOOSE({1;2;3;4},F33,I33,L33,O33),3))/3,0)</f>
        <v>2.6</v>
      </c>
      <c r="V33" s="7" cm="1">
        <f t="array" ref="V33">IF(PH[[#This Row],[Number_of_Competition]:[Number_of_Competition]]&gt;=3,(LARGE(CHOOSE({1;2;3;4},G33,J33,M33,P33),1)+LARGE(CHOOSE({1;2;3;4},G33,J33,M33,P33),2)+LARGE(CHOOSE({1;2;3;4},G33,J33,M33,P33),3))/3,0)</f>
        <v>7.9666666666666659</v>
      </c>
      <c r="W33" s="7" cm="1">
        <f t="array" ref="W33">IF(PH[[#This Row],[Number_of_Competition]:[Number_of_Competition]]&gt;=3,(LARGE(CHOOSE({1;2;3;4},H33,K33,N33,Q33),1)+LARGE(CHOOSE({1;2;3;4},H33,K33,N33,Q33),2)+LARGE(CHOOSE({1;2;3;4},H33,K33,N33,Q33),3))/3,0)</f>
        <v>10.566666666666668</v>
      </c>
      <c r="Z33" s="48" t="s">
        <v>321</v>
      </c>
      <c r="AA33" s="47">
        <v>3</v>
      </c>
      <c r="AB33" s="47">
        <v>13</v>
      </c>
      <c r="AE33" s="43" t="s">
        <v>59</v>
      </c>
      <c r="AF33" s="43" t="s">
        <v>60</v>
      </c>
      <c r="AG33" s="43" t="s">
        <v>61</v>
      </c>
      <c r="AH33" s="43" t="s">
        <v>62</v>
      </c>
      <c r="AI33">
        <v>3</v>
      </c>
      <c r="AJ33" s="43" t="s">
        <v>341</v>
      </c>
      <c r="AK33" s="43" t="s">
        <v>309</v>
      </c>
      <c r="AL33">
        <v>21.1</v>
      </c>
    </row>
    <row r="34" spans="1:38" ht="21" x14ac:dyDescent="0.35">
      <c r="A34" t="s">
        <v>114</v>
      </c>
      <c r="B34" s="2" t="s">
        <v>26</v>
      </c>
      <c r="C34" s="2" t="s">
        <v>115</v>
      </c>
      <c r="D34" t="s">
        <v>36</v>
      </c>
      <c r="E34" s="9">
        <f>COUNTIF(PH[[#This Row],[bydgoszcz_PH_Total_Score]],"&gt;0")+COUNTIF(PH[[#This Row],[zabrze_PH_Total_Score]],"&gt;0")+COUNTIF(PH[[#This Row],[cracow_PH_Total_Score]],"&gt;0")+COUNTIF(PH[[#This Row],[gdansk_PH_Total_Score]],"&gt;0")</f>
        <v>3</v>
      </c>
      <c r="F34" s="4">
        <v>2.6</v>
      </c>
      <c r="G34" s="7">
        <v>4.9000000000000004</v>
      </c>
      <c r="H34" s="7">
        <v>7.5</v>
      </c>
      <c r="I34" s="4">
        <v>0</v>
      </c>
      <c r="J34" s="7">
        <v>0</v>
      </c>
      <c r="K34" s="7">
        <v>0</v>
      </c>
      <c r="L34" s="4">
        <v>2.6</v>
      </c>
      <c r="M34" s="7">
        <v>7.65</v>
      </c>
      <c r="N34" s="7">
        <v>10.25</v>
      </c>
      <c r="O34" s="4">
        <v>2.6</v>
      </c>
      <c r="P34" s="7">
        <v>6.5</v>
      </c>
      <c r="Q34" s="7">
        <v>9.1</v>
      </c>
      <c r="R34" s="4">
        <f>LARGE(CHOOSE({1;2;3;4},F34,I34,L34,O34),1)+LARGE(CHOOSE({1;2;3;4},F34,I34,L34,O34),2)+LARGE(CHOOSE({1;2;3;4},F34,I34,L34,O34),3)</f>
        <v>7.8000000000000007</v>
      </c>
      <c r="S34" s="7">
        <f>LARGE(CHOOSE({1;2;3;4},G34,J34,M34,P34),1)+LARGE(CHOOSE({1;2;3;4},G34,J34,M34,P34),2)+LARGE(CHOOSE({1;2;3;4},G34,J34,M34,P34),3)</f>
        <v>19.05</v>
      </c>
      <c r="T34" s="7">
        <f>LARGE(CHOOSE({1;2;3;4},H34,K34,N34,Q34),1)+LARGE(CHOOSE({1;2;3;4},H34,K34,N34,Q34),2)+LARGE(CHOOSE({1;2;3;4},H34,K34,N34,Q34),3)</f>
        <v>26.85</v>
      </c>
      <c r="U34" s="4" cm="1">
        <f t="array" ref="U34">IF(PH[[#This Row],[Number_of_Competition]:[Number_of_Competition]]&gt;=3,(LARGE(CHOOSE({1;2;3;4},F34,I34,L34,O34),1)+LARGE(CHOOSE({1;2;3;4},F34,I34,L34,O34),2)+LARGE(CHOOSE({1;2;3;4},F34,I34,L34,O34),3))/3,0)</f>
        <v>2.6</v>
      </c>
      <c r="V34" s="7" cm="1">
        <f t="array" ref="V34">IF(PH[[#This Row],[Number_of_Competition]:[Number_of_Competition]]&gt;=3,(LARGE(CHOOSE({1;2;3;4},G34,J34,M34,P34),1)+LARGE(CHOOSE({1;2;3;4},G34,J34,M34,P34),2)+LARGE(CHOOSE({1;2;3;4},G34,J34,M34,P34),3))/3,0)</f>
        <v>6.3500000000000005</v>
      </c>
      <c r="W34" s="7" cm="1">
        <f t="array" ref="W34">IF(PH[[#This Row],[Number_of_Competition]:[Number_of_Competition]]&gt;=3,(LARGE(CHOOSE({1;2;3;4},H34,K34,N34,Q34),1)+LARGE(CHOOSE({1;2;3;4},H34,K34,N34,Q34),2)+LARGE(CHOOSE({1;2;3;4},H34,K34,N34,Q34),3))/3,0)</f>
        <v>8.9500000000000011</v>
      </c>
      <c r="Z34" s="48" t="s">
        <v>322</v>
      </c>
      <c r="AA34" s="47"/>
      <c r="AB34" s="47">
        <v>5</v>
      </c>
      <c r="AE34" s="43" t="s">
        <v>59</v>
      </c>
      <c r="AF34" s="43" t="s">
        <v>60</v>
      </c>
      <c r="AG34" s="43" t="s">
        <v>61</v>
      </c>
      <c r="AH34" s="43" t="s">
        <v>62</v>
      </c>
      <c r="AI34">
        <v>3</v>
      </c>
      <c r="AJ34" s="43" t="s">
        <v>341</v>
      </c>
      <c r="AK34" s="43" t="s">
        <v>268</v>
      </c>
      <c r="AL34">
        <v>36.1</v>
      </c>
    </row>
    <row r="35" spans="1:38" ht="21" x14ac:dyDescent="0.35">
      <c r="A35" t="s">
        <v>52</v>
      </c>
      <c r="B35" s="2" t="s">
        <v>26</v>
      </c>
      <c r="C35" s="2" t="s">
        <v>53</v>
      </c>
      <c r="D35" t="s">
        <v>36</v>
      </c>
      <c r="E35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35" s="4">
        <v>2.1</v>
      </c>
      <c r="G35" s="7">
        <v>4.5</v>
      </c>
      <c r="H35" s="7">
        <v>6.6</v>
      </c>
      <c r="I35" s="4">
        <v>2.2000000000000002</v>
      </c>
      <c r="J35" s="7">
        <v>6.5</v>
      </c>
      <c r="K35" s="7">
        <v>8.6999999999999993</v>
      </c>
      <c r="L35" s="4">
        <v>2.2000000000000002</v>
      </c>
      <c r="M35" s="7">
        <v>6.2</v>
      </c>
      <c r="N35" s="7">
        <v>8.4</v>
      </c>
      <c r="O35" s="4">
        <v>2</v>
      </c>
      <c r="P35" s="7">
        <v>3.5</v>
      </c>
      <c r="Q35" s="7">
        <v>5.5</v>
      </c>
      <c r="R35" s="4">
        <f>LARGE(CHOOSE({1;2;3;4},F35,I35,L35,O35),1)+LARGE(CHOOSE({1;2;3;4},F35,I35,L35,O35),2)+LARGE(CHOOSE({1;2;3;4},F35,I35,L35,O35),3)</f>
        <v>6.5</v>
      </c>
      <c r="S35" s="7">
        <f>LARGE(CHOOSE({1;2;3;4},G35,J35,M35,P35),1)+LARGE(CHOOSE({1;2;3;4},G35,J35,M35,P35),2)+LARGE(CHOOSE({1;2;3;4},G35,J35,M35,P35),3)</f>
        <v>17.2</v>
      </c>
      <c r="T35" s="7">
        <f>LARGE(CHOOSE({1;2;3;4},H35,K35,N35,Q35),1)+LARGE(CHOOSE({1;2;3;4},H35,K35,N35,Q35),2)+LARGE(CHOOSE({1;2;3;4},H35,K35,N35,Q35),3)</f>
        <v>23.700000000000003</v>
      </c>
      <c r="U35" s="4" cm="1">
        <f t="array" ref="U35">IF(PH[[#This Row],[Number_of_Competition]:[Number_of_Competition]]&gt;=3,(LARGE(CHOOSE({1;2;3;4},F35,I35,L35,O35),1)+LARGE(CHOOSE({1;2;3;4},F35,I35,L35,O35),2)+LARGE(CHOOSE({1;2;3;4},F35,I35,L35,O35),3))/3,0)</f>
        <v>2.1666666666666665</v>
      </c>
      <c r="V35" s="7" cm="1">
        <f t="array" ref="V35">IF(PH[[#This Row],[Number_of_Competition]:[Number_of_Competition]]&gt;=3,(LARGE(CHOOSE({1;2;3;4},G35,J35,M35,P35),1)+LARGE(CHOOSE({1;2;3;4},G35,J35,M35,P35),2)+LARGE(CHOOSE({1;2;3;4},G35,J35,M35,P35),3))/3,0)</f>
        <v>5.7333333333333334</v>
      </c>
      <c r="W35" s="7" cm="1">
        <f t="array" ref="W35">IF(PH[[#This Row],[Number_of_Competition]:[Number_of_Competition]]&gt;=3,(LARGE(CHOOSE({1;2;3;4},H35,K35,N35,Q35),1)+LARGE(CHOOSE({1;2;3;4},H35,K35,N35,Q35),2)+LARGE(CHOOSE({1;2;3;4},H35,K35,N35,Q35),3))/3,0)</f>
        <v>7.9000000000000012</v>
      </c>
      <c r="Z35" s="48" t="s">
        <v>323</v>
      </c>
      <c r="AA35" s="47"/>
      <c r="AB35" s="47">
        <v>1</v>
      </c>
      <c r="AE35" s="43" t="s">
        <v>59</v>
      </c>
      <c r="AF35" s="43" t="s">
        <v>60</v>
      </c>
      <c r="AG35" s="43" t="s">
        <v>61</v>
      </c>
      <c r="AH35" s="43" t="s">
        <v>62</v>
      </c>
      <c r="AI35">
        <v>3</v>
      </c>
      <c r="AJ35" s="43" t="s">
        <v>344</v>
      </c>
      <c r="AK35" s="43" t="s">
        <v>308</v>
      </c>
      <c r="AL35">
        <v>5.0000000000000009</v>
      </c>
    </row>
    <row r="36" spans="1:38" ht="21" x14ac:dyDescent="0.35">
      <c r="A36" t="s">
        <v>48</v>
      </c>
      <c r="B36" s="2" t="s">
        <v>26</v>
      </c>
      <c r="C36" s="2" t="s">
        <v>49</v>
      </c>
      <c r="D36" t="s">
        <v>36</v>
      </c>
      <c r="E36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36" s="4">
        <v>2.8</v>
      </c>
      <c r="G36" s="7">
        <v>4</v>
      </c>
      <c r="H36" s="7">
        <v>6.8</v>
      </c>
      <c r="I36" s="4">
        <v>2.7</v>
      </c>
      <c r="J36" s="7">
        <v>1.95</v>
      </c>
      <c r="K36" s="7">
        <v>4.6500000000000004</v>
      </c>
      <c r="L36" s="4">
        <v>2.2000000000000002</v>
      </c>
      <c r="M36" s="7">
        <v>4.95</v>
      </c>
      <c r="N36" s="7">
        <v>7.15</v>
      </c>
      <c r="O36" s="4">
        <v>2.6</v>
      </c>
      <c r="P36" s="7">
        <v>7</v>
      </c>
      <c r="Q36" s="7">
        <v>9.6</v>
      </c>
      <c r="R36" s="4">
        <f>LARGE(CHOOSE({1;2;3;4},F36,I36,L36,O36),1)+LARGE(CHOOSE({1;2;3;4},F36,I36,L36,O36),2)+LARGE(CHOOSE({1;2;3;4},F36,I36,L36,O36),3)</f>
        <v>8.1</v>
      </c>
      <c r="S36" s="7">
        <f>LARGE(CHOOSE({1;2;3;4},G36,J36,M36,P36),1)+LARGE(CHOOSE({1;2;3;4},G36,J36,M36,P36),2)+LARGE(CHOOSE({1;2;3;4},G36,J36,M36,P36),3)</f>
        <v>15.95</v>
      </c>
      <c r="T36" s="7">
        <f>LARGE(CHOOSE({1;2;3;4},H36,K36,N36,Q36),1)+LARGE(CHOOSE({1;2;3;4},H36,K36,N36,Q36),2)+LARGE(CHOOSE({1;2;3;4},H36,K36,N36,Q36),3)</f>
        <v>23.55</v>
      </c>
      <c r="U36" s="4" cm="1">
        <f t="array" ref="U36">IF(PH[[#This Row],[Number_of_Competition]:[Number_of_Competition]]&gt;=3,(LARGE(CHOOSE({1;2;3;4},F36,I36,L36,O36),1)+LARGE(CHOOSE({1;2;3;4},F36,I36,L36,O36),2)+LARGE(CHOOSE({1;2;3;4},F36,I36,L36,O36),3))/3,0)</f>
        <v>2.6999999999999997</v>
      </c>
      <c r="V36" s="7" cm="1">
        <f t="array" ref="V36">IF(PH[[#This Row],[Number_of_Competition]:[Number_of_Competition]]&gt;=3,(LARGE(CHOOSE({1;2;3;4},G36,J36,M36,P36),1)+LARGE(CHOOSE({1;2;3;4},G36,J36,M36,P36),2)+LARGE(CHOOSE({1;2;3;4},G36,J36,M36,P36),3))/3,0)</f>
        <v>5.3166666666666664</v>
      </c>
      <c r="W36" s="7" cm="1">
        <f t="array" ref="W36">IF(PH[[#This Row],[Number_of_Competition]:[Number_of_Competition]]&gt;=3,(LARGE(CHOOSE({1;2;3;4},H36,K36,N36,Q36),1)+LARGE(CHOOSE({1;2;3;4},H36,K36,N36,Q36),2)+LARGE(CHOOSE({1;2;3;4},H36,K36,N36,Q36),3))/3,0)</f>
        <v>7.8500000000000005</v>
      </c>
      <c r="AE36" s="43" t="s">
        <v>59</v>
      </c>
      <c r="AF36" s="43" t="s">
        <v>60</v>
      </c>
      <c r="AG36" s="43" t="s">
        <v>61</v>
      </c>
      <c r="AH36" s="43" t="s">
        <v>62</v>
      </c>
      <c r="AI36">
        <v>3</v>
      </c>
      <c r="AJ36" s="43" t="s">
        <v>344</v>
      </c>
      <c r="AK36" s="43" t="s">
        <v>309</v>
      </c>
      <c r="AL36">
        <v>7.0333333333333341</v>
      </c>
    </row>
    <row r="37" spans="1:38" ht="21" x14ac:dyDescent="0.35">
      <c r="A37" t="s">
        <v>46</v>
      </c>
      <c r="B37" s="2" t="s">
        <v>26</v>
      </c>
      <c r="C37" s="2" t="s">
        <v>47</v>
      </c>
      <c r="D37" t="s">
        <v>36</v>
      </c>
      <c r="E37" s="9">
        <f>COUNTIF(PH[[#This Row],[bydgoszcz_PH_Total_Score]],"&gt;0")+COUNTIF(PH[[#This Row],[zabrze_PH_Total_Score]],"&gt;0")+COUNTIF(PH[[#This Row],[cracow_PH_Total_Score]],"&gt;0")+COUNTIF(PH[[#This Row],[gdansk_PH_Total_Score]],"&gt;0")</f>
        <v>3</v>
      </c>
      <c r="F37" s="4">
        <v>0</v>
      </c>
      <c r="G37" s="7">
        <v>0</v>
      </c>
      <c r="H37" s="7">
        <v>0</v>
      </c>
      <c r="I37" s="4">
        <v>2.2000000000000002</v>
      </c>
      <c r="J37" s="7">
        <v>5.75</v>
      </c>
      <c r="K37" s="7">
        <v>7.95</v>
      </c>
      <c r="L37" s="4">
        <v>2.2000000000000002</v>
      </c>
      <c r="M37" s="7">
        <v>2.75</v>
      </c>
      <c r="N37" s="7">
        <v>4.95</v>
      </c>
      <c r="O37" s="4">
        <v>2.5</v>
      </c>
      <c r="P37" s="7">
        <v>5.5</v>
      </c>
      <c r="Q37" s="7">
        <v>8</v>
      </c>
      <c r="R37" s="4">
        <f>LARGE(CHOOSE({1;2;3;4},F37,I37,L37,O37),1)+LARGE(CHOOSE({1;2;3;4},F37,I37,L37,O37),2)+LARGE(CHOOSE({1;2;3;4},F37,I37,L37,O37),3)</f>
        <v>6.9</v>
      </c>
      <c r="S37" s="7">
        <f>LARGE(CHOOSE({1;2;3;4},G37,J37,M37,P37),1)+LARGE(CHOOSE({1;2;3;4},G37,J37,M37,P37),2)+LARGE(CHOOSE({1;2;3;4},G37,J37,M37,P37),3)</f>
        <v>14</v>
      </c>
      <c r="T37" s="7">
        <f>LARGE(CHOOSE({1;2;3;4},H37,K37,N37,Q37),1)+LARGE(CHOOSE({1;2;3;4},H37,K37,N37,Q37),2)+LARGE(CHOOSE({1;2;3;4},H37,K37,N37,Q37),3)</f>
        <v>20.9</v>
      </c>
      <c r="U37" s="4" cm="1">
        <f t="array" ref="U37">IF(PH[[#This Row],[Number_of_Competition]:[Number_of_Competition]]&gt;=3,(LARGE(CHOOSE({1;2;3;4},F37,I37,L37,O37),1)+LARGE(CHOOSE({1;2;3;4},F37,I37,L37,O37),2)+LARGE(CHOOSE({1;2;3;4},F37,I37,L37,O37),3))/3,0)</f>
        <v>2.3000000000000003</v>
      </c>
      <c r="V37" s="7" cm="1">
        <f t="array" ref="V37">IF(PH[[#This Row],[Number_of_Competition]:[Number_of_Competition]]&gt;=3,(LARGE(CHOOSE({1;2;3;4},G37,J37,M37,P37),1)+LARGE(CHOOSE({1;2;3;4},G37,J37,M37,P37),2)+LARGE(CHOOSE({1;2;3;4},G37,J37,M37,P37),3))/3,0)</f>
        <v>4.666666666666667</v>
      </c>
      <c r="W37" s="7" cm="1">
        <f t="array" ref="W37">IF(PH[[#This Row],[Number_of_Competition]:[Number_of_Competition]]&gt;=3,(LARGE(CHOOSE({1;2;3;4},H37,K37,N37,Q37),1)+LARGE(CHOOSE({1;2;3;4},H37,K37,N37,Q37),2)+LARGE(CHOOSE({1;2;3;4},H37,K37,N37,Q37),3))/3,0)</f>
        <v>6.9666666666666659</v>
      </c>
      <c r="AE37" s="43" t="s">
        <v>59</v>
      </c>
      <c r="AF37" s="43" t="s">
        <v>60</v>
      </c>
      <c r="AG37" s="43" t="s">
        <v>61</v>
      </c>
      <c r="AH37" s="43" t="s">
        <v>62</v>
      </c>
      <c r="AI37">
        <v>3</v>
      </c>
      <c r="AJ37" s="43" t="s">
        <v>344</v>
      </c>
      <c r="AK37" s="43" t="s">
        <v>268</v>
      </c>
      <c r="AL37">
        <v>12.033333333333333</v>
      </c>
    </row>
    <row r="38" spans="1:38" ht="21" x14ac:dyDescent="0.35">
      <c r="A38" t="s">
        <v>112</v>
      </c>
      <c r="B38" s="2" t="s">
        <v>26</v>
      </c>
      <c r="C38" s="2" t="s">
        <v>113</v>
      </c>
      <c r="D38" t="s">
        <v>31</v>
      </c>
      <c r="E38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38" s="4">
        <v>3.1</v>
      </c>
      <c r="G38" s="7">
        <v>7.65</v>
      </c>
      <c r="H38" s="7">
        <v>10.75</v>
      </c>
      <c r="I38" s="4">
        <v>0</v>
      </c>
      <c r="J38" s="7">
        <v>0</v>
      </c>
      <c r="K38" s="7">
        <v>0</v>
      </c>
      <c r="L38" s="4">
        <v>0</v>
      </c>
      <c r="M38" s="7">
        <v>0</v>
      </c>
      <c r="N38" s="7">
        <v>0</v>
      </c>
      <c r="O38" s="4">
        <v>2.7</v>
      </c>
      <c r="P38" s="7">
        <v>6</v>
      </c>
      <c r="Q38" s="7">
        <v>8.6999999999999993</v>
      </c>
      <c r="R38" s="4">
        <f>LARGE(CHOOSE({1;2;3;4},F38,I38,L38,O38),1)+LARGE(CHOOSE({1;2;3;4},F38,I38,L38,O38),2)+LARGE(CHOOSE({1;2;3;4},F38,I38,L38,O38),3)</f>
        <v>5.8000000000000007</v>
      </c>
      <c r="S38" s="7">
        <f>LARGE(CHOOSE({1;2;3;4},G38,J38,M38,P38),1)+LARGE(CHOOSE({1;2;3;4},G38,J38,M38,P38),2)+LARGE(CHOOSE({1;2;3;4},G38,J38,M38,P38),3)</f>
        <v>13.65</v>
      </c>
      <c r="T38" s="7">
        <f>LARGE(CHOOSE({1;2;3;4},H38,K38,N38,Q38),1)+LARGE(CHOOSE({1;2;3;4},H38,K38,N38,Q38),2)+LARGE(CHOOSE({1;2;3;4},H38,K38,N38,Q38),3)</f>
        <v>19.45</v>
      </c>
      <c r="U38" s="4" cm="1">
        <f t="array" ref="U38">IF(PH[[#This Row],[Number_of_Competition]:[Number_of_Competition]]&gt;=3,(LARGE(CHOOSE({1;2;3;4},F38,I38,L38,O38),1)+LARGE(CHOOSE({1;2;3;4},F38,I38,L38,O38),2)+LARGE(CHOOSE({1;2;3;4},F38,I38,L38,O38),3))/3,0)</f>
        <v>0</v>
      </c>
      <c r="V38" s="7" cm="1">
        <f t="array" ref="V38">IF(PH[[#This Row],[Number_of_Competition]:[Number_of_Competition]]&gt;=3,(LARGE(CHOOSE({1;2;3;4},G38,J38,M38,P38),1)+LARGE(CHOOSE({1;2;3;4},G38,J38,M38,P38),2)+LARGE(CHOOSE({1;2;3;4},G38,J38,M38,P38),3))/3,0)</f>
        <v>0</v>
      </c>
      <c r="W38" s="7" cm="1">
        <f t="array" ref="W38">IF(PH[[#This Row],[Number_of_Competition]:[Number_of_Competition]]&gt;=3,(LARGE(CHOOSE({1;2;3;4},H38,K38,N38,Q38),1)+LARGE(CHOOSE({1;2;3;4},H38,K38,N38,Q38),2)+LARGE(CHOOSE({1;2;3;4},H38,K38,N38,Q38),3))/3,0)</f>
        <v>0</v>
      </c>
      <c r="AE38" s="43" t="s">
        <v>86</v>
      </c>
      <c r="AF38" s="43" t="s">
        <v>60</v>
      </c>
      <c r="AG38" s="43" t="s">
        <v>87</v>
      </c>
      <c r="AH38" s="43" t="s">
        <v>72</v>
      </c>
      <c r="AI38">
        <v>4</v>
      </c>
      <c r="AJ38" s="43" t="s">
        <v>317</v>
      </c>
      <c r="AK38" s="43" t="s">
        <v>308</v>
      </c>
      <c r="AL38">
        <v>3.8</v>
      </c>
    </row>
    <row r="39" spans="1:38" ht="21" x14ac:dyDescent="0.35">
      <c r="A39" t="s">
        <v>120</v>
      </c>
      <c r="B39" s="2" t="s">
        <v>26</v>
      </c>
      <c r="C39" s="2" t="s">
        <v>121</v>
      </c>
      <c r="D39" t="s">
        <v>39</v>
      </c>
      <c r="E39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39" s="4">
        <v>2.6</v>
      </c>
      <c r="G39" s="7">
        <v>4.4000000000000004</v>
      </c>
      <c r="H39" s="7">
        <v>7</v>
      </c>
      <c r="I39" s="4">
        <v>0</v>
      </c>
      <c r="J39" s="7">
        <v>0</v>
      </c>
      <c r="K39" s="7">
        <v>0</v>
      </c>
      <c r="L39" s="4">
        <v>2.4</v>
      </c>
      <c r="M39" s="7">
        <v>5.7</v>
      </c>
      <c r="N39" s="7">
        <v>8.1</v>
      </c>
      <c r="O39" s="4">
        <v>0</v>
      </c>
      <c r="P39" s="7">
        <v>0</v>
      </c>
      <c r="Q39" s="7">
        <v>0</v>
      </c>
      <c r="R39" s="4">
        <f>LARGE(CHOOSE({1;2;3;4},F39,I39,L39,O39),1)+LARGE(CHOOSE({1;2;3;4},F39,I39,L39,O39),2)+LARGE(CHOOSE({1;2;3;4},F39,I39,L39,O39),3)</f>
        <v>5</v>
      </c>
      <c r="S39" s="7">
        <f>LARGE(CHOOSE({1;2;3;4},G39,J39,M39,P39),1)+LARGE(CHOOSE({1;2;3;4},G39,J39,M39,P39),2)+LARGE(CHOOSE({1;2;3;4},G39,J39,M39,P39),3)</f>
        <v>10.100000000000001</v>
      </c>
      <c r="T39" s="7">
        <f>LARGE(CHOOSE({1;2;3;4},H39,K39,N39,Q39),1)+LARGE(CHOOSE({1;2;3;4},H39,K39,N39,Q39),2)+LARGE(CHOOSE({1;2;3;4},H39,K39,N39,Q39),3)</f>
        <v>15.1</v>
      </c>
      <c r="U39" s="4" cm="1">
        <f t="array" ref="U39">IF(PH[[#This Row],[Number_of_Competition]:[Number_of_Competition]]&gt;=3,(LARGE(CHOOSE({1;2;3;4},F39,I39,L39,O39),1)+LARGE(CHOOSE({1;2;3;4},F39,I39,L39,O39),2)+LARGE(CHOOSE({1;2;3;4},F39,I39,L39,O39),3))/3,0)</f>
        <v>0</v>
      </c>
      <c r="V39" s="7" cm="1">
        <f t="array" ref="V39">IF(PH[[#This Row],[Number_of_Competition]:[Number_of_Competition]]&gt;=3,(LARGE(CHOOSE({1;2;3;4},G39,J39,M39,P39),1)+LARGE(CHOOSE({1;2;3;4},G39,J39,M39,P39),2)+LARGE(CHOOSE({1;2;3;4},G39,J39,M39,P39),3))/3,0)</f>
        <v>0</v>
      </c>
      <c r="W39" s="7" cm="1">
        <f t="array" ref="W39">IF(PH[[#This Row],[Number_of_Competition]:[Number_of_Competition]]&gt;=3,(LARGE(CHOOSE({1;2;3;4},H39,K39,N39,Q39),1)+LARGE(CHOOSE({1;2;3;4},H39,K39,N39,Q39),2)+LARGE(CHOOSE({1;2;3;4},H39,K39,N39,Q39),3))/3,0)</f>
        <v>0</v>
      </c>
      <c r="AE39" s="43" t="s">
        <v>86</v>
      </c>
      <c r="AF39" s="43" t="s">
        <v>60</v>
      </c>
      <c r="AG39" s="43" t="s">
        <v>87</v>
      </c>
      <c r="AH39" s="43" t="s">
        <v>72</v>
      </c>
      <c r="AI39">
        <v>4</v>
      </c>
      <c r="AJ39" s="43" t="s">
        <v>317</v>
      </c>
      <c r="AK39" s="43" t="s">
        <v>309</v>
      </c>
      <c r="AL39">
        <v>7.1</v>
      </c>
    </row>
    <row r="40" spans="1:38" ht="21" x14ac:dyDescent="0.35">
      <c r="A40" t="s">
        <v>132</v>
      </c>
      <c r="B40" s="2" t="s">
        <v>26</v>
      </c>
      <c r="C40" s="2" t="s">
        <v>133</v>
      </c>
      <c r="D40" t="s">
        <v>39</v>
      </c>
      <c r="E40" s="9">
        <f>COUNTIF(PH[[#This Row],[bydgoszcz_PH_Total_Score]],"&gt;0")+COUNTIF(PH[[#This Row],[zabrze_PH_Total_Score]],"&gt;0")+COUNTIF(PH[[#This Row],[cracow_PH_Total_Score]],"&gt;0")+COUNTIF(PH[[#This Row],[gdansk_PH_Total_Score]],"&gt;0")</f>
        <v>1</v>
      </c>
      <c r="F40" s="4">
        <v>3</v>
      </c>
      <c r="G40" s="7">
        <v>7.6</v>
      </c>
      <c r="H40" s="7">
        <v>10.6</v>
      </c>
      <c r="I40" s="4">
        <v>0</v>
      </c>
      <c r="J40" s="7">
        <v>0</v>
      </c>
      <c r="K40" s="7">
        <v>0</v>
      </c>
      <c r="L40" s="4">
        <v>0</v>
      </c>
      <c r="M40" s="7">
        <v>0</v>
      </c>
      <c r="N40" s="7">
        <v>0</v>
      </c>
      <c r="O40" s="4">
        <v>0</v>
      </c>
      <c r="P40" s="7">
        <v>0</v>
      </c>
      <c r="Q40" s="7">
        <v>0</v>
      </c>
      <c r="R40" s="4">
        <f>LARGE(CHOOSE({1;2;3;4},F40,I40,L40,O40),1)+LARGE(CHOOSE({1;2;3;4},F40,I40,L40,O40),2)+LARGE(CHOOSE({1;2;3;4},F40,I40,L40,O40),3)</f>
        <v>3</v>
      </c>
      <c r="S40" s="7">
        <f>LARGE(CHOOSE({1;2;3;4},G40,J40,M40,P40),1)+LARGE(CHOOSE({1;2;3;4},G40,J40,M40,P40),2)+LARGE(CHOOSE({1;2;3;4},G40,J40,M40,P40),3)</f>
        <v>7.6</v>
      </c>
      <c r="T40" s="7">
        <f>LARGE(CHOOSE({1;2;3;4},H40,K40,N40,Q40),1)+LARGE(CHOOSE({1;2;3;4},H40,K40,N40,Q40),2)+LARGE(CHOOSE({1;2;3;4},H40,K40,N40,Q40),3)</f>
        <v>10.6</v>
      </c>
      <c r="U40" s="4" cm="1">
        <f t="array" ref="U40">IF(PH[[#This Row],[Number_of_Competition]:[Number_of_Competition]]&gt;=3,(LARGE(CHOOSE({1;2;3;4},F40,I40,L40,O40),1)+LARGE(CHOOSE({1;2;3;4},F40,I40,L40,O40),2)+LARGE(CHOOSE({1;2;3;4},F40,I40,L40,O40),3))/3,0)</f>
        <v>0</v>
      </c>
      <c r="V40" s="7" cm="1">
        <f t="array" ref="V40">IF(PH[[#This Row],[Number_of_Competition]:[Number_of_Competition]]&gt;=3,(LARGE(CHOOSE({1;2;3;4},G40,J40,M40,P40),1)+LARGE(CHOOSE({1;2;3;4},G40,J40,M40,P40),2)+LARGE(CHOOSE({1;2;3;4},G40,J40,M40,P40),3))/3,0)</f>
        <v>0</v>
      </c>
      <c r="W40" s="7" cm="1">
        <f t="array" ref="W40">IF(PH[[#This Row],[Number_of_Competition]:[Number_of_Competition]]&gt;=3,(LARGE(CHOOSE({1;2;3;4},H40,K40,N40,Q40),1)+LARGE(CHOOSE({1;2;3;4},H40,K40,N40,Q40),2)+LARGE(CHOOSE({1;2;3;4},H40,K40,N40,Q40),3))/3,0)</f>
        <v>0</v>
      </c>
      <c r="AE40" s="43" t="s">
        <v>86</v>
      </c>
      <c r="AF40" s="43" t="s">
        <v>60</v>
      </c>
      <c r="AG40" s="43" t="s">
        <v>87</v>
      </c>
      <c r="AH40" s="43" t="s">
        <v>72</v>
      </c>
      <c r="AI40">
        <v>4</v>
      </c>
      <c r="AJ40" s="43" t="s">
        <v>317</v>
      </c>
      <c r="AK40" s="43" t="s">
        <v>268</v>
      </c>
      <c r="AL40">
        <v>10.9</v>
      </c>
    </row>
    <row r="41" spans="1:38" ht="21" x14ac:dyDescent="0.35">
      <c r="A41" t="s">
        <v>57</v>
      </c>
      <c r="B41" s="2" t="s">
        <v>26</v>
      </c>
      <c r="C41" s="2" t="s">
        <v>58</v>
      </c>
      <c r="D41" t="s">
        <v>36</v>
      </c>
      <c r="E41" s="9">
        <f>COUNTIF(PH[[#This Row],[bydgoszcz_PH_Total_Score]],"&gt;0")+COUNTIF(PH[[#This Row],[zabrze_PH_Total_Score]],"&gt;0")+COUNTIF(PH[[#This Row],[cracow_PH_Total_Score]],"&gt;0")+COUNTIF(PH[[#This Row],[gdansk_PH_Total_Score]],"&gt;0")</f>
        <v>1</v>
      </c>
      <c r="F41" s="4">
        <v>2.6</v>
      </c>
      <c r="G41" s="7">
        <v>6</v>
      </c>
      <c r="H41" s="7">
        <v>8.6</v>
      </c>
      <c r="I41" s="4">
        <v>0</v>
      </c>
      <c r="J41" s="7">
        <v>0</v>
      </c>
      <c r="K41" s="7">
        <v>0</v>
      </c>
      <c r="L41" s="4">
        <v>0</v>
      </c>
      <c r="M41" s="7">
        <v>0</v>
      </c>
      <c r="N41" s="7">
        <v>0</v>
      </c>
      <c r="O41" s="4">
        <v>0</v>
      </c>
      <c r="P41" s="7">
        <v>0</v>
      </c>
      <c r="Q41" s="7">
        <v>0</v>
      </c>
      <c r="R41" s="4">
        <f>LARGE(CHOOSE({1;2;3;4},F41,I41,L41,O41),1)+LARGE(CHOOSE({1;2;3;4},F41,I41,L41,O41),2)+LARGE(CHOOSE({1;2;3;4},F41,I41,L41,O41),3)</f>
        <v>2.6</v>
      </c>
      <c r="S41" s="7">
        <f>LARGE(CHOOSE({1;2;3;4},G41,J41,M41,P41),1)+LARGE(CHOOSE({1;2;3;4},G41,J41,M41,P41),2)+LARGE(CHOOSE({1;2;3;4},G41,J41,M41,P41),3)</f>
        <v>6</v>
      </c>
      <c r="T41" s="7">
        <f>LARGE(CHOOSE({1;2;3;4},H41,K41,N41,Q41),1)+LARGE(CHOOSE({1;2;3;4},H41,K41,N41,Q41),2)+LARGE(CHOOSE({1;2;3;4},H41,K41,N41,Q41),3)</f>
        <v>8.6</v>
      </c>
      <c r="U41" s="4" cm="1">
        <f t="array" ref="U41">IF(PH[[#This Row],[Number_of_Competition]:[Number_of_Competition]]&gt;=3,(LARGE(CHOOSE({1;2;3;4},F41,I41,L41,O41),1)+LARGE(CHOOSE({1;2;3;4},F41,I41,L41,O41),2)+LARGE(CHOOSE({1;2;3;4},F41,I41,L41,O41),3))/3,0)</f>
        <v>0</v>
      </c>
      <c r="V41" s="7" cm="1">
        <f t="array" ref="V41">IF(PH[[#This Row],[Number_of_Competition]:[Number_of_Competition]]&gt;=3,(LARGE(CHOOSE({1;2;3;4},G41,J41,M41,P41),1)+LARGE(CHOOSE({1;2;3;4},G41,J41,M41,P41),2)+LARGE(CHOOSE({1;2;3;4},G41,J41,M41,P41),3))/3,0)</f>
        <v>0</v>
      </c>
      <c r="W41" s="7" cm="1">
        <f t="array" ref="W41">IF(PH[[#This Row],[Number_of_Competition]:[Number_of_Competition]]&gt;=3,(LARGE(CHOOSE({1;2;3;4},H41,K41,N41,Q41),1)+LARGE(CHOOSE({1;2;3;4},H41,K41,N41,Q41),2)+LARGE(CHOOSE({1;2;3;4},H41,K41,N41,Q41),3))/3,0)</f>
        <v>0</v>
      </c>
      <c r="AE41" s="43" t="s">
        <v>86</v>
      </c>
      <c r="AF41" s="43" t="s">
        <v>60</v>
      </c>
      <c r="AG41" s="43" t="s">
        <v>87</v>
      </c>
      <c r="AH41" s="43" t="s">
        <v>72</v>
      </c>
      <c r="AI41">
        <v>4</v>
      </c>
      <c r="AJ41" s="43" t="s">
        <v>325</v>
      </c>
      <c r="AK41" s="43" t="s">
        <v>308</v>
      </c>
      <c r="AL41">
        <v>4</v>
      </c>
    </row>
    <row r="42" spans="1:38" ht="21" x14ac:dyDescent="0.35">
      <c r="A42" t="s">
        <v>139</v>
      </c>
      <c r="B42" s="2" t="s">
        <v>26</v>
      </c>
      <c r="C42" s="2" t="s">
        <v>140</v>
      </c>
      <c r="D42" t="s">
        <v>124</v>
      </c>
      <c r="E42" s="9">
        <f>COUNTIF(PH[[#This Row],[bydgoszcz_PH_Total_Score]],"&gt;0")+COUNTIF(PH[[#This Row],[zabrze_PH_Total_Score]],"&gt;0")+COUNTIF(PH[[#This Row],[cracow_PH_Total_Score]],"&gt;0")+COUNTIF(PH[[#This Row],[gdansk_PH_Total_Score]],"&gt;0")</f>
        <v>1</v>
      </c>
      <c r="F42" s="4">
        <v>1.5</v>
      </c>
      <c r="G42" s="7">
        <v>0</v>
      </c>
      <c r="H42" s="7">
        <v>1.5</v>
      </c>
      <c r="I42" s="4">
        <v>0</v>
      </c>
      <c r="J42" s="7">
        <v>0</v>
      </c>
      <c r="K42" s="7">
        <v>0</v>
      </c>
      <c r="L42" s="4">
        <v>0</v>
      </c>
      <c r="M42" s="7">
        <v>0</v>
      </c>
      <c r="N42" s="7">
        <v>0</v>
      </c>
      <c r="O42" s="4">
        <v>0</v>
      </c>
      <c r="P42" s="7">
        <v>0</v>
      </c>
      <c r="Q42" s="7">
        <v>0</v>
      </c>
      <c r="R42" s="4">
        <f>LARGE(CHOOSE({1;2;3;4},F42,I42,L42,O42),1)+LARGE(CHOOSE({1;2;3;4},F42,I42,L42,O42),2)+LARGE(CHOOSE({1;2;3;4},F42,I42,L42,O42),3)</f>
        <v>1.5</v>
      </c>
      <c r="S42" s="7">
        <f>LARGE(CHOOSE({1;2;3;4},G42,J42,M42,P42),1)+LARGE(CHOOSE({1;2;3;4},G42,J42,M42,P42),2)+LARGE(CHOOSE({1;2;3;4},G42,J42,M42,P42),3)</f>
        <v>0</v>
      </c>
      <c r="T42" s="7">
        <f>LARGE(CHOOSE({1;2;3;4},H42,K42,N42,Q42),1)+LARGE(CHOOSE({1;2;3;4},H42,K42,N42,Q42),2)+LARGE(CHOOSE({1;2;3;4},H42,K42,N42,Q42),3)</f>
        <v>1.5</v>
      </c>
      <c r="U42" s="4" cm="1">
        <f t="array" ref="U42">IF(PH[[#This Row],[Number_of_Competition]:[Number_of_Competition]]&gt;=3,(LARGE(CHOOSE({1;2;3;4},F42,I42,L42,O42),1)+LARGE(CHOOSE({1;2;3;4},F42,I42,L42,O42),2)+LARGE(CHOOSE({1;2;3;4},F42,I42,L42,O42),3))/3,0)</f>
        <v>0</v>
      </c>
      <c r="V42" s="7" cm="1">
        <f t="array" ref="V42">IF(PH[[#This Row],[Number_of_Competition]:[Number_of_Competition]]&gt;=3,(LARGE(CHOOSE({1;2;3;4},G42,J42,M42,P42),1)+LARGE(CHOOSE({1;2;3;4},G42,J42,M42,P42),2)+LARGE(CHOOSE({1;2;3;4},G42,J42,M42,P42),3))/3,0)</f>
        <v>0</v>
      </c>
      <c r="W42" s="7" cm="1">
        <f t="array" ref="W42">IF(PH[[#This Row],[Number_of_Competition]:[Number_of_Competition]]&gt;=3,(LARGE(CHOOSE({1;2;3;4},H42,K42,N42,Q42),1)+LARGE(CHOOSE({1;2;3;4},H42,K42,N42,Q42),2)+LARGE(CHOOSE({1;2;3;4},H42,K42,N42,Q42),3))/3,0)</f>
        <v>0</v>
      </c>
      <c r="AE42" s="43" t="s">
        <v>86</v>
      </c>
      <c r="AF42" s="43" t="s">
        <v>60</v>
      </c>
      <c r="AG42" s="43" t="s">
        <v>87</v>
      </c>
      <c r="AH42" s="43" t="s">
        <v>72</v>
      </c>
      <c r="AI42">
        <v>4</v>
      </c>
      <c r="AJ42" s="43" t="s">
        <v>325</v>
      </c>
      <c r="AK42" s="43" t="s">
        <v>309</v>
      </c>
      <c r="AL42">
        <v>7.8</v>
      </c>
    </row>
    <row r="43" spans="1:38" ht="21" x14ac:dyDescent="0.35">
      <c r="A43" t="s">
        <v>135</v>
      </c>
      <c r="B43" s="2" t="s">
        <v>26</v>
      </c>
      <c r="C43" s="2" t="s">
        <v>136</v>
      </c>
      <c r="D43" t="s">
        <v>124</v>
      </c>
      <c r="E43" s="9">
        <f>COUNTIF(PH[[#This Row],[bydgoszcz_PH_Total_Score]],"&gt;0")+COUNTIF(PH[[#This Row],[zabrze_PH_Total_Score]],"&gt;0")+COUNTIF(PH[[#This Row],[cracow_PH_Total_Score]],"&gt;0")+COUNTIF(PH[[#This Row],[gdansk_PH_Total_Score]],"&gt;0")</f>
        <v>1</v>
      </c>
      <c r="F43" s="4">
        <v>1.3</v>
      </c>
      <c r="G43" s="7">
        <v>0</v>
      </c>
      <c r="H43" s="7">
        <v>1.3</v>
      </c>
      <c r="I43" s="4">
        <v>0</v>
      </c>
      <c r="J43" s="7">
        <v>0</v>
      </c>
      <c r="K43" s="7">
        <v>0</v>
      </c>
      <c r="L43" s="4">
        <v>0</v>
      </c>
      <c r="M43" s="7">
        <v>0</v>
      </c>
      <c r="N43" s="7">
        <v>0</v>
      </c>
      <c r="O43" s="4">
        <v>0</v>
      </c>
      <c r="P43" s="7">
        <v>0</v>
      </c>
      <c r="Q43" s="7">
        <v>0</v>
      </c>
      <c r="R43" s="4">
        <f>LARGE(CHOOSE({1;2;3;4},F43,I43,L43,O43),1)+LARGE(CHOOSE({1;2;3;4},F43,I43,L43,O43),2)+LARGE(CHOOSE({1;2;3;4},F43,I43,L43,O43),3)</f>
        <v>1.3</v>
      </c>
      <c r="S43" s="7">
        <f>LARGE(CHOOSE({1;2;3;4},G43,J43,M43,P43),1)+LARGE(CHOOSE({1;2;3;4},G43,J43,M43,P43),2)+LARGE(CHOOSE({1;2;3;4},G43,J43,M43,P43),3)</f>
        <v>0</v>
      </c>
      <c r="T43" s="7">
        <f>LARGE(CHOOSE({1;2;3;4},H43,K43,N43,Q43),1)+LARGE(CHOOSE({1;2;3;4},H43,K43,N43,Q43),2)+LARGE(CHOOSE({1;2;3;4},H43,K43,N43,Q43),3)</f>
        <v>1.3</v>
      </c>
      <c r="U43" s="4" cm="1">
        <f t="array" ref="U43">IF(PH[[#This Row],[Number_of_Competition]:[Number_of_Competition]]&gt;=3,(LARGE(CHOOSE({1;2;3;4},F43,I43,L43,O43),1)+LARGE(CHOOSE({1;2;3;4},F43,I43,L43,O43),2)+LARGE(CHOOSE({1;2;3;4},F43,I43,L43,O43),3))/3,0)</f>
        <v>0</v>
      </c>
      <c r="V43" s="7" cm="1">
        <f t="array" ref="V43">IF(PH[[#This Row],[Number_of_Competition]:[Number_of_Competition]]&gt;=3,(LARGE(CHOOSE({1;2;3;4},G43,J43,M43,P43),1)+LARGE(CHOOSE({1;2;3;4},G43,J43,M43,P43),2)+LARGE(CHOOSE({1;2;3;4},G43,J43,M43,P43),3))/3,0)</f>
        <v>0</v>
      </c>
      <c r="W43" s="7" cm="1">
        <f t="array" ref="W43">IF(PH[[#This Row],[Number_of_Competition]:[Number_of_Competition]]&gt;=3,(LARGE(CHOOSE({1;2;3;4},H43,K43,N43,Q43),1)+LARGE(CHOOSE({1;2;3;4},H43,K43,N43,Q43),2)+LARGE(CHOOSE({1;2;3;4},H43,K43,N43,Q43),3))/3,0)</f>
        <v>0</v>
      </c>
      <c r="AE43" s="43" t="s">
        <v>86</v>
      </c>
      <c r="AF43" s="43" t="s">
        <v>60</v>
      </c>
      <c r="AG43" s="43" t="s">
        <v>87</v>
      </c>
      <c r="AH43" s="43" t="s">
        <v>72</v>
      </c>
      <c r="AI43">
        <v>4</v>
      </c>
      <c r="AJ43" s="43" t="s">
        <v>325</v>
      </c>
      <c r="AK43" s="43" t="s">
        <v>268</v>
      </c>
      <c r="AL43">
        <v>11.8</v>
      </c>
    </row>
    <row r="44" spans="1:38" ht="21" x14ac:dyDescent="0.35">
      <c r="A44" t="s">
        <v>137</v>
      </c>
      <c r="B44" s="2" t="s">
        <v>26</v>
      </c>
      <c r="C44" s="2" t="s">
        <v>138</v>
      </c>
      <c r="D44" t="s">
        <v>124</v>
      </c>
      <c r="E44" s="9">
        <f>COUNTIF(PH[[#This Row],[bydgoszcz_PH_Total_Score]],"&gt;0")+COUNTIF(PH[[#This Row],[zabrze_PH_Total_Score]],"&gt;0")+COUNTIF(PH[[#This Row],[cracow_PH_Total_Score]],"&gt;0")+COUNTIF(PH[[#This Row],[gdansk_PH_Total_Score]],"&gt;0")</f>
        <v>1</v>
      </c>
      <c r="F44" s="4">
        <v>0.6</v>
      </c>
      <c r="G44" s="7">
        <v>0</v>
      </c>
      <c r="H44" s="7">
        <v>0.6</v>
      </c>
      <c r="I44" s="4">
        <v>0</v>
      </c>
      <c r="J44" s="7">
        <v>0</v>
      </c>
      <c r="K44" s="7">
        <v>0</v>
      </c>
      <c r="L44" s="4">
        <v>0</v>
      </c>
      <c r="M44" s="7">
        <v>0</v>
      </c>
      <c r="N44" s="7">
        <v>0</v>
      </c>
      <c r="O44" s="4">
        <v>0</v>
      </c>
      <c r="P44" s="7">
        <v>0</v>
      </c>
      <c r="Q44" s="7">
        <v>0</v>
      </c>
      <c r="R44" s="4">
        <f>LARGE(CHOOSE({1;2;3;4},F44,I44,L44,O44),1)+LARGE(CHOOSE({1;2;3;4},F44,I44,L44,O44),2)+LARGE(CHOOSE({1;2;3;4},F44,I44,L44,O44),3)</f>
        <v>0.6</v>
      </c>
      <c r="S44" s="7">
        <f>LARGE(CHOOSE({1;2;3;4},G44,J44,M44,P44),1)+LARGE(CHOOSE({1;2;3;4},G44,J44,M44,P44),2)+LARGE(CHOOSE({1;2;3;4},G44,J44,M44,P44),3)</f>
        <v>0</v>
      </c>
      <c r="T44" s="7">
        <f>LARGE(CHOOSE({1;2;3;4},H44,K44,N44,Q44),1)+LARGE(CHOOSE({1;2;3;4},H44,K44,N44,Q44),2)+LARGE(CHOOSE({1;2;3;4},H44,K44,N44,Q44),3)</f>
        <v>0.6</v>
      </c>
      <c r="U44" s="4" cm="1">
        <f t="array" ref="U44">IF(PH[[#This Row],[Number_of_Competition]:[Number_of_Competition]]&gt;=3,(LARGE(CHOOSE({1;2;3;4},F44,I44,L44,O44),1)+LARGE(CHOOSE({1;2;3;4},F44,I44,L44,O44),2)+LARGE(CHOOSE({1;2;3;4},F44,I44,L44,O44),3))/3,0)</f>
        <v>0</v>
      </c>
      <c r="V44" s="7" cm="1">
        <f t="array" ref="V44">IF(PH[[#This Row],[Number_of_Competition]:[Number_of_Competition]]&gt;=3,(LARGE(CHOOSE({1;2;3;4},G44,J44,M44,P44),1)+LARGE(CHOOSE({1;2;3;4},G44,J44,M44,P44),2)+LARGE(CHOOSE({1;2;3;4},G44,J44,M44,P44),3))/3,0)</f>
        <v>0</v>
      </c>
      <c r="W44" s="7" cm="1">
        <f t="array" ref="W44">IF(PH[[#This Row],[Number_of_Competition]:[Number_of_Competition]]&gt;=3,(LARGE(CHOOSE({1;2;3;4},H44,K44,N44,Q44),1)+LARGE(CHOOSE({1;2;3;4},H44,K44,N44,Q44),2)+LARGE(CHOOSE({1;2;3;4},H44,K44,N44,Q44),3))/3,0)</f>
        <v>0</v>
      </c>
      <c r="AE44" s="43" t="s">
        <v>86</v>
      </c>
      <c r="AF44" s="43" t="s">
        <v>60</v>
      </c>
      <c r="AG44" s="43" t="s">
        <v>87</v>
      </c>
      <c r="AH44" s="43" t="s">
        <v>72</v>
      </c>
      <c r="AI44">
        <v>4</v>
      </c>
      <c r="AJ44" s="43" t="s">
        <v>330</v>
      </c>
      <c r="AK44" s="43" t="s">
        <v>308</v>
      </c>
      <c r="AL44">
        <v>4.2</v>
      </c>
    </row>
    <row r="45" spans="1:38" ht="21" x14ac:dyDescent="0.35">
      <c r="F45" s="4"/>
      <c r="G45" s="7"/>
      <c r="H45" s="7"/>
      <c r="I45" s="4"/>
      <c r="J45" s="7"/>
      <c r="K45" s="7"/>
      <c r="L45" s="4"/>
      <c r="M45" s="7"/>
      <c r="N45" s="7"/>
      <c r="O45" s="4"/>
      <c r="P45" s="7"/>
      <c r="Q45" s="7"/>
      <c r="R45" s="4"/>
      <c r="S45" s="7"/>
      <c r="AE45" s="43" t="s">
        <v>86</v>
      </c>
      <c r="AF45" s="43" t="s">
        <v>60</v>
      </c>
      <c r="AG45" s="43" t="s">
        <v>87</v>
      </c>
      <c r="AH45" s="43" t="s">
        <v>72</v>
      </c>
      <c r="AI45">
        <v>4</v>
      </c>
      <c r="AJ45" s="43" t="s">
        <v>330</v>
      </c>
      <c r="AK45" s="43" t="s">
        <v>309</v>
      </c>
      <c r="AL45">
        <v>8</v>
      </c>
    </row>
    <row r="46" spans="1:38" ht="21" x14ac:dyDescent="0.35">
      <c r="AE46" s="43" t="s">
        <v>86</v>
      </c>
      <c r="AF46" s="43" t="s">
        <v>60</v>
      </c>
      <c r="AG46" s="43" t="s">
        <v>87</v>
      </c>
      <c r="AH46" s="43" t="s">
        <v>72</v>
      </c>
      <c r="AI46">
        <v>4</v>
      </c>
      <c r="AJ46" s="43" t="s">
        <v>330</v>
      </c>
      <c r="AK46" s="43" t="s">
        <v>268</v>
      </c>
      <c r="AL46">
        <v>12.2</v>
      </c>
    </row>
    <row r="47" spans="1:38" ht="21" x14ac:dyDescent="0.35">
      <c r="A47" s="16" t="s">
        <v>2</v>
      </c>
      <c r="B47" s="16" t="s">
        <v>266</v>
      </c>
      <c r="C47" s="16" t="s">
        <v>271</v>
      </c>
      <c r="D47" s="17" t="s">
        <v>272</v>
      </c>
      <c r="E47" s="17" t="s">
        <v>270</v>
      </c>
      <c r="F47" s="18" t="s">
        <v>253</v>
      </c>
      <c r="AE47" s="43" t="s">
        <v>86</v>
      </c>
      <c r="AF47" s="43" t="s">
        <v>60</v>
      </c>
      <c r="AG47" s="43" t="s">
        <v>87</v>
      </c>
      <c r="AH47" s="43" t="s">
        <v>72</v>
      </c>
      <c r="AI47">
        <v>4</v>
      </c>
      <c r="AJ47" s="43" t="s">
        <v>331</v>
      </c>
      <c r="AK47" s="43" t="s">
        <v>308</v>
      </c>
      <c r="AL47">
        <v>3.8</v>
      </c>
    </row>
    <row r="48" spans="1:38" ht="21" x14ac:dyDescent="0.35">
      <c r="A48" s="2" t="s">
        <v>60</v>
      </c>
      <c r="B48" s="2" t="s">
        <v>269</v>
      </c>
      <c r="C48" s="4" cm="1">
        <f t="array" ref="C48">SUM(_xlfn._xlws.FILTER(PH[bydgoszcz_PH_Dscore],PH[Category]="senior"),_xlfn._xlws.FILTER(PH[zabrze_PH_Dscore],PH[Category]="senior"),_xlfn._xlws.FILTER(PH[cracow_PH_Dscore],PH[Category]="senior"),_xlfn._xlws.FILTER(PH[gdansk_PH_Dscore],PH[Category]="senior"))/(COUNTIFS(PH[bydgoszcz_PH_Dscore],"&gt;0",PH[Category],"senior")+COUNTIFS(PH[zabrze_PH_Dscore],"&gt;0",PH[Category],"senior")+COUNTIFS(PH[cracow_PH_Dscore],"&gt;0",PH[Category],"senior")+COUNTIFS(PH[gdansk_PH_Dscore],"&gt;0",PH[Category],"senior"))</f>
        <v>3.6766666666666663</v>
      </c>
      <c r="D48" s="4" cm="1">
        <f t="array" ref="D48">_xlfn.STDEV.S(_xlfn._xlws.FILTER(PH[bydgoszcz_PH_Dscore],(PH[Category]="senior")*(PH[bydgoszcz_PH_Dscore])&gt;0),_xlfn._xlws.FILTER(PH[zabrze_PH_Dscore],(PH[Category]="senior")*(PH[zabrze_PH_Dscore])&gt;0),_xlfn._xlws.FILTER(PH[cracow_PH_Dscore],(PH[Category]="senior")*(PH[cracow_PH_Dscore])&gt;0),_xlfn._xlws.FILTER(PH[gdansk_PH_Dscore],(PH[Category]="senior")*(PH[gdansk_PH_Dscore])&gt;0))</f>
        <v>0.66060236165638186</v>
      </c>
      <c r="E48" s="4" cm="1">
        <f t="array" ref="E48">MAX(_xlfn._xlws.FILTER(PH[bydgoszcz_PH_Dscore],PH[Category]="senior"),_xlfn._xlws.FILTER(PH[zabrze_PH_Dscore],PH[Category]="senior"),_xlfn._xlws.FILTER(PH[cracow_PH_Dscore],PH[Category]="senior"),_xlfn._xlws.FILTER(PH[gdansk_PH_Dscore],PH[Category]="senior"))</f>
        <v>5.2</v>
      </c>
      <c r="F48" s="2" t="str" cm="1">
        <f t="array" ref="F48">_xlfn.XLOOKUP(E48,_xlfn._xlws.FILTER(PH[bydgoszcz_PH_Dscore],PH[Category]="senior"),_xlfn._xlws.FILTER(PH[Name],PH[Category]="senior"),_xlfn.XLOOKUP(E48,_xlfn._xlws.FILTER(PH[zabrze_PH_Dscore],PH[Category]="senior"),_xlfn._xlws.FILTER(PH[Name],PH[Category]="senior"),_xlfn.XLOOKUP(E48,_xlfn._xlws.FILTER(PH[cracow_PH_Dscore],PH[Category]="senior"),_xlfn._xlws.FILTER(PH[Name],PH[Category]="senior"),_xlfn.XLOOKUP(E48,_xlfn._xlws.FILTER(PH[gdansk_PH_Dscore],PH[Category]="senior"),_xlfn._xlws.FILTER(PH[Name],PH[Category]="senior")))))</f>
        <v>GARNCZAREK Kacper</v>
      </c>
      <c r="AE48" s="43" t="s">
        <v>86</v>
      </c>
      <c r="AF48" s="43" t="s">
        <v>60</v>
      </c>
      <c r="AG48" s="43" t="s">
        <v>87</v>
      </c>
      <c r="AH48" s="43" t="s">
        <v>72</v>
      </c>
      <c r="AI48">
        <v>4</v>
      </c>
      <c r="AJ48" s="43" t="s">
        <v>331</v>
      </c>
      <c r="AK48" s="43" t="s">
        <v>309</v>
      </c>
      <c r="AL48">
        <v>7.6</v>
      </c>
    </row>
    <row r="49" spans="1:38" ht="34.5" customHeight="1" x14ac:dyDescent="0.35">
      <c r="A49" s="2" t="s">
        <v>60</v>
      </c>
      <c r="B49" s="2" t="s">
        <v>267</v>
      </c>
      <c r="C49" s="7" cm="1">
        <f t="array" ref="C49">SUM(_xlfn._xlws.FILTER(PH[bydgoszcz_PH_Escore],PH[Category]="senior"),_xlfn._xlws.FILTER(PH[zabrze_PH_Escore],PH[Category]="senior"),_xlfn._xlws.FILTER(PH[cracow_PH_Escore],PH[Category]="senior"),_xlfn._xlws.FILTER(PH[gdansk_PH_Escore],PH[Category]="senior"))/(COUNTIFS(PH[bydgoszcz_PH_Escore],"&gt;0",PH[Category],"senior")+COUNTIFS(PH[zabrze_PH_Escore],"&gt;0",PH[Category],"senior")+COUNTIFS(PH[cracow_PH_Escore],"&gt;0",PH[Category],"senior")+COUNTIFS(PH[gdansk_PH_Escore],"&gt;0",PH[Category],"senior"))</f>
        <v>6.7406779661016945</v>
      </c>
      <c r="D49" s="7" cm="1">
        <f t="array" ref="D49">_xlfn.STDEV.S(_xlfn._xlws.FILTER(PH[bydgoszcz_PH_Escore],(PH[Category]="senior")*(PH[bydgoszcz_PH_Escore])&gt;0),_xlfn._xlws.FILTER(PH[zabrze_PH_Escore],(PH[Category]="senior")*(PH[zabrze_PH_Escore])&gt;0),_xlfn._xlws.FILTER(PH[cracow_PH_Escore],(PH[Category]="senior")*(PH[cracow_PH_Escore])&gt;0),_xlfn._xlws.FILTER(PH[gdansk_PH_Escore],(PH[Category]="senior")*(PH[gdansk_PH_Escore])&gt;0))</f>
        <v>1.5524306463567139</v>
      </c>
      <c r="E49" s="7" cm="1">
        <f t="array" ref="E49">MAX(_xlfn._xlws.FILTER(PH[bydgoszcz_PH_Escore],PH[Category]="senior"),_xlfn._xlws.FILTER(PH[zabrze_PH_Escore],PH[Category]="senior"),_xlfn._xlws.FILTER(PH[cracow_PH_Escore],PH[Category]="senior"),_xlfn._xlws.FILTER(PH[gdansk_PH_Escore],PH[Category]="senior"))</f>
        <v>8.85</v>
      </c>
      <c r="F49" s="2" t="str" cm="1">
        <f t="array" ref="F49">_xlfn.XLOOKUP(E49,_xlfn._xlws.FILTER(PH[bydgoszcz_PH_Escore],PH[Category]="senior"),_xlfn._xlws.FILTER(PH[Name],PH[Category]="senior"),_xlfn.XLOOKUP(E49,_xlfn._xlws.FILTER(PH[zabrze_PH_Escore],PH[Category]="senior"),_xlfn._xlws.FILTER(PH[Name],PH[Category]="senior"),_xlfn.XLOOKUP(E49,_xlfn._xlws.FILTER(PH[cracow_PH_Escore],PH[Category]="senior"),_xlfn._xlws.FILTER(PH[Name],PH[Category]="senior"),_xlfn.XLOOKUP(E49,_xlfn._xlws.FILTER(PH[gdansk_PH_Escore],PH[Category]="senior"),_xlfn._xlws.FILTER(PH[Name],PH[Category]="senior")))))</f>
        <v>SZYMCZYK Radosław</v>
      </c>
      <c r="AE49" s="43" t="s">
        <v>86</v>
      </c>
      <c r="AF49" s="43" t="s">
        <v>60</v>
      </c>
      <c r="AG49" s="43" t="s">
        <v>87</v>
      </c>
      <c r="AH49" s="43" t="s">
        <v>72</v>
      </c>
      <c r="AI49">
        <v>4</v>
      </c>
      <c r="AJ49" s="43" t="s">
        <v>331</v>
      </c>
      <c r="AK49" s="43" t="s">
        <v>268</v>
      </c>
      <c r="AL49">
        <v>11.4</v>
      </c>
    </row>
    <row r="50" spans="1:38" ht="34.5" customHeight="1" x14ac:dyDescent="0.35">
      <c r="A50" s="2" t="s">
        <v>60</v>
      </c>
      <c r="B50" s="2" t="s">
        <v>268</v>
      </c>
      <c r="C50" s="7" cm="1">
        <f t="array" ref="C50">SUM(_xlfn._xlws.FILTER(PH[bydgoszcz_PH_Total_Score],PH[Category]="senior"),_xlfn._xlws.FILTER(PH[zabrze_PH_Total_Score],PH[Category]="senior"),_xlfn._xlws.FILTER(PH[cracow_PH_Total_Score],PH[Category]="senior"),_xlfn._xlws.FILTER(PH[gdansk_PH_Total_Score],PH[Category]="senior"))/(COUNTIFS(PH[bydgoszcz_PH_Total_Score],"&gt;0",PH[Category],"senior")+COUNTIFS(PH[zabrze_PH_Total_Score],"&gt;0",PH[Category],"senior")+COUNTIFS(PH[cracow_PH_Total_Score],"&gt;0",PH[Category],"senior")+COUNTIFS(PH[gdansk_PH_Total_Score],"&gt;0",PH[Category],"senior"))</f>
        <v>10.304999999999998</v>
      </c>
      <c r="D50" s="7" cm="1">
        <f t="array" ref="D50">_xlfn.STDEV.S(_xlfn._xlws.FILTER(PH[bydgoszcz_PH_Total_Score],(PH[Category]="senior")*(PH[bydgoszcz_PH_Total_Score])&gt;0),_xlfn._xlws.FILTER(PH[zabrze_PH_Total_Score],(PH[Category]="senior")*(PH[zabrze_PH_Total_Score])&gt;0),_xlfn._xlws.FILTER(PH[cracow_PH_Total_Score],(PH[Category]="senior")*(PH[cracow_PH_Total_Score])&gt;0),_xlfn._xlws.FILTER(PH[gdansk_PH_Total_Score],(PH[Category]="senior")*(PH[gdansk_PH_Total_Score])&gt;0))</f>
        <v>2.1695055282916864</v>
      </c>
      <c r="E50" s="7" cm="1">
        <f t="array" ref="E50">MAX(_xlfn._xlws.FILTER(PH[bydgoszcz_PH_Total_Score],PH[Category]="senior"),_xlfn._xlws.FILTER(PH[zabrze_PH_Total_Score],PH[Category]="senior"),_xlfn._xlws.FILTER(PH[cracow_PH_Total_Score],PH[Category]="senior"),_xlfn._xlws.FILTER(PH[gdansk_PH_Total_Score],PH[Category]="senior"))</f>
        <v>12.9</v>
      </c>
      <c r="F50" s="2" t="str" cm="1">
        <f t="array" ref="F50">_xlfn.XLOOKUP(E50,_xlfn._xlws.FILTER(PH[bydgoszcz_PH_Total_Score],PH[Category]="senior"),_xlfn._xlws.FILTER(PH[Name],PH[Category]="senior"),_xlfn.XLOOKUP(E50,_xlfn._xlws.FILTER(PH[zabrze_PH_Total_Score],PH[Category]="senior"),_xlfn._xlws.FILTER(PH[Name],PH[Category]="senior"),_xlfn.XLOOKUP(E50,_xlfn._xlws.FILTER(PH[cracow_PH_Total_Score],PH[Category]="senior"),_xlfn._xlws.FILTER(PH[Name],PH[Category]="senior"),_xlfn.XLOOKUP(E50,_xlfn._xlws.FILTER(PH[gdansk_PH_Total_Score],PH[Category]="senior"),_xlfn._xlws.FILTER(PH[Name],PH[Category]="senior")))))</f>
        <v>GARNCZAREK Kacper</v>
      </c>
      <c r="AE50" s="43" t="s">
        <v>86</v>
      </c>
      <c r="AF50" s="43" t="s">
        <v>60</v>
      </c>
      <c r="AG50" s="43" t="s">
        <v>87</v>
      </c>
      <c r="AH50" s="43" t="s">
        <v>72</v>
      </c>
      <c r="AI50">
        <v>4</v>
      </c>
      <c r="AJ50" s="43" t="s">
        <v>341</v>
      </c>
      <c r="AK50" s="43" t="s">
        <v>308</v>
      </c>
      <c r="AL50">
        <v>12</v>
      </c>
    </row>
    <row r="51" spans="1:38" ht="34.5" customHeight="1" x14ac:dyDescent="0.35">
      <c r="A51" s="2" t="s">
        <v>60</v>
      </c>
      <c r="B51" s="2" t="s">
        <v>275</v>
      </c>
      <c r="C51" s="4" cm="1">
        <f t="array" ref="C51">SUM(_xlfn._xlws.FILTER(PH[Year_Dscore],(PH[Category]="senior")*(PH[Number_of_Competition]&gt;=3))/COUNTIFS(PH[Number_of_Competition],"&gt;=3",PH[Category],"senior"))</f>
        <v>11.370000000000001</v>
      </c>
      <c r="D51" s="4" cm="1">
        <f t="array" ref="D51">_xlfn.STDEV.S(_xlfn._xlws.FILTER(PH[Year_Dscore],(PH[Category]="senior")*(PH[Number_of_Competition]&gt;=3)))</f>
        <v>1.8744184283250112</v>
      </c>
      <c r="E51" s="4" cm="1">
        <f t="array" ref="E51">MAX(_xlfn._xlws.FILTER(PH[Year_Dscore],PH[Category]="senior"))</f>
        <v>15.000000000000002</v>
      </c>
      <c r="F51" s="2" t="str" cm="1">
        <f t="array" ref="F51">_xlfn.XLOOKUP(PH_Calculation[[#This Row],[Top]],_xlfn._xlws.FILTER(PH[Year_Dscore],PH[Category]="senior"),_xlfn._xlws.FILTER(PH[Name],PH[Category]="senior"))</f>
        <v>GARNCZAREK Kacper</v>
      </c>
      <c r="AE51" s="43" t="s">
        <v>86</v>
      </c>
      <c r="AF51" s="43" t="s">
        <v>60</v>
      </c>
      <c r="AG51" s="43" t="s">
        <v>87</v>
      </c>
      <c r="AH51" s="43" t="s">
        <v>72</v>
      </c>
      <c r="AI51">
        <v>4</v>
      </c>
      <c r="AJ51" s="43" t="s">
        <v>341</v>
      </c>
      <c r="AK51" s="43" t="s">
        <v>309</v>
      </c>
      <c r="AL51">
        <v>23.4</v>
      </c>
    </row>
    <row r="52" spans="1:38" ht="34.5" customHeight="1" x14ac:dyDescent="0.35">
      <c r="A52" s="2" t="s">
        <v>60</v>
      </c>
      <c r="B52" s="2" t="s">
        <v>276</v>
      </c>
      <c r="C52" s="7" cm="1">
        <f t="array" ref="C52">SUM(_xlfn._xlws.FILTER(PH[Year_Escore],(PH[Category]="senior")*(PH[Number_of_Competition]&gt;=3))/COUNTIFS(PH[Number_of_Competition],"&gt;=3",PH[Category],"senior"))</f>
        <v>20.955000000000002</v>
      </c>
      <c r="D52" s="7" cm="1">
        <f t="array" ref="D52">_xlfn.STDEV.S(_xlfn._xlws.FILTER(PH[Year_Escore],(PH[Category]="senior")*(PH[Number_of_Competition]&gt;=3)))</f>
        <v>3.644588835215536</v>
      </c>
      <c r="E52" s="7" cm="1">
        <f t="array" ref="E52">MAX(_xlfn._xlws.FILTER(PH[Year_Escore],PH[Category]="senior"))</f>
        <v>26.1</v>
      </c>
      <c r="F52" s="2" t="str" cm="1">
        <f t="array" ref="F52">_xlfn.XLOOKUP(PH_Calculation[[#This Row],[Top]],_xlfn._xlws.FILTER(PH[Year_Escore],PH[Category]="senior"),_xlfn._xlws.FILTER(PH[Name],PH[Category]="senior"))</f>
        <v>SZYMCZYK Radosław</v>
      </c>
      <c r="AE52" s="43" t="s">
        <v>86</v>
      </c>
      <c r="AF52" s="43" t="s">
        <v>60</v>
      </c>
      <c r="AG52" s="43" t="s">
        <v>87</v>
      </c>
      <c r="AH52" s="43" t="s">
        <v>72</v>
      </c>
      <c r="AI52">
        <v>4</v>
      </c>
      <c r="AJ52" s="43" t="s">
        <v>341</v>
      </c>
      <c r="AK52" s="43" t="s">
        <v>268</v>
      </c>
      <c r="AL52">
        <v>35.4</v>
      </c>
    </row>
    <row r="53" spans="1:38" ht="34.5" customHeight="1" x14ac:dyDescent="0.35">
      <c r="A53" s="2" t="s">
        <v>60</v>
      </c>
      <c r="B53" s="2" t="s">
        <v>277</v>
      </c>
      <c r="C53" s="7" cm="1">
        <f t="array" ref="C53">SUM(_xlfn._xlws.FILTER(PH[Year_Total_Score],(PH[Category]="senior")*(PH[Number_of_Competition]&gt;=3))/COUNTIFS(PH[Number_of_Competition],"&gt;=3",PH[Category],"senior"))</f>
        <v>32.185000000000002</v>
      </c>
      <c r="D53" s="7" cm="1">
        <f t="array" ref="D53">_xlfn.STDEV.S(_xlfn._xlws.FILTER(PH[Year_Total_Score],(PH[Category]="senior")*(PH[Number_of_Competition]&gt;=3)))</f>
        <v>4.7292852408043027</v>
      </c>
      <c r="E53" s="7" cm="1">
        <f t="array" ref="E53">MAX(_xlfn._xlws.FILTER(PH[Year_Total_Score],PH[Category]="senior"))</f>
        <v>37.5</v>
      </c>
      <c r="F53" s="2" t="str" cm="1">
        <f t="array" ref="F53">_xlfn.XLOOKUP(PH_Calculation[[#This Row],[Top]],_xlfn._xlws.FILTER(PH[Year_Total_Score],PH[Category]="senior"),_xlfn._xlws.FILTER(PH[Name],PH[Category]="senior"))</f>
        <v>SZYMCZYK Radosław</v>
      </c>
      <c r="AE53" s="43" t="s">
        <v>86</v>
      </c>
      <c r="AF53" s="43" t="s">
        <v>60</v>
      </c>
      <c r="AG53" s="43" t="s">
        <v>87</v>
      </c>
      <c r="AH53" s="43" t="s">
        <v>72</v>
      </c>
      <c r="AI53">
        <v>4</v>
      </c>
      <c r="AJ53" s="43" t="s">
        <v>344</v>
      </c>
      <c r="AK53" s="43" t="s">
        <v>308</v>
      </c>
      <c r="AL53">
        <v>4</v>
      </c>
    </row>
    <row r="54" spans="1:38" ht="34.5" customHeight="1" x14ac:dyDescent="0.35">
      <c r="A54" s="2" t="s">
        <v>26</v>
      </c>
      <c r="B54" s="2" t="s">
        <v>269</v>
      </c>
      <c r="C54" s="4" cm="1">
        <f t="array" ref="C54">SUM(_xlfn._xlws.FILTER(PH[bydgoszcz_PH_Dscore],PH[Category]="junior"),_xlfn._xlws.FILTER(PH[zabrze_PH_Dscore],PH[Category]="junior"),_xlfn._xlws.FILTER(PH[cracow_PH_Dscore],PH[Category]="junior"),_xlfn._xlws.FILTER(PH[gdansk_PH_Dscore],PH[Category]="junior"))/(COUNTIFS(PH[bydgoszcz_PH_Dscore],"&gt;0",PH[Category],"junior")+COUNTIFS(PH[zabrze_PH_Dscore],"&gt;0",PH[Category],"junior")+COUNTIFS(PH[cracow_PH_Dscore],"&gt;0",PH[Category],"junior")+COUNTIFS(PH[gdansk_PH_Dscore],"&gt;0",PH[Category],"junior"))</f>
        <v>2.9377358490566037</v>
      </c>
      <c r="D54" s="4" cm="1">
        <f t="array" ref="D54">_xlfn.STDEV.S(_xlfn._xlws.FILTER(PH[bydgoszcz_PH_Dscore],(PH[Category]="junior")*(PH[bydgoszcz_PH_Dscore])&gt;0),_xlfn._xlws.FILTER(PH[zabrze_PH_Dscore],(PH[Category]="junior")*(PH[zabrze_PH_Dscore])&gt;0),_xlfn._xlws.FILTER(PH[cracow_PH_Dscore],(PH[Category]="junior")*(PH[cracow_PH_Dscore])&gt;0),_xlfn._xlws.FILTER(PH[gdansk_PH_Dscore],(PH[Category]="junior")*(PH[gdansk_PH_Dscore])&gt;0))</f>
        <v>0.77191729705831846</v>
      </c>
      <c r="E54" s="4" cm="1">
        <f t="array" ref="E54">MAX(_xlfn._xlws.FILTER(PH[bydgoszcz_PH_Dscore],PH[Category]="junior"),_xlfn._xlws.FILTER(PH[zabrze_PH_Dscore],PH[Category]="junior"),_xlfn._xlws.FILTER(PH[cracow_PH_Dscore],PH[Category]="junior"),_xlfn._xlws.FILTER(PH[gdansk_PH_Dscore],PH[Category]="junior"))</f>
        <v>4.4000000000000004</v>
      </c>
      <c r="F54" s="2" t="str" cm="1">
        <f t="array" ref="F54">_xlfn.XLOOKUP(E54,_xlfn._xlws.FILTER(PH[bydgoszcz_PH_Dscore],PH[Category]="junior"),_xlfn._xlws.FILTER(PH[Name],PH[Category]="junior"),_xlfn.XLOOKUP(E54,_xlfn._xlws.FILTER(PH[zabrze_PH_Dscore],PH[Category]="junior"),_xlfn._xlws.FILTER(PH[Name],PH[Category]="junior"),_xlfn.XLOOKUP(E54,_xlfn._xlws.FILTER(PH[cracow_PH_Dscore],PH[Category]="junior"),_xlfn._xlws.FILTER(PH[Name],PH[Category]="junior"),_xlfn.XLOOKUP(E54,_xlfn._xlws.FILTER(PH[gdansk_PH_Dscore],PH[Category]="junior"),_xlfn._xlws.FILTER(PH[Name],PH[Category]="junior")))))</f>
        <v>KORBIEL Franciszek</v>
      </c>
      <c r="AE54" s="43" t="s">
        <v>86</v>
      </c>
      <c r="AF54" s="43" t="s">
        <v>60</v>
      </c>
      <c r="AG54" s="43" t="s">
        <v>87</v>
      </c>
      <c r="AH54" s="43" t="s">
        <v>72</v>
      </c>
      <c r="AI54">
        <v>4</v>
      </c>
      <c r="AJ54" s="43" t="s">
        <v>344</v>
      </c>
      <c r="AK54" s="43" t="s">
        <v>309</v>
      </c>
      <c r="AL54">
        <v>7.8</v>
      </c>
    </row>
    <row r="55" spans="1:38" ht="34.5" customHeight="1" x14ac:dyDescent="0.35">
      <c r="A55" s="2" t="s">
        <v>26</v>
      </c>
      <c r="B55" s="2" t="s">
        <v>267</v>
      </c>
      <c r="C55" s="7" cm="1">
        <f t="array" ref="C55">SUM(_xlfn._xlws.FILTER(PH[bydgoszcz_PH_Escore],PH[Category]="junior"),_xlfn._xlws.FILTER(PH[zabrze_PH_Escore],PH[Category]="junior"),_xlfn._xlws.FILTER(PH[cracow_PH_Escore],PH[Category]="junior"),_xlfn._xlws.FILTER(PH[gdansk_PH_Escore],PH[Category]="junior"))/(COUNTIFS(PH[bydgoszcz_PH_Escore],"&gt;0",PH[Category],"junior")+COUNTIFS(PH[zabrze_PH_Escore],"&gt;0",PH[Category],"junior")+COUNTIFS(PH[cracow_PH_Escore],"&gt;0",PH[Category],"junior")+COUNTIFS(PH[gdansk_PH_Escore],"&gt;0",PH[Category],"junior"))</f>
        <v>6.8330000000000011</v>
      </c>
      <c r="D55" s="7" cm="1">
        <f t="array" ref="D55">_xlfn.STDEV.S(_xlfn._xlws.FILTER(PH[bydgoszcz_PH_Escore],(PH[Category]="junior")*(PH[bydgoszcz_PH_Escore])&gt;0),_xlfn._xlws.FILTER(PH[zabrze_PH_Escore],(PH[Category]="junior")*(PH[zabrze_PH_Escore])&gt;0),_xlfn._xlws.FILTER(PH[cracow_PH_Escore],(PH[Category]="junior")*(PH[cracow_PH_Escore])&gt;0),_xlfn._xlws.FILTER(PH[gdansk_PH_Escore],(PH[Category]="junior")*(PH[gdansk_PH_Escore])&gt;0))</f>
        <v>1.646133689117927</v>
      </c>
      <c r="E55" s="7" cm="1">
        <f t="array" ref="E55">MAX(_xlfn._xlws.FILTER(PH[bydgoszcz_PH_Escore],PH[Category]="junior"),_xlfn._xlws.FILTER(PH[zabrze_PH_Escore],PH[Category]="junior"),_xlfn._xlws.FILTER(PH[cracow_PH_Escore],PH[Category]="junior"),_xlfn._xlws.FILTER(PH[gdansk_PH_Escore],PH[Category]="junior"))</f>
        <v>8.9499999999999993</v>
      </c>
      <c r="F55" s="2" t="str" cm="1">
        <f t="array" ref="F55">_xlfn.XLOOKUP(E55,_xlfn._xlws.FILTER(PH[bydgoszcz_PH_Escore],PH[Category]="junior"),_xlfn._xlws.FILTER(PH[Name],PH[Category]="junior"),_xlfn.XLOOKUP(E55,_xlfn._xlws.FILTER(PH[zabrze_PH_Escore],PH[Category]="junior"),_xlfn._xlws.FILTER(PH[Name],PH[Category]="junior"),_xlfn.XLOOKUP(E55,_xlfn._xlws.FILTER(PH[cracow_PH_Escore],PH[Category]="junior"),_xlfn._xlws.FILTER(PH[Name],PH[Category]="junior"),_xlfn.XLOOKUP(E55,_xlfn._xlws.FILTER(PH[gdansk_PH_Escore],PH[Category]="junior"),_xlfn._xlws.FILTER(PH[Name],PH[Category]="junior")))))</f>
        <v>LEKHAC Tomasz</v>
      </c>
      <c r="AE55" s="43" t="s">
        <v>86</v>
      </c>
      <c r="AF55" s="43" t="s">
        <v>60</v>
      </c>
      <c r="AG55" s="43" t="s">
        <v>87</v>
      </c>
      <c r="AH55" s="43" t="s">
        <v>72</v>
      </c>
      <c r="AI55">
        <v>4</v>
      </c>
      <c r="AJ55" s="43" t="s">
        <v>344</v>
      </c>
      <c r="AK55" s="43" t="s">
        <v>268</v>
      </c>
      <c r="AL55">
        <v>11.799999999999999</v>
      </c>
    </row>
    <row r="56" spans="1:38" ht="34.5" customHeight="1" x14ac:dyDescent="0.35">
      <c r="A56" s="2" t="s">
        <v>26</v>
      </c>
      <c r="B56" s="2" t="s">
        <v>268</v>
      </c>
      <c r="C56" s="7" cm="1">
        <f t="array" ref="C56">SUM(_xlfn._xlws.FILTER(PH[bydgoszcz_PH_Total_Score],PH[Category]="junior"),_xlfn._xlws.FILTER(PH[zabrze_PH_Total_Score],PH[Category]="junior"),_xlfn._xlws.FILTER(PH[cracow_PH_Total_Score],PH[Category]="junior"),_xlfn._xlws.FILTER(PH[gdansk_PH_Total_Score],PH[Category]="junior"))/(COUNTIFS(PH[bydgoszcz_PH_Total_Score],"&gt;0",PH[Category],"junior")+COUNTIFS(PH[zabrze_PH_Total_Score],"&gt;0",PH[Category],"junior")+COUNTIFS(PH[cracow_PH_Total_Score],"&gt;0",PH[Category],"junior")+COUNTIFS(PH[gdansk_PH_Total_Score],"&gt;0",PH[Category],"junior"))</f>
        <v>9.3839622641509433</v>
      </c>
      <c r="D56" s="7" cm="1">
        <f t="array" ref="D56">_xlfn.STDEV.S(_xlfn._xlws.FILTER(PH[bydgoszcz_PH_Total_Score],(PH[Category]="junior")*(PH[bydgoszcz_PH_Total_Score])&gt;0),_xlfn._xlws.FILTER(PH[zabrze_PH_Total_Score],(PH[Category]="junior")*(PH[zabrze_PH_Total_Score])&gt;0),_xlfn._xlws.FILTER(PH[cracow_PH_Total_Score],(PH[Category]="junior")*(PH[cracow_PH_Total_Score])&gt;0),_xlfn._xlws.FILTER(PH[gdansk_PH_Total_Score],(PH[Category]="junior")*(PH[gdansk_PH_Total_Score])&gt;0))</f>
        <v>2.8721101460174343</v>
      </c>
      <c r="E56" s="7" cm="1">
        <f t="array" ref="E56">MAX(_xlfn._xlws.FILTER(PH[bydgoszcz_PH_Total_Score],PH[Category]="junior"),_xlfn._xlws.FILTER(PH[zabrze_PH_Total_Score],PH[Category]="junior"),_xlfn._xlws.FILTER(PH[cracow_PH_Total_Score],PH[Category]="junior"),_xlfn._xlws.FILTER(PH[gdansk_PH_Total_Score],PH[Category]="junior"))</f>
        <v>12.75</v>
      </c>
      <c r="F56" s="2" t="str" cm="1">
        <f t="array" ref="F56">_xlfn.XLOOKUP(E56,_xlfn._xlws.FILTER(PH[bydgoszcz_PH_Total_Score],PH[Category]="junior"),_xlfn._xlws.FILTER(PH[Name],PH[Category]="junior"),_xlfn.XLOOKUP(E56,_xlfn._xlws.FILTER(PH[zabrze_PH_Total_Score],PH[Category]="junior"),_xlfn._xlws.FILTER(PH[Name],PH[Category]="junior"),_xlfn.XLOOKUP(E56,_xlfn._xlws.FILTER(PH[cracow_PH_Total_Score],PH[Category]="junior"),_xlfn._xlws.FILTER(PH[Name],PH[Category]="junior"),_xlfn.XLOOKUP(E56,_xlfn._xlws.FILTER(PH[gdansk_PH_Total_Score],PH[Category]="junior"),_xlfn._xlws.FILTER(PH[Name],PH[Category]="junior")))))</f>
        <v>LEKHAC Tomasz</v>
      </c>
      <c r="AE56" s="43" t="s">
        <v>68</v>
      </c>
      <c r="AF56" s="43" t="s">
        <v>60</v>
      </c>
      <c r="AG56" s="43" t="s">
        <v>69</v>
      </c>
      <c r="AH56" s="43" t="s">
        <v>31</v>
      </c>
      <c r="AI56">
        <v>3</v>
      </c>
      <c r="AJ56" s="43" t="s">
        <v>317</v>
      </c>
      <c r="AK56" s="43" t="s">
        <v>308</v>
      </c>
      <c r="AL56">
        <v>0</v>
      </c>
    </row>
    <row r="57" spans="1:38" ht="34.5" customHeight="1" x14ac:dyDescent="0.35">
      <c r="A57" s="2" t="s">
        <v>26</v>
      </c>
      <c r="B57" s="2" t="s">
        <v>275</v>
      </c>
      <c r="C57" s="4" cm="1">
        <f t="array" ref="C57">SUM(_xlfn._xlws.FILTER(PH[Year_Dscore],(PH[Category]="junior")*(PH[Number_of_Competition]&gt;=3))/COUNTIFS(PH[Number_of_Competition],"&gt;=3",PH[Category],"junior"))</f>
        <v>9.3333333333333339</v>
      </c>
      <c r="D57" s="4" cm="1">
        <f t="array" ref="D57">_xlfn.STDEV.S(_xlfn._xlws.FILTER(PH[Year_Dscore],(PH[Category]="junior")*(PH[Number_of_Competition]&gt;=3)))</f>
        <v>2.0388648059569077</v>
      </c>
      <c r="E57" s="4" cm="1">
        <f t="array" ref="E57">MAX(_xlfn._xlws.FILTER(PH[Year_Dscore],PH[Category]="junior"))</f>
        <v>12.6</v>
      </c>
      <c r="F57" s="2" t="str" cm="1">
        <f t="array" ref="F57">_xlfn.XLOOKUP(PH_Calculation[[#This Row],[Top]],_xlfn._xlws.FILTER(PH[Year_Dscore],PH[Category]="junior"),_xlfn._xlws.FILTER(PH[Name],PH[Category]="junior"))</f>
        <v>KORBIEL Franciszek</v>
      </c>
      <c r="AE57" s="43" t="s">
        <v>68</v>
      </c>
      <c r="AF57" s="43" t="s">
        <v>60</v>
      </c>
      <c r="AG57" s="43" t="s">
        <v>69</v>
      </c>
      <c r="AH57" s="43" t="s">
        <v>31</v>
      </c>
      <c r="AI57">
        <v>3</v>
      </c>
      <c r="AJ57" s="43" t="s">
        <v>317</v>
      </c>
      <c r="AK57" s="43" t="s">
        <v>309</v>
      </c>
      <c r="AL57">
        <v>0</v>
      </c>
    </row>
    <row r="58" spans="1:38" ht="34.5" customHeight="1" x14ac:dyDescent="0.35">
      <c r="A58" s="2" t="s">
        <v>26</v>
      </c>
      <c r="B58" s="2" t="s">
        <v>276</v>
      </c>
      <c r="C58" s="7" cm="1">
        <f t="array" ref="C58">SUM(_xlfn._xlws.FILTER(PH[Year_Escore],(PH[Category]="junior")*(PH[Number_of_Competition]&gt;=3))/COUNTIFS(PH[Number_of_Competition],"&gt;=3",PH[Category],"junior"))</f>
        <v>21.391666666666669</v>
      </c>
      <c r="D58" s="7" cm="1">
        <f t="array" ref="D58">_xlfn.STDEV.S(_xlfn._xlws.FILTER(PH[Year_Escore],(PH[Category]="junior")*(PH[Number_of_Competition]&gt;=3)))</f>
        <v>3.92282558955409</v>
      </c>
      <c r="E58" s="7" cm="1">
        <f t="array" ref="E58">MAX(_xlfn._xlws.FILTER(PH[Year_Escore],PH[Category]="junior"))</f>
        <v>26.650000000000002</v>
      </c>
      <c r="F58" s="2" t="str" cm="1">
        <f t="array" ref="F58">_xlfn.XLOOKUP(PH_Calculation[[#This Row],[Top]],_xlfn._xlws.FILTER(PH[Year_Escore],PH[Category]="junior"),_xlfn._xlws.FILTER(PH[Name],PH[Category]="junior"))</f>
        <v>LEKHAC Tomasz</v>
      </c>
      <c r="AE58" s="43" t="s">
        <v>68</v>
      </c>
      <c r="AF58" s="43" t="s">
        <v>60</v>
      </c>
      <c r="AG58" s="43" t="s">
        <v>69</v>
      </c>
      <c r="AH58" s="43" t="s">
        <v>31</v>
      </c>
      <c r="AI58">
        <v>3</v>
      </c>
      <c r="AJ58" s="43" t="s">
        <v>317</v>
      </c>
      <c r="AK58" s="43" t="s">
        <v>268</v>
      </c>
      <c r="AL58">
        <v>0</v>
      </c>
    </row>
    <row r="59" spans="1:38" ht="34.5" customHeight="1" x14ac:dyDescent="0.35">
      <c r="A59" s="2" t="s">
        <v>26</v>
      </c>
      <c r="B59" s="2" t="s">
        <v>277</v>
      </c>
      <c r="C59" s="7" cm="1">
        <f t="array" ref="C59">SUM(_xlfn._xlws.FILTER(PH[Year_Total_Score],(PH[Category]="junior")*(PH[Number_of_Competition]&gt;=3))/COUNTIFS(PH[Number_of_Competition],"&gt;=3",PH[Category],"junior"))</f>
        <v>30.616666666666664</v>
      </c>
      <c r="D59" s="7" cm="1">
        <f t="array" ref="D59">_xlfn.STDEV.S(_xlfn._xlws.FILTER(PH[Year_Total_Score],(PH[Category]="junior")*(PH[Number_of_Competition]&gt;=3)))</f>
        <v>5.5501160239032918</v>
      </c>
      <c r="E59" s="7" cm="1">
        <f t="array" ref="E59">MAX(_xlfn._xlws.FILTER(PH[Year_Total_Score],PH[Category]="junior"))</f>
        <v>37.950000000000003</v>
      </c>
      <c r="F59" s="2" t="str" cm="1">
        <f t="array" ref="F59">_xlfn.XLOOKUP(PH_Calculation[[#This Row],[Top]],_xlfn._xlws.FILTER(PH[Year_Total_Score],PH[Category]="junior"),_xlfn._xlws.FILTER(PH[Name],PH[Category]="junior"))</f>
        <v>LEKHAC Tomasz</v>
      </c>
      <c r="AE59" s="43" t="s">
        <v>68</v>
      </c>
      <c r="AF59" s="43" t="s">
        <v>60</v>
      </c>
      <c r="AG59" s="43" t="s">
        <v>69</v>
      </c>
      <c r="AH59" s="43" t="s">
        <v>31</v>
      </c>
      <c r="AI59">
        <v>3</v>
      </c>
      <c r="AJ59" s="43" t="s">
        <v>325</v>
      </c>
      <c r="AK59" s="43" t="s">
        <v>308</v>
      </c>
      <c r="AL59">
        <v>3.8</v>
      </c>
    </row>
    <row r="60" spans="1:38" ht="21" x14ac:dyDescent="0.35">
      <c r="AE60" s="43" t="s">
        <v>68</v>
      </c>
      <c r="AF60" s="43" t="s">
        <v>60</v>
      </c>
      <c r="AG60" s="43" t="s">
        <v>69</v>
      </c>
      <c r="AH60" s="43" t="s">
        <v>31</v>
      </c>
      <c r="AI60">
        <v>3</v>
      </c>
      <c r="AJ60" s="43" t="s">
        <v>325</v>
      </c>
      <c r="AK60" s="43" t="s">
        <v>309</v>
      </c>
      <c r="AL60">
        <v>7.75</v>
      </c>
    </row>
    <row r="61" spans="1:38" ht="21" x14ac:dyDescent="0.35">
      <c r="AE61" s="43" t="s">
        <v>68</v>
      </c>
      <c r="AF61" s="43" t="s">
        <v>60</v>
      </c>
      <c r="AG61" s="43" t="s">
        <v>69</v>
      </c>
      <c r="AH61" s="43" t="s">
        <v>31</v>
      </c>
      <c r="AI61">
        <v>3</v>
      </c>
      <c r="AJ61" s="43" t="s">
        <v>325</v>
      </c>
      <c r="AK61" s="43" t="s">
        <v>268</v>
      </c>
      <c r="AL61">
        <v>11.55</v>
      </c>
    </row>
    <row r="62" spans="1:38" ht="21" x14ac:dyDescent="0.35">
      <c r="AE62" s="43" t="s">
        <v>68</v>
      </c>
      <c r="AF62" s="43" t="s">
        <v>60</v>
      </c>
      <c r="AG62" s="43" t="s">
        <v>69</v>
      </c>
      <c r="AH62" s="43" t="s">
        <v>31</v>
      </c>
      <c r="AI62">
        <v>3</v>
      </c>
      <c r="AJ62" s="43" t="s">
        <v>330</v>
      </c>
      <c r="AK62" s="43" t="s">
        <v>308</v>
      </c>
      <c r="AL62">
        <v>3.8</v>
      </c>
    </row>
    <row r="63" spans="1:38" ht="21" x14ac:dyDescent="0.35">
      <c r="AE63" s="43" t="s">
        <v>68</v>
      </c>
      <c r="AF63" s="43" t="s">
        <v>60</v>
      </c>
      <c r="AG63" s="43" t="s">
        <v>69</v>
      </c>
      <c r="AH63" s="43" t="s">
        <v>31</v>
      </c>
      <c r="AI63">
        <v>3</v>
      </c>
      <c r="AJ63" s="43" t="s">
        <v>330</v>
      </c>
      <c r="AK63" s="43" t="s">
        <v>309</v>
      </c>
      <c r="AL63">
        <v>8</v>
      </c>
    </row>
    <row r="64" spans="1:38" ht="21" x14ac:dyDescent="0.35">
      <c r="AE64" s="43" t="s">
        <v>68</v>
      </c>
      <c r="AF64" s="43" t="s">
        <v>60</v>
      </c>
      <c r="AG64" s="43" t="s">
        <v>69</v>
      </c>
      <c r="AH64" s="43" t="s">
        <v>31</v>
      </c>
      <c r="AI64">
        <v>3</v>
      </c>
      <c r="AJ64" s="43" t="s">
        <v>330</v>
      </c>
      <c r="AK64" s="43" t="s">
        <v>268</v>
      </c>
      <c r="AL64">
        <v>11.8</v>
      </c>
    </row>
    <row r="65" spans="31:38" ht="21" x14ac:dyDescent="0.35">
      <c r="AE65" s="43" t="s">
        <v>68</v>
      </c>
      <c r="AF65" s="43" t="s">
        <v>60</v>
      </c>
      <c r="AG65" s="43" t="s">
        <v>69</v>
      </c>
      <c r="AH65" s="43" t="s">
        <v>31</v>
      </c>
      <c r="AI65">
        <v>3</v>
      </c>
      <c r="AJ65" s="43" t="s">
        <v>331</v>
      </c>
      <c r="AK65" s="43" t="s">
        <v>308</v>
      </c>
      <c r="AL65">
        <v>3.2</v>
      </c>
    </row>
    <row r="66" spans="31:38" ht="21" x14ac:dyDescent="0.35">
      <c r="AE66" s="43" t="s">
        <v>68</v>
      </c>
      <c r="AF66" s="43" t="s">
        <v>60</v>
      </c>
      <c r="AG66" s="43" t="s">
        <v>69</v>
      </c>
      <c r="AH66" s="43" t="s">
        <v>31</v>
      </c>
      <c r="AI66">
        <v>3</v>
      </c>
      <c r="AJ66" s="43" t="s">
        <v>331</v>
      </c>
      <c r="AK66" s="43" t="s">
        <v>309</v>
      </c>
      <c r="AL66">
        <v>7.4</v>
      </c>
    </row>
    <row r="67" spans="31:38" ht="21" x14ac:dyDescent="0.35">
      <c r="AE67" s="43" t="s">
        <v>68</v>
      </c>
      <c r="AF67" s="43" t="s">
        <v>60</v>
      </c>
      <c r="AG67" s="43" t="s">
        <v>69</v>
      </c>
      <c r="AH67" s="43" t="s">
        <v>31</v>
      </c>
      <c r="AI67">
        <v>3</v>
      </c>
      <c r="AJ67" s="43" t="s">
        <v>331</v>
      </c>
      <c r="AK67" s="43" t="s">
        <v>268</v>
      </c>
      <c r="AL67">
        <v>10.6</v>
      </c>
    </row>
    <row r="68" spans="31:38" ht="21" x14ac:dyDescent="0.35">
      <c r="AE68" s="43" t="s">
        <v>68</v>
      </c>
      <c r="AF68" s="43" t="s">
        <v>60</v>
      </c>
      <c r="AG68" s="43" t="s">
        <v>69</v>
      </c>
      <c r="AH68" s="43" t="s">
        <v>31</v>
      </c>
      <c r="AI68">
        <v>3</v>
      </c>
      <c r="AJ68" s="43" t="s">
        <v>341</v>
      </c>
      <c r="AK68" s="43" t="s">
        <v>308</v>
      </c>
      <c r="AL68">
        <v>10.8</v>
      </c>
    </row>
    <row r="69" spans="31:38" ht="21" x14ac:dyDescent="0.35">
      <c r="AE69" s="43" t="s">
        <v>68</v>
      </c>
      <c r="AF69" s="43" t="s">
        <v>60</v>
      </c>
      <c r="AG69" s="43" t="s">
        <v>69</v>
      </c>
      <c r="AH69" s="43" t="s">
        <v>31</v>
      </c>
      <c r="AI69">
        <v>3</v>
      </c>
      <c r="AJ69" s="43" t="s">
        <v>341</v>
      </c>
      <c r="AK69" s="43" t="s">
        <v>309</v>
      </c>
      <c r="AL69">
        <v>23.15</v>
      </c>
    </row>
    <row r="70" spans="31:38" ht="21" x14ac:dyDescent="0.35">
      <c r="AE70" s="43" t="s">
        <v>68</v>
      </c>
      <c r="AF70" s="43" t="s">
        <v>60</v>
      </c>
      <c r="AG70" s="43" t="s">
        <v>69</v>
      </c>
      <c r="AH70" s="43" t="s">
        <v>31</v>
      </c>
      <c r="AI70">
        <v>3</v>
      </c>
      <c r="AJ70" s="43" t="s">
        <v>341</v>
      </c>
      <c r="AK70" s="43" t="s">
        <v>268</v>
      </c>
      <c r="AL70">
        <v>33.950000000000003</v>
      </c>
    </row>
    <row r="71" spans="31:38" ht="21" x14ac:dyDescent="0.35">
      <c r="AE71" s="43" t="s">
        <v>68</v>
      </c>
      <c r="AF71" s="43" t="s">
        <v>60</v>
      </c>
      <c r="AG71" s="43" t="s">
        <v>69</v>
      </c>
      <c r="AH71" s="43" t="s">
        <v>31</v>
      </c>
      <c r="AI71">
        <v>3</v>
      </c>
      <c r="AJ71" s="43" t="s">
        <v>344</v>
      </c>
      <c r="AK71" s="43" t="s">
        <v>308</v>
      </c>
      <c r="AL71">
        <v>3.6</v>
      </c>
    </row>
    <row r="72" spans="31:38" x14ac:dyDescent="0.25">
      <c r="AE72" s="43" t="s">
        <v>68</v>
      </c>
      <c r="AF72" s="43" t="s">
        <v>60</v>
      </c>
      <c r="AG72" s="43" t="s">
        <v>69</v>
      </c>
      <c r="AH72" s="43" t="s">
        <v>31</v>
      </c>
      <c r="AI72">
        <v>3</v>
      </c>
      <c r="AJ72" s="43" t="s">
        <v>344</v>
      </c>
      <c r="AK72" s="43" t="s">
        <v>309</v>
      </c>
      <c r="AL72">
        <v>7.7166666666666659</v>
      </c>
    </row>
    <row r="73" spans="31:38" x14ac:dyDescent="0.25">
      <c r="AE73" s="43" t="s">
        <v>68</v>
      </c>
      <c r="AF73" s="43" t="s">
        <v>60</v>
      </c>
      <c r="AG73" s="43" t="s">
        <v>69</v>
      </c>
      <c r="AH73" s="43" t="s">
        <v>31</v>
      </c>
      <c r="AI73">
        <v>3</v>
      </c>
      <c r="AJ73" s="43" t="s">
        <v>344</v>
      </c>
      <c r="AK73" s="43" t="s">
        <v>268</v>
      </c>
      <c r="AL73">
        <v>11.316666666666668</v>
      </c>
    </row>
    <row r="74" spans="31:38" x14ac:dyDescent="0.25">
      <c r="AE74" s="43" t="s">
        <v>63</v>
      </c>
      <c r="AF74" s="43" t="s">
        <v>60</v>
      </c>
      <c r="AG74" s="43" t="s">
        <v>64</v>
      </c>
      <c r="AH74" s="43" t="s">
        <v>39</v>
      </c>
      <c r="AI74">
        <v>4</v>
      </c>
      <c r="AJ74" s="43" t="s">
        <v>317</v>
      </c>
      <c r="AK74" s="43" t="s">
        <v>308</v>
      </c>
      <c r="AL74">
        <v>4.4000000000000004</v>
      </c>
    </row>
    <row r="75" spans="31:38" x14ac:dyDescent="0.25">
      <c r="AE75" s="43" t="s">
        <v>63</v>
      </c>
      <c r="AF75" s="43" t="s">
        <v>60</v>
      </c>
      <c r="AG75" s="43" t="s">
        <v>64</v>
      </c>
      <c r="AH75" s="43" t="s">
        <v>39</v>
      </c>
      <c r="AI75">
        <v>4</v>
      </c>
      <c r="AJ75" s="43" t="s">
        <v>317</v>
      </c>
      <c r="AK75" s="43" t="s">
        <v>309</v>
      </c>
      <c r="AL75">
        <v>7.1</v>
      </c>
    </row>
    <row r="76" spans="31:38" x14ac:dyDescent="0.25">
      <c r="AE76" s="43" t="s">
        <v>63</v>
      </c>
      <c r="AF76" s="43" t="s">
        <v>60</v>
      </c>
      <c r="AG76" s="43" t="s">
        <v>64</v>
      </c>
      <c r="AH76" s="43" t="s">
        <v>39</v>
      </c>
      <c r="AI76">
        <v>4</v>
      </c>
      <c r="AJ76" s="43" t="s">
        <v>317</v>
      </c>
      <c r="AK76" s="43" t="s">
        <v>268</v>
      </c>
      <c r="AL76">
        <v>11.5</v>
      </c>
    </row>
    <row r="77" spans="31:38" x14ac:dyDescent="0.25">
      <c r="AE77" s="43" t="s">
        <v>63</v>
      </c>
      <c r="AF77" s="43" t="s">
        <v>60</v>
      </c>
      <c r="AG77" s="43" t="s">
        <v>64</v>
      </c>
      <c r="AH77" s="43" t="s">
        <v>39</v>
      </c>
      <c r="AI77">
        <v>4</v>
      </c>
      <c r="AJ77" s="43" t="s">
        <v>325</v>
      </c>
      <c r="AK77" s="43" t="s">
        <v>308</v>
      </c>
      <c r="AL77">
        <v>4.5999999999999996</v>
      </c>
    </row>
    <row r="78" spans="31:38" x14ac:dyDescent="0.25">
      <c r="AE78" s="43" t="s">
        <v>63</v>
      </c>
      <c r="AF78" s="43" t="s">
        <v>60</v>
      </c>
      <c r="AG78" s="43" t="s">
        <v>64</v>
      </c>
      <c r="AH78" s="43" t="s">
        <v>39</v>
      </c>
      <c r="AI78">
        <v>4</v>
      </c>
      <c r="AJ78" s="43" t="s">
        <v>325</v>
      </c>
      <c r="AK78" s="43" t="s">
        <v>309</v>
      </c>
      <c r="AL78">
        <v>6.4</v>
      </c>
    </row>
    <row r="79" spans="31:38" x14ac:dyDescent="0.25">
      <c r="AE79" s="43" t="s">
        <v>63</v>
      </c>
      <c r="AF79" s="43" t="s">
        <v>60</v>
      </c>
      <c r="AG79" s="43" t="s">
        <v>64</v>
      </c>
      <c r="AH79" s="43" t="s">
        <v>39</v>
      </c>
      <c r="AI79">
        <v>4</v>
      </c>
      <c r="AJ79" s="43" t="s">
        <v>325</v>
      </c>
      <c r="AK79" s="43" t="s">
        <v>268</v>
      </c>
      <c r="AL79">
        <v>11</v>
      </c>
    </row>
    <row r="80" spans="31:38" x14ac:dyDescent="0.25">
      <c r="AE80" s="43" t="s">
        <v>63</v>
      </c>
      <c r="AF80" s="43" t="s">
        <v>60</v>
      </c>
      <c r="AG80" s="43" t="s">
        <v>64</v>
      </c>
      <c r="AH80" s="43" t="s">
        <v>39</v>
      </c>
      <c r="AI80">
        <v>4</v>
      </c>
      <c r="AJ80" s="43" t="s">
        <v>330</v>
      </c>
      <c r="AK80" s="43" t="s">
        <v>308</v>
      </c>
      <c r="AL80">
        <v>4.4000000000000004</v>
      </c>
    </row>
    <row r="81" spans="31:38" x14ac:dyDescent="0.25">
      <c r="AE81" s="43" t="s">
        <v>63</v>
      </c>
      <c r="AF81" s="43" t="s">
        <v>60</v>
      </c>
      <c r="AG81" s="43" t="s">
        <v>64</v>
      </c>
      <c r="AH81" s="43" t="s">
        <v>39</v>
      </c>
      <c r="AI81">
        <v>4</v>
      </c>
      <c r="AJ81" s="43" t="s">
        <v>330</v>
      </c>
      <c r="AK81" s="43" t="s">
        <v>309</v>
      </c>
      <c r="AL81">
        <v>7</v>
      </c>
    </row>
    <row r="82" spans="31:38" x14ac:dyDescent="0.25">
      <c r="AE82" s="43" t="s">
        <v>63</v>
      </c>
      <c r="AF82" s="43" t="s">
        <v>60</v>
      </c>
      <c r="AG82" s="43" t="s">
        <v>64</v>
      </c>
      <c r="AH82" s="43" t="s">
        <v>39</v>
      </c>
      <c r="AI82">
        <v>4</v>
      </c>
      <c r="AJ82" s="43" t="s">
        <v>330</v>
      </c>
      <c r="AK82" s="43" t="s">
        <v>268</v>
      </c>
      <c r="AL82">
        <v>11.4</v>
      </c>
    </row>
    <row r="83" spans="31:38" x14ac:dyDescent="0.25">
      <c r="AE83" s="43" t="s">
        <v>63</v>
      </c>
      <c r="AF83" s="43" t="s">
        <v>60</v>
      </c>
      <c r="AG83" s="43" t="s">
        <v>64</v>
      </c>
      <c r="AH83" s="43" t="s">
        <v>39</v>
      </c>
      <c r="AI83">
        <v>4</v>
      </c>
      <c r="AJ83" s="43" t="s">
        <v>331</v>
      </c>
      <c r="AK83" s="43" t="s">
        <v>308</v>
      </c>
      <c r="AL83">
        <v>4.4000000000000004</v>
      </c>
    </row>
    <row r="84" spans="31:38" x14ac:dyDescent="0.25">
      <c r="AE84" s="43" t="s">
        <v>63</v>
      </c>
      <c r="AF84" s="43" t="s">
        <v>60</v>
      </c>
      <c r="AG84" s="43" t="s">
        <v>64</v>
      </c>
      <c r="AH84" s="43" t="s">
        <v>39</v>
      </c>
      <c r="AI84">
        <v>4</v>
      </c>
      <c r="AJ84" s="43" t="s">
        <v>331</v>
      </c>
      <c r="AK84" s="43" t="s">
        <v>309</v>
      </c>
      <c r="AL84">
        <v>5</v>
      </c>
    </row>
    <row r="85" spans="31:38" x14ac:dyDescent="0.25">
      <c r="AE85" s="43" t="s">
        <v>63</v>
      </c>
      <c r="AF85" s="43" t="s">
        <v>60</v>
      </c>
      <c r="AG85" s="43" t="s">
        <v>64</v>
      </c>
      <c r="AH85" s="43" t="s">
        <v>39</v>
      </c>
      <c r="AI85">
        <v>4</v>
      </c>
      <c r="AJ85" s="43" t="s">
        <v>331</v>
      </c>
      <c r="AK85" s="43" t="s">
        <v>268</v>
      </c>
      <c r="AL85">
        <v>9.4</v>
      </c>
    </row>
    <row r="86" spans="31:38" x14ac:dyDescent="0.25">
      <c r="AE86" s="43" t="s">
        <v>63</v>
      </c>
      <c r="AF86" s="43" t="s">
        <v>60</v>
      </c>
      <c r="AG86" s="43" t="s">
        <v>64</v>
      </c>
      <c r="AH86" s="43" t="s">
        <v>39</v>
      </c>
      <c r="AI86">
        <v>4</v>
      </c>
      <c r="AJ86" s="43" t="s">
        <v>341</v>
      </c>
      <c r="AK86" s="43" t="s">
        <v>308</v>
      </c>
      <c r="AL86">
        <v>13.4</v>
      </c>
    </row>
    <row r="87" spans="31:38" x14ac:dyDescent="0.25">
      <c r="AE87" s="43" t="s">
        <v>63</v>
      </c>
      <c r="AF87" s="43" t="s">
        <v>60</v>
      </c>
      <c r="AG87" s="43" t="s">
        <v>64</v>
      </c>
      <c r="AH87" s="43" t="s">
        <v>39</v>
      </c>
      <c r="AI87">
        <v>4</v>
      </c>
      <c r="AJ87" s="43" t="s">
        <v>341</v>
      </c>
      <c r="AK87" s="43" t="s">
        <v>309</v>
      </c>
      <c r="AL87">
        <v>20.5</v>
      </c>
    </row>
    <row r="88" spans="31:38" x14ac:dyDescent="0.25">
      <c r="AE88" s="43" t="s">
        <v>63</v>
      </c>
      <c r="AF88" s="43" t="s">
        <v>60</v>
      </c>
      <c r="AG88" s="43" t="s">
        <v>64</v>
      </c>
      <c r="AH88" s="43" t="s">
        <v>39</v>
      </c>
      <c r="AI88">
        <v>4</v>
      </c>
      <c r="AJ88" s="43" t="s">
        <v>341</v>
      </c>
      <c r="AK88" s="43" t="s">
        <v>268</v>
      </c>
      <c r="AL88">
        <v>33.9</v>
      </c>
    </row>
    <row r="89" spans="31:38" x14ac:dyDescent="0.25">
      <c r="AE89" s="43" t="s">
        <v>63</v>
      </c>
      <c r="AF89" s="43" t="s">
        <v>60</v>
      </c>
      <c r="AG89" s="43" t="s">
        <v>64</v>
      </c>
      <c r="AH89" s="43" t="s">
        <v>39</v>
      </c>
      <c r="AI89">
        <v>4</v>
      </c>
      <c r="AJ89" s="43" t="s">
        <v>344</v>
      </c>
      <c r="AK89" s="43" t="s">
        <v>308</v>
      </c>
      <c r="AL89">
        <v>4.4666666666666668</v>
      </c>
    </row>
    <row r="90" spans="31:38" x14ac:dyDescent="0.25">
      <c r="AE90" s="43" t="s">
        <v>63</v>
      </c>
      <c r="AF90" s="43" t="s">
        <v>60</v>
      </c>
      <c r="AG90" s="43" t="s">
        <v>64</v>
      </c>
      <c r="AH90" s="43" t="s">
        <v>39</v>
      </c>
      <c r="AI90">
        <v>4</v>
      </c>
      <c r="AJ90" s="43" t="s">
        <v>344</v>
      </c>
      <c r="AK90" s="43" t="s">
        <v>309</v>
      </c>
      <c r="AL90">
        <v>6.833333333333333</v>
      </c>
    </row>
    <row r="91" spans="31:38" x14ac:dyDescent="0.25">
      <c r="AE91" s="43" t="s">
        <v>63</v>
      </c>
      <c r="AF91" s="43" t="s">
        <v>60</v>
      </c>
      <c r="AG91" s="43" t="s">
        <v>64</v>
      </c>
      <c r="AH91" s="43" t="s">
        <v>39</v>
      </c>
      <c r="AI91">
        <v>4</v>
      </c>
      <c r="AJ91" s="43" t="s">
        <v>344</v>
      </c>
      <c r="AK91" s="43" t="s">
        <v>268</v>
      </c>
      <c r="AL91">
        <v>11.299999999999999</v>
      </c>
    </row>
    <row r="92" spans="31:38" x14ac:dyDescent="0.25">
      <c r="AE92" s="43" t="s">
        <v>80</v>
      </c>
      <c r="AF92" s="43" t="s">
        <v>60</v>
      </c>
      <c r="AG92" s="43" t="s">
        <v>81</v>
      </c>
      <c r="AH92" s="43" t="s">
        <v>62</v>
      </c>
      <c r="AI92">
        <v>4</v>
      </c>
      <c r="AJ92" s="43" t="s">
        <v>317</v>
      </c>
      <c r="AK92" s="43" t="s">
        <v>308</v>
      </c>
      <c r="AL92">
        <v>3.6</v>
      </c>
    </row>
    <row r="93" spans="31:38" x14ac:dyDescent="0.25">
      <c r="AE93" s="43" t="s">
        <v>80</v>
      </c>
      <c r="AF93" s="43" t="s">
        <v>60</v>
      </c>
      <c r="AG93" s="43" t="s">
        <v>81</v>
      </c>
      <c r="AH93" s="43" t="s">
        <v>62</v>
      </c>
      <c r="AI93">
        <v>4</v>
      </c>
      <c r="AJ93" s="43" t="s">
        <v>317</v>
      </c>
      <c r="AK93" s="43" t="s">
        <v>309</v>
      </c>
      <c r="AL93">
        <v>7.55</v>
      </c>
    </row>
    <row r="94" spans="31:38" x14ac:dyDescent="0.25">
      <c r="AE94" s="43" t="s">
        <v>80</v>
      </c>
      <c r="AF94" s="43" t="s">
        <v>60</v>
      </c>
      <c r="AG94" s="43" t="s">
        <v>81</v>
      </c>
      <c r="AH94" s="43" t="s">
        <v>62</v>
      </c>
      <c r="AI94">
        <v>4</v>
      </c>
      <c r="AJ94" s="43" t="s">
        <v>317</v>
      </c>
      <c r="AK94" s="43" t="s">
        <v>268</v>
      </c>
      <c r="AL94">
        <v>11.15</v>
      </c>
    </row>
    <row r="95" spans="31:38" x14ac:dyDescent="0.25">
      <c r="AE95" s="43" t="s">
        <v>80</v>
      </c>
      <c r="AF95" s="43" t="s">
        <v>60</v>
      </c>
      <c r="AG95" s="43" t="s">
        <v>81</v>
      </c>
      <c r="AH95" s="43" t="s">
        <v>62</v>
      </c>
      <c r="AI95">
        <v>4</v>
      </c>
      <c r="AJ95" s="43" t="s">
        <v>325</v>
      </c>
      <c r="AK95" s="43" t="s">
        <v>308</v>
      </c>
      <c r="AL95">
        <v>4.0999999999999996</v>
      </c>
    </row>
    <row r="96" spans="31:38" x14ac:dyDescent="0.25">
      <c r="AE96" s="43" t="s">
        <v>80</v>
      </c>
      <c r="AF96" s="43" t="s">
        <v>60</v>
      </c>
      <c r="AG96" s="43" t="s">
        <v>81</v>
      </c>
      <c r="AH96" s="43" t="s">
        <v>62</v>
      </c>
      <c r="AI96">
        <v>4</v>
      </c>
      <c r="AJ96" s="43" t="s">
        <v>325</v>
      </c>
      <c r="AK96" s="43" t="s">
        <v>309</v>
      </c>
      <c r="AL96">
        <v>6.7</v>
      </c>
    </row>
    <row r="97" spans="31:38" x14ac:dyDescent="0.25">
      <c r="AE97" s="43" t="s">
        <v>80</v>
      </c>
      <c r="AF97" s="43" t="s">
        <v>60</v>
      </c>
      <c r="AG97" s="43" t="s">
        <v>81</v>
      </c>
      <c r="AH97" s="43" t="s">
        <v>62</v>
      </c>
      <c r="AI97">
        <v>4</v>
      </c>
      <c r="AJ97" s="43" t="s">
        <v>325</v>
      </c>
      <c r="AK97" s="43" t="s">
        <v>268</v>
      </c>
      <c r="AL97">
        <v>10.8</v>
      </c>
    </row>
    <row r="98" spans="31:38" x14ac:dyDescent="0.25">
      <c r="AE98" s="43" t="s">
        <v>80</v>
      </c>
      <c r="AF98" s="43" t="s">
        <v>60</v>
      </c>
      <c r="AG98" s="43" t="s">
        <v>81</v>
      </c>
      <c r="AH98" s="43" t="s">
        <v>62</v>
      </c>
      <c r="AI98">
        <v>4</v>
      </c>
      <c r="AJ98" s="43" t="s">
        <v>330</v>
      </c>
      <c r="AK98" s="43" t="s">
        <v>308</v>
      </c>
      <c r="AL98">
        <v>3.6</v>
      </c>
    </row>
    <row r="99" spans="31:38" x14ac:dyDescent="0.25">
      <c r="AE99" s="43" t="s">
        <v>80</v>
      </c>
      <c r="AF99" s="43" t="s">
        <v>60</v>
      </c>
      <c r="AG99" s="43" t="s">
        <v>81</v>
      </c>
      <c r="AH99" s="43" t="s">
        <v>62</v>
      </c>
      <c r="AI99">
        <v>4</v>
      </c>
      <c r="AJ99" s="43" t="s">
        <v>330</v>
      </c>
      <c r="AK99" s="43" t="s">
        <v>309</v>
      </c>
      <c r="AL99">
        <v>8</v>
      </c>
    </row>
    <row r="100" spans="31:38" x14ac:dyDescent="0.25">
      <c r="AE100" s="43" t="s">
        <v>80</v>
      </c>
      <c r="AF100" s="43" t="s">
        <v>60</v>
      </c>
      <c r="AG100" s="43" t="s">
        <v>81</v>
      </c>
      <c r="AH100" s="43" t="s">
        <v>62</v>
      </c>
      <c r="AI100">
        <v>4</v>
      </c>
      <c r="AJ100" s="43" t="s">
        <v>330</v>
      </c>
      <c r="AK100" s="43" t="s">
        <v>268</v>
      </c>
      <c r="AL100">
        <v>11.6</v>
      </c>
    </row>
    <row r="101" spans="31:38" x14ac:dyDescent="0.25">
      <c r="AE101" s="43" t="s">
        <v>80</v>
      </c>
      <c r="AF101" s="43" t="s">
        <v>60</v>
      </c>
      <c r="AG101" s="43" t="s">
        <v>81</v>
      </c>
      <c r="AH101" s="43" t="s">
        <v>62</v>
      </c>
      <c r="AI101">
        <v>4</v>
      </c>
      <c r="AJ101" s="43" t="s">
        <v>331</v>
      </c>
      <c r="AK101" s="43" t="s">
        <v>308</v>
      </c>
      <c r="AL101">
        <v>4.0999999999999996</v>
      </c>
    </row>
    <row r="102" spans="31:38" x14ac:dyDescent="0.25">
      <c r="AE102" s="43" t="s">
        <v>80</v>
      </c>
      <c r="AF102" s="43" t="s">
        <v>60</v>
      </c>
      <c r="AG102" s="43" t="s">
        <v>81</v>
      </c>
      <c r="AH102" s="43" t="s">
        <v>62</v>
      </c>
      <c r="AI102">
        <v>4</v>
      </c>
      <c r="AJ102" s="43" t="s">
        <v>331</v>
      </c>
      <c r="AK102" s="43" t="s">
        <v>309</v>
      </c>
      <c r="AL102">
        <v>6.7</v>
      </c>
    </row>
    <row r="103" spans="31:38" x14ac:dyDescent="0.25">
      <c r="AE103" s="43" t="s">
        <v>80</v>
      </c>
      <c r="AF103" s="43" t="s">
        <v>60</v>
      </c>
      <c r="AG103" s="43" t="s">
        <v>81</v>
      </c>
      <c r="AH103" s="43" t="s">
        <v>62</v>
      </c>
      <c r="AI103">
        <v>4</v>
      </c>
      <c r="AJ103" s="43" t="s">
        <v>331</v>
      </c>
      <c r="AK103" s="43" t="s">
        <v>268</v>
      </c>
      <c r="AL103">
        <v>10.8</v>
      </c>
    </row>
    <row r="104" spans="31:38" x14ac:dyDescent="0.25">
      <c r="AE104" s="43" t="s">
        <v>80</v>
      </c>
      <c r="AF104" s="43" t="s">
        <v>60</v>
      </c>
      <c r="AG104" s="43" t="s">
        <v>81</v>
      </c>
      <c r="AH104" s="43" t="s">
        <v>62</v>
      </c>
      <c r="AI104">
        <v>4</v>
      </c>
      <c r="AJ104" s="43" t="s">
        <v>341</v>
      </c>
      <c r="AK104" s="43" t="s">
        <v>308</v>
      </c>
      <c r="AL104">
        <v>11.799999999999999</v>
      </c>
    </row>
    <row r="105" spans="31:38" x14ac:dyDescent="0.25">
      <c r="AE105" s="43" t="s">
        <v>80</v>
      </c>
      <c r="AF105" s="43" t="s">
        <v>60</v>
      </c>
      <c r="AG105" s="43" t="s">
        <v>81</v>
      </c>
      <c r="AH105" s="43" t="s">
        <v>62</v>
      </c>
      <c r="AI105">
        <v>4</v>
      </c>
      <c r="AJ105" s="43" t="s">
        <v>341</v>
      </c>
      <c r="AK105" s="43" t="s">
        <v>309</v>
      </c>
      <c r="AL105">
        <v>22.25</v>
      </c>
    </row>
    <row r="106" spans="31:38" x14ac:dyDescent="0.25">
      <c r="AE106" s="43" t="s">
        <v>80</v>
      </c>
      <c r="AF106" s="43" t="s">
        <v>60</v>
      </c>
      <c r="AG106" s="43" t="s">
        <v>81</v>
      </c>
      <c r="AH106" s="43" t="s">
        <v>62</v>
      </c>
      <c r="AI106">
        <v>4</v>
      </c>
      <c r="AJ106" s="43" t="s">
        <v>341</v>
      </c>
      <c r="AK106" s="43" t="s">
        <v>268</v>
      </c>
      <c r="AL106">
        <v>33.549999999999997</v>
      </c>
    </row>
    <row r="107" spans="31:38" x14ac:dyDescent="0.25">
      <c r="AE107" s="43" t="s">
        <v>80</v>
      </c>
      <c r="AF107" s="43" t="s">
        <v>60</v>
      </c>
      <c r="AG107" s="43" t="s">
        <v>81</v>
      </c>
      <c r="AH107" s="43" t="s">
        <v>62</v>
      </c>
      <c r="AI107">
        <v>4</v>
      </c>
      <c r="AJ107" s="43" t="s">
        <v>344</v>
      </c>
      <c r="AK107" s="43" t="s">
        <v>308</v>
      </c>
      <c r="AL107">
        <v>3.9333333333333331</v>
      </c>
    </row>
    <row r="108" spans="31:38" x14ac:dyDescent="0.25">
      <c r="AE108" s="43" t="s">
        <v>80</v>
      </c>
      <c r="AF108" s="43" t="s">
        <v>60</v>
      </c>
      <c r="AG108" s="43" t="s">
        <v>81</v>
      </c>
      <c r="AH108" s="43" t="s">
        <v>62</v>
      </c>
      <c r="AI108">
        <v>4</v>
      </c>
      <c r="AJ108" s="43" t="s">
        <v>344</v>
      </c>
      <c r="AK108" s="43" t="s">
        <v>309</v>
      </c>
      <c r="AL108">
        <v>7.416666666666667</v>
      </c>
    </row>
    <row r="109" spans="31:38" x14ac:dyDescent="0.25">
      <c r="AE109" s="43" t="s">
        <v>80</v>
      </c>
      <c r="AF109" s="43" t="s">
        <v>60</v>
      </c>
      <c r="AG109" s="43" t="s">
        <v>81</v>
      </c>
      <c r="AH109" s="43" t="s">
        <v>62</v>
      </c>
      <c r="AI109">
        <v>4</v>
      </c>
      <c r="AJ109" s="43" t="s">
        <v>344</v>
      </c>
      <c r="AK109" s="43" t="s">
        <v>268</v>
      </c>
      <c r="AL109">
        <v>11.183333333333332</v>
      </c>
    </row>
    <row r="110" spans="31:38" x14ac:dyDescent="0.25">
      <c r="AE110" s="43" t="s">
        <v>77</v>
      </c>
      <c r="AF110" s="43" t="s">
        <v>60</v>
      </c>
      <c r="AG110" s="43" t="s">
        <v>78</v>
      </c>
      <c r="AH110" s="43" t="s">
        <v>79</v>
      </c>
      <c r="AI110">
        <v>4</v>
      </c>
      <c r="AJ110" s="43" t="s">
        <v>317</v>
      </c>
      <c r="AK110" s="43" t="s">
        <v>308</v>
      </c>
      <c r="AL110">
        <v>3.9</v>
      </c>
    </row>
    <row r="111" spans="31:38" x14ac:dyDescent="0.25">
      <c r="AE111" s="43" t="s">
        <v>77</v>
      </c>
      <c r="AF111" s="43" t="s">
        <v>60</v>
      </c>
      <c r="AG111" s="43" t="s">
        <v>78</v>
      </c>
      <c r="AH111" s="43" t="s">
        <v>79</v>
      </c>
      <c r="AI111">
        <v>4</v>
      </c>
      <c r="AJ111" s="43" t="s">
        <v>317</v>
      </c>
      <c r="AK111" s="43" t="s">
        <v>309</v>
      </c>
      <c r="AL111">
        <v>7.8</v>
      </c>
    </row>
    <row r="112" spans="31:38" x14ac:dyDescent="0.25">
      <c r="AE112" s="43" t="s">
        <v>77</v>
      </c>
      <c r="AF112" s="43" t="s">
        <v>60</v>
      </c>
      <c r="AG112" s="43" t="s">
        <v>78</v>
      </c>
      <c r="AH112" s="43" t="s">
        <v>79</v>
      </c>
      <c r="AI112">
        <v>4</v>
      </c>
      <c r="AJ112" s="43" t="s">
        <v>317</v>
      </c>
      <c r="AK112" s="43" t="s">
        <v>268</v>
      </c>
      <c r="AL112">
        <v>11.7</v>
      </c>
    </row>
    <row r="113" spans="31:38" x14ac:dyDescent="0.25">
      <c r="AE113" s="43" t="s">
        <v>77</v>
      </c>
      <c r="AF113" s="43" t="s">
        <v>60</v>
      </c>
      <c r="AG113" s="43" t="s">
        <v>78</v>
      </c>
      <c r="AH113" s="43" t="s">
        <v>79</v>
      </c>
      <c r="AI113">
        <v>4</v>
      </c>
      <c r="AJ113" s="43" t="s">
        <v>325</v>
      </c>
      <c r="AK113" s="43" t="s">
        <v>308</v>
      </c>
      <c r="AL113">
        <v>3.8</v>
      </c>
    </row>
    <row r="114" spans="31:38" x14ac:dyDescent="0.25">
      <c r="AE114" s="43" t="s">
        <v>77</v>
      </c>
      <c r="AF114" s="43" t="s">
        <v>60</v>
      </c>
      <c r="AG114" s="43" t="s">
        <v>78</v>
      </c>
      <c r="AH114" s="43" t="s">
        <v>79</v>
      </c>
      <c r="AI114">
        <v>4</v>
      </c>
      <c r="AJ114" s="43" t="s">
        <v>325</v>
      </c>
      <c r="AK114" s="43" t="s">
        <v>309</v>
      </c>
      <c r="AL114">
        <v>6.2</v>
      </c>
    </row>
    <row r="115" spans="31:38" x14ac:dyDescent="0.25">
      <c r="AE115" s="43" t="s">
        <v>77</v>
      </c>
      <c r="AF115" s="43" t="s">
        <v>60</v>
      </c>
      <c r="AG115" s="43" t="s">
        <v>78</v>
      </c>
      <c r="AH115" s="43" t="s">
        <v>79</v>
      </c>
      <c r="AI115">
        <v>4</v>
      </c>
      <c r="AJ115" s="43" t="s">
        <v>325</v>
      </c>
      <c r="AK115" s="43" t="s">
        <v>268</v>
      </c>
      <c r="AL115">
        <v>10</v>
      </c>
    </row>
    <row r="116" spans="31:38" x14ac:dyDescent="0.25">
      <c r="AE116" s="43" t="s">
        <v>77</v>
      </c>
      <c r="AF116" s="43" t="s">
        <v>60</v>
      </c>
      <c r="AG116" s="43" t="s">
        <v>78</v>
      </c>
      <c r="AH116" s="43" t="s">
        <v>79</v>
      </c>
      <c r="AI116">
        <v>4</v>
      </c>
      <c r="AJ116" s="43" t="s">
        <v>330</v>
      </c>
      <c r="AK116" s="43" t="s">
        <v>308</v>
      </c>
      <c r="AL116">
        <v>3.7</v>
      </c>
    </row>
    <row r="117" spans="31:38" x14ac:dyDescent="0.25">
      <c r="AE117" s="43" t="s">
        <v>77</v>
      </c>
      <c r="AF117" s="43" t="s">
        <v>60</v>
      </c>
      <c r="AG117" s="43" t="s">
        <v>78</v>
      </c>
      <c r="AH117" s="43" t="s">
        <v>79</v>
      </c>
      <c r="AI117">
        <v>4</v>
      </c>
      <c r="AJ117" s="43" t="s">
        <v>330</v>
      </c>
      <c r="AK117" s="43" t="s">
        <v>309</v>
      </c>
      <c r="AL117">
        <v>7</v>
      </c>
    </row>
    <row r="118" spans="31:38" x14ac:dyDescent="0.25">
      <c r="AE118" s="43" t="s">
        <v>77</v>
      </c>
      <c r="AF118" s="43" t="s">
        <v>60</v>
      </c>
      <c r="AG118" s="43" t="s">
        <v>78</v>
      </c>
      <c r="AH118" s="43" t="s">
        <v>79</v>
      </c>
      <c r="AI118">
        <v>4</v>
      </c>
      <c r="AJ118" s="43" t="s">
        <v>330</v>
      </c>
      <c r="AK118" s="43" t="s">
        <v>268</v>
      </c>
      <c r="AL118">
        <v>10.7</v>
      </c>
    </row>
    <row r="119" spans="31:38" x14ac:dyDescent="0.25">
      <c r="AE119" s="43" t="s">
        <v>77</v>
      </c>
      <c r="AF119" s="43" t="s">
        <v>60</v>
      </c>
      <c r="AG119" s="43" t="s">
        <v>78</v>
      </c>
      <c r="AH119" s="43" t="s">
        <v>79</v>
      </c>
      <c r="AI119">
        <v>4</v>
      </c>
      <c r="AJ119" s="43" t="s">
        <v>331</v>
      </c>
      <c r="AK119" s="43" t="s">
        <v>308</v>
      </c>
      <c r="AL119">
        <v>3.1</v>
      </c>
    </row>
    <row r="120" spans="31:38" x14ac:dyDescent="0.25">
      <c r="AE120" s="43" t="s">
        <v>77</v>
      </c>
      <c r="AF120" s="43" t="s">
        <v>60</v>
      </c>
      <c r="AG120" s="43" t="s">
        <v>78</v>
      </c>
      <c r="AH120" s="43" t="s">
        <v>79</v>
      </c>
      <c r="AI120">
        <v>4</v>
      </c>
      <c r="AJ120" s="43" t="s">
        <v>331</v>
      </c>
      <c r="AK120" s="43" t="s">
        <v>309</v>
      </c>
      <c r="AL120">
        <v>7.6</v>
      </c>
    </row>
    <row r="121" spans="31:38" x14ac:dyDescent="0.25">
      <c r="AE121" s="43" t="s">
        <v>77</v>
      </c>
      <c r="AF121" s="43" t="s">
        <v>60</v>
      </c>
      <c r="AG121" s="43" t="s">
        <v>78</v>
      </c>
      <c r="AH121" s="43" t="s">
        <v>79</v>
      </c>
      <c r="AI121">
        <v>4</v>
      </c>
      <c r="AJ121" s="43" t="s">
        <v>331</v>
      </c>
      <c r="AK121" s="43" t="s">
        <v>268</v>
      </c>
      <c r="AL121">
        <v>10.7</v>
      </c>
    </row>
    <row r="122" spans="31:38" x14ac:dyDescent="0.25">
      <c r="AE122" s="43" t="s">
        <v>77</v>
      </c>
      <c r="AF122" s="43" t="s">
        <v>60</v>
      </c>
      <c r="AG122" s="43" t="s">
        <v>78</v>
      </c>
      <c r="AH122" s="43" t="s">
        <v>79</v>
      </c>
      <c r="AI122">
        <v>4</v>
      </c>
      <c r="AJ122" s="43" t="s">
        <v>341</v>
      </c>
      <c r="AK122" s="43" t="s">
        <v>308</v>
      </c>
      <c r="AL122">
        <v>11.399999999999999</v>
      </c>
    </row>
    <row r="123" spans="31:38" x14ac:dyDescent="0.25">
      <c r="AE123" s="43" t="s">
        <v>77</v>
      </c>
      <c r="AF123" s="43" t="s">
        <v>60</v>
      </c>
      <c r="AG123" s="43" t="s">
        <v>78</v>
      </c>
      <c r="AH123" s="43" t="s">
        <v>79</v>
      </c>
      <c r="AI123">
        <v>4</v>
      </c>
      <c r="AJ123" s="43" t="s">
        <v>341</v>
      </c>
      <c r="AK123" s="43" t="s">
        <v>309</v>
      </c>
      <c r="AL123">
        <v>22.4</v>
      </c>
    </row>
    <row r="124" spans="31:38" x14ac:dyDescent="0.25">
      <c r="AE124" s="43" t="s">
        <v>77</v>
      </c>
      <c r="AF124" s="43" t="s">
        <v>60</v>
      </c>
      <c r="AG124" s="43" t="s">
        <v>78</v>
      </c>
      <c r="AH124" s="43" t="s">
        <v>79</v>
      </c>
      <c r="AI124">
        <v>4</v>
      </c>
      <c r="AJ124" s="43" t="s">
        <v>341</v>
      </c>
      <c r="AK124" s="43" t="s">
        <v>268</v>
      </c>
      <c r="AL124">
        <v>33.099999999999994</v>
      </c>
    </row>
    <row r="125" spans="31:38" x14ac:dyDescent="0.25">
      <c r="AE125" s="43" t="s">
        <v>77</v>
      </c>
      <c r="AF125" s="43" t="s">
        <v>60</v>
      </c>
      <c r="AG125" s="43" t="s">
        <v>78</v>
      </c>
      <c r="AH125" s="43" t="s">
        <v>79</v>
      </c>
      <c r="AI125">
        <v>4</v>
      </c>
      <c r="AJ125" s="43" t="s">
        <v>344</v>
      </c>
      <c r="AK125" s="43" t="s">
        <v>308</v>
      </c>
      <c r="AL125">
        <v>3.7999999999999994</v>
      </c>
    </row>
    <row r="126" spans="31:38" x14ac:dyDescent="0.25">
      <c r="AE126" s="43" t="s">
        <v>77</v>
      </c>
      <c r="AF126" s="43" t="s">
        <v>60</v>
      </c>
      <c r="AG126" s="43" t="s">
        <v>78</v>
      </c>
      <c r="AH126" s="43" t="s">
        <v>79</v>
      </c>
      <c r="AI126">
        <v>4</v>
      </c>
      <c r="AJ126" s="43" t="s">
        <v>344</v>
      </c>
      <c r="AK126" s="43" t="s">
        <v>309</v>
      </c>
      <c r="AL126">
        <v>7.4666666666666659</v>
      </c>
    </row>
    <row r="127" spans="31:38" x14ac:dyDescent="0.25">
      <c r="AE127" s="43" t="s">
        <v>77</v>
      </c>
      <c r="AF127" s="43" t="s">
        <v>60</v>
      </c>
      <c r="AG127" s="43" t="s">
        <v>78</v>
      </c>
      <c r="AH127" s="43" t="s">
        <v>79</v>
      </c>
      <c r="AI127">
        <v>4</v>
      </c>
      <c r="AJ127" s="43" t="s">
        <v>344</v>
      </c>
      <c r="AK127" s="43" t="s">
        <v>268</v>
      </c>
      <c r="AL127">
        <v>11.033333333333331</v>
      </c>
    </row>
    <row r="128" spans="31:38" x14ac:dyDescent="0.25">
      <c r="AE128" s="43" t="s">
        <v>73</v>
      </c>
      <c r="AF128" s="43" t="s">
        <v>60</v>
      </c>
      <c r="AG128" s="43" t="s">
        <v>74</v>
      </c>
      <c r="AH128" s="43" t="s">
        <v>62</v>
      </c>
      <c r="AI128">
        <v>4</v>
      </c>
      <c r="AJ128" s="43" t="s">
        <v>317</v>
      </c>
      <c r="AK128" s="43" t="s">
        <v>308</v>
      </c>
      <c r="AL128">
        <v>3</v>
      </c>
    </row>
    <row r="129" spans="31:38" x14ac:dyDescent="0.25">
      <c r="AE129" s="43" t="s">
        <v>73</v>
      </c>
      <c r="AF129" s="43" t="s">
        <v>60</v>
      </c>
      <c r="AG129" s="43" t="s">
        <v>74</v>
      </c>
      <c r="AH129" s="43" t="s">
        <v>62</v>
      </c>
      <c r="AI129">
        <v>4</v>
      </c>
      <c r="AJ129" s="43" t="s">
        <v>317</v>
      </c>
      <c r="AK129" s="43" t="s">
        <v>309</v>
      </c>
      <c r="AL129">
        <v>6.3</v>
      </c>
    </row>
    <row r="130" spans="31:38" x14ac:dyDescent="0.25">
      <c r="AE130" s="43" t="s">
        <v>73</v>
      </c>
      <c r="AF130" s="43" t="s">
        <v>60</v>
      </c>
      <c r="AG130" s="43" t="s">
        <v>74</v>
      </c>
      <c r="AH130" s="43" t="s">
        <v>62</v>
      </c>
      <c r="AI130">
        <v>4</v>
      </c>
      <c r="AJ130" s="43" t="s">
        <v>317</v>
      </c>
      <c r="AK130" s="43" t="s">
        <v>268</v>
      </c>
      <c r="AL130">
        <v>9.3000000000000007</v>
      </c>
    </row>
    <row r="131" spans="31:38" x14ac:dyDescent="0.25">
      <c r="AE131" s="43" t="s">
        <v>73</v>
      </c>
      <c r="AF131" s="43" t="s">
        <v>60</v>
      </c>
      <c r="AG131" s="43" t="s">
        <v>74</v>
      </c>
      <c r="AH131" s="43" t="s">
        <v>62</v>
      </c>
      <c r="AI131">
        <v>4</v>
      </c>
      <c r="AJ131" s="43" t="s">
        <v>325</v>
      </c>
      <c r="AK131" s="43" t="s">
        <v>308</v>
      </c>
      <c r="AL131">
        <v>3</v>
      </c>
    </row>
    <row r="132" spans="31:38" x14ac:dyDescent="0.25">
      <c r="AE132" s="43" t="s">
        <v>73</v>
      </c>
      <c r="AF132" s="43" t="s">
        <v>60</v>
      </c>
      <c r="AG132" s="43" t="s">
        <v>74</v>
      </c>
      <c r="AH132" s="43" t="s">
        <v>62</v>
      </c>
      <c r="AI132">
        <v>4</v>
      </c>
      <c r="AJ132" s="43" t="s">
        <v>325</v>
      </c>
      <c r="AK132" s="43" t="s">
        <v>309</v>
      </c>
      <c r="AL132">
        <v>7.5</v>
      </c>
    </row>
    <row r="133" spans="31:38" x14ac:dyDescent="0.25">
      <c r="AE133" s="43" t="s">
        <v>73</v>
      </c>
      <c r="AF133" s="43" t="s">
        <v>60</v>
      </c>
      <c r="AG133" s="43" t="s">
        <v>74</v>
      </c>
      <c r="AH133" s="43" t="s">
        <v>62</v>
      </c>
      <c r="AI133">
        <v>4</v>
      </c>
      <c r="AJ133" s="43" t="s">
        <v>325</v>
      </c>
      <c r="AK133" s="43" t="s">
        <v>268</v>
      </c>
      <c r="AL133">
        <v>10.5</v>
      </c>
    </row>
    <row r="134" spans="31:38" x14ac:dyDescent="0.25">
      <c r="AE134" s="43" t="s">
        <v>73</v>
      </c>
      <c r="AF134" s="43" t="s">
        <v>60</v>
      </c>
      <c r="AG134" s="43" t="s">
        <v>74</v>
      </c>
      <c r="AH134" s="43" t="s">
        <v>62</v>
      </c>
      <c r="AI134">
        <v>4</v>
      </c>
      <c r="AJ134" s="43" t="s">
        <v>330</v>
      </c>
      <c r="AK134" s="43" t="s">
        <v>308</v>
      </c>
      <c r="AL134">
        <v>3.1</v>
      </c>
    </row>
    <row r="135" spans="31:38" x14ac:dyDescent="0.25">
      <c r="AE135" s="43" t="s">
        <v>73</v>
      </c>
      <c r="AF135" s="43" t="s">
        <v>60</v>
      </c>
      <c r="AG135" s="43" t="s">
        <v>74</v>
      </c>
      <c r="AH135" s="43" t="s">
        <v>62</v>
      </c>
      <c r="AI135">
        <v>4</v>
      </c>
      <c r="AJ135" s="43" t="s">
        <v>330</v>
      </c>
      <c r="AK135" s="43" t="s">
        <v>309</v>
      </c>
      <c r="AL135">
        <v>3.05</v>
      </c>
    </row>
    <row r="136" spans="31:38" x14ac:dyDescent="0.25">
      <c r="AE136" s="43" t="s">
        <v>73</v>
      </c>
      <c r="AF136" s="43" t="s">
        <v>60</v>
      </c>
      <c r="AG136" s="43" t="s">
        <v>74</v>
      </c>
      <c r="AH136" s="43" t="s">
        <v>62</v>
      </c>
      <c r="AI136">
        <v>4</v>
      </c>
      <c r="AJ136" s="43" t="s">
        <v>330</v>
      </c>
      <c r="AK136" s="43" t="s">
        <v>268</v>
      </c>
      <c r="AL136">
        <v>6.15</v>
      </c>
    </row>
    <row r="137" spans="31:38" x14ac:dyDescent="0.25">
      <c r="AE137" s="43" t="s">
        <v>73</v>
      </c>
      <c r="AF137" s="43" t="s">
        <v>60</v>
      </c>
      <c r="AG137" s="43" t="s">
        <v>74</v>
      </c>
      <c r="AH137" s="43" t="s">
        <v>62</v>
      </c>
      <c r="AI137">
        <v>4</v>
      </c>
      <c r="AJ137" s="43" t="s">
        <v>331</v>
      </c>
      <c r="AK137" s="43" t="s">
        <v>308</v>
      </c>
      <c r="AL137">
        <v>2.9</v>
      </c>
    </row>
    <row r="138" spans="31:38" x14ac:dyDescent="0.25">
      <c r="AE138" s="43" t="s">
        <v>73</v>
      </c>
      <c r="AF138" s="43" t="s">
        <v>60</v>
      </c>
      <c r="AG138" s="43" t="s">
        <v>74</v>
      </c>
      <c r="AH138" s="43" t="s">
        <v>62</v>
      </c>
      <c r="AI138">
        <v>4</v>
      </c>
      <c r="AJ138" s="43" t="s">
        <v>331</v>
      </c>
      <c r="AK138" s="43" t="s">
        <v>309</v>
      </c>
      <c r="AL138">
        <v>7.1</v>
      </c>
    </row>
    <row r="139" spans="31:38" x14ac:dyDescent="0.25">
      <c r="AE139" s="43" t="s">
        <v>73</v>
      </c>
      <c r="AF139" s="43" t="s">
        <v>60</v>
      </c>
      <c r="AG139" s="43" t="s">
        <v>74</v>
      </c>
      <c r="AH139" s="43" t="s">
        <v>62</v>
      </c>
      <c r="AI139">
        <v>4</v>
      </c>
      <c r="AJ139" s="43" t="s">
        <v>331</v>
      </c>
      <c r="AK139" s="43" t="s">
        <v>268</v>
      </c>
      <c r="AL139">
        <v>10</v>
      </c>
    </row>
    <row r="140" spans="31:38" x14ac:dyDescent="0.25">
      <c r="AE140" s="43" t="s">
        <v>73</v>
      </c>
      <c r="AF140" s="43" t="s">
        <v>60</v>
      </c>
      <c r="AG140" s="43" t="s">
        <v>74</v>
      </c>
      <c r="AH140" s="43" t="s">
        <v>62</v>
      </c>
      <c r="AI140">
        <v>4</v>
      </c>
      <c r="AJ140" s="43" t="s">
        <v>341</v>
      </c>
      <c r="AK140" s="43" t="s">
        <v>308</v>
      </c>
      <c r="AL140">
        <v>9.1</v>
      </c>
    </row>
    <row r="141" spans="31:38" x14ac:dyDescent="0.25">
      <c r="AE141" s="43" t="s">
        <v>73</v>
      </c>
      <c r="AF141" s="43" t="s">
        <v>60</v>
      </c>
      <c r="AG141" s="43" t="s">
        <v>74</v>
      </c>
      <c r="AH141" s="43" t="s">
        <v>62</v>
      </c>
      <c r="AI141">
        <v>4</v>
      </c>
      <c r="AJ141" s="43" t="s">
        <v>341</v>
      </c>
      <c r="AK141" s="43" t="s">
        <v>309</v>
      </c>
      <c r="AL141">
        <v>20.9</v>
      </c>
    </row>
    <row r="142" spans="31:38" x14ac:dyDescent="0.25">
      <c r="AE142" s="43" t="s">
        <v>73</v>
      </c>
      <c r="AF142" s="43" t="s">
        <v>60</v>
      </c>
      <c r="AG142" s="43" t="s">
        <v>74</v>
      </c>
      <c r="AH142" s="43" t="s">
        <v>62</v>
      </c>
      <c r="AI142">
        <v>4</v>
      </c>
      <c r="AJ142" s="43" t="s">
        <v>341</v>
      </c>
      <c r="AK142" s="43" t="s">
        <v>268</v>
      </c>
      <c r="AL142">
        <v>29.8</v>
      </c>
    </row>
    <row r="143" spans="31:38" x14ac:dyDescent="0.25">
      <c r="AE143" s="43" t="s">
        <v>73</v>
      </c>
      <c r="AF143" s="43" t="s">
        <v>60</v>
      </c>
      <c r="AG143" s="43" t="s">
        <v>74</v>
      </c>
      <c r="AH143" s="43" t="s">
        <v>62</v>
      </c>
      <c r="AI143">
        <v>4</v>
      </c>
      <c r="AJ143" s="43" t="s">
        <v>344</v>
      </c>
      <c r="AK143" s="43" t="s">
        <v>308</v>
      </c>
      <c r="AL143">
        <v>3.0333333333333332</v>
      </c>
    </row>
    <row r="144" spans="31:38" x14ac:dyDescent="0.25">
      <c r="AE144" s="43" t="s">
        <v>73</v>
      </c>
      <c r="AF144" s="43" t="s">
        <v>60</v>
      </c>
      <c r="AG144" s="43" t="s">
        <v>74</v>
      </c>
      <c r="AH144" s="43" t="s">
        <v>62</v>
      </c>
      <c r="AI144">
        <v>4</v>
      </c>
      <c r="AJ144" s="43" t="s">
        <v>344</v>
      </c>
      <c r="AK144" s="43" t="s">
        <v>309</v>
      </c>
      <c r="AL144">
        <v>6.9666666666666659</v>
      </c>
    </row>
    <row r="145" spans="31:38" x14ac:dyDescent="0.25">
      <c r="AE145" s="43" t="s">
        <v>73</v>
      </c>
      <c r="AF145" s="43" t="s">
        <v>60</v>
      </c>
      <c r="AG145" s="43" t="s">
        <v>74</v>
      </c>
      <c r="AH145" s="43" t="s">
        <v>62</v>
      </c>
      <c r="AI145">
        <v>4</v>
      </c>
      <c r="AJ145" s="43" t="s">
        <v>344</v>
      </c>
      <c r="AK145" s="43" t="s">
        <v>268</v>
      </c>
      <c r="AL145">
        <v>9.9333333333333336</v>
      </c>
    </row>
    <row r="146" spans="31:38" x14ac:dyDescent="0.25">
      <c r="AE146" s="43" t="s">
        <v>84</v>
      </c>
      <c r="AF146" s="43" t="s">
        <v>60</v>
      </c>
      <c r="AG146" s="43" t="s">
        <v>85</v>
      </c>
      <c r="AH146" s="43" t="s">
        <v>39</v>
      </c>
      <c r="AI146">
        <v>4</v>
      </c>
      <c r="AJ146" s="43" t="s">
        <v>317</v>
      </c>
      <c r="AK146" s="43" t="s">
        <v>308</v>
      </c>
      <c r="AL146">
        <v>3.2</v>
      </c>
    </row>
    <row r="147" spans="31:38" x14ac:dyDescent="0.25">
      <c r="AE147" s="43" t="s">
        <v>84</v>
      </c>
      <c r="AF147" s="43" t="s">
        <v>60</v>
      </c>
      <c r="AG147" s="43" t="s">
        <v>85</v>
      </c>
      <c r="AH147" s="43" t="s">
        <v>39</v>
      </c>
      <c r="AI147">
        <v>4</v>
      </c>
      <c r="AJ147" s="43" t="s">
        <v>317</v>
      </c>
      <c r="AK147" s="43" t="s">
        <v>309</v>
      </c>
      <c r="AL147">
        <v>6.1</v>
      </c>
    </row>
    <row r="148" spans="31:38" x14ac:dyDescent="0.25">
      <c r="AE148" s="43" t="s">
        <v>84</v>
      </c>
      <c r="AF148" s="43" t="s">
        <v>60</v>
      </c>
      <c r="AG148" s="43" t="s">
        <v>85</v>
      </c>
      <c r="AH148" s="43" t="s">
        <v>39</v>
      </c>
      <c r="AI148">
        <v>4</v>
      </c>
      <c r="AJ148" s="43" t="s">
        <v>317</v>
      </c>
      <c r="AK148" s="43" t="s">
        <v>268</v>
      </c>
      <c r="AL148">
        <v>9.3000000000000007</v>
      </c>
    </row>
    <row r="149" spans="31:38" x14ac:dyDescent="0.25">
      <c r="AE149" s="43" t="s">
        <v>84</v>
      </c>
      <c r="AF149" s="43" t="s">
        <v>60</v>
      </c>
      <c r="AG149" s="43" t="s">
        <v>85</v>
      </c>
      <c r="AH149" s="43" t="s">
        <v>39</v>
      </c>
      <c r="AI149">
        <v>4</v>
      </c>
      <c r="AJ149" s="43" t="s">
        <v>325</v>
      </c>
      <c r="AK149" s="43" t="s">
        <v>308</v>
      </c>
      <c r="AL149">
        <v>3.2</v>
      </c>
    </row>
    <row r="150" spans="31:38" x14ac:dyDescent="0.25">
      <c r="AE150" s="43" t="s">
        <v>84</v>
      </c>
      <c r="AF150" s="43" t="s">
        <v>60</v>
      </c>
      <c r="AG150" s="43" t="s">
        <v>85</v>
      </c>
      <c r="AH150" s="43" t="s">
        <v>39</v>
      </c>
      <c r="AI150">
        <v>4</v>
      </c>
      <c r="AJ150" s="43" t="s">
        <v>325</v>
      </c>
      <c r="AK150" s="43" t="s">
        <v>309</v>
      </c>
      <c r="AL150">
        <v>4.75</v>
      </c>
    </row>
    <row r="151" spans="31:38" x14ac:dyDescent="0.25">
      <c r="AE151" s="43" t="s">
        <v>84</v>
      </c>
      <c r="AF151" s="43" t="s">
        <v>60</v>
      </c>
      <c r="AG151" s="43" t="s">
        <v>85</v>
      </c>
      <c r="AH151" s="43" t="s">
        <v>39</v>
      </c>
      <c r="AI151">
        <v>4</v>
      </c>
      <c r="AJ151" s="43" t="s">
        <v>325</v>
      </c>
      <c r="AK151" s="43" t="s">
        <v>268</v>
      </c>
      <c r="AL151">
        <v>7.95</v>
      </c>
    </row>
    <row r="152" spans="31:38" x14ac:dyDescent="0.25">
      <c r="AE152" s="43" t="s">
        <v>84</v>
      </c>
      <c r="AF152" s="43" t="s">
        <v>60</v>
      </c>
      <c r="AG152" s="43" t="s">
        <v>85</v>
      </c>
      <c r="AH152" s="43" t="s">
        <v>39</v>
      </c>
      <c r="AI152">
        <v>4</v>
      </c>
      <c r="AJ152" s="43" t="s">
        <v>330</v>
      </c>
      <c r="AK152" s="43" t="s">
        <v>308</v>
      </c>
      <c r="AL152">
        <v>3.2</v>
      </c>
    </row>
    <row r="153" spans="31:38" x14ac:dyDescent="0.25">
      <c r="AE153" s="43" t="s">
        <v>84</v>
      </c>
      <c r="AF153" s="43" t="s">
        <v>60</v>
      </c>
      <c r="AG153" s="43" t="s">
        <v>85</v>
      </c>
      <c r="AH153" s="43" t="s">
        <v>39</v>
      </c>
      <c r="AI153">
        <v>4</v>
      </c>
      <c r="AJ153" s="43" t="s">
        <v>330</v>
      </c>
      <c r="AK153" s="43" t="s">
        <v>309</v>
      </c>
      <c r="AL153">
        <v>4.5999999999999996</v>
      </c>
    </row>
    <row r="154" spans="31:38" x14ac:dyDescent="0.25">
      <c r="AE154" s="43" t="s">
        <v>84</v>
      </c>
      <c r="AF154" s="43" t="s">
        <v>60</v>
      </c>
      <c r="AG154" s="43" t="s">
        <v>85</v>
      </c>
      <c r="AH154" s="43" t="s">
        <v>39</v>
      </c>
      <c r="AI154">
        <v>4</v>
      </c>
      <c r="AJ154" s="43" t="s">
        <v>330</v>
      </c>
      <c r="AK154" s="43" t="s">
        <v>268</v>
      </c>
      <c r="AL154">
        <v>7.8</v>
      </c>
    </row>
    <row r="155" spans="31:38" x14ac:dyDescent="0.25">
      <c r="AE155" s="43" t="s">
        <v>84</v>
      </c>
      <c r="AF155" s="43" t="s">
        <v>60</v>
      </c>
      <c r="AG155" s="43" t="s">
        <v>85</v>
      </c>
      <c r="AH155" s="43" t="s">
        <v>39</v>
      </c>
      <c r="AI155">
        <v>4</v>
      </c>
      <c r="AJ155" s="43" t="s">
        <v>331</v>
      </c>
      <c r="AK155" s="43" t="s">
        <v>308</v>
      </c>
      <c r="AL155">
        <v>3.5</v>
      </c>
    </row>
    <row r="156" spans="31:38" x14ac:dyDescent="0.25">
      <c r="AE156" s="43" t="s">
        <v>84</v>
      </c>
      <c r="AF156" s="43" t="s">
        <v>60</v>
      </c>
      <c r="AG156" s="43" t="s">
        <v>85</v>
      </c>
      <c r="AH156" s="43" t="s">
        <v>39</v>
      </c>
      <c r="AI156">
        <v>4</v>
      </c>
      <c r="AJ156" s="43" t="s">
        <v>331</v>
      </c>
      <c r="AK156" s="43" t="s">
        <v>309</v>
      </c>
      <c r="AL156">
        <v>5.5</v>
      </c>
    </row>
    <row r="157" spans="31:38" x14ac:dyDescent="0.25">
      <c r="AE157" s="43" t="s">
        <v>84</v>
      </c>
      <c r="AF157" s="43" t="s">
        <v>60</v>
      </c>
      <c r="AG157" s="43" t="s">
        <v>85</v>
      </c>
      <c r="AH157" s="43" t="s">
        <v>39</v>
      </c>
      <c r="AI157">
        <v>4</v>
      </c>
      <c r="AJ157" s="43" t="s">
        <v>331</v>
      </c>
      <c r="AK157" s="43" t="s">
        <v>268</v>
      </c>
      <c r="AL157">
        <v>9</v>
      </c>
    </row>
    <row r="158" spans="31:38" x14ac:dyDescent="0.25">
      <c r="AE158" s="43" t="s">
        <v>84</v>
      </c>
      <c r="AF158" s="43" t="s">
        <v>60</v>
      </c>
      <c r="AG158" s="43" t="s">
        <v>85</v>
      </c>
      <c r="AH158" s="43" t="s">
        <v>39</v>
      </c>
      <c r="AI158">
        <v>4</v>
      </c>
      <c r="AJ158" s="43" t="s">
        <v>341</v>
      </c>
      <c r="AK158" s="43" t="s">
        <v>308</v>
      </c>
      <c r="AL158">
        <v>9.9</v>
      </c>
    </row>
    <row r="159" spans="31:38" x14ac:dyDescent="0.25">
      <c r="AE159" s="43" t="s">
        <v>84</v>
      </c>
      <c r="AF159" s="43" t="s">
        <v>60</v>
      </c>
      <c r="AG159" s="43" t="s">
        <v>85</v>
      </c>
      <c r="AH159" s="43" t="s">
        <v>39</v>
      </c>
      <c r="AI159">
        <v>4</v>
      </c>
      <c r="AJ159" s="43" t="s">
        <v>341</v>
      </c>
      <c r="AK159" s="43" t="s">
        <v>309</v>
      </c>
      <c r="AL159">
        <v>16.350000000000001</v>
      </c>
    </row>
    <row r="160" spans="31:38" x14ac:dyDescent="0.25">
      <c r="AE160" s="43" t="s">
        <v>84</v>
      </c>
      <c r="AF160" s="43" t="s">
        <v>60</v>
      </c>
      <c r="AG160" s="43" t="s">
        <v>85</v>
      </c>
      <c r="AH160" s="43" t="s">
        <v>39</v>
      </c>
      <c r="AI160">
        <v>4</v>
      </c>
      <c r="AJ160" s="43" t="s">
        <v>341</v>
      </c>
      <c r="AK160" s="43" t="s">
        <v>268</v>
      </c>
      <c r="AL160">
        <v>26.25</v>
      </c>
    </row>
    <row r="161" spans="31:38" x14ac:dyDescent="0.25">
      <c r="AE161" s="43" t="s">
        <v>84</v>
      </c>
      <c r="AF161" s="43" t="s">
        <v>60</v>
      </c>
      <c r="AG161" s="43" t="s">
        <v>85</v>
      </c>
      <c r="AH161" s="43" t="s">
        <v>39</v>
      </c>
      <c r="AI161">
        <v>4</v>
      </c>
      <c r="AJ161" s="43" t="s">
        <v>344</v>
      </c>
      <c r="AK161" s="43" t="s">
        <v>308</v>
      </c>
      <c r="AL161">
        <v>3.3000000000000003</v>
      </c>
    </row>
    <row r="162" spans="31:38" x14ac:dyDescent="0.25">
      <c r="AE162" s="43" t="s">
        <v>84</v>
      </c>
      <c r="AF162" s="43" t="s">
        <v>60</v>
      </c>
      <c r="AG162" s="43" t="s">
        <v>85</v>
      </c>
      <c r="AH162" s="43" t="s">
        <v>39</v>
      </c>
      <c r="AI162">
        <v>4</v>
      </c>
      <c r="AJ162" s="43" t="s">
        <v>344</v>
      </c>
      <c r="AK162" s="43" t="s">
        <v>309</v>
      </c>
      <c r="AL162">
        <v>5.45</v>
      </c>
    </row>
    <row r="163" spans="31:38" x14ac:dyDescent="0.25">
      <c r="AE163" s="43" t="s">
        <v>84</v>
      </c>
      <c r="AF163" s="43" t="s">
        <v>60</v>
      </c>
      <c r="AG163" s="43" t="s">
        <v>85</v>
      </c>
      <c r="AH163" s="43" t="s">
        <v>39</v>
      </c>
      <c r="AI163">
        <v>4</v>
      </c>
      <c r="AJ163" s="43" t="s">
        <v>344</v>
      </c>
      <c r="AK163" s="43" t="s">
        <v>268</v>
      </c>
      <c r="AL163">
        <v>8.75</v>
      </c>
    </row>
    <row r="164" spans="31:38" x14ac:dyDescent="0.25">
      <c r="AE164" s="43" t="s">
        <v>75</v>
      </c>
      <c r="AF164" s="43" t="s">
        <v>60</v>
      </c>
      <c r="AG164" s="43" t="s">
        <v>76</v>
      </c>
      <c r="AH164" s="43" t="s">
        <v>28</v>
      </c>
      <c r="AI164">
        <v>2</v>
      </c>
      <c r="AJ164" s="43" t="s">
        <v>317</v>
      </c>
      <c r="AK164" s="43" t="s">
        <v>308</v>
      </c>
      <c r="AL164">
        <v>0</v>
      </c>
    </row>
    <row r="165" spans="31:38" x14ac:dyDescent="0.25">
      <c r="AE165" s="43" t="s">
        <v>75</v>
      </c>
      <c r="AF165" s="43" t="s">
        <v>60</v>
      </c>
      <c r="AG165" s="43" t="s">
        <v>76</v>
      </c>
      <c r="AH165" s="43" t="s">
        <v>28</v>
      </c>
      <c r="AI165">
        <v>2</v>
      </c>
      <c r="AJ165" s="43" t="s">
        <v>317</v>
      </c>
      <c r="AK165" s="43" t="s">
        <v>309</v>
      </c>
      <c r="AL165">
        <v>0</v>
      </c>
    </row>
    <row r="166" spans="31:38" x14ac:dyDescent="0.25">
      <c r="AE166" s="43" t="s">
        <v>75</v>
      </c>
      <c r="AF166" s="43" t="s">
        <v>60</v>
      </c>
      <c r="AG166" s="43" t="s">
        <v>76</v>
      </c>
      <c r="AH166" s="43" t="s">
        <v>28</v>
      </c>
      <c r="AI166">
        <v>2</v>
      </c>
      <c r="AJ166" s="43" t="s">
        <v>317</v>
      </c>
      <c r="AK166" s="43" t="s">
        <v>268</v>
      </c>
      <c r="AL166">
        <v>0</v>
      </c>
    </row>
    <row r="167" spans="31:38" x14ac:dyDescent="0.25">
      <c r="AE167" s="43" t="s">
        <v>75</v>
      </c>
      <c r="AF167" s="43" t="s">
        <v>60</v>
      </c>
      <c r="AG167" s="43" t="s">
        <v>76</v>
      </c>
      <c r="AH167" s="43" t="s">
        <v>28</v>
      </c>
      <c r="AI167">
        <v>2</v>
      </c>
      <c r="AJ167" s="43" t="s">
        <v>325</v>
      </c>
      <c r="AK167" s="43" t="s">
        <v>308</v>
      </c>
      <c r="AL167">
        <v>4.2</v>
      </c>
    </row>
    <row r="168" spans="31:38" x14ac:dyDescent="0.25">
      <c r="AE168" s="43" t="s">
        <v>75</v>
      </c>
      <c r="AF168" s="43" t="s">
        <v>60</v>
      </c>
      <c r="AG168" s="43" t="s">
        <v>76</v>
      </c>
      <c r="AH168" s="43" t="s">
        <v>28</v>
      </c>
      <c r="AI168">
        <v>2</v>
      </c>
      <c r="AJ168" s="43" t="s">
        <v>325</v>
      </c>
      <c r="AK168" s="43" t="s">
        <v>309</v>
      </c>
      <c r="AL168">
        <v>8.25</v>
      </c>
    </row>
    <row r="169" spans="31:38" x14ac:dyDescent="0.25">
      <c r="AE169" s="43" t="s">
        <v>75</v>
      </c>
      <c r="AF169" s="43" t="s">
        <v>60</v>
      </c>
      <c r="AG169" s="43" t="s">
        <v>76</v>
      </c>
      <c r="AH169" s="43" t="s">
        <v>28</v>
      </c>
      <c r="AI169">
        <v>2</v>
      </c>
      <c r="AJ169" s="43" t="s">
        <v>325</v>
      </c>
      <c r="AK169" s="43" t="s">
        <v>268</v>
      </c>
      <c r="AL169">
        <v>12.45</v>
      </c>
    </row>
    <row r="170" spans="31:38" x14ac:dyDescent="0.25">
      <c r="AE170" s="43" t="s">
        <v>75</v>
      </c>
      <c r="AF170" s="43" t="s">
        <v>60</v>
      </c>
      <c r="AG170" s="43" t="s">
        <v>76</v>
      </c>
      <c r="AH170" s="43" t="s">
        <v>28</v>
      </c>
      <c r="AI170">
        <v>2</v>
      </c>
      <c r="AJ170" s="43" t="s">
        <v>330</v>
      </c>
      <c r="AK170" s="43" t="s">
        <v>308</v>
      </c>
      <c r="AL170">
        <v>4.2</v>
      </c>
    </row>
    <row r="171" spans="31:38" x14ac:dyDescent="0.25">
      <c r="AE171" s="43" t="s">
        <v>75</v>
      </c>
      <c r="AF171" s="43" t="s">
        <v>60</v>
      </c>
      <c r="AG171" s="43" t="s">
        <v>76</v>
      </c>
      <c r="AH171" s="43" t="s">
        <v>28</v>
      </c>
      <c r="AI171">
        <v>2</v>
      </c>
      <c r="AJ171" s="43" t="s">
        <v>330</v>
      </c>
      <c r="AK171" s="43" t="s">
        <v>309</v>
      </c>
      <c r="AL171">
        <v>8.5</v>
      </c>
    </row>
    <row r="172" spans="31:38" x14ac:dyDescent="0.25">
      <c r="AE172" s="43" t="s">
        <v>75</v>
      </c>
      <c r="AF172" s="43" t="s">
        <v>60</v>
      </c>
      <c r="AG172" s="43" t="s">
        <v>76</v>
      </c>
      <c r="AH172" s="43" t="s">
        <v>28</v>
      </c>
      <c r="AI172">
        <v>2</v>
      </c>
      <c r="AJ172" s="43" t="s">
        <v>330</v>
      </c>
      <c r="AK172" s="43" t="s">
        <v>268</v>
      </c>
      <c r="AL172">
        <v>12.7</v>
      </c>
    </row>
    <row r="173" spans="31:38" x14ac:dyDescent="0.25">
      <c r="AE173" s="43" t="s">
        <v>75</v>
      </c>
      <c r="AF173" s="43" t="s">
        <v>60</v>
      </c>
      <c r="AG173" s="43" t="s">
        <v>76</v>
      </c>
      <c r="AH173" s="43" t="s">
        <v>28</v>
      </c>
      <c r="AI173">
        <v>2</v>
      </c>
      <c r="AJ173" s="43" t="s">
        <v>331</v>
      </c>
      <c r="AK173" s="43" t="s">
        <v>308</v>
      </c>
      <c r="AL173">
        <v>0</v>
      </c>
    </row>
    <row r="174" spans="31:38" x14ac:dyDescent="0.25">
      <c r="AE174" s="43" t="s">
        <v>75</v>
      </c>
      <c r="AF174" s="43" t="s">
        <v>60</v>
      </c>
      <c r="AG174" s="43" t="s">
        <v>76</v>
      </c>
      <c r="AH174" s="43" t="s">
        <v>28</v>
      </c>
      <c r="AI174">
        <v>2</v>
      </c>
      <c r="AJ174" s="43" t="s">
        <v>331</v>
      </c>
      <c r="AK174" s="43" t="s">
        <v>309</v>
      </c>
      <c r="AL174">
        <v>0</v>
      </c>
    </row>
    <row r="175" spans="31:38" x14ac:dyDescent="0.25">
      <c r="AE175" s="43" t="s">
        <v>75</v>
      </c>
      <c r="AF175" s="43" t="s">
        <v>60</v>
      </c>
      <c r="AG175" s="43" t="s">
        <v>76</v>
      </c>
      <c r="AH175" s="43" t="s">
        <v>28</v>
      </c>
      <c r="AI175">
        <v>2</v>
      </c>
      <c r="AJ175" s="43" t="s">
        <v>331</v>
      </c>
      <c r="AK175" s="43" t="s">
        <v>268</v>
      </c>
      <c r="AL175">
        <v>0</v>
      </c>
    </row>
    <row r="176" spans="31:38" x14ac:dyDescent="0.25">
      <c r="AE176" s="43" t="s">
        <v>75</v>
      </c>
      <c r="AF176" s="43" t="s">
        <v>60</v>
      </c>
      <c r="AG176" s="43" t="s">
        <v>76</v>
      </c>
      <c r="AH176" s="43" t="s">
        <v>28</v>
      </c>
      <c r="AI176">
        <v>2</v>
      </c>
      <c r="AJ176" s="43" t="s">
        <v>341</v>
      </c>
      <c r="AK176" s="43" t="s">
        <v>308</v>
      </c>
      <c r="AL176">
        <v>8.4</v>
      </c>
    </row>
    <row r="177" spans="31:38" x14ac:dyDescent="0.25">
      <c r="AE177" s="43" t="s">
        <v>75</v>
      </c>
      <c r="AF177" s="43" t="s">
        <v>60</v>
      </c>
      <c r="AG177" s="43" t="s">
        <v>76</v>
      </c>
      <c r="AH177" s="43" t="s">
        <v>28</v>
      </c>
      <c r="AI177">
        <v>2</v>
      </c>
      <c r="AJ177" s="43" t="s">
        <v>341</v>
      </c>
      <c r="AK177" s="43" t="s">
        <v>309</v>
      </c>
      <c r="AL177">
        <v>16.75</v>
      </c>
    </row>
    <row r="178" spans="31:38" x14ac:dyDescent="0.25">
      <c r="AE178" s="43" t="s">
        <v>75</v>
      </c>
      <c r="AF178" s="43" t="s">
        <v>60</v>
      </c>
      <c r="AG178" s="43" t="s">
        <v>76</v>
      </c>
      <c r="AH178" s="43" t="s">
        <v>28</v>
      </c>
      <c r="AI178">
        <v>2</v>
      </c>
      <c r="AJ178" s="43" t="s">
        <v>341</v>
      </c>
      <c r="AK178" s="43" t="s">
        <v>268</v>
      </c>
      <c r="AL178">
        <v>25.15</v>
      </c>
    </row>
    <row r="179" spans="31:38" x14ac:dyDescent="0.25">
      <c r="AE179" s="43" t="s">
        <v>75</v>
      </c>
      <c r="AF179" s="43" t="s">
        <v>60</v>
      </c>
      <c r="AG179" s="43" t="s">
        <v>76</v>
      </c>
      <c r="AH179" s="43" t="s">
        <v>28</v>
      </c>
      <c r="AI179">
        <v>2</v>
      </c>
      <c r="AJ179" s="43" t="s">
        <v>344</v>
      </c>
      <c r="AK179" s="43" t="s">
        <v>308</v>
      </c>
      <c r="AL179">
        <v>0</v>
      </c>
    </row>
    <row r="180" spans="31:38" x14ac:dyDescent="0.25">
      <c r="AE180" s="43" t="s">
        <v>75</v>
      </c>
      <c r="AF180" s="43" t="s">
        <v>60</v>
      </c>
      <c r="AG180" s="43" t="s">
        <v>76</v>
      </c>
      <c r="AH180" s="43" t="s">
        <v>28</v>
      </c>
      <c r="AI180">
        <v>2</v>
      </c>
      <c r="AJ180" s="43" t="s">
        <v>344</v>
      </c>
      <c r="AK180" s="43" t="s">
        <v>309</v>
      </c>
      <c r="AL180">
        <v>0</v>
      </c>
    </row>
    <row r="181" spans="31:38" x14ac:dyDescent="0.25">
      <c r="AE181" s="43" t="s">
        <v>75</v>
      </c>
      <c r="AF181" s="43" t="s">
        <v>60</v>
      </c>
      <c r="AG181" s="43" t="s">
        <v>76</v>
      </c>
      <c r="AH181" s="43" t="s">
        <v>28</v>
      </c>
      <c r="AI181">
        <v>2</v>
      </c>
      <c r="AJ181" s="43" t="s">
        <v>344</v>
      </c>
      <c r="AK181" s="43" t="s">
        <v>268</v>
      </c>
      <c r="AL181">
        <v>0</v>
      </c>
    </row>
    <row r="182" spans="31:38" x14ac:dyDescent="0.25">
      <c r="AE182" s="43" t="s">
        <v>127</v>
      </c>
      <c r="AF182" s="43" t="s">
        <v>60</v>
      </c>
      <c r="AG182" s="43" t="s">
        <v>128</v>
      </c>
      <c r="AH182" s="43" t="s">
        <v>72</v>
      </c>
      <c r="AI182">
        <v>2</v>
      </c>
      <c r="AJ182" s="43" t="s">
        <v>317</v>
      </c>
      <c r="AK182" s="43" t="s">
        <v>308</v>
      </c>
      <c r="AL182">
        <v>4.2</v>
      </c>
    </row>
    <row r="183" spans="31:38" x14ac:dyDescent="0.25">
      <c r="AE183" s="43" t="s">
        <v>127</v>
      </c>
      <c r="AF183" s="43" t="s">
        <v>60</v>
      </c>
      <c r="AG183" s="43" t="s">
        <v>128</v>
      </c>
      <c r="AH183" s="43" t="s">
        <v>72</v>
      </c>
      <c r="AI183">
        <v>2</v>
      </c>
      <c r="AJ183" s="43" t="s">
        <v>317</v>
      </c>
      <c r="AK183" s="43" t="s">
        <v>309</v>
      </c>
      <c r="AL183">
        <v>8</v>
      </c>
    </row>
    <row r="184" spans="31:38" x14ac:dyDescent="0.25">
      <c r="AE184" s="43" t="s">
        <v>127</v>
      </c>
      <c r="AF184" s="43" t="s">
        <v>60</v>
      </c>
      <c r="AG184" s="43" t="s">
        <v>128</v>
      </c>
      <c r="AH184" s="43" t="s">
        <v>72</v>
      </c>
      <c r="AI184">
        <v>2</v>
      </c>
      <c r="AJ184" s="43" t="s">
        <v>317</v>
      </c>
      <c r="AK184" s="43" t="s">
        <v>268</v>
      </c>
      <c r="AL184">
        <v>12.2</v>
      </c>
    </row>
    <row r="185" spans="31:38" x14ac:dyDescent="0.25">
      <c r="AE185" s="43" t="s">
        <v>127</v>
      </c>
      <c r="AF185" s="43" t="s">
        <v>60</v>
      </c>
      <c r="AG185" s="43" t="s">
        <v>128</v>
      </c>
      <c r="AH185" s="43" t="s">
        <v>72</v>
      </c>
      <c r="AI185">
        <v>2</v>
      </c>
      <c r="AJ185" s="43" t="s">
        <v>325</v>
      </c>
      <c r="AK185" s="43" t="s">
        <v>308</v>
      </c>
      <c r="AL185">
        <v>0</v>
      </c>
    </row>
    <row r="186" spans="31:38" x14ac:dyDescent="0.25">
      <c r="AE186" s="43" t="s">
        <v>127</v>
      </c>
      <c r="AF186" s="43" t="s">
        <v>60</v>
      </c>
      <c r="AG186" s="43" t="s">
        <v>128</v>
      </c>
      <c r="AH186" s="43" t="s">
        <v>72</v>
      </c>
      <c r="AI186">
        <v>2</v>
      </c>
      <c r="AJ186" s="43" t="s">
        <v>325</v>
      </c>
      <c r="AK186" s="43" t="s">
        <v>309</v>
      </c>
      <c r="AL186">
        <v>0</v>
      </c>
    </row>
    <row r="187" spans="31:38" x14ac:dyDescent="0.25">
      <c r="AE187" s="43" t="s">
        <v>127</v>
      </c>
      <c r="AF187" s="43" t="s">
        <v>60</v>
      </c>
      <c r="AG187" s="43" t="s">
        <v>128</v>
      </c>
      <c r="AH187" s="43" t="s">
        <v>72</v>
      </c>
      <c r="AI187">
        <v>2</v>
      </c>
      <c r="AJ187" s="43" t="s">
        <v>325</v>
      </c>
      <c r="AK187" s="43" t="s">
        <v>268</v>
      </c>
      <c r="AL187">
        <v>0</v>
      </c>
    </row>
    <row r="188" spans="31:38" x14ac:dyDescent="0.25">
      <c r="AE188" s="43" t="s">
        <v>127</v>
      </c>
      <c r="AF188" s="43" t="s">
        <v>60</v>
      </c>
      <c r="AG188" s="43" t="s">
        <v>128</v>
      </c>
      <c r="AH188" s="43" t="s">
        <v>72</v>
      </c>
      <c r="AI188">
        <v>2</v>
      </c>
      <c r="AJ188" s="43" t="s">
        <v>330</v>
      </c>
      <c r="AK188" s="43" t="s">
        <v>308</v>
      </c>
      <c r="AL188">
        <v>4.4000000000000004</v>
      </c>
    </row>
    <row r="189" spans="31:38" x14ac:dyDescent="0.25">
      <c r="AE189" s="43" t="s">
        <v>127</v>
      </c>
      <c r="AF189" s="43" t="s">
        <v>60</v>
      </c>
      <c r="AG189" s="43" t="s">
        <v>128</v>
      </c>
      <c r="AH189" s="43" t="s">
        <v>72</v>
      </c>
      <c r="AI189">
        <v>2</v>
      </c>
      <c r="AJ189" s="43" t="s">
        <v>330</v>
      </c>
      <c r="AK189" s="43" t="s">
        <v>309</v>
      </c>
      <c r="AL189">
        <v>7.2</v>
      </c>
    </row>
    <row r="190" spans="31:38" x14ac:dyDescent="0.25">
      <c r="AE190" s="43" t="s">
        <v>127</v>
      </c>
      <c r="AF190" s="43" t="s">
        <v>60</v>
      </c>
      <c r="AG190" s="43" t="s">
        <v>128</v>
      </c>
      <c r="AH190" s="43" t="s">
        <v>72</v>
      </c>
      <c r="AI190">
        <v>2</v>
      </c>
      <c r="AJ190" s="43" t="s">
        <v>330</v>
      </c>
      <c r="AK190" s="43" t="s">
        <v>268</v>
      </c>
      <c r="AL190">
        <v>11.6</v>
      </c>
    </row>
    <row r="191" spans="31:38" x14ac:dyDescent="0.25">
      <c r="AE191" s="43" t="s">
        <v>127</v>
      </c>
      <c r="AF191" s="43" t="s">
        <v>60</v>
      </c>
      <c r="AG191" s="43" t="s">
        <v>128</v>
      </c>
      <c r="AH191" s="43" t="s">
        <v>72</v>
      </c>
      <c r="AI191">
        <v>2</v>
      </c>
      <c r="AJ191" s="43" t="s">
        <v>331</v>
      </c>
      <c r="AK191" s="43" t="s">
        <v>308</v>
      </c>
      <c r="AL191">
        <v>0</v>
      </c>
    </row>
    <row r="192" spans="31:38" x14ac:dyDescent="0.25">
      <c r="AE192" s="43" t="s">
        <v>127</v>
      </c>
      <c r="AF192" s="43" t="s">
        <v>60</v>
      </c>
      <c r="AG192" s="43" t="s">
        <v>128</v>
      </c>
      <c r="AH192" s="43" t="s">
        <v>72</v>
      </c>
      <c r="AI192">
        <v>2</v>
      </c>
      <c r="AJ192" s="43" t="s">
        <v>331</v>
      </c>
      <c r="AK192" s="43" t="s">
        <v>309</v>
      </c>
      <c r="AL192">
        <v>0</v>
      </c>
    </row>
    <row r="193" spans="31:38" x14ac:dyDescent="0.25">
      <c r="AE193" s="43" t="s">
        <v>127</v>
      </c>
      <c r="AF193" s="43" t="s">
        <v>60</v>
      </c>
      <c r="AG193" s="43" t="s">
        <v>128</v>
      </c>
      <c r="AH193" s="43" t="s">
        <v>72</v>
      </c>
      <c r="AI193">
        <v>2</v>
      </c>
      <c r="AJ193" s="43" t="s">
        <v>331</v>
      </c>
      <c r="AK193" s="43" t="s">
        <v>268</v>
      </c>
      <c r="AL193">
        <v>0</v>
      </c>
    </row>
    <row r="194" spans="31:38" x14ac:dyDescent="0.25">
      <c r="AE194" s="43" t="s">
        <v>127</v>
      </c>
      <c r="AF194" s="43" t="s">
        <v>60</v>
      </c>
      <c r="AG194" s="43" t="s">
        <v>128</v>
      </c>
      <c r="AH194" s="43" t="s">
        <v>72</v>
      </c>
      <c r="AI194">
        <v>2</v>
      </c>
      <c r="AJ194" s="43" t="s">
        <v>341</v>
      </c>
      <c r="AK194" s="43" t="s">
        <v>308</v>
      </c>
      <c r="AL194">
        <v>8.6000000000000014</v>
      </c>
    </row>
    <row r="195" spans="31:38" x14ac:dyDescent="0.25">
      <c r="AE195" s="43" t="s">
        <v>127</v>
      </c>
      <c r="AF195" s="43" t="s">
        <v>60</v>
      </c>
      <c r="AG195" s="43" t="s">
        <v>128</v>
      </c>
      <c r="AH195" s="43" t="s">
        <v>72</v>
      </c>
      <c r="AI195">
        <v>2</v>
      </c>
      <c r="AJ195" s="43" t="s">
        <v>341</v>
      </c>
      <c r="AK195" s="43" t="s">
        <v>309</v>
      </c>
      <c r="AL195">
        <v>15.2</v>
      </c>
    </row>
    <row r="196" spans="31:38" x14ac:dyDescent="0.25">
      <c r="AE196" s="43" t="s">
        <v>127</v>
      </c>
      <c r="AF196" s="43" t="s">
        <v>60</v>
      </c>
      <c r="AG196" s="43" t="s">
        <v>128</v>
      </c>
      <c r="AH196" s="43" t="s">
        <v>72</v>
      </c>
      <c r="AI196">
        <v>2</v>
      </c>
      <c r="AJ196" s="43" t="s">
        <v>341</v>
      </c>
      <c r="AK196" s="43" t="s">
        <v>268</v>
      </c>
      <c r="AL196">
        <v>23.799999999999997</v>
      </c>
    </row>
    <row r="197" spans="31:38" x14ac:dyDescent="0.25">
      <c r="AE197" s="43" t="s">
        <v>127</v>
      </c>
      <c r="AF197" s="43" t="s">
        <v>60</v>
      </c>
      <c r="AG197" s="43" t="s">
        <v>128</v>
      </c>
      <c r="AH197" s="43" t="s">
        <v>72</v>
      </c>
      <c r="AI197">
        <v>2</v>
      </c>
      <c r="AJ197" s="43" t="s">
        <v>344</v>
      </c>
      <c r="AK197" s="43" t="s">
        <v>308</v>
      </c>
      <c r="AL197">
        <v>0</v>
      </c>
    </row>
    <row r="198" spans="31:38" x14ac:dyDescent="0.25">
      <c r="AE198" s="43" t="s">
        <v>127</v>
      </c>
      <c r="AF198" s="43" t="s">
        <v>60</v>
      </c>
      <c r="AG198" s="43" t="s">
        <v>128</v>
      </c>
      <c r="AH198" s="43" t="s">
        <v>72</v>
      </c>
      <c r="AI198">
        <v>2</v>
      </c>
      <c r="AJ198" s="43" t="s">
        <v>344</v>
      </c>
      <c r="AK198" s="43" t="s">
        <v>309</v>
      </c>
      <c r="AL198">
        <v>0</v>
      </c>
    </row>
    <row r="199" spans="31:38" x14ac:dyDescent="0.25">
      <c r="AE199" s="43" t="s">
        <v>127</v>
      </c>
      <c r="AF199" s="43" t="s">
        <v>60</v>
      </c>
      <c r="AG199" s="43" t="s">
        <v>128</v>
      </c>
      <c r="AH199" s="43" t="s">
        <v>72</v>
      </c>
      <c r="AI199">
        <v>2</v>
      </c>
      <c r="AJ199" s="43" t="s">
        <v>344</v>
      </c>
      <c r="AK199" s="43" t="s">
        <v>268</v>
      </c>
      <c r="AL199">
        <v>0</v>
      </c>
    </row>
    <row r="200" spans="31:38" x14ac:dyDescent="0.25">
      <c r="AE200" s="43" t="s">
        <v>96</v>
      </c>
      <c r="AF200" s="43" t="s">
        <v>60</v>
      </c>
      <c r="AG200" s="43" t="s">
        <v>97</v>
      </c>
      <c r="AH200" s="43" t="s">
        <v>62</v>
      </c>
      <c r="AI200">
        <v>2</v>
      </c>
      <c r="AJ200" s="43" t="s">
        <v>317</v>
      </c>
      <c r="AK200" s="43" t="s">
        <v>308</v>
      </c>
      <c r="AL200">
        <v>0</v>
      </c>
    </row>
    <row r="201" spans="31:38" x14ac:dyDescent="0.25">
      <c r="AE201" s="43" t="s">
        <v>96</v>
      </c>
      <c r="AF201" s="43" t="s">
        <v>60</v>
      </c>
      <c r="AG201" s="43" t="s">
        <v>97</v>
      </c>
      <c r="AH201" s="43" t="s">
        <v>62</v>
      </c>
      <c r="AI201">
        <v>2</v>
      </c>
      <c r="AJ201" s="43" t="s">
        <v>317</v>
      </c>
      <c r="AK201" s="43" t="s">
        <v>309</v>
      </c>
      <c r="AL201">
        <v>0</v>
      </c>
    </row>
    <row r="202" spans="31:38" x14ac:dyDescent="0.25">
      <c r="AE202" s="43" t="s">
        <v>96</v>
      </c>
      <c r="AF202" s="43" t="s">
        <v>60</v>
      </c>
      <c r="AG202" s="43" t="s">
        <v>97</v>
      </c>
      <c r="AH202" s="43" t="s">
        <v>62</v>
      </c>
      <c r="AI202">
        <v>2</v>
      </c>
      <c r="AJ202" s="43" t="s">
        <v>317</v>
      </c>
      <c r="AK202" s="43" t="s">
        <v>268</v>
      </c>
      <c r="AL202">
        <v>0</v>
      </c>
    </row>
    <row r="203" spans="31:38" x14ac:dyDescent="0.25">
      <c r="AE203" s="43" t="s">
        <v>96</v>
      </c>
      <c r="AF203" s="43" t="s">
        <v>60</v>
      </c>
      <c r="AG203" s="43" t="s">
        <v>97</v>
      </c>
      <c r="AH203" s="43" t="s">
        <v>62</v>
      </c>
      <c r="AI203">
        <v>2</v>
      </c>
      <c r="AJ203" s="43" t="s">
        <v>325</v>
      </c>
      <c r="AK203" s="43" t="s">
        <v>308</v>
      </c>
      <c r="AL203">
        <v>4.5</v>
      </c>
    </row>
    <row r="204" spans="31:38" x14ac:dyDescent="0.25">
      <c r="AE204" s="43" t="s">
        <v>96</v>
      </c>
      <c r="AF204" s="43" t="s">
        <v>60</v>
      </c>
      <c r="AG204" s="43" t="s">
        <v>97</v>
      </c>
      <c r="AH204" s="43" t="s">
        <v>62</v>
      </c>
      <c r="AI204">
        <v>2</v>
      </c>
      <c r="AJ204" s="43" t="s">
        <v>325</v>
      </c>
      <c r="AK204" s="43" t="s">
        <v>309</v>
      </c>
      <c r="AL204">
        <v>7.3</v>
      </c>
    </row>
    <row r="205" spans="31:38" x14ac:dyDescent="0.25">
      <c r="AE205" s="43" t="s">
        <v>96</v>
      </c>
      <c r="AF205" s="43" t="s">
        <v>60</v>
      </c>
      <c r="AG205" s="43" t="s">
        <v>97</v>
      </c>
      <c r="AH205" s="43" t="s">
        <v>62</v>
      </c>
      <c r="AI205">
        <v>2</v>
      </c>
      <c r="AJ205" s="43" t="s">
        <v>325</v>
      </c>
      <c r="AK205" s="43" t="s">
        <v>268</v>
      </c>
      <c r="AL205">
        <v>11.8</v>
      </c>
    </row>
    <row r="206" spans="31:38" x14ac:dyDescent="0.25">
      <c r="AE206" s="43" t="s">
        <v>96</v>
      </c>
      <c r="AF206" s="43" t="s">
        <v>60</v>
      </c>
      <c r="AG206" s="43" t="s">
        <v>97</v>
      </c>
      <c r="AH206" s="43" t="s">
        <v>62</v>
      </c>
      <c r="AI206">
        <v>2</v>
      </c>
      <c r="AJ206" s="43" t="s">
        <v>330</v>
      </c>
      <c r="AK206" s="43" t="s">
        <v>308</v>
      </c>
      <c r="AL206">
        <v>4.7</v>
      </c>
    </row>
    <row r="207" spans="31:38" x14ac:dyDescent="0.25">
      <c r="AE207" s="43" t="s">
        <v>96</v>
      </c>
      <c r="AF207" s="43" t="s">
        <v>60</v>
      </c>
      <c r="AG207" s="43" t="s">
        <v>97</v>
      </c>
      <c r="AH207" s="43" t="s">
        <v>62</v>
      </c>
      <c r="AI207">
        <v>2</v>
      </c>
      <c r="AJ207" s="43" t="s">
        <v>330</v>
      </c>
      <c r="AK207" s="43" t="s">
        <v>309</v>
      </c>
      <c r="AL207">
        <v>6.8</v>
      </c>
    </row>
    <row r="208" spans="31:38" x14ac:dyDescent="0.25">
      <c r="AE208" s="43" t="s">
        <v>96</v>
      </c>
      <c r="AF208" s="43" t="s">
        <v>60</v>
      </c>
      <c r="AG208" s="43" t="s">
        <v>97</v>
      </c>
      <c r="AH208" s="43" t="s">
        <v>62</v>
      </c>
      <c r="AI208">
        <v>2</v>
      </c>
      <c r="AJ208" s="43" t="s">
        <v>330</v>
      </c>
      <c r="AK208" s="43" t="s">
        <v>268</v>
      </c>
      <c r="AL208">
        <v>11.5</v>
      </c>
    </row>
    <row r="209" spans="31:38" x14ac:dyDescent="0.25">
      <c r="AE209" s="43" t="s">
        <v>96</v>
      </c>
      <c r="AF209" s="43" t="s">
        <v>60</v>
      </c>
      <c r="AG209" s="43" t="s">
        <v>97</v>
      </c>
      <c r="AH209" s="43" t="s">
        <v>62</v>
      </c>
      <c r="AI209">
        <v>2</v>
      </c>
      <c r="AJ209" s="43" t="s">
        <v>331</v>
      </c>
      <c r="AK209" s="43" t="s">
        <v>308</v>
      </c>
      <c r="AL209">
        <v>0</v>
      </c>
    </row>
    <row r="210" spans="31:38" x14ac:dyDescent="0.25">
      <c r="AE210" s="43" t="s">
        <v>96</v>
      </c>
      <c r="AF210" s="43" t="s">
        <v>60</v>
      </c>
      <c r="AG210" s="43" t="s">
        <v>97</v>
      </c>
      <c r="AH210" s="43" t="s">
        <v>62</v>
      </c>
      <c r="AI210">
        <v>2</v>
      </c>
      <c r="AJ210" s="43" t="s">
        <v>331</v>
      </c>
      <c r="AK210" s="43" t="s">
        <v>309</v>
      </c>
      <c r="AL210">
        <v>0</v>
      </c>
    </row>
    <row r="211" spans="31:38" x14ac:dyDescent="0.25">
      <c r="AE211" s="43" t="s">
        <v>96</v>
      </c>
      <c r="AF211" s="43" t="s">
        <v>60</v>
      </c>
      <c r="AG211" s="43" t="s">
        <v>97</v>
      </c>
      <c r="AH211" s="43" t="s">
        <v>62</v>
      </c>
      <c r="AI211">
        <v>2</v>
      </c>
      <c r="AJ211" s="43" t="s">
        <v>331</v>
      </c>
      <c r="AK211" s="43" t="s">
        <v>268</v>
      </c>
      <c r="AL211">
        <v>0</v>
      </c>
    </row>
    <row r="212" spans="31:38" x14ac:dyDescent="0.25">
      <c r="AE212" s="43" t="s">
        <v>96</v>
      </c>
      <c r="AF212" s="43" t="s">
        <v>60</v>
      </c>
      <c r="AG212" s="43" t="s">
        <v>97</v>
      </c>
      <c r="AH212" s="43" t="s">
        <v>62</v>
      </c>
      <c r="AI212">
        <v>2</v>
      </c>
      <c r="AJ212" s="43" t="s">
        <v>341</v>
      </c>
      <c r="AK212" s="43" t="s">
        <v>308</v>
      </c>
      <c r="AL212">
        <v>9.1999999999999993</v>
      </c>
    </row>
    <row r="213" spans="31:38" x14ac:dyDescent="0.25">
      <c r="AE213" s="43" t="s">
        <v>96</v>
      </c>
      <c r="AF213" s="43" t="s">
        <v>60</v>
      </c>
      <c r="AG213" s="43" t="s">
        <v>97</v>
      </c>
      <c r="AH213" s="43" t="s">
        <v>62</v>
      </c>
      <c r="AI213">
        <v>2</v>
      </c>
      <c r="AJ213" s="43" t="s">
        <v>341</v>
      </c>
      <c r="AK213" s="43" t="s">
        <v>309</v>
      </c>
      <c r="AL213">
        <v>14.1</v>
      </c>
    </row>
    <row r="214" spans="31:38" x14ac:dyDescent="0.25">
      <c r="AE214" s="43" t="s">
        <v>96</v>
      </c>
      <c r="AF214" s="43" t="s">
        <v>60</v>
      </c>
      <c r="AG214" s="43" t="s">
        <v>97</v>
      </c>
      <c r="AH214" s="43" t="s">
        <v>62</v>
      </c>
      <c r="AI214">
        <v>2</v>
      </c>
      <c r="AJ214" s="43" t="s">
        <v>341</v>
      </c>
      <c r="AK214" s="43" t="s">
        <v>268</v>
      </c>
      <c r="AL214">
        <v>23.3</v>
      </c>
    </row>
    <row r="215" spans="31:38" x14ac:dyDescent="0.25">
      <c r="AE215" s="43" t="s">
        <v>96</v>
      </c>
      <c r="AF215" s="43" t="s">
        <v>60</v>
      </c>
      <c r="AG215" s="43" t="s">
        <v>97</v>
      </c>
      <c r="AH215" s="43" t="s">
        <v>62</v>
      </c>
      <c r="AI215">
        <v>2</v>
      </c>
      <c r="AJ215" s="43" t="s">
        <v>344</v>
      </c>
      <c r="AK215" s="43" t="s">
        <v>308</v>
      </c>
      <c r="AL215">
        <v>0</v>
      </c>
    </row>
    <row r="216" spans="31:38" x14ac:dyDescent="0.25">
      <c r="AE216" s="43" t="s">
        <v>96</v>
      </c>
      <c r="AF216" s="43" t="s">
        <v>60</v>
      </c>
      <c r="AG216" s="43" t="s">
        <v>97</v>
      </c>
      <c r="AH216" s="43" t="s">
        <v>62</v>
      </c>
      <c r="AI216">
        <v>2</v>
      </c>
      <c r="AJ216" s="43" t="s">
        <v>344</v>
      </c>
      <c r="AK216" s="43" t="s">
        <v>309</v>
      </c>
      <c r="AL216">
        <v>0</v>
      </c>
    </row>
    <row r="217" spans="31:38" x14ac:dyDescent="0.25">
      <c r="AE217" s="43" t="s">
        <v>96</v>
      </c>
      <c r="AF217" s="43" t="s">
        <v>60</v>
      </c>
      <c r="AG217" s="43" t="s">
        <v>97</v>
      </c>
      <c r="AH217" s="43" t="s">
        <v>62</v>
      </c>
      <c r="AI217">
        <v>2</v>
      </c>
      <c r="AJ217" s="43" t="s">
        <v>344</v>
      </c>
      <c r="AK217" s="43" t="s">
        <v>268</v>
      </c>
      <c r="AL217">
        <v>0</v>
      </c>
    </row>
    <row r="218" spans="31:38" x14ac:dyDescent="0.25">
      <c r="AE218" s="43" t="s">
        <v>116</v>
      </c>
      <c r="AF218" s="43" t="s">
        <v>60</v>
      </c>
      <c r="AG218" s="43" t="s">
        <v>117</v>
      </c>
      <c r="AH218" s="43" t="s">
        <v>62</v>
      </c>
      <c r="AI218">
        <v>2</v>
      </c>
      <c r="AJ218" s="43" t="s">
        <v>317</v>
      </c>
      <c r="AK218" s="43" t="s">
        <v>308</v>
      </c>
      <c r="AL218">
        <v>0</v>
      </c>
    </row>
    <row r="219" spans="31:38" x14ac:dyDescent="0.25">
      <c r="AE219" s="43" t="s">
        <v>116</v>
      </c>
      <c r="AF219" s="43" t="s">
        <v>60</v>
      </c>
      <c r="AG219" s="43" t="s">
        <v>117</v>
      </c>
      <c r="AH219" s="43" t="s">
        <v>62</v>
      </c>
      <c r="AI219">
        <v>2</v>
      </c>
      <c r="AJ219" s="43" t="s">
        <v>317</v>
      </c>
      <c r="AK219" s="43" t="s">
        <v>309</v>
      </c>
      <c r="AL219">
        <v>0</v>
      </c>
    </row>
    <row r="220" spans="31:38" x14ac:dyDescent="0.25">
      <c r="AE220" s="43" t="s">
        <v>116</v>
      </c>
      <c r="AF220" s="43" t="s">
        <v>60</v>
      </c>
      <c r="AG220" s="43" t="s">
        <v>117</v>
      </c>
      <c r="AH220" s="43" t="s">
        <v>62</v>
      </c>
      <c r="AI220">
        <v>2</v>
      </c>
      <c r="AJ220" s="43" t="s">
        <v>317</v>
      </c>
      <c r="AK220" s="43" t="s">
        <v>268</v>
      </c>
      <c r="AL220">
        <v>0</v>
      </c>
    </row>
    <row r="221" spans="31:38" x14ac:dyDescent="0.25">
      <c r="AE221" s="43" t="s">
        <v>116</v>
      </c>
      <c r="AF221" s="43" t="s">
        <v>60</v>
      </c>
      <c r="AG221" s="43" t="s">
        <v>117</v>
      </c>
      <c r="AH221" s="43" t="s">
        <v>62</v>
      </c>
      <c r="AI221">
        <v>2</v>
      </c>
      <c r="AJ221" s="43" t="s">
        <v>325</v>
      </c>
      <c r="AK221" s="43" t="s">
        <v>308</v>
      </c>
      <c r="AL221">
        <v>0</v>
      </c>
    </row>
    <row r="222" spans="31:38" x14ac:dyDescent="0.25">
      <c r="AE222" s="43" t="s">
        <v>116</v>
      </c>
      <c r="AF222" s="43" t="s">
        <v>60</v>
      </c>
      <c r="AG222" s="43" t="s">
        <v>117</v>
      </c>
      <c r="AH222" s="43" t="s">
        <v>62</v>
      </c>
      <c r="AI222">
        <v>2</v>
      </c>
      <c r="AJ222" s="43" t="s">
        <v>325</v>
      </c>
      <c r="AK222" s="43" t="s">
        <v>309</v>
      </c>
      <c r="AL222">
        <v>0</v>
      </c>
    </row>
    <row r="223" spans="31:38" x14ac:dyDescent="0.25">
      <c r="AE223" s="43" t="s">
        <v>116</v>
      </c>
      <c r="AF223" s="43" t="s">
        <v>60</v>
      </c>
      <c r="AG223" s="43" t="s">
        <v>117</v>
      </c>
      <c r="AH223" s="43" t="s">
        <v>62</v>
      </c>
      <c r="AI223">
        <v>2</v>
      </c>
      <c r="AJ223" s="43" t="s">
        <v>325</v>
      </c>
      <c r="AK223" s="43" t="s">
        <v>268</v>
      </c>
      <c r="AL223">
        <v>0</v>
      </c>
    </row>
    <row r="224" spans="31:38" x14ac:dyDescent="0.25">
      <c r="AE224" s="43" t="s">
        <v>116</v>
      </c>
      <c r="AF224" s="43" t="s">
        <v>60</v>
      </c>
      <c r="AG224" s="43" t="s">
        <v>117</v>
      </c>
      <c r="AH224" s="43" t="s">
        <v>62</v>
      </c>
      <c r="AI224">
        <v>2</v>
      </c>
      <c r="AJ224" s="43" t="s">
        <v>330</v>
      </c>
      <c r="AK224" s="43" t="s">
        <v>308</v>
      </c>
      <c r="AL224">
        <v>4.2</v>
      </c>
    </row>
    <row r="225" spans="31:38" x14ac:dyDescent="0.25">
      <c r="AE225" s="43" t="s">
        <v>116</v>
      </c>
      <c r="AF225" s="43" t="s">
        <v>60</v>
      </c>
      <c r="AG225" s="43" t="s">
        <v>117</v>
      </c>
      <c r="AH225" s="43" t="s">
        <v>62</v>
      </c>
      <c r="AI225">
        <v>2</v>
      </c>
      <c r="AJ225" s="43" t="s">
        <v>330</v>
      </c>
      <c r="AK225" s="43" t="s">
        <v>309</v>
      </c>
      <c r="AL225">
        <v>6.5</v>
      </c>
    </row>
    <row r="226" spans="31:38" x14ac:dyDescent="0.25">
      <c r="AE226" s="43" t="s">
        <v>116</v>
      </c>
      <c r="AF226" s="43" t="s">
        <v>60</v>
      </c>
      <c r="AG226" s="43" t="s">
        <v>117</v>
      </c>
      <c r="AH226" s="43" t="s">
        <v>62</v>
      </c>
      <c r="AI226">
        <v>2</v>
      </c>
      <c r="AJ226" s="43" t="s">
        <v>330</v>
      </c>
      <c r="AK226" s="43" t="s">
        <v>268</v>
      </c>
      <c r="AL226">
        <v>10.7</v>
      </c>
    </row>
    <row r="227" spans="31:38" x14ac:dyDescent="0.25">
      <c r="AE227" s="43" t="s">
        <v>116</v>
      </c>
      <c r="AF227" s="43" t="s">
        <v>60</v>
      </c>
      <c r="AG227" s="43" t="s">
        <v>117</v>
      </c>
      <c r="AH227" s="43" t="s">
        <v>62</v>
      </c>
      <c r="AI227">
        <v>2</v>
      </c>
      <c r="AJ227" s="43" t="s">
        <v>331</v>
      </c>
      <c r="AK227" s="43" t="s">
        <v>308</v>
      </c>
      <c r="AL227">
        <v>4.0999999999999996</v>
      </c>
    </row>
    <row r="228" spans="31:38" x14ac:dyDescent="0.25">
      <c r="AE228" s="43" t="s">
        <v>116</v>
      </c>
      <c r="AF228" s="43" t="s">
        <v>60</v>
      </c>
      <c r="AG228" s="43" t="s">
        <v>117</v>
      </c>
      <c r="AH228" s="43" t="s">
        <v>62</v>
      </c>
      <c r="AI228">
        <v>2</v>
      </c>
      <c r="AJ228" s="43" t="s">
        <v>331</v>
      </c>
      <c r="AK228" s="43" t="s">
        <v>309</v>
      </c>
      <c r="AL228">
        <v>7.9</v>
      </c>
    </row>
    <row r="229" spans="31:38" x14ac:dyDescent="0.25">
      <c r="AE229" s="43" t="s">
        <v>116</v>
      </c>
      <c r="AF229" s="43" t="s">
        <v>60</v>
      </c>
      <c r="AG229" s="43" t="s">
        <v>117</v>
      </c>
      <c r="AH229" s="43" t="s">
        <v>62</v>
      </c>
      <c r="AI229">
        <v>2</v>
      </c>
      <c r="AJ229" s="43" t="s">
        <v>331</v>
      </c>
      <c r="AK229" s="43" t="s">
        <v>268</v>
      </c>
      <c r="AL229">
        <v>12</v>
      </c>
    </row>
    <row r="230" spans="31:38" x14ac:dyDescent="0.25">
      <c r="AE230" s="43" t="s">
        <v>116</v>
      </c>
      <c r="AF230" s="43" t="s">
        <v>60</v>
      </c>
      <c r="AG230" s="43" t="s">
        <v>117</v>
      </c>
      <c r="AH230" s="43" t="s">
        <v>62</v>
      </c>
      <c r="AI230">
        <v>2</v>
      </c>
      <c r="AJ230" s="43" t="s">
        <v>341</v>
      </c>
      <c r="AK230" s="43" t="s">
        <v>308</v>
      </c>
      <c r="AL230">
        <v>8.3000000000000007</v>
      </c>
    </row>
    <row r="231" spans="31:38" x14ac:dyDescent="0.25">
      <c r="AE231" s="43" t="s">
        <v>116</v>
      </c>
      <c r="AF231" s="43" t="s">
        <v>60</v>
      </c>
      <c r="AG231" s="43" t="s">
        <v>117</v>
      </c>
      <c r="AH231" s="43" t="s">
        <v>62</v>
      </c>
      <c r="AI231">
        <v>2</v>
      </c>
      <c r="AJ231" s="43" t="s">
        <v>341</v>
      </c>
      <c r="AK231" s="43" t="s">
        <v>309</v>
      </c>
      <c r="AL231">
        <v>14.4</v>
      </c>
    </row>
    <row r="232" spans="31:38" x14ac:dyDescent="0.25">
      <c r="AE232" s="43" t="s">
        <v>116</v>
      </c>
      <c r="AF232" s="43" t="s">
        <v>60</v>
      </c>
      <c r="AG232" s="43" t="s">
        <v>117</v>
      </c>
      <c r="AH232" s="43" t="s">
        <v>62</v>
      </c>
      <c r="AI232">
        <v>2</v>
      </c>
      <c r="AJ232" s="43" t="s">
        <v>341</v>
      </c>
      <c r="AK232" s="43" t="s">
        <v>268</v>
      </c>
      <c r="AL232">
        <v>22.7</v>
      </c>
    </row>
    <row r="233" spans="31:38" x14ac:dyDescent="0.25">
      <c r="AE233" s="43" t="s">
        <v>116</v>
      </c>
      <c r="AF233" s="43" t="s">
        <v>60</v>
      </c>
      <c r="AG233" s="43" t="s">
        <v>117</v>
      </c>
      <c r="AH233" s="43" t="s">
        <v>62</v>
      </c>
      <c r="AI233">
        <v>2</v>
      </c>
      <c r="AJ233" s="43" t="s">
        <v>344</v>
      </c>
      <c r="AK233" s="43" t="s">
        <v>308</v>
      </c>
      <c r="AL233">
        <v>0</v>
      </c>
    </row>
    <row r="234" spans="31:38" x14ac:dyDescent="0.25">
      <c r="AE234" s="43" t="s">
        <v>116</v>
      </c>
      <c r="AF234" s="43" t="s">
        <v>60</v>
      </c>
      <c r="AG234" s="43" t="s">
        <v>117</v>
      </c>
      <c r="AH234" s="43" t="s">
        <v>62</v>
      </c>
      <c r="AI234">
        <v>2</v>
      </c>
      <c r="AJ234" s="43" t="s">
        <v>344</v>
      </c>
      <c r="AK234" s="43" t="s">
        <v>309</v>
      </c>
      <c r="AL234">
        <v>0</v>
      </c>
    </row>
    <row r="235" spans="31:38" x14ac:dyDescent="0.25">
      <c r="AE235" s="43" t="s">
        <v>116</v>
      </c>
      <c r="AF235" s="43" t="s">
        <v>60</v>
      </c>
      <c r="AG235" s="43" t="s">
        <v>117</v>
      </c>
      <c r="AH235" s="43" t="s">
        <v>62</v>
      </c>
      <c r="AI235">
        <v>2</v>
      </c>
      <c r="AJ235" s="43" t="s">
        <v>344</v>
      </c>
      <c r="AK235" s="43" t="s">
        <v>268</v>
      </c>
      <c r="AL235">
        <v>0</v>
      </c>
    </row>
    <row r="236" spans="31:38" x14ac:dyDescent="0.25">
      <c r="AE236" s="43" t="s">
        <v>65</v>
      </c>
      <c r="AF236" s="43" t="s">
        <v>60</v>
      </c>
      <c r="AG236" s="43" t="s">
        <v>66</v>
      </c>
      <c r="AH236" s="43" t="s">
        <v>67</v>
      </c>
      <c r="AI236">
        <v>2</v>
      </c>
      <c r="AJ236" s="43" t="s">
        <v>317</v>
      </c>
      <c r="AK236" s="43" t="s">
        <v>308</v>
      </c>
      <c r="AL236">
        <v>0</v>
      </c>
    </row>
    <row r="237" spans="31:38" x14ac:dyDescent="0.25">
      <c r="AE237" s="43" t="s">
        <v>65</v>
      </c>
      <c r="AF237" s="43" t="s">
        <v>60</v>
      </c>
      <c r="AG237" s="43" t="s">
        <v>66</v>
      </c>
      <c r="AH237" s="43" t="s">
        <v>67</v>
      </c>
      <c r="AI237">
        <v>2</v>
      </c>
      <c r="AJ237" s="43" t="s">
        <v>317</v>
      </c>
      <c r="AK237" s="43" t="s">
        <v>309</v>
      </c>
      <c r="AL237">
        <v>0</v>
      </c>
    </row>
    <row r="238" spans="31:38" x14ac:dyDescent="0.25">
      <c r="AE238" s="43" t="s">
        <v>65</v>
      </c>
      <c r="AF238" s="43" t="s">
        <v>60</v>
      </c>
      <c r="AG238" s="43" t="s">
        <v>66</v>
      </c>
      <c r="AH238" s="43" t="s">
        <v>67</v>
      </c>
      <c r="AI238">
        <v>2</v>
      </c>
      <c r="AJ238" s="43" t="s">
        <v>317</v>
      </c>
      <c r="AK238" s="43" t="s">
        <v>268</v>
      </c>
      <c r="AL238">
        <v>0</v>
      </c>
    </row>
    <row r="239" spans="31:38" x14ac:dyDescent="0.25">
      <c r="AE239" s="43" t="s">
        <v>65</v>
      </c>
      <c r="AF239" s="43" t="s">
        <v>60</v>
      </c>
      <c r="AG239" s="43" t="s">
        <v>66</v>
      </c>
      <c r="AH239" s="43" t="s">
        <v>67</v>
      </c>
      <c r="AI239">
        <v>2</v>
      </c>
      <c r="AJ239" s="43" t="s">
        <v>325</v>
      </c>
      <c r="AK239" s="43" t="s">
        <v>308</v>
      </c>
      <c r="AL239">
        <v>3</v>
      </c>
    </row>
    <row r="240" spans="31:38" x14ac:dyDescent="0.25">
      <c r="AE240" s="43" t="s">
        <v>65</v>
      </c>
      <c r="AF240" s="43" t="s">
        <v>60</v>
      </c>
      <c r="AG240" s="43" t="s">
        <v>66</v>
      </c>
      <c r="AH240" s="43" t="s">
        <v>67</v>
      </c>
      <c r="AI240">
        <v>2</v>
      </c>
      <c r="AJ240" s="43" t="s">
        <v>325</v>
      </c>
      <c r="AK240" s="43" t="s">
        <v>309</v>
      </c>
      <c r="AL240">
        <v>8.4</v>
      </c>
    </row>
    <row r="241" spans="31:38" x14ac:dyDescent="0.25">
      <c r="AE241" s="43" t="s">
        <v>65</v>
      </c>
      <c r="AF241" s="43" t="s">
        <v>60</v>
      </c>
      <c r="AG241" s="43" t="s">
        <v>66</v>
      </c>
      <c r="AH241" s="43" t="s">
        <v>67</v>
      </c>
      <c r="AI241">
        <v>2</v>
      </c>
      <c r="AJ241" s="43" t="s">
        <v>325</v>
      </c>
      <c r="AK241" s="43" t="s">
        <v>268</v>
      </c>
      <c r="AL241">
        <v>11.4</v>
      </c>
    </row>
    <row r="242" spans="31:38" x14ac:dyDescent="0.25">
      <c r="AE242" s="43" t="s">
        <v>65</v>
      </c>
      <c r="AF242" s="43" t="s">
        <v>60</v>
      </c>
      <c r="AG242" s="43" t="s">
        <v>66</v>
      </c>
      <c r="AH242" s="43" t="s">
        <v>67</v>
      </c>
      <c r="AI242">
        <v>2</v>
      </c>
      <c r="AJ242" s="43" t="s">
        <v>330</v>
      </c>
      <c r="AK242" s="43" t="s">
        <v>308</v>
      </c>
      <c r="AL242">
        <v>0</v>
      </c>
    </row>
    <row r="243" spans="31:38" x14ac:dyDescent="0.25">
      <c r="AE243" s="43" t="s">
        <v>65</v>
      </c>
      <c r="AF243" s="43" t="s">
        <v>60</v>
      </c>
      <c r="AG243" s="43" t="s">
        <v>66</v>
      </c>
      <c r="AH243" s="43" t="s">
        <v>67</v>
      </c>
      <c r="AI243">
        <v>2</v>
      </c>
      <c r="AJ243" s="43" t="s">
        <v>330</v>
      </c>
      <c r="AK243" s="43" t="s">
        <v>309</v>
      </c>
      <c r="AL243">
        <v>0</v>
      </c>
    </row>
    <row r="244" spans="31:38" x14ac:dyDescent="0.25">
      <c r="AE244" s="43" t="s">
        <v>65</v>
      </c>
      <c r="AF244" s="43" t="s">
        <v>60</v>
      </c>
      <c r="AG244" s="43" t="s">
        <v>66</v>
      </c>
      <c r="AH244" s="43" t="s">
        <v>67</v>
      </c>
      <c r="AI244">
        <v>2</v>
      </c>
      <c r="AJ244" s="43" t="s">
        <v>330</v>
      </c>
      <c r="AK244" s="43" t="s">
        <v>268</v>
      </c>
      <c r="AL244">
        <v>0</v>
      </c>
    </row>
    <row r="245" spans="31:38" x14ac:dyDescent="0.25">
      <c r="AE245" s="43" t="s">
        <v>65</v>
      </c>
      <c r="AF245" s="43" t="s">
        <v>60</v>
      </c>
      <c r="AG245" s="43" t="s">
        <v>66</v>
      </c>
      <c r="AH245" s="43" t="s">
        <v>67</v>
      </c>
      <c r="AI245">
        <v>2</v>
      </c>
      <c r="AJ245" s="43" t="s">
        <v>331</v>
      </c>
      <c r="AK245" s="43" t="s">
        <v>308</v>
      </c>
      <c r="AL245">
        <v>3.2</v>
      </c>
    </row>
    <row r="246" spans="31:38" x14ac:dyDescent="0.25">
      <c r="AE246" s="43" t="s">
        <v>65</v>
      </c>
      <c r="AF246" s="43" t="s">
        <v>60</v>
      </c>
      <c r="AG246" s="43" t="s">
        <v>66</v>
      </c>
      <c r="AH246" s="43" t="s">
        <v>67</v>
      </c>
      <c r="AI246">
        <v>2</v>
      </c>
      <c r="AJ246" s="43" t="s">
        <v>331</v>
      </c>
      <c r="AK246" s="43" t="s">
        <v>309</v>
      </c>
      <c r="AL246">
        <v>7.8</v>
      </c>
    </row>
    <row r="247" spans="31:38" x14ac:dyDescent="0.25">
      <c r="AE247" s="43" t="s">
        <v>65</v>
      </c>
      <c r="AF247" s="43" t="s">
        <v>60</v>
      </c>
      <c r="AG247" s="43" t="s">
        <v>66</v>
      </c>
      <c r="AH247" s="43" t="s">
        <v>67</v>
      </c>
      <c r="AI247">
        <v>2</v>
      </c>
      <c r="AJ247" s="43" t="s">
        <v>331</v>
      </c>
      <c r="AK247" s="43" t="s">
        <v>268</v>
      </c>
      <c r="AL247">
        <v>11</v>
      </c>
    </row>
    <row r="248" spans="31:38" x14ac:dyDescent="0.25">
      <c r="AE248" s="43" t="s">
        <v>65</v>
      </c>
      <c r="AF248" s="43" t="s">
        <v>60</v>
      </c>
      <c r="AG248" s="43" t="s">
        <v>66</v>
      </c>
      <c r="AH248" s="43" t="s">
        <v>67</v>
      </c>
      <c r="AI248">
        <v>2</v>
      </c>
      <c r="AJ248" s="43" t="s">
        <v>341</v>
      </c>
      <c r="AK248" s="43" t="s">
        <v>308</v>
      </c>
      <c r="AL248">
        <v>6.2</v>
      </c>
    </row>
    <row r="249" spans="31:38" x14ac:dyDescent="0.25">
      <c r="AE249" s="43" t="s">
        <v>65</v>
      </c>
      <c r="AF249" s="43" t="s">
        <v>60</v>
      </c>
      <c r="AG249" s="43" t="s">
        <v>66</v>
      </c>
      <c r="AH249" s="43" t="s">
        <v>67</v>
      </c>
      <c r="AI249">
        <v>2</v>
      </c>
      <c r="AJ249" s="43" t="s">
        <v>341</v>
      </c>
      <c r="AK249" s="43" t="s">
        <v>309</v>
      </c>
      <c r="AL249">
        <v>16.2</v>
      </c>
    </row>
    <row r="250" spans="31:38" x14ac:dyDescent="0.25">
      <c r="AE250" s="43" t="s">
        <v>65</v>
      </c>
      <c r="AF250" s="43" t="s">
        <v>60</v>
      </c>
      <c r="AG250" s="43" t="s">
        <v>66</v>
      </c>
      <c r="AH250" s="43" t="s">
        <v>67</v>
      </c>
      <c r="AI250">
        <v>2</v>
      </c>
      <c r="AJ250" s="43" t="s">
        <v>341</v>
      </c>
      <c r="AK250" s="43" t="s">
        <v>268</v>
      </c>
      <c r="AL250">
        <v>22.4</v>
      </c>
    </row>
    <row r="251" spans="31:38" x14ac:dyDescent="0.25">
      <c r="AE251" s="43" t="s">
        <v>65</v>
      </c>
      <c r="AF251" s="43" t="s">
        <v>60</v>
      </c>
      <c r="AG251" s="43" t="s">
        <v>66</v>
      </c>
      <c r="AH251" s="43" t="s">
        <v>67</v>
      </c>
      <c r="AI251">
        <v>2</v>
      </c>
      <c r="AJ251" s="43" t="s">
        <v>344</v>
      </c>
      <c r="AK251" s="43" t="s">
        <v>308</v>
      </c>
      <c r="AL251">
        <v>0</v>
      </c>
    </row>
    <row r="252" spans="31:38" x14ac:dyDescent="0.25">
      <c r="AE252" s="43" t="s">
        <v>65</v>
      </c>
      <c r="AF252" s="43" t="s">
        <v>60</v>
      </c>
      <c r="AG252" s="43" t="s">
        <v>66</v>
      </c>
      <c r="AH252" s="43" t="s">
        <v>67</v>
      </c>
      <c r="AI252">
        <v>2</v>
      </c>
      <c r="AJ252" s="43" t="s">
        <v>344</v>
      </c>
      <c r="AK252" s="43" t="s">
        <v>309</v>
      </c>
      <c r="AL252">
        <v>0</v>
      </c>
    </row>
    <row r="253" spans="31:38" x14ac:dyDescent="0.25">
      <c r="AE253" s="43" t="s">
        <v>65</v>
      </c>
      <c r="AF253" s="43" t="s">
        <v>60</v>
      </c>
      <c r="AG253" s="43" t="s">
        <v>66</v>
      </c>
      <c r="AH253" s="43" t="s">
        <v>67</v>
      </c>
      <c r="AI253">
        <v>2</v>
      </c>
      <c r="AJ253" s="43" t="s">
        <v>344</v>
      </c>
      <c r="AK253" s="43" t="s">
        <v>268</v>
      </c>
      <c r="AL253">
        <v>0</v>
      </c>
    </row>
    <row r="254" spans="31:38" x14ac:dyDescent="0.25">
      <c r="AE254" s="43" t="s">
        <v>90</v>
      </c>
      <c r="AF254" s="43" t="s">
        <v>60</v>
      </c>
      <c r="AG254" s="43" t="s">
        <v>91</v>
      </c>
      <c r="AH254" s="43" t="s">
        <v>36</v>
      </c>
      <c r="AI254">
        <v>3</v>
      </c>
      <c r="AJ254" s="43" t="s">
        <v>317</v>
      </c>
      <c r="AK254" s="43" t="s">
        <v>308</v>
      </c>
      <c r="AL254">
        <v>0</v>
      </c>
    </row>
    <row r="255" spans="31:38" x14ac:dyDescent="0.25">
      <c r="AE255" s="43" t="s">
        <v>90</v>
      </c>
      <c r="AF255" s="43" t="s">
        <v>60</v>
      </c>
      <c r="AG255" s="43" t="s">
        <v>91</v>
      </c>
      <c r="AH255" s="43" t="s">
        <v>36</v>
      </c>
      <c r="AI255">
        <v>3</v>
      </c>
      <c r="AJ255" s="43" t="s">
        <v>317</v>
      </c>
      <c r="AK255" s="43" t="s">
        <v>309</v>
      </c>
      <c r="AL255">
        <v>0</v>
      </c>
    </row>
    <row r="256" spans="31:38" x14ac:dyDescent="0.25">
      <c r="AE256" s="43" t="s">
        <v>90</v>
      </c>
      <c r="AF256" s="43" t="s">
        <v>60</v>
      </c>
      <c r="AG256" s="43" t="s">
        <v>91</v>
      </c>
      <c r="AH256" s="43" t="s">
        <v>36</v>
      </c>
      <c r="AI256">
        <v>3</v>
      </c>
      <c r="AJ256" s="43" t="s">
        <v>317</v>
      </c>
      <c r="AK256" s="43" t="s">
        <v>268</v>
      </c>
      <c r="AL256">
        <v>0</v>
      </c>
    </row>
    <row r="257" spans="31:38" x14ac:dyDescent="0.25">
      <c r="AE257" s="43" t="s">
        <v>90</v>
      </c>
      <c r="AF257" s="43" t="s">
        <v>60</v>
      </c>
      <c r="AG257" s="43" t="s">
        <v>91</v>
      </c>
      <c r="AH257" s="43" t="s">
        <v>36</v>
      </c>
      <c r="AI257">
        <v>3</v>
      </c>
      <c r="AJ257" s="43" t="s">
        <v>325</v>
      </c>
      <c r="AK257" s="43" t="s">
        <v>308</v>
      </c>
      <c r="AL257">
        <v>2.6</v>
      </c>
    </row>
    <row r="258" spans="31:38" x14ac:dyDescent="0.25">
      <c r="AE258" s="43" t="s">
        <v>90</v>
      </c>
      <c r="AF258" s="43" t="s">
        <v>60</v>
      </c>
      <c r="AG258" s="43" t="s">
        <v>91</v>
      </c>
      <c r="AH258" s="43" t="s">
        <v>36</v>
      </c>
      <c r="AI258">
        <v>3</v>
      </c>
      <c r="AJ258" s="43" t="s">
        <v>325</v>
      </c>
      <c r="AK258" s="43" t="s">
        <v>309</v>
      </c>
      <c r="AL258">
        <v>0</v>
      </c>
    </row>
    <row r="259" spans="31:38" x14ac:dyDescent="0.25">
      <c r="AE259" s="43" t="s">
        <v>90</v>
      </c>
      <c r="AF259" s="43" t="s">
        <v>60</v>
      </c>
      <c r="AG259" s="43" t="s">
        <v>91</v>
      </c>
      <c r="AH259" s="43" t="s">
        <v>36</v>
      </c>
      <c r="AI259">
        <v>3</v>
      </c>
      <c r="AJ259" s="43" t="s">
        <v>325</v>
      </c>
      <c r="AK259" s="43" t="s">
        <v>268</v>
      </c>
      <c r="AL259">
        <v>2.6</v>
      </c>
    </row>
    <row r="260" spans="31:38" x14ac:dyDescent="0.25">
      <c r="AE260" s="43" t="s">
        <v>90</v>
      </c>
      <c r="AF260" s="43" t="s">
        <v>60</v>
      </c>
      <c r="AG260" s="43" t="s">
        <v>91</v>
      </c>
      <c r="AH260" s="43" t="s">
        <v>36</v>
      </c>
      <c r="AI260">
        <v>3</v>
      </c>
      <c r="AJ260" s="43" t="s">
        <v>330</v>
      </c>
      <c r="AK260" s="43" t="s">
        <v>308</v>
      </c>
      <c r="AL260">
        <v>2.9</v>
      </c>
    </row>
    <row r="261" spans="31:38" x14ac:dyDescent="0.25">
      <c r="AE261" s="43" t="s">
        <v>90</v>
      </c>
      <c r="AF261" s="43" t="s">
        <v>60</v>
      </c>
      <c r="AG261" s="43" t="s">
        <v>91</v>
      </c>
      <c r="AH261" s="43" t="s">
        <v>36</v>
      </c>
      <c r="AI261">
        <v>3</v>
      </c>
      <c r="AJ261" s="43" t="s">
        <v>330</v>
      </c>
      <c r="AK261" s="43" t="s">
        <v>309</v>
      </c>
      <c r="AL261">
        <v>5</v>
      </c>
    </row>
    <row r="262" spans="31:38" x14ac:dyDescent="0.25">
      <c r="AE262" s="43" t="s">
        <v>90</v>
      </c>
      <c r="AF262" s="43" t="s">
        <v>60</v>
      </c>
      <c r="AG262" s="43" t="s">
        <v>91</v>
      </c>
      <c r="AH262" s="43" t="s">
        <v>36</v>
      </c>
      <c r="AI262">
        <v>3</v>
      </c>
      <c r="AJ262" s="43" t="s">
        <v>330</v>
      </c>
      <c r="AK262" s="43" t="s">
        <v>268</v>
      </c>
      <c r="AL262">
        <v>7.9</v>
      </c>
    </row>
    <row r="263" spans="31:38" x14ac:dyDescent="0.25">
      <c r="AE263" s="43" t="s">
        <v>90</v>
      </c>
      <c r="AF263" s="43" t="s">
        <v>60</v>
      </c>
      <c r="AG263" s="43" t="s">
        <v>91</v>
      </c>
      <c r="AH263" s="43" t="s">
        <v>36</v>
      </c>
      <c r="AI263">
        <v>3</v>
      </c>
      <c r="AJ263" s="43" t="s">
        <v>331</v>
      </c>
      <c r="AK263" s="43" t="s">
        <v>308</v>
      </c>
      <c r="AL263">
        <v>3.4</v>
      </c>
    </row>
    <row r="264" spans="31:38" x14ac:dyDescent="0.25">
      <c r="AE264" s="43" t="s">
        <v>90</v>
      </c>
      <c r="AF264" s="43" t="s">
        <v>60</v>
      </c>
      <c r="AG264" s="43" t="s">
        <v>91</v>
      </c>
      <c r="AH264" s="43" t="s">
        <v>36</v>
      </c>
      <c r="AI264">
        <v>3</v>
      </c>
      <c r="AJ264" s="43" t="s">
        <v>331</v>
      </c>
      <c r="AK264" s="43" t="s">
        <v>309</v>
      </c>
      <c r="AL264">
        <v>8.4</v>
      </c>
    </row>
    <row r="265" spans="31:38" x14ac:dyDescent="0.25">
      <c r="AE265" s="43" t="s">
        <v>90</v>
      </c>
      <c r="AF265" s="43" t="s">
        <v>60</v>
      </c>
      <c r="AG265" s="43" t="s">
        <v>91</v>
      </c>
      <c r="AH265" s="43" t="s">
        <v>36</v>
      </c>
      <c r="AI265">
        <v>3</v>
      </c>
      <c r="AJ265" s="43" t="s">
        <v>331</v>
      </c>
      <c r="AK265" s="43" t="s">
        <v>268</v>
      </c>
      <c r="AL265">
        <v>11.8</v>
      </c>
    </row>
    <row r="266" spans="31:38" x14ac:dyDescent="0.25">
      <c r="AE266" s="43" t="s">
        <v>90</v>
      </c>
      <c r="AF266" s="43" t="s">
        <v>60</v>
      </c>
      <c r="AG266" s="43" t="s">
        <v>91</v>
      </c>
      <c r="AH266" s="43" t="s">
        <v>36</v>
      </c>
      <c r="AI266">
        <v>3</v>
      </c>
      <c r="AJ266" s="43" t="s">
        <v>341</v>
      </c>
      <c r="AK266" s="43" t="s">
        <v>308</v>
      </c>
      <c r="AL266">
        <v>8.9</v>
      </c>
    </row>
    <row r="267" spans="31:38" x14ac:dyDescent="0.25">
      <c r="AE267" s="43" t="s">
        <v>90</v>
      </c>
      <c r="AF267" s="43" t="s">
        <v>60</v>
      </c>
      <c r="AG267" s="43" t="s">
        <v>91</v>
      </c>
      <c r="AH267" s="43" t="s">
        <v>36</v>
      </c>
      <c r="AI267">
        <v>3</v>
      </c>
      <c r="AJ267" s="43" t="s">
        <v>341</v>
      </c>
      <c r="AK267" s="43" t="s">
        <v>309</v>
      </c>
      <c r="AL267">
        <v>13.4</v>
      </c>
    </row>
    <row r="268" spans="31:38" x14ac:dyDescent="0.25">
      <c r="AE268" s="43" t="s">
        <v>90</v>
      </c>
      <c r="AF268" s="43" t="s">
        <v>60</v>
      </c>
      <c r="AG268" s="43" t="s">
        <v>91</v>
      </c>
      <c r="AH268" s="43" t="s">
        <v>36</v>
      </c>
      <c r="AI268">
        <v>3</v>
      </c>
      <c r="AJ268" s="43" t="s">
        <v>341</v>
      </c>
      <c r="AK268" s="43" t="s">
        <v>268</v>
      </c>
      <c r="AL268">
        <v>22.300000000000004</v>
      </c>
    </row>
    <row r="269" spans="31:38" x14ac:dyDescent="0.25">
      <c r="AE269" s="43" t="s">
        <v>90</v>
      </c>
      <c r="AF269" s="43" t="s">
        <v>60</v>
      </c>
      <c r="AG269" s="43" t="s">
        <v>91</v>
      </c>
      <c r="AH269" s="43" t="s">
        <v>36</v>
      </c>
      <c r="AI269">
        <v>3</v>
      </c>
      <c r="AJ269" s="43" t="s">
        <v>344</v>
      </c>
      <c r="AK269" s="43" t="s">
        <v>308</v>
      </c>
      <c r="AL269">
        <v>2.9666666666666668</v>
      </c>
    </row>
    <row r="270" spans="31:38" x14ac:dyDescent="0.25">
      <c r="AE270" s="43" t="s">
        <v>90</v>
      </c>
      <c r="AF270" s="43" t="s">
        <v>60</v>
      </c>
      <c r="AG270" s="43" t="s">
        <v>91</v>
      </c>
      <c r="AH270" s="43" t="s">
        <v>36</v>
      </c>
      <c r="AI270">
        <v>3</v>
      </c>
      <c r="AJ270" s="43" t="s">
        <v>344</v>
      </c>
      <c r="AK270" s="43" t="s">
        <v>309</v>
      </c>
      <c r="AL270">
        <v>4.4666666666666668</v>
      </c>
    </row>
    <row r="271" spans="31:38" x14ac:dyDescent="0.25">
      <c r="AE271" s="43" t="s">
        <v>90</v>
      </c>
      <c r="AF271" s="43" t="s">
        <v>60</v>
      </c>
      <c r="AG271" s="43" t="s">
        <v>91</v>
      </c>
      <c r="AH271" s="43" t="s">
        <v>36</v>
      </c>
      <c r="AI271">
        <v>3</v>
      </c>
      <c r="AJ271" s="43" t="s">
        <v>344</v>
      </c>
      <c r="AK271" s="43" t="s">
        <v>268</v>
      </c>
      <c r="AL271">
        <v>7.4333333333333345</v>
      </c>
    </row>
    <row r="272" spans="31:38" x14ac:dyDescent="0.25">
      <c r="AE272" s="43" t="s">
        <v>70</v>
      </c>
      <c r="AF272" s="43" t="s">
        <v>60</v>
      </c>
      <c r="AG272" s="43" t="s">
        <v>71</v>
      </c>
      <c r="AH272" s="43" t="s">
        <v>72</v>
      </c>
      <c r="AI272">
        <v>2</v>
      </c>
      <c r="AJ272" s="43" t="s">
        <v>317</v>
      </c>
      <c r="AK272" s="43" t="s">
        <v>308</v>
      </c>
      <c r="AL272">
        <v>0</v>
      </c>
    </row>
    <row r="273" spans="31:38" x14ac:dyDescent="0.25">
      <c r="AE273" s="43" t="s">
        <v>70</v>
      </c>
      <c r="AF273" s="43" t="s">
        <v>60</v>
      </c>
      <c r="AG273" s="43" t="s">
        <v>71</v>
      </c>
      <c r="AH273" s="43" t="s">
        <v>72</v>
      </c>
      <c r="AI273">
        <v>2</v>
      </c>
      <c r="AJ273" s="43" t="s">
        <v>317</v>
      </c>
      <c r="AK273" s="43" t="s">
        <v>309</v>
      </c>
      <c r="AL273">
        <v>0</v>
      </c>
    </row>
    <row r="274" spans="31:38" x14ac:dyDescent="0.25">
      <c r="AE274" s="43" t="s">
        <v>70</v>
      </c>
      <c r="AF274" s="43" t="s">
        <v>60</v>
      </c>
      <c r="AG274" s="43" t="s">
        <v>71</v>
      </c>
      <c r="AH274" s="43" t="s">
        <v>72</v>
      </c>
      <c r="AI274">
        <v>2</v>
      </c>
      <c r="AJ274" s="43" t="s">
        <v>317</v>
      </c>
      <c r="AK274" s="43" t="s">
        <v>268</v>
      </c>
      <c r="AL274">
        <v>0</v>
      </c>
    </row>
    <row r="275" spans="31:38" x14ac:dyDescent="0.25">
      <c r="AE275" s="43" t="s">
        <v>70</v>
      </c>
      <c r="AF275" s="43" t="s">
        <v>60</v>
      </c>
      <c r="AG275" s="43" t="s">
        <v>71</v>
      </c>
      <c r="AH275" s="43" t="s">
        <v>72</v>
      </c>
      <c r="AI275">
        <v>2</v>
      </c>
      <c r="AJ275" s="43" t="s">
        <v>325</v>
      </c>
      <c r="AK275" s="43" t="s">
        <v>308</v>
      </c>
      <c r="AL275">
        <v>3.3</v>
      </c>
    </row>
    <row r="276" spans="31:38" x14ac:dyDescent="0.25">
      <c r="AE276" s="43" t="s">
        <v>70</v>
      </c>
      <c r="AF276" s="43" t="s">
        <v>60</v>
      </c>
      <c r="AG276" s="43" t="s">
        <v>71</v>
      </c>
      <c r="AH276" s="43" t="s">
        <v>72</v>
      </c>
      <c r="AI276">
        <v>2</v>
      </c>
      <c r="AJ276" s="43" t="s">
        <v>325</v>
      </c>
      <c r="AK276" s="43" t="s">
        <v>309</v>
      </c>
      <c r="AL276">
        <v>6</v>
      </c>
    </row>
    <row r="277" spans="31:38" x14ac:dyDescent="0.25">
      <c r="AE277" s="43" t="s">
        <v>70</v>
      </c>
      <c r="AF277" s="43" t="s">
        <v>60</v>
      </c>
      <c r="AG277" s="43" t="s">
        <v>71</v>
      </c>
      <c r="AH277" s="43" t="s">
        <v>72</v>
      </c>
      <c r="AI277">
        <v>2</v>
      </c>
      <c r="AJ277" s="43" t="s">
        <v>325</v>
      </c>
      <c r="AK277" s="43" t="s">
        <v>268</v>
      </c>
      <c r="AL277">
        <v>9.3000000000000007</v>
      </c>
    </row>
    <row r="278" spans="31:38" x14ac:dyDescent="0.25">
      <c r="AE278" s="43" t="s">
        <v>70</v>
      </c>
      <c r="AF278" s="43" t="s">
        <v>60</v>
      </c>
      <c r="AG278" s="43" t="s">
        <v>71</v>
      </c>
      <c r="AH278" s="43" t="s">
        <v>72</v>
      </c>
      <c r="AI278">
        <v>2</v>
      </c>
      <c r="AJ278" s="43" t="s">
        <v>330</v>
      </c>
      <c r="AK278" s="43" t="s">
        <v>308</v>
      </c>
      <c r="AL278">
        <v>3.6</v>
      </c>
    </row>
    <row r="279" spans="31:38" x14ac:dyDescent="0.25">
      <c r="AE279" s="43" t="s">
        <v>70</v>
      </c>
      <c r="AF279" s="43" t="s">
        <v>60</v>
      </c>
      <c r="AG279" s="43" t="s">
        <v>71</v>
      </c>
      <c r="AH279" s="43" t="s">
        <v>72</v>
      </c>
      <c r="AI279">
        <v>2</v>
      </c>
      <c r="AJ279" s="43" t="s">
        <v>330</v>
      </c>
      <c r="AK279" s="43" t="s">
        <v>309</v>
      </c>
      <c r="AL279">
        <v>6.7</v>
      </c>
    </row>
    <row r="280" spans="31:38" x14ac:dyDescent="0.25">
      <c r="AE280" s="43" t="s">
        <v>70</v>
      </c>
      <c r="AF280" s="43" t="s">
        <v>60</v>
      </c>
      <c r="AG280" s="43" t="s">
        <v>71</v>
      </c>
      <c r="AH280" s="43" t="s">
        <v>72</v>
      </c>
      <c r="AI280">
        <v>2</v>
      </c>
      <c r="AJ280" s="43" t="s">
        <v>330</v>
      </c>
      <c r="AK280" s="43" t="s">
        <v>268</v>
      </c>
      <c r="AL280">
        <v>10.3</v>
      </c>
    </row>
    <row r="281" spans="31:38" x14ac:dyDescent="0.25">
      <c r="AE281" s="43" t="s">
        <v>70</v>
      </c>
      <c r="AF281" s="43" t="s">
        <v>60</v>
      </c>
      <c r="AG281" s="43" t="s">
        <v>71</v>
      </c>
      <c r="AH281" s="43" t="s">
        <v>72</v>
      </c>
      <c r="AI281">
        <v>2</v>
      </c>
      <c r="AJ281" s="43" t="s">
        <v>331</v>
      </c>
      <c r="AK281" s="43" t="s">
        <v>308</v>
      </c>
      <c r="AL281">
        <v>0</v>
      </c>
    </row>
    <row r="282" spans="31:38" x14ac:dyDescent="0.25">
      <c r="AE282" s="43" t="s">
        <v>70</v>
      </c>
      <c r="AF282" s="43" t="s">
        <v>60</v>
      </c>
      <c r="AG282" s="43" t="s">
        <v>71</v>
      </c>
      <c r="AH282" s="43" t="s">
        <v>72</v>
      </c>
      <c r="AI282">
        <v>2</v>
      </c>
      <c r="AJ282" s="43" t="s">
        <v>331</v>
      </c>
      <c r="AK282" s="43" t="s">
        <v>309</v>
      </c>
      <c r="AL282">
        <v>0</v>
      </c>
    </row>
    <row r="283" spans="31:38" x14ac:dyDescent="0.25">
      <c r="AE283" s="43" t="s">
        <v>70</v>
      </c>
      <c r="AF283" s="43" t="s">
        <v>60</v>
      </c>
      <c r="AG283" s="43" t="s">
        <v>71</v>
      </c>
      <c r="AH283" s="43" t="s">
        <v>72</v>
      </c>
      <c r="AI283">
        <v>2</v>
      </c>
      <c r="AJ283" s="43" t="s">
        <v>331</v>
      </c>
      <c r="AK283" s="43" t="s">
        <v>268</v>
      </c>
      <c r="AL283">
        <v>0</v>
      </c>
    </row>
    <row r="284" spans="31:38" x14ac:dyDescent="0.25">
      <c r="AE284" s="43" t="s">
        <v>70</v>
      </c>
      <c r="AF284" s="43" t="s">
        <v>60</v>
      </c>
      <c r="AG284" s="43" t="s">
        <v>71</v>
      </c>
      <c r="AH284" s="43" t="s">
        <v>72</v>
      </c>
      <c r="AI284">
        <v>2</v>
      </c>
      <c r="AJ284" s="43" t="s">
        <v>341</v>
      </c>
      <c r="AK284" s="43" t="s">
        <v>308</v>
      </c>
      <c r="AL284">
        <v>6.9</v>
      </c>
    </row>
    <row r="285" spans="31:38" x14ac:dyDescent="0.25">
      <c r="AE285" s="43" t="s">
        <v>70</v>
      </c>
      <c r="AF285" s="43" t="s">
        <v>60</v>
      </c>
      <c r="AG285" s="43" t="s">
        <v>71</v>
      </c>
      <c r="AH285" s="43" t="s">
        <v>72</v>
      </c>
      <c r="AI285">
        <v>2</v>
      </c>
      <c r="AJ285" s="43" t="s">
        <v>341</v>
      </c>
      <c r="AK285" s="43" t="s">
        <v>309</v>
      </c>
      <c r="AL285">
        <v>12.7</v>
      </c>
    </row>
    <row r="286" spans="31:38" x14ac:dyDescent="0.25">
      <c r="AE286" s="43" t="s">
        <v>70</v>
      </c>
      <c r="AF286" s="43" t="s">
        <v>60</v>
      </c>
      <c r="AG286" s="43" t="s">
        <v>71</v>
      </c>
      <c r="AH286" s="43" t="s">
        <v>72</v>
      </c>
      <c r="AI286">
        <v>2</v>
      </c>
      <c r="AJ286" s="43" t="s">
        <v>341</v>
      </c>
      <c r="AK286" s="43" t="s">
        <v>268</v>
      </c>
      <c r="AL286">
        <v>19.600000000000001</v>
      </c>
    </row>
    <row r="287" spans="31:38" x14ac:dyDescent="0.25">
      <c r="AE287" s="43" t="s">
        <v>70</v>
      </c>
      <c r="AF287" s="43" t="s">
        <v>60</v>
      </c>
      <c r="AG287" s="43" t="s">
        <v>71</v>
      </c>
      <c r="AH287" s="43" t="s">
        <v>72</v>
      </c>
      <c r="AI287">
        <v>2</v>
      </c>
      <c r="AJ287" s="43" t="s">
        <v>344</v>
      </c>
      <c r="AK287" s="43" t="s">
        <v>308</v>
      </c>
      <c r="AL287">
        <v>0</v>
      </c>
    </row>
    <row r="288" spans="31:38" x14ac:dyDescent="0.25">
      <c r="AE288" s="43" t="s">
        <v>70</v>
      </c>
      <c r="AF288" s="43" t="s">
        <v>60</v>
      </c>
      <c r="AG288" s="43" t="s">
        <v>71</v>
      </c>
      <c r="AH288" s="43" t="s">
        <v>72</v>
      </c>
      <c r="AI288">
        <v>2</v>
      </c>
      <c r="AJ288" s="43" t="s">
        <v>344</v>
      </c>
      <c r="AK288" s="43" t="s">
        <v>309</v>
      </c>
      <c r="AL288">
        <v>0</v>
      </c>
    </row>
    <row r="289" spans="31:38" x14ac:dyDescent="0.25">
      <c r="AE289" s="43" t="s">
        <v>70</v>
      </c>
      <c r="AF289" s="43" t="s">
        <v>60</v>
      </c>
      <c r="AG289" s="43" t="s">
        <v>71</v>
      </c>
      <c r="AH289" s="43" t="s">
        <v>72</v>
      </c>
      <c r="AI289">
        <v>2</v>
      </c>
      <c r="AJ289" s="43" t="s">
        <v>344</v>
      </c>
      <c r="AK289" s="43" t="s">
        <v>268</v>
      </c>
      <c r="AL289">
        <v>0</v>
      </c>
    </row>
    <row r="290" spans="31:38" x14ac:dyDescent="0.25">
      <c r="AE290" s="43" t="s">
        <v>82</v>
      </c>
      <c r="AF290" s="43" t="s">
        <v>60</v>
      </c>
      <c r="AG290" s="43" t="s">
        <v>83</v>
      </c>
      <c r="AH290" s="43" t="s">
        <v>36</v>
      </c>
      <c r="AI290">
        <v>2</v>
      </c>
      <c r="AJ290" s="43" t="s">
        <v>317</v>
      </c>
      <c r="AK290" s="43" t="s">
        <v>308</v>
      </c>
      <c r="AL290">
        <v>0</v>
      </c>
    </row>
    <row r="291" spans="31:38" x14ac:dyDescent="0.25">
      <c r="AE291" s="43" t="s">
        <v>82</v>
      </c>
      <c r="AF291" s="43" t="s">
        <v>60</v>
      </c>
      <c r="AG291" s="43" t="s">
        <v>83</v>
      </c>
      <c r="AH291" s="43" t="s">
        <v>36</v>
      </c>
      <c r="AI291">
        <v>2</v>
      </c>
      <c r="AJ291" s="43" t="s">
        <v>317</v>
      </c>
      <c r="AK291" s="43" t="s">
        <v>309</v>
      </c>
      <c r="AL291">
        <v>0</v>
      </c>
    </row>
    <row r="292" spans="31:38" x14ac:dyDescent="0.25">
      <c r="AE292" s="43" t="s">
        <v>82</v>
      </c>
      <c r="AF292" s="43" t="s">
        <v>60</v>
      </c>
      <c r="AG292" s="43" t="s">
        <v>83</v>
      </c>
      <c r="AH292" s="43" t="s">
        <v>36</v>
      </c>
      <c r="AI292">
        <v>2</v>
      </c>
      <c r="AJ292" s="43" t="s">
        <v>317</v>
      </c>
      <c r="AK292" s="43" t="s">
        <v>268</v>
      </c>
      <c r="AL292">
        <v>0</v>
      </c>
    </row>
    <row r="293" spans="31:38" x14ac:dyDescent="0.25">
      <c r="AE293" s="43" t="s">
        <v>82</v>
      </c>
      <c r="AF293" s="43" t="s">
        <v>60</v>
      </c>
      <c r="AG293" s="43" t="s">
        <v>83</v>
      </c>
      <c r="AH293" s="43" t="s">
        <v>36</v>
      </c>
      <c r="AI293">
        <v>2</v>
      </c>
      <c r="AJ293" s="43" t="s">
        <v>325</v>
      </c>
      <c r="AK293" s="43" t="s">
        <v>308</v>
      </c>
      <c r="AL293">
        <v>3.4</v>
      </c>
    </row>
    <row r="294" spans="31:38" x14ac:dyDescent="0.25">
      <c r="AE294" s="43" t="s">
        <v>82</v>
      </c>
      <c r="AF294" s="43" t="s">
        <v>60</v>
      </c>
      <c r="AG294" s="43" t="s">
        <v>83</v>
      </c>
      <c r="AH294" s="43" t="s">
        <v>36</v>
      </c>
      <c r="AI294">
        <v>2</v>
      </c>
      <c r="AJ294" s="43" t="s">
        <v>325</v>
      </c>
      <c r="AK294" s="43" t="s">
        <v>309</v>
      </c>
      <c r="AL294">
        <v>5.5</v>
      </c>
    </row>
    <row r="295" spans="31:38" x14ac:dyDescent="0.25">
      <c r="AE295" s="43" t="s">
        <v>82</v>
      </c>
      <c r="AF295" s="43" t="s">
        <v>60</v>
      </c>
      <c r="AG295" s="43" t="s">
        <v>83</v>
      </c>
      <c r="AH295" s="43" t="s">
        <v>36</v>
      </c>
      <c r="AI295">
        <v>2</v>
      </c>
      <c r="AJ295" s="43" t="s">
        <v>325</v>
      </c>
      <c r="AK295" s="43" t="s">
        <v>268</v>
      </c>
      <c r="AL295">
        <v>8.9</v>
      </c>
    </row>
    <row r="296" spans="31:38" x14ac:dyDescent="0.25">
      <c r="AE296" s="43" t="s">
        <v>82</v>
      </c>
      <c r="AF296" s="43" t="s">
        <v>60</v>
      </c>
      <c r="AG296" s="43" t="s">
        <v>83</v>
      </c>
      <c r="AH296" s="43" t="s">
        <v>36</v>
      </c>
      <c r="AI296">
        <v>2</v>
      </c>
      <c r="AJ296" s="43" t="s">
        <v>330</v>
      </c>
      <c r="AK296" s="43" t="s">
        <v>308</v>
      </c>
      <c r="AL296">
        <v>0</v>
      </c>
    </row>
    <row r="297" spans="31:38" x14ac:dyDescent="0.25">
      <c r="AE297" s="43" t="s">
        <v>82</v>
      </c>
      <c r="AF297" s="43" t="s">
        <v>60</v>
      </c>
      <c r="AG297" s="43" t="s">
        <v>83</v>
      </c>
      <c r="AH297" s="43" t="s">
        <v>36</v>
      </c>
      <c r="AI297">
        <v>2</v>
      </c>
      <c r="AJ297" s="43" t="s">
        <v>330</v>
      </c>
      <c r="AK297" s="43" t="s">
        <v>309</v>
      </c>
      <c r="AL297">
        <v>0</v>
      </c>
    </row>
    <row r="298" spans="31:38" x14ac:dyDescent="0.25">
      <c r="AE298" s="43" t="s">
        <v>82</v>
      </c>
      <c r="AF298" s="43" t="s">
        <v>60</v>
      </c>
      <c r="AG298" s="43" t="s">
        <v>83</v>
      </c>
      <c r="AH298" s="43" t="s">
        <v>36</v>
      </c>
      <c r="AI298">
        <v>2</v>
      </c>
      <c r="AJ298" s="43" t="s">
        <v>330</v>
      </c>
      <c r="AK298" s="43" t="s">
        <v>268</v>
      </c>
      <c r="AL298">
        <v>0</v>
      </c>
    </row>
    <row r="299" spans="31:38" x14ac:dyDescent="0.25">
      <c r="AE299" s="43" t="s">
        <v>82</v>
      </c>
      <c r="AF299" s="43" t="s">
        <v>60</v>
      </c>
      <c r="AG299" s="43" t="s">
        <v>83</v>
      </c>
      <c r="AH299" s="43" t="s">
        <v>36</v>
      </c>
      <c r="AI299">
        <v>2</v>
      </c>
      <c r="AJ299" s="43" t="s">
        <v>331</v>
      </c>
      <c r="AK299" s="43" t="s">
        <v>308</v>
      </c>
      <c r="AL299">
        <v>3.4</v>
      </c>
    </row>
    <row r="300" spans="31:38" x14ac:dyDescent="0.25">
      <c r="AE300" s="43" t="s">
        <v>82</v>
      </c>
      <c r="AF300" s="43" t="s">
        <v>60</v>
      </c>
      <c r="AG300" s="43" t="s">
        <v>83</v>
      </c>
      <c r="AH300" s="43" t="s">
        <v>36</v>
      </c>
      <c r="AI300">
        <v>2</v>
      </c>
      <c r="AJ300" s="43" t="s">
        <v>331</v>
      </c>
      <c r="AK300" s="43" t="s">
        <v>309</v>
      </c>
      <c r="AL300">
        <v>6.4</v>
      </c>
    </row>
    <row r="301" spans="31:38" x14ac:dyDescent="0.25">
      <c r="AE301" s="43" t="s">
        <v>82</v>
      </c>
      <c r="AF301" s="43" t="s">
        <v>60</v>
      </c>
      <c r="AG301" s="43" t="s">
        <v>83</v>
      </c>
      <c r="AH301" s="43" t="s">
        <v>36</v>
      </c>
      <c r="AI301">
        <v>2</v>
      </c>
      <c r="AJ301" s="43" t="s">
        <v>331</v>
      </c>
      <c r="AK301" s="43" t="s">
        <v>268</v>
      </c>
      <c r="AL301">
        <v>9.8000000000000007</v>
      </c>
    </row>
    <row r="302" spans="31:38" x14ac:dyDescent="0.25">
      <c r="AE302" s="43" t="s">
        <v>82</v>
      </c>
      <c r="AF302" s="43" t="s">
        <v>60</v>
      </c>
      <c r="AG302" s="43" t="s">
        <v>83</v>
      </c>
      <c r="AH302" s="43" t="s">
        <v>36</v>
      </c>
      <c r="AI302">
        <v>2</v>
      </c>
      <c r="AJ302" s="43" t="s">
        <v>341</v>
      </c>
      <c r="AK302" s="43" t="s">
        <v>308</v>
      </c>
      <c r="AL302">
        <v>6.8</v>
      </c>
    </row>
    <row r="303" spans="31:38" x14ac:dyDescent="0.25">
      <c r="AE303" s="43" t="s">
        <v>82</v>
      </c>
      <c r="AF303" s="43" t="s">
        <v>60</v>
      </c>
      <c r="AG303" s="43" t="s">
        <v>83</v>
      </c>
      <c r="AH303" s="43" t="s">
        <v>36</v>
      </c>
      <c r="AI303">
        <v>2</v>
      </c>
      <c r="AJ303" s="43" t="s">
        <v>341</v>
      </c>
      <c r="AK303" s="43" t="s">
        <v>309</v>
      </c>
      <c r="AL303">
        <v>11.9</v>
      </c>
    </row>
    <row r="304" spans="31:38" x14ac:dyDescent="0.25">
      <c r="AE304" s="43" t="s">
        <v>82</v>
      </c>
      <c r="AF304" s="43" t="s">
        <v>60</v>
      </c>
      <c r="AG304" s="43" t="s">
        <v>83</v>
      </c>
      <c r="AH304" s="43" t="s">
        <v>36</v>
      </c>
      <c r="AI304">
        <v>2</v>
      </c>
      <c r="AJ304" s="43" t="s">
        <v>341</v>
      </c>
      <c r="AK304" s="43" t="s">
        <v>268</v>
      </c>
      <c r="AL304">
        <v>18.700000000000003</v>
      </c>
    </row>
    <row r="305" spans="31:38" x14ac:dyDescent="0.25">
      <c r="AE305" s="43" t="s">
        <v>82</v>
      </c>
      <c r="AF305" s="43" t="s">
        <v>60</v>
      </c>
      <c r="AG305" s="43" t="s">
        <v>83</v>
      </c>
      <c r="AH305" s="43" t="s">
        <v>36</v>
      </c>
      <c r="AI305">
        <v>2</v>
      </c>
      <c r="AJ305" s="43" t="s">
        <v>344</v>
      </c>
      <c r="AK305" s="43" t="s">
        <v>308</v>
      </c>
      <c r="AL305">
        <v>0</v>
      </c>
    </row>
    <row r="306" spans="31:38" x14ac:dyDescent="0.25">
      <c r="AE306" s="43" t="s">
        <v>82</v>
      </c>
      <c r="AF306" s="43" t="s">
        <v>60</v>
      </c>
      <c r="AG306" s="43" t="s">
        <v>83</v>
      </c>
      <c r="AH306" s="43" t="s">
        <v>36</v>
      </c>
      <c r="AI306">
        <v>2</v>
      </c>
      <c r="AJ306" s="43" t="s">
        <v>344</v>
      </c>
      <c r="AK306" s="43" t="s">
        <v>309</v>
      </c>
      <c r="AL306">
        <v>0</v>
      </c>
    </row>
    <row r="307" spans="31:38" x14ac:dyDescent="0.25">
      <c r="AE307" s="43" t="s">
        <v>82</v>
      </c>
      <c r="AF307" s="43" t="s">
        <v>60</v>
      </c>
      <c r="AG307" s="43" t="s">
        <v>83</v>
      </c>
      <c r="AH307" s="43" t="s">
        <v>36</v>
      </c>
      <c r="AI307">
        <v>2</v>
      </c>
      <c r="AJ307" s="43" t="s">
        <v>344</v>
      </c>
      <c r="AK307" s="43" t="s">
        <v>268</v>
      </c>
      <c r="AL307">
        <v>0</v>
      </c>
    </row>
    <row r="308" spans="31:38" x14ac:dyDescent="0.25">
      <c r="AE308" s="43" t="s">
        <v>110</v>
      </c>
      <c r="AF308" s="43" t="s">
        <v>60</v>
      </c>
      <c r="AG308" s="43" t="s">
        <v>111</v>
      </c>
      <c r="AH308" s="43" t="s">
        <v>36</v>
      </c>
      <c r="AI308">
        <v>2</v>
      </c>
      <c r="AJ308" s="43" t="s">
        <v>317</v>
      </c>
      <c r="AK308" s="43" t="s">
        <v>308</v>
      </c>
      <c r="AL308">
        <v>0</v>
      </c>
    </row>
    <row r="309" spans="31:38" x14ac:dyDescent="0.25">
      <c r="AE309" s="43" t="s">
        <v>110</v>
      </c>
      <c r="AF309" s="43" t="s">
        <v>60</v>
      </c>
      <c r="AG309" s="43" t="s">
        <v>111</v>
      </c>
      <c r="AH309" s="43" t="s">
        <v>36</v>
      </c>
      <c r="AI309">
        <v>2</v>
      </c>
      <c r="AJ309" s="43" t="s">
        <v>317</v>
      </c>
      <c r="AK309" s="43" t="s">
        <v>309</v>
      </c>
      <c r="AL309">
        <v>0</v>
      </c>
    </row>
    <row r="310" spans="31:38" x14ac:dyDescent="0.25">
      <c r="AE310" s="43" t="s">
        <v>110</v>
      </c>
      <c r="AF310" s="43" t="s">
        <v>60</v>
      </c>
      <c r="AG310" s="43" t="s">
        <v>111</v>
      </c>
      <c r="AH310" s="43" t="s">
        <v>36</v>
      </c>
      <c r="AI310">
        <v>2</v>
      </c>
      <c r="AJ310" s="43" t="s">
        <v>317</v>
      </c>
      <c r="AK310" s="43" t="s">
        <v>268</v>
      </c>
      <c r="AL310">
        <v>0</v>
      </c>
    </row>
    <row r="311" spans="31:38" x14ac:dyDescent="0.25">
      <c r="AE311" s="43" t="s">
        <v>110</v>
      </c>
      <c r="AF311" s="43" t="s">
        <v>60</v>
      </c>
      <c r="AG311" s="43" t="s">
        <v>111</v>
      </c>
      <c r="AH311" s="43" t="s">
        <v>36</v>
      </c>
      <c r="AI311">
        <v>2</v>
      </c>
      <c r="AJ311" s="43" t="s">
        <v>325</v>
      </c>
      <c r="AK311" s="43" t="s">
        <v>308</v>
      </c>
      <c r="AL311">
        <v>3.1</v>
      </c>
    </row>
    <row r="312" spans="31:38" x14ac:dyDescent="0.25">
      <c r="AE312" s="43" t="s">
        <v>110</v>
      </c>
      <c r="AF312" s="43" t="s">
        <v>60</v>
      </c>
      <c r="AG312" s="43" t="s">
        <v>111</v>
      </c>
      <c r="AH312" s="43" t="s">
        <v>36</v>
      </c>
      <c r="AI312">
        <v>2</v>
      </c>
      <c r="AJ312" s="43" t="s">
        <v>325</v>
      </c>
      <c r="AK312" s="43" t="s">
        <v>309</v>
      </c>
      <c r="AL312">
        <v>6</v>
      </c>
    </row>
    <row r="313" spans="31:38" x14ac:dyDescent="0.25">
      <c r="AE313" s="43" t="s">
        <v>110</v>
      </c>
      <c r="AF313" s="43" t="s">
        <v>60</v>
      </c>
      <c r="AG313" s="43" t="s">
        <v>111</v>
      </c>
      <c r="AH313" s="43" t="s">
        <v>36</v>
      </c>
      <c r="AI313">
        <v>2</v>
      </c>
      <c r="AJ313" s="43" t="s">
        <v>325</v>
      </c>
      <c r="AK313" s="43" t="s">
        <v>268</v>
      </c>
      <c r="AL313">
        <v>9.1</v>
      </c>
    </row>
    <row r="314" spans="31:38" x14ac:dyDescent="0.25">
      <c r="AE314" s="43" t="s">
        <v>110</v>
      </c>
      <c r="AF314" s="43" t="s">
        <v>60</v>
      </c>
      <c r="AG314" s="43" t="s">
        <v>111</v>
      </c>
      <c r="AH314" s="43" t="s">
        <v>36</v>
      </c>
      <c r="AI314">
        <v>2</v>
      </c>
      <c r="AJ314" s="43" t="s">
        <v>330</v>
      </c>
      <c r="AK314" s="43" t="s">
        <v>308</v>
      </c>
      <c r="AL314">
        <v>3.5</v>
      </c>
    </row>
    <row r="315" spans="31:38" x14ac:dyDescent="0.25">
      <c r="AE315" s="43" t="s">
        <v>110</v>
      </c>
      <c r="AF315" s="43" t="s">
        <v>60</v>
      </c>
      <c r="AG315" s="43" t="s">
        <v>111</v>
      </c>
      <c r="AH315" s="43" t="s">
        <v>36</v>
      </c>
      <c r="AI315">
        <v>2</v>
      </c>
      <c r="AJ315" s="43" t="s">
        <v>330</v>
      </c>
      <c r="AK315" s="43" t="s">
        <v>309</v>
      </c>
      <c r="AL315">
        <v>5.6</v>
      </c>
    </row>
    <row r="316" spans="31:38" x14ac:dyDescent="0.25">
      <c r="AE316" s="43" t="s">
        <v>110</v>
      </c>
      <c r="AF316" s="43" t="s">
        <v>60</v>
      </c>
      <c r="AG316" s="43" t="s">
        <v>111</v>
      </c>
      <c r="AH316" s="43" t="s">
        <v>36</v>
      </c>
      <c r="AI316">
        <v>2</v>
      </c>
      <c r="AJ316" s="43" t="s">
        <v>330</v>
      </c>
      <c r="AK316" s="43" t="s">
        <v>268</v>
      </c>
      <c r="AL316">
        <v>9.1</v>
      </c>
    </row>
    <row r="317" spans="31:38" x14ac:dyDescent="0.25">
      <c r="AE317" s="43" t="s">
        <v>110</v>
      </c>
      <c r="AF317" s="43" t="s">
        <v>60</v>
      </c>
      <c r="AG317" s="43" t="s">
        <v>111</v>
      </c>
      <c r="AH317" s="43" t="s">
        <v>36</v>
      </c>
      <c r="AI317">
        <v>2</v>
      </c>
      <c r="AJ317" s="43" t="s">
        <v>331</v>
      </c>
      <c r="AK317" s="43" t="s">
        <v>308</v>
      </c>
      <c r="AL317">
        <v>0</v>
      </c>
    </row>
    <row r="318" spans="31:38" x14ac:dyDescent="0.25">
      <c r="AE318" s="43" t="s">
        <v>110</v>
      </c>
      <c r="AF318" s="43" t="s">
        <v>60</v>
      </c>
      <c r="AG318" s="43" t="s">
        <v>111</v>
      </c>
      <c r="AH318" s="43" t="s">
        <v>36</v>
      </c>
      <c r="AI318">
        <v>2</v>
      </c>
      <c r="AJ318" s="43" t="s">
        <v>331</v>
      </c>
      <c r="AK318" s="43" t="s">
        <v>309</v>
      </c>
      <c r="AL318">
        <v>0</v>
      </c>
    </row>
    <row r="319" spans="31:38" x14ac:dyDescent="0.25">
      <c r="AE319" s="43" t="s">
        <v>110</v>
      </c>
      <c r="AF319" s="43" t="s">
        <v>60</v>
      </c>
      <c r="AG319" s="43" t="s">
        <v>111</v>
      </c>
      <c r="AH319" s="43" t="s">
        <v>36</v>
      </c>
      <c r="AI319">
        <v>2</v>
      </c>
      <c r="AJ319" s="43" t="s">
        <v>331</v>
      </c>
      <c r="AK319" s="43" t="s">
        <v>268</v>
      </c>
      <c r="AL319">
        <v>0</v>
      </c>
    </row>
    <row r="320" spans="31:38" x14ac:dyDescent="0.25">
      <c r="AE320" s="43" t="s">
        <v>110</v>
      </c>
      <c r="AF320" s="43" t="s">
        <v>60</v>
      </c>
      <c r="AG320" s="43" t="s">
        <v>111</v>
      </c>
      <c r="AH320" s="43" t="s">
        <v>36</v>
      </c>
      <c r="AI320">
        <v>2</v>
      </c>
      <c r="AJ320" s="43" t="s">
        <v>341</v>
      </c>
      <c r="AK320" s="43" t="s">
        <v>308</v>
      </c>
      <c r="AL320">
        <v>6.6</v>
      </c>
    </row>
    <row r="321" spans="31:38" x14ac:dyDescent="0.25">
      <c r="AE321" s="43" t="s">
        <v>110</v>
      </c>
      <c r="AF321" s="43" t="s">
        <v>60</v>
      </c>
      <c r="AG321" s="43" t="s">
        <v>111</v>
      </c>
      <c r="AH321" s="43" t="s">
        <v>36</v>
      </c>
      <c r="AI321">
        <v>2</v>
      </c>
      <c r="AJ321" s="43" t="s">
        <v>341</v>
      </c>
      <c r="AK321" s="43" t="s">
        <v>309</v>
      </c>
      <c r="AL321">
        <v>11.6</v>
      </c>
    </row>
    <row r="322" spans="31:38" x14ac:dyDescent="0.25">
      <c r="AE322" s="43" t="s">
        <v>110</v>
      </c>
      <c r="AF322" s="43" t="s">
        <v>60</v>
      </c>
      <c r="AG322" s="43" t="s">
        <v>111</v>
      </c>
      <c r="AH322" s="43" t="s">
        <v>36</v>
      </c>
      <c r="AI322">
        <v>2</v>
      </c>
      <c r="AJ322" s="43" t="s">
        <v>341</v>
      </c>
      <c r="AK322" s="43" t="s">
        <v>268</v>
      </c>
      <c r="AL322">
        <v>18.2</v>
      </c>
    </row>
    <row r="323" spans="31:38" x14ac:dyDescent="0.25">
      <c r="AE323" s="43" t="s">
        <v>110</v>
      </c>
      <c r="AF323" s="43" t="s">
        <v>60</v>
      </c>
      <c r="AG323" s="43" t="s">
        <v>111</v>
      </c>
      <c r="AH323" s="43" t="s">
        <v>36</v>
      </c>
      <c r="AI323">
        <v>2</v>
      </c>
      <c r="AJ323" s="43" t="s">
        <v>344</v>
      </c>
      <c r="AK323" s="43" t="s">
        <v>308</v>
      </c>
      <c r="AL323">
        <v>0</v>
      </c>
    </row>
    <row r="324" spans="31:38" x14ac:dyDescent="0.25">
      <c r="AE324" s="43" t="s">
        <v>110</v>
      </c>
      <c r="AF324" s="43" t="s">
        <v>60</v>
      </c>
      <c r="AG324" s="43" t="s">
        <v>111</v>
      </c>
      <c r="AH324" s="43" t="s">
        <v>36</v>
      </c>
      <c r="AI324">
        <v>2</v>
      </c>
      <c r="AJ324" s="43" t="s">
        <v>344</v>
      </c>
      <c r="AK324" s="43" t="s">
        <v>309</v>
      </c>
      <c r="AL324">
        <v>0</v>
      </c>
    </row>
    <row r="325" spans="31:38" x14ac:dyDescent="0.25">
      <c r="AE325" s="43" t="s">
        <v>110</v>
      </c>
      <c r="AF325" s="43" t="s">
        <v>60</v>
      </c>
      <c r="AG325" s="43" t="s">
        <v>111</v>
      </c>
      <c r="AH325" s="43" t="s">
        <v>36</v>
      </c>
      <c r="AI325">
        <v>2</v>
      </c>
      <c r="AJ325" s="43" t="s">
        <v>344</v>
      </c>
      <c r="AK325" s="43" t="s">
        <v>268</v>
      </c>
      <c r="AL325">
        <v>0</v>
      </c>
    </row>
    <row r="326" spans="31:38" x14ac:dyDescent="0.25">
      <c r="AE326" s="43" t="s">
        <v>88</v>
      </c>
      <c r="AF326" s="43" t="s">
        <v>60</v>
      </c>
      <c r="AG326" s="43" t="s">
        <v>89</v>
      </c>
      <c r="AH326" s="43" t="s">
        <v>36</v>
      </c>
      <c r="AI326">
        <v>2</v>
      </c>
      <c r="AJ326" s="43" t="s">
        <v>317</v>
      </c>
      <c r="AK326" s="43" t="s">
        <v>308</v>
      </c>
      <c r="AL326">
        <v>0</v>
      </c>
    </row>
    <row r="327" spans="31:38" x14ac:dyDescent="0.25">
      <c r="AE327" s="43" t="s">
        <v>88</v>
      </c>
      <c r="AF327" s="43" t="s">
        <v>60</v>
      </c>
      <c r="AG327" s="43" t="s">
        <v>89</v>
      </c>
      <c r="AH327" s="43" t="s">
        <v>36</v>
      </c>
      <c r="AI327">
        <v>2</v>
      </c>
      <c r="AJ327" s="43" t="s">
        <v>317</v>
      </c>
      <c r="AK327" s="43" t="s">
        <v>309</v>
      </c>
      <c r="AL327">
        <v>0</v>
      </c>
    </row>
    <row r="328" spans="31:38" x14ac:dyDescent="0.25">
      <c r="AE328" s="43" t="s">
        <v>88</v>
      </c>
      <c r="AF328" s="43" t="s">
        <v>60</v>
      </c>
      <c r="AG328" s="43" t="s">
        <v>89</v>
      </c>
      <c r="AH328" s="43" t="s">
        <v>36</v>
      </c>
      <c r="AI328">
        <v>2</v>
      </c>
      <c r="AJ328" s="43" t="s">
        <v>317</v>
      </c>
      <c r="AK328" s="43" t="s">
        <v>268</v>
      </c>
      <c r="AL328">
        <v>0</v>
      </c>
    </row>
    <row r="329" spans="31:38" x14ac:dyDescent="0.25">
      <c r="AE329" s="43" t="s">
        <v>88</v>
      </c>
      <c r="AF329" s="43" t="s">
        <v>60</v>
      </c>
      <c r="AG329" s="43" t="s">
        <v>89</v>
      </c>
      <c r="AH329" s="43" t="s">
        <v>36</v>
      </c>
      <c r="AI329">
        <v>2</v>
      </c>
      <c r="AJ329" s="43" t="s">
        <v>325</v>
      </c>
      <c r="AK329" s="43" t="s">
        <v>308</v>
      </c>
      <c r="AL329">
        <v>2.7</v>
      </c>
    </row>
    <row r="330" spans="31:38" x14ac:dyDescent="0.25">
      <c r="AE330" s="43" t="s">
        <v>88</v>
      </c>
      <c r="AF330" s="43" t="s">
        <v>60</v>
      </c>
      <c r="AG330" s="43" t="s">
        <v>89</v>
      </c>
      <c r="AH330" s="43" t="s">
        <v>36</v>
      </c>
      <c r="AI330">
        <v>2</v>
      </c>
      <c r="AJ330" s="43" t="s">
        <v>325</v>
      </c>
      <c r="AK330" s="43" t="s">
        <v>309</v>
      </c>
      <c r="AL330">
        <v>7</v>
      </c>
    </row>
    <row r="331" spans="31:38" x14ac:dyDescent="0.25">
      <c r="AE331" s="43" t="s">
        <v>88</v>
      </c>
      <c r="AF331" s="43" t="s">
        <v>60</v>
      </c>
      <c r="AG331" s="43" t="s">
        <v>89</v>
      </c>
      <c r="AH331" s="43" t="s">
        <v>36</v>
      </c>
      <c r="AI331">
        <v>2</v>
      </c>
      <c r="AJ331" s="43" t="s">
        <v>325</v>
      </c>
      <c r="AK331" s="43" t="s">
        <v>268</v>
      </c>
      <c r="AL331">
        <v>9.6999999999999993</v>
      </c>
    </row>
    <row r="332" spans="31:38" x14ac:dyDescent="0.25">
      <c r="AE332" s="43" t="s">
        <v>88</v>
      </c>
      <c r="AF332" s="43" t="s">
        <v>60</v>
      </c>
      <c r="AG332" s="43" t="s">
        <v>89</v>
      </c>
      <c r="AH332" s="43" t="s">
        <v>36</v>
      </c>
      <c r="AI332">
        <v>2</v>
      </c>
      <c r="AJ332" s="43" t="s">
        <v>330</v>
      </c>
      <c r="AK332" s="43" t="s">
        <v>308</v>
      </c>
      <c r="AL332">
        <v>0</v>
      </c>
    </row>
    <row r="333" spans="31:38" x14ac:dyDescent="0.25">
      <c r="AE333" s="43" t="s">
        <v>88</v>
      </c>
      <c r="AF333" s="43" t="s">
        <v>60</v>
      </c>
      <c r="AG333" s="43" t="s">
        <v>89</v>
      </c>
      <c r="AH333" s="43" t="s">
        <v>36</v>
      </c>
      <c r="AI333">
        <v>2</v>
      </c>
      <c r="AJ333" s="43" t="s">
        <v>330</v>
      </c>
      <c r="AK333" s="43" t="s">
        <v>309</v>
      </c>
      <c r="AL333">
        <v>0</v>
      </c>
    </row>
    <row r="334" spans="31:38" x14ac:dyDescent="0.25">
      <c r="AE334" s="43" t="s">
        <v>88</v>
      </c>
      <c r="AF334" s="43" t="s">
        <v>60</v>
      </c>
      <c r="AG334" s="43" t="s">
        <v>89</v>
      </c>
      <c r="AH334" s="43" t="s">
        <v>36</v>
      </c>
      <c r="AI334">
        <v>2</v>
      </c>
      <c r="AJ334" s="43" t="s">
        <v>330</v>
      </c>
      <c r="AK334" s="43" t="s">
        <v>268</v>
      </c>
      <c r="AL334">
        <v>0</v>
      </c>
    </row>
    <row r="335" spans="31:38" x14ac:dyDescent="0.25">
      <c r="AE335" s="43" t="s">
        <v>88</v>
      </c>
      <c r="AF335" s="43" t="s">
        <v>60</v>
      </c>
      <c r="AG335" s="43" t="s">
        <v>89</v>
      </c>
      <c r="AH335" s="43" t="s">
        <v>36</v>
      </c>
      <c r="AI335">
        <v>2</v>
      </c>
      <c r="AJ335" s="43" t="s">
        <v>331</v>
      </c>
      <c r="AK335" s="43" t="s">
        <v>308</v>
      </c>
      <c r="AL335">
        <v>2.4</v>
      </c>
    </row>
    <row r="336" spans="31:38" x14ac:dyDescent="0.25">
      <c r="AE336" s="43" t="s">
        <v>88</v>
      </c>
      <c r="AF336" s="43" t="s">
        <v>60</v>
      </c>
      <c r="AG336" s="43" t="s">
        <v>89</v>
      </c>
      <c r="AH336" s="43" t="s">
        <v>36</v>
      </c>
      <c r="AI336">
        <v>2</v>
      </c>
      <c r="AJ336" s="43" t="s">
        <v>331</v>
      </c>
      <c r="AK336" s="43" t="s">
        <v>309</v>
      </c>
      <c r="AL336">
        <v>5.8</v>
      </c>
    </row>
    <row r="337" spans="31:38" x14ac:dyDescent="0.25">
      <c r="AE337" s="43" t="s">
        <v>88</v>
      </c>
      <c r="AF337" s="43" t="s">
        <v>60</v>
      </c>
      <c r="AG337" s="43" t="s">
        <v>89</v>
      </c>
      <c r="AH337" s="43" t="s">
        <v>36</v>
      </c>
      <c r="AI337">
        <v>2</v>
      </c>
      <c r="AJ337" s="43" t="s">
        <v>331</v>
      </c>
      <c r="AK337" s="43" t="s">
        <v>268</v>
      </c>
      <c r="AL337">
        <v>8.1999999999999993</v>
      </c>
    </row>
    <row r="338" spans="31:38" x14ac:dyDescent="0.25">
      <c r="AE338" s="43" t="s">
        <v>88</v>
      </c>
      <c r="AF338" s="43" t="s">
        <v>60</v>
      </c>
      <c r="AG338" s="43" t="s">
        <v>89</v>
      </c>
      <c r="AH338" s="43" t="s">
        <v>36</v>
      </c>
      <c r="AI338">
        <v>2</v>
      </c>
      <c r="AJ338" s="43" t="s">
        <v>341</v>
      </c>
      <c r="AK338" s="43" t="s">
        <v>308</v>
      </c>
      <c r="AL338">
        <v>5.0999999999999996</v>
      </c>
    </row>
    <row r="339" spans="31:38" x14ac:dyDescent="0.25">
      <c r="AE339" s="43" t="s">
        <v>88</v>
      </c>
      <c r="AF339" s="43" t="s">
        <v>60</v>
      </c>
      <c r="AG339" s="43" t="s">
        <v>89</v>
      </c>
      <c r="AH339" s="43" t="s">
        <v>36</v>
      </c>
      <c r="AI339">
        <v>2</v>
      </c>
      <c r="AJ339" s="43" t="s">
        <v>341</v>
      </c>
      <c r="AK339" s="43" t="s">
        <v>309</v>
      </c>
      <c r="AL339">
        <v>12.8</v>
      </c>
    </row>
    <row r="340" spans="31:38" x14ac:dyDescent="0.25">
      <c r="AE340" s="43" t="s">
        <v>88</v>
      </c>
      <c r="AF340" s="43" t="s">
        <v>60</v>
      </c>
      <c r="AG340" s="43" t="s">
        <v>89</v>
      </c>
      <c r="AH340" s="43" t="s">
        <v>36</v>
      </c>
      <c r="AI340">
        <v>2</v>
      </c>
      <c r="AJ340" s="43" t="s">
        <v>341</v>
      </c>
      <c r="AK340" s="43" t="s">
        <v>268</v>
      </c>
      <c r="AL340">
        <v>17.899999999999999</v>
      </c>
    </row>
    <row r="341" spans="31:38" x14ac:dyDescent="0.25">
      <c r="AE341" s="43" t="s">
        <v>88</v>
      </c>
      <c r="AF341" s="43" t="s">
        <v>60</v>
      </c>
      <c r="AG341" s="43" t="s">
        <v>89</v>
      </c>
      <c r="AH341" s="43" t="s">
        <v>36</v>
      </c>
      <c r="AI341">
        <v>2</v>
      </c>
      <c r="AJ341" s="43" t="s">
        <v>344</v>
      </c>
      <c r="AK341" s="43" t="s">
        <v>308</v>
      </c>
      <c r="AL341">
        <v>0</v>
      </c>
    </row>
    <row r="342" spans="31:38" x14ac:dyDescent="0.25">
      <c r="AE342" s="43" t="s">
        <v>88</v>
      </c>
      <c r="AF342" s="43" t="s">
        <v>60</v>
      </c>
      <c r="AG342" s="43" t="s">
        <v>89</v>
      </c>
      <c r="AH342" s="43" t="s">
        <v>36</v>
      </c>
      <c r="AI342">
        <v>2</v>
      </c>
      <c r="AJ342" s="43" t="s">
        <v>344</v>
      </c>
      <c r="AK342" s="43" t="s">
        <v>309</v>
      </c>
      <c r="AL342">
        <v>0</v>
      </c>
    </row>
    <row r="343" spans="31:38" x14ac:dyDescent="0.25">
      <c r="AE343" s="43" t="s">
        <v>88</v>
      </c>
      <c r="AF343" s="43" t="s">
        <v>60</v>
      </c>
      <c r="AG343" s="43" t="s">
        <v>89</v>
      </c>
      <c r="AH343" s="43" t="s">
        <v>36</v>
      </c>
      <c r="AI343">
        <v>2</v>
      </c>
      <c r="AJ343" s="43" t="s">
        <v>344</v>
      </c>
      <c r="AK343" s="43" t="s">
        <v>268</v>
      </c>
      <c r="AL343">
        <v>0</v>
      </c>
    </row>
    <row r="344" spans="31:38" x14ac:dyDescent="0.25">
      <c r="AE344" s="43" t="s">
        <v>98</v>
      </c>
      <c r="AF344" s="43" t="s">
        <v>60</v>
      </c>
      <c r="AG344" s="43" t="s">
        <v>99</v>
      </c>
      <c r="AH344" s="43" t="s">
        <v>72</v>
      </c>
      <c r="AI344">
        <v>2</v>
      </c>
      <c r="AJ344" s="43" t="s">
        <v>317</v>
      </c>
      <c r="AK344" s="43" t="s">
        <v>308</v>
      </c>
      <c r="AL344">
        <v>0</v>
      </c>
    </row>
    <row r="345" spans="31:38" x14ac:dyDescent="0.25">
      <c r="AE345" s="43" t="s">
        <v>98</v>
      </c>
      <c r="AF345" s="43" t="s">
        <v>60</v>
      </c>
      <c r="AG345" s="43" t="s">
        <v>99</v>
      </c>
      <c r="AH345" s="43" t="s">
        <v>72</v>
      </c>
      <c r="AI345">
        <v>2</v>
      </c>
      <c r="AJ345" s="43" t="s">
        <v>317</v>
      </c>
      <c r="AK345" s="43" t="s">
        <v>309</v>
      </c>
      <c r="AL345">
        <v>0</v>
      </c>
    </row>
    <row r="346" spans="31:38" x14ac:dyDescent="0.25">
      <c r="AE346" s="43" t="s">
        <v>98</v>
      </c>
      <c r="AF346" s="43" t="s">
        <v>60</v>
      </c>
      <c r="AG346" s="43" t="s">
        <v>99</v>
      </c>
      <c r="AH346" s="43" t="s">
        <v>72</v>
      </c>
      <c r="AI346">
        <v>2</v>
      </c>
      <c r="AJ346" s="43" t="s">
        <v>317</v>
      </c>
      <c r="AK346" s="43" t="s">
        <v>268</v>
      </c>
      <c r="AL346">
        <v>0</v>
      </c>
    </row>
    <row r="347" spans="31:38" x14ac:dyDescent="0.25">
      <c r="AE347" s="43" t="s">
        <v>98</v>
      </c>
      <c r="AF347" s="43" t="s">
        <v>60</v>
      </c>
      <c r="AG347" s="43" t="s">
        <v>99</v>
      </c>
      <c r="AH347" s="43" t="s">
        <v>72</v>
      </c>
      <c r="AI347">
        <v>2</v>
      </c>
      <c r="AJ347" s="43" t="s">
        <v>325</v>
      </c>
      <c r="AK347" s="43" t="s">
        <v>308</v>
      </c>
      <c r="AL347">
        <v>3.4</v>
      </c>
    </row>
    <row r="348" spans="31:38" x14ac:dyDescent="0.25">
      <c r="AE348" s="43" t="s">
        <v>98</v>
      </c>
      <c r="AF348" s="43" t="s">
        <v>60</v>
      </c>
      <c r="AG348" s="43" t="s">
        <v>99</v>
      </c>
      <c r="AH348" s="43" t="s">
        <v>72</v>
      </c>
      <c r="AI348">
        <v>2</v>
      </c>
      <c r="AJ348" s="43" t="s">
        <v>325</v>
      </c>
      <c r="AK348" s="43" t="s">
        <v>309</v>
      </c>
      <c r="AL348">
        <v>7</v>
      </c>
    </row>
    <row r="349" spans="31:38" x14ac:dyDescent="0.25">
      <c r="AE349" s="43" t="s">
        <v>98</v>
      </c>
      <c r="AF349" s="43" t="s">
        <v>60</v>
      </c>
      <c r="AG349" s="43" t="s">
        <v>99</v>
      </c>
      <c r="AH349" s="43" t="s">
        <v>72</v>
      </c>
      <c r="AI349">
        <v>2</v>
      </c>
      <c r="AJ349" s="43" t="s">
        <v>325</v>
      </c>
      <c r="AK349" s="43" t="s">
        <v>268</v>
      </c>
      <c r="AL349">
        <v>10.4</v>
      </c>
    </row>
    <row r="350" spans="31:38" x14ac:dyDescent="0.25">
      <c r="AE350" s="43" t="s">
        <v>98</v>
      </c>
      <c r="AF350" s="43" t="s">
        <v>60</v>
      </c>
      <c r="AG350" s="43" t="s">
        <v>99</v>
      </c>
      <c r="AH350" s="43" t="s">
        <v>72</v>
      </c>
      <c r="AI350">
        <v>2</v>
      </c>
      <c r="AJ350" s="43" t="s">
        <v>330</v>
      </c>
      <c r="AK350" s="43" t="s">
        <v>308</v>
      </c>
      <c r="AL350">
        <v>3.3</v>
      </c>
    </row>
    <row r="351" spans="31:38" x14ac:dyDescent="0.25">
      <c r="AE351" s="43" t="s">
        <v>98</v>
      </c>
      <c r="AF351" s="43" t="s">
        <v>60</v>
      </c>
      <c r="AG351" s="43" t="s">
        <v>99</v>
      </c>
      <c r="AH351" s="43" t="s">
        <v>72</v>
      </c>
      <c r="AI351">
        <v>2</v>
      </c>
      <c r="AJ351" s="43" t="s">
        <v>330</v>
      </c>
      <c r="AK351" s="43" t="s">
        <v>309</v>
      </c>
      <c r="AL351">
        <v>4.1500000000000004</v>
      </c>
    </row>
    <row r="352" spans="31:38" x14ac:dyDescent="0.25">
      <c r="AE352" s="43" t="s">
        <v>98</v>
      </c>
      <c r="AF352" s="43" t="s">
        <v>60</v>
      </c>
      <c r="AG352" s="43" t="s">
        <v>99</v>
      </c>
      <c r="AH352" s="43" t="s">
        <v>72</v>
      </c>
      <c r="AI352">
        <v>2</v>
      </c>
      <c r="AJ352" s="43" t="s">
        <v>330</v>
      </c>
      <c r="AK352" s="43" t="s">
        <v>268</v>
      </c>
      <c r="AL352">
        <v>7.45</v>
      </c>
    </row>
    <row r="353" spans="31:38" x14ac:dyDescent="0.25">
      <c r="AE353" s="43" t="s">
        <v>98</v>
      </c>
      <c r="AF353" s="43" t="s">
        <v>60</v>
      </c>
      <c r="AG353" s="43" t="s">
        <v>99</v>
      </c>
      <c r="AH353" s="43" t="s">
        <v>72</v>
      </c>
      <c r="AI353">
        <v>2</v>
      </c>
      <c r="AJ353" s="43" t="s">
        <v>331</v>
      </c>
      <c r="AK353" s="43" t="s">
        <v>308</v>
      </c>
      <c r="AL353">
        <v>0</v>
      </c>
    </row>
    <row r="354" spans="31:38" x14ac:dyDescent="0.25">
      <c r="AE354" s="43" t="s">
        <v>98</v>
      </c>
      <c r="AF354" s="43" t="s">
        <v>60</v>
      </c>
      <c r="AG354" s="43" t="s">
        <v>99</v>
      </c>
      <c r="AH354" s="43" t="s">
        <v>72</v>
      </c>
      <c r="AI354">
        <v>2</v>
      </c>
      <c r="AJ354" s="43" t="s">
        <v>331</v>
      </c>
      <c r="AK354" s="43" t="s">
        <v>309</v>
      </c>
      <c r="AL354">
        <v>0</v>
      </c>
    </row>
    <row r="355" spans="31:38" x14ac:dyDescent="0.25">
      <c r="AE355" s="43" t="s">
        <v>98</v>
      </c>
      <c r="AF355" s="43" t="s">
        <v>60</v>
      </c>
      <c r="AG355" s="43" t="s">
        <v>99</v>
      </c>
      <c r="AH355" s="43" t="s">
        <v>72</v>
      </c>
      <c r="AI355">
        <v>2</v>
      </c>
      <c r="AJ355" s="43" t="s">
        <v>331</v>
      </c>
      <c r="AK355" s="43" t="s">
        <v>268</v>
      </c>
      <c r="AL355">
        <v>0</v>
      </c>
    </row>
    <row r="356" spans="31:38" x14ac:dyDescent="0.25">
      <c r="AE356" s="43" t="s">
        <v>98</v>
      </c>
      <c r="AF356" s="43" t="s">
        <v>60</v>
      </c>
      <c r="AG356" s="43" t="s">
        <v>99</v>
      </c>
      <c r="AH356" s="43" t="s">
        <v>72</v>
      </c>
      <c r="AI356">
        <v>2</v>
      </c>
      <c r="AJ356" s="43" t="s">
        <v>341</v>
      </c>
      <c r="AK356" s="43" t="s">
        <v>308</v>
      </c>
      <c r="AL356">
        <v>6.6999999999999993</v>
      </c>
    </row>
    <row r="357" spans="31:38" x14ac:dyDescent="0.25">
      <c r="AE357" s="43" t="s">
        <v>98</v>
      </c>
      <c r="AF357" s="43" t="s">
        <v>60</v>
      </c>
      <c r="AG357" s="43" t="s">
        <v>99</v>
      </c>
      <c r="AH357" s="43" t="s">
        <v>72</v>
      </c>
      <c r="AI357">
        <v>2</v>
      </c>
      <c r="AJ357" s="43" t="s">
        <v>341</v>
      </c>
      <c r="AK357" s="43" t="s">
        <v>309</v>
      </c>
      <c r="AL357">
        <v>11.15</v>
      </c>
    </row>
    <row r="358" spans="31:38" x14ac:dyDescent="0.25">
      <c r="AE358" s="43" t="s">
        <v>98</v>
      </c>
      <c r="AF358" s="43" t="s">
        <v>60</v>
      </c>
      <c r="AG358" s="43" t="s">
        <v>99</v>
      </c>
      <c r="AH358" s="43" t="s">
        <v>72</v>
      </c>
      <c r="AI358">
        <v>2</v>
      </c>
      <c r="AJ358" s="43" t="s">
        <v>341</v>
      </c>
      <c r="AK358" s="43" t="s">
        <v>268</v>
      </c>
      <c r="AL358">
        <v>17.850000000000001</v>
      </c>
    </row>
    <row r="359" spans="31:38" x14ac:dyDescent="0.25">
      <c r="AE359" s="43" t="s">
        <v>98</v>
      </c>
      <c r="AF359" s="43" t="s">
        <v>60</v>
      </c>
      <c r="AG359" s="43" t="s">
        <v>99</v>
      </c>
      <c r="AH359" s="43" t="s">
        <v>72</v>
      </c>
      <c r="AI359">
        <v>2</v>
      </c>
      <c r="AJ359" s="43" t="s">
        <v>344</v>
      </c>
      <c r="AK359" s="43" t="s">
        <v>308</v>
      </c>
      <c r="AL359">
        <v>0</v>
      </c>
    </row>
    <row r="360" spans="31:38" x14ac:dyDescent="0.25">
      <c r="AE360" s="43" t="s">
        <v>98</v>
      </c>
      <c r="AF360" s="43" t="s">
        <v>60</v>
      </c>
      <c r="AG360" s="43" t="s">
        <v>99</v>
      </c>
      <c r="AH360" s="43" t="s">
        <v>72</v>
      </c>
      <c r="AI360">
        <v>2</v>
      </c>
      <c r="AJ360" s="43" t="s">
        <v>344</v>
      </c>
      <c r="AK360" s="43" t="s">
        <v>309</v>
      </c>
      <c r="AL360">
        <v>0</v>
      </c>
    </row>
    <row r="361" spans="31:38" x14ac:dyDescent="0.25">
      <c r="AE361" s="43" t="s">
        <v>98</v>
      </c>
      <c r="AF361" s="43" t="s">
        <v>60</v>
      </c>
      <c r="AG361" s="43" t="s">
        <v>99</v>
      </c>
      <c r="AH361" s="43" t="s">
        <v>72</v>
      </c>
      <c r="AI361">
        <v>2</v>
      </c>
      <c r="AJ361" s="43" t="s">
        <v>344</v>
      </c>
      <c r="AK361" s="43" t="s">
        <v>268</v>
      </c>
      <c r="AL361">
        <v>0</v>
      </c>
    </row>
    <row r="362" spans="31:38" x14ac:dyDescent="0.25">
      <c r="AE362" s="43" t="s">
        <v>118</v>
      </c>
      <c r="AF362" s="43" t="s">
        <v>60</v>
      </c>
      <c r="AG362" s="43" t="s">
        <v>119</v>
      </c>
      <c r="AH362" s="43" t="s">
        <v>31</v>
      </c>
      <c r="AI362">
        <v>1</v>
      </c>
      <c r="AJ362" s="43" t="s">
        <v>317</v>
      </c>
      <c r="AK362" s="43" t="s">
        <v>308</v>
      </c>
      <c r="AL362">
        <v>0</v>
      </c>
    </row>
    <row r="363" spans="31:38" x14ac:dyDescent="0.25">
      <c r="AE363" s="43" t="s">
        <v>118</v>
      </c>
      <c r="AF363" s="43" t="s">
        <v>60</v>
      </c>
      <c r="AG363" s="43" t="s">
        <v>119</v>
      </c>
      <c r="AH363" s="43" t="s">
        <v>31</v>
      </c>
      <c r="AI363">
        <v>1</v>
      </c>
      <c r="AJ363" s="43" t="s">
        <v>317</v>
      </c>
      <c r="AK363" s="43" t="s">
        <v>309</v>
      </c>
      <c r="AL363">
        <v>0</v>
      </c>
    </row>
    <row r="364" spans="31:38" x14ac:dyDescent="0.25">
      <c r="AE364" s="43" t="s">
        <v>118</v>
      </c>
      <c r="AF364" s="43" t="s">
        <v>60</v>
      </c>
      <c r="AG364" s="43" t="s">
        <v>119</v>
      </c>
      <c r="AH364" s="43" t="s">
        <v>31</v>
      </c>
      <c r="AI364">
        <v>1</v>
      </c>
      <c r="AJ364" s="43" t="s">
        <v>317</v>
      </c>
      <c r="AK364" s="43" t="s">
        <v>268</v>
      </c>
      <c r="AL364">
        <v>0</v>
      </c>
    </row>
    <row r="365" spans="31:38" x14ac:dyDescent="0.25">
      <c r="AE365" s="43" t="s">
        <v>118</v>
      </c>
      <c r="AF365" s="43" t="s">
        <v>60</v>
      </c>
      <c r="AG365" s="43" t="s">
        <v>119</v>
      </c>
      <c r="AH365" s="43" t="s">
        <v>31</v>
      </c>
      <c r="AI365">
        <v>1</v>
      </c>
      <c r="AJ365" s="43" t="s">
        <v>325</v>
      </c>
      <c r="AK365" s="43" t="s">
        <v>308</v>
      </c>
      <c r="AL365">
        <v>0</v>
      </c>
    </row>
    <row r="366" spans="31:38" x14ac:dyDescent="0.25">
      <c r="AE366" s="43" t="s">
        <v>118</v>
      </c>
      <c r="AF366" s="43" t="s">
        <v>60</v>
      </c>
      <c r="AG366" s="43" t="s">
        <v>119</v>
      </c>
      <c r="AH366" s="43" t="s">
        <v>31</v>
      </c>
      <c r="AI366">
        <v>1</v>
      </c>
      <c r="AJ366" s="43" t="s">
        <v>325</v>
      </c>
      <c r="AK366" s="43" t="s">
        <v>309</v>
      </c>
      <c r="AL366">
        <v>0</v>
      </c>
    </row>
    <row r="367" spans="31:38" x14ac:dyDescent="0.25">
      <c r="AE367" s="43" t="s">
        <v>118</v>
      </c>
      <c r="AF367" s="43" t="s">
        <v>60</v>
      </c>
      <c r="AG367" s="43" t="s">
        <v>119</v>
      </c>
      <c r="AH367" s="43" t="s">
        <v>31</v>
      </c>
      <c r="AI367">
        <v>1</v>
      </c>
      <c r="AJ367" s="43" t="s">
        <v>325</v>
      </c>
      <c r="AK367" s="43" t="s">
        <v>268</v>
      </c>
      <c r="AL367">
        <v>0</v>
      </c>
    </row>
    <row r="368" spans="31:38" x14ac:dyDescent="0.25">
      <c r="AE368" s="43" t="s">
        <v>118</v>
      </c>
      <c r="AF368" s="43" t="s">
        <v>60</v>
      </c>
      <c r="AG368" s="43" t="s">
        <v>119</v>
      </c>
      <c r="AH368" s="43" t="s">
        <v>31</v>
      </c>
      <c r="AI368">
        <v>1</v>
      </c>
      <c r="AJ368" s="43" t="s">
        <v>330</v>
      </c>
      <c r="AK368" s="43" t="s">
        <v>308</v>
      </c>
      <c r="AL368">
        <v>4.5999999999999996</v>
      </c>
    </row>
    <row r="369" spans="31:38" x14ac:dyDescent="0.25">
      <c r="AE369" s="43" t="s">
        <v>118</v>
      </c>
      <c r="AF369" s="43" t="s">
        <v>60</v>
      </c>
      <c r="AG369" s="43" t="s">
        <v>119</v>
      </c>
      <c r="AH369" s="43" t="s">
        <v>31</v>
      </c>
      <c r="AI369">
        <v>1</v>
      </c>
      <c r="AJ369" s="43" t="s">
        <v>330</v>
      </c>
      <c r="AK369" s="43" t="s">
        <v>309</v>
      </c>
      <c r="AL369">
        <v>7.7</v>
      </c>
    </row>
    <row r="370" spans="31:38" x14ac:dyDescent="0.25">
      <c r="AE370" s="43" t="s">
        <v>118</v>
      </c>
      <c r="AF370" s="43" t="s">
        <v>60</v>
      </c>
      <c r="AG370" s="43" t="s">
        <v>119</v>
      </c>
      <c r="AH370" s="43" t="s">
        <v>31</v>
      </c>
      <c r="AI370">
        <v>1</v>
      </c>
      <c r="AJ370" s="43" t="s">
        <v>330</v>
      </c>
      <c r="AK370" s="43" t="s">
        <v>268</v>
      </c>
      <c r="AL370">
        <v>12.3</v>
      </c>
    </row>
    <row r="371" spans="31:38" x14ac:dyDescent="0.25">
      <c r="AE371" s="43" t="s">
        <v>118</v>
      </c>
      <c r="AF371" s="43" t="s">
        <v>60</v>
      </c>
      <c r="AG371" s="43" t="s">
        <v>119</v>
      </c>
      <c r="AH371" s="43" t="s">
        <v>31</v>
      </c>
      <c r="AI371">
        <v>1</v>
      </c>
      <c r="AJ371" s="43" t="s">
        <v>331</v>
      </c>
      <c r="AK371" s="43" t="s">
        <v>308</v>
      </c>
      <c r="AL371">
        <v>0</v>
      </c>
    </row>
    <row r="372" spans="31:38" x14ac:dyDescent="0.25">
      <c r="AE372" s="43" t="s">
        <v>118</v>
      </c>
      <c r="AF372" s="43" t="s">
        <v>60</v>
      </c>
      <c r="AG372" s="43" t="s">
        <v>119</v>
      </c>
      <c r="AH372" s="43" t="s">
        <v>31</v>
      </c>
      <c r="AI372">
        <v>1</v>
      </c>
      <c r="AJ372" s="43" t="s">
        <v>331</v>
      </c>
      <c r="AK372" s="43" t="s">
        <v>309</v>
      </c>
      <c r="AL372">
        <v>0</v>
      </c>
    </row>
    <row r="373" spans="31:38" x14ac:dyDescent="0.25">
      <c r="AE373" s="43" t="s">
        <v>118</v>
      </c>
      <c r="AF373" s="43" t="s">
        <v>60</v>
      </c>
      <c r="AG373" s="43" t="s">
        <v>119</v>
      </c>
      <c r="AH373" s="43" t="s">
        <v>31</v>
      </c>
      <c r="AI373">
        <v>1</v>
      </c>
      <c r="AJ373" s="43" t="s">
        <v>331</v>
      </c>
      <c r="AK373" s="43" t="s">
        <v>268</v>
      </c>
      <c r="AL373">
        <v>0</v>
      </c>
    </row>
    <row r="374" spans="31:38" x14ac:dyDescent="0.25">
      <c r="AE374" s="43" t="s">
        <v>118</v>
      </c>
      <c r="AF374" s="43" t="s">
        <v>60</v>
      </c>
      <c r="AG374" s="43" t="s">
        <v>119</v>
      </c>
      <c r="AH374" s="43" t="s">
        <v>31</v>
      </c>
      <c r="AI374">
        <v>1</v>
      </c>
      <c r="AJ374" s="43" t="s">
        <v>341</v>
      </c>
      <c r="AK374" s="43" t="s">
        <v>308</v>
      </c>
      <c r="AL374">
        <v>4.5999999999999996</v>
      </c>
    </row>
    <row r="375" spans="31:38" x14ac:dyDescent="0.25">
      <c r="AE375" s="43" t="s">
        <v>118</v>
      </c>
      <c r="AF375" s="43" t="s">
        <v>60</v>
      </c>
      <c r="AG375" s="43" t="s">
        <v>119</v>
      </c>
      <c r="AH375" s="43" t="s">
        <v>31</v>
      </c>
      <c r="AI375">
        <v>1</v>
      </c>
      <c r="AJ375" s="43" t="s">
        <v>341</v>
      </c>
      <c r="AK375" s="43" t="s">
        <v>309</v>
      </c>
      <c r="AL375">
        <v>7.7</v>
      </c>
    </row>
    <row r="376" spans="31:38" x14ac:dyDescent="0.25">
      <c r="AE376" s="43" t="s">
        <v>118</v>
      </c>
      <c r="AF376" s="43" t="s">
        <v>60</v>
      </c>
      <c r="AG376" s="43" t="s">
        <v>119</v>
      </c>
      <c r="AH376" s="43" t="s">
        <v>31</v>
      </c>
      <c r="AI376">
        <v>1</v>
      </c>
      <c r="AJ376" s="43" t="s">
        <v>341</v>
      </c>
      <c r="AK376" s="43" t="s">
        <v>268</v>
      </c>
      <c r="AL376">
        <v>12.3</v>
      </c>
    </row>
    <row r="377" spans="31:38" x14ac:dyDescent="0.25">
      <c r="AE377" s="43" t="s">
        <v>118</v>
      </c>
      <c r="AF377" s="43" t="s">
        <v>60</v>
      </c>
      <c r="AG377" s="43" t="s">
        <v>119</v>
      </c>
      <c r="AH377" s="43" t="s">
        <v>31</v>
      </c>
      <c r="AI377">
        <v>1</v>
      </c>
      <c r="AJ377" s="43" t="s">
        <v>344</v>
      </c>
      <c r="AK377" s="43" t="s">
        <v>308</v>
      </c>
      <c r="AL377">
        <v>0</v>
      </c>
    </row>
    <row r="378" spans="31:38" x14ac:dyDescent="0.25">
      <c r="AE378" s="43" t="s">
        <v>118</v>
      </c>
      <c r="AF378" s="43" t="s">
        <v>60</v>
      </c>
      <c r="AG378" s="43" t="s">
        <v>119</v>
      </c>
      <c r="AH378" s="43" t="s">
        <v>31</v>
      </c>
      <c r="AI378">
        <v>1</v>
      </c>
      <c r="AJ378" s="43" t="s">
        <v>344</v>
      </c>
      <c r="AK378" s="43" t="s">
        <v>309</v>
      </c>
      <c r="AL378">
        <v>0</v>
      </c>
    </row>
    <row r="379" spans="31:38" x14ac:dyDescent="0.25">
      <c r="AE379" s="43" t="s">
        <v>118</v>
      </c>
      <c r="AF379" s="43" t="s">
        <v>60</v>
      </c>
      <c r="AG379" s="43" t="s">
        <v>119</v>
      </c>
      <c r="AH379" s="43" t="s">
        <v>31</v>
      </c>
      <c r="AI379">
        <v>1</v>
      </c>
      <c r="AJ379" s="43" t="s">
        <v>344</v>
      </c>
      <c r="AK379" s="43" t="s">
        <v>268</v>
      </c>
      <c r="AL379">
        <v>0</v>
      </c>
    </row>
    <row r="380" spans="31:38" x14ac:dyDescent="0.25">
      <c r="AE380" s="43" t="s">
        <v>142</v>
      </c>
      <c r="AF380" s="43" t="s">
        <v>60</v>
      </c>
      <c r="AG380" s="43" t="s">
        <v>143</v>
      </c>
      <c r="AH380" s="43" t="s">
        <v>62</v>
      </c>
      <c r="AI380">
        <v>1</v>
      </c>
      <c r="AJ380" s="43" t="s">
        <v>317</v>
      </c>
      <c r="AK380" s="43" t="s">
        <v>308</v>
      </c>
      <c r="AL380">
        <v>3.8</v>
      </c>
    </row>
    <row r="381" spans="31:38" x14ac:dyDescent="0.25">
      <c r="AE381" s="43" t="s">
        <v>142</v>
      </c>
      <c r="AF381" s="43" t="s">
        <v>60</v>
      </c>
      <c r="AG381" s="43" t="s">
        <v>143</v>
      </c>
      <c r="AH381" s="43" t="s">
        <v>62</v>
      </c>
      <c r="AI381">
        <v>1</v>
      </c>
      <c r="AJ381" s="43" t="s">
        <v>317</v>
      </c>
      <c r="AK381" s="43" t="s">
        <v>309</v>
      </c>
      <c r="AL381">
        <v>7.9</v>
      </c>
    </row>
    <row r="382" spans="31:38" x14ac:dyDescent="0.25">
      <c r="AE382" s="43" t="s">
        <v>142</v>
      </c>
      <c r="AF382" s="43" t="s">
        <v>60</v>
      </c>
      <c r="AG382" s="43" t="s">
        <v>143</v>
      </c>
      <c r="AH382" s="43" t="s">
        <v>62</v>
      </c>
      <c r="AI382">
        <v>1</v>
      </c>
      <c r="AJ382" s="43" t="s">
        <v>317</v>
      </c>
      <c r="AK382" s="43" t="s">
        <v>268</v>
      </c>
      <c r="AL382">
        <v>11.7</v>
      </c>
    </row>
    <row r="383" spans="31:38" x14ac:dyDescent="0.25">
      <c r="AE383" s="43" t="s">
        <v>142</v>
      </c>
      <c r="AF383" s="43" t="s">
        <v>60</v>
      </c>
      <c r="AG383" s="43" t="s">
        <v>143</v>
      </c>
      <c r="AH383" s="43" t="s">
        <v>62</v>
      </c>
      <c r="AI383">
        <v>1</v>
      </c>
      <c r="AJ383" s="43" t="s">
        <v>325</v>
      </c>
      <c r="AK383" s="43" t="s">
        <v>308</v>
      </c>
      <c r="AL383">
        <v>0</v>
      </c>
    </row>
    <row r="384" spans="31:38" x14ac:dyDescent="0.25">
      <c r="AE384" s="43" t="s">
        <v>142</v>
      </c>
      <c r="AF384" s="43" t="s">
        <v>60</v>
      </c>
      <c r="AG384" s="43" t="s">
        <v>143</v>
      </c>
      <c r="AH384" s="43" t="s">
        <v>62</v>
      </c>
      <c r="AI384">
        <v>1</v>
      </c>
      <c r="AJ384" s="43" t="s">
        <v>325</v>
      </c>
      <c r="AK384" s="43" t="s">
        <v>309</v>
      </c>
      <c r="AL384">
        <v>0</v>
      </c>
    </row>
    <row r="385" spans="31:38" x14ac:dyDescent="0.25">
      <c r="AE385" s="43" t="s">
        <v>142</v>
      </c>
      <c r="AF385" s="43" t="s">
        <v>60</v>
      </c>
      <c r="AG385" s="43" t="s">
        <v>143</v>
      </c>
      <c r="AH385" s="43" t="s">
        <v>62</v>
      </c>
      <c r="AI385">
        <v>1</v>
      </c>
      <c r="AJ385" s="43" t="s">
        <v>325</v>
      </c>
      <c r="AK385" s="43" t="s">
        <v>268</v>
      </c>
      <c r="AL385">
        <v>0</v>
      </c>
    </row>
    <row r="386" spans="31:38" x14ac:dyDescent="0.25">
      <c r="AE386" s="43" t="s">
        <v>142</v>
      </c>
      <c r="AF386" s="43" t="s">
        <v>60</v>
      </c>
      <c r="AG386" s="43" t="s">
        <v>143</v>
      </c>
      <c r="AH386" s="43" t="s">
        <v>62</v>
      </c>
      <c r="AI386">
        <v>1</v>
      </c>
      <c r="AJ386" s="43" t="s">
        <v>330</v>
      </c>
      <c r="AK386" s="43" t="s">
        <v>308</v>
      </c>
      <c r="AL386">
        <v>0</v>
      </c>
    </row>
    <row r="387" spans="31:38" x14ac:dyDescent="0.25">
      <c r="AE387" s="43" t="s">
        <v>142</v>
      </c>
      <c r="AF387" s="43" t="s">
        <v>60</v>
      </c>
      <c r="AG387" s="43" t="s">
        <v>143</v>
      </c>
      <c r="AH387" s="43" t="s">
        <v>62</v>
      </c>
      <c r="AI387">
        <v>1</v>
      </c>
      <c r="AJ387" s="43" t="s">
        <v>330</v>
      </c>
      <c r="AK387" s="43" t="s">
        <v>309</v>
      </c>
      <c r="AL387">
        <v>0</v>
      </c>
    </row>
    <row r="388" spans="31:38" x14ac:dyDescent="0.25">
      <c r="AE388" s="43" t="s">
        <v>142</v>
      </c>
      <c r="AF388" s="43" t="s">
        <v>60</v>
      </c>
      <c r="AG388" s="43" t="s">
        <v>143</v>
      </c>
      <c r="AH388" s="43" t="s">
        <v>62</v>
      </c>
      <c r="AI388">
        <v>1</v>
      </c>
      <c r="AJ388" s="43" t="s">
        <v>330</v>
      </c>
      <c r="AK388" s="43" t="s">
        <v>268</v>
      </c>
      <c r="AL388">
        <v>0</v>
      </c>
    </row>
    <row r="389" spans="31:38" x14ac:dyDescent="0.25">
      <c r="AE389" s="43" t="s">
        <v>142</v>
      </c>
      <c r="AF389" s="43" t="s">
        <v>60</v>
      </c>
      <c r="AG389" s="43" t="s">
        <v>143</v>
      </c>
      <c r="AH389" s="43" t="s">
        <v>62</v>
      </c>
      <c r="AI389">
        <v>1</v>
      </c>
      <c r="AJ389" s="43" t="s">
        <v>331</v>
      </c>
      <c r="AK389" s="43" t="s">
        <v>308</v>
      </c>
      <c r="AL389">
        <v>0</v>
      </c>
    </row>
    <row r="390" spans="31:38" x14ac:dyDescent="0.25">
      <c r="AE390" s="43" t="s">
        <v>142</v>
      </c>
      <c r="AF390" s="43" t="s">
        <v>60</v>
      </c>
      <c r="AG390" s="43" t="s">
        <v>143</v>
      </c>
      <c r="AH390" s="43" t="s">
        <v>62</v>
      </c>
      <c r="AI390">
        <v>1</v>
      </c>
      <c r="AJ390" s="43" t="s">
        <v>331</v>
      </c>
      <c r="AK390" s="43" t="s">
        <v>309</v>
      </c>
      <c r="AL390">
        <v>0</v>
      </c>
    </row>
    <row r="391" spans="31:38" x14ac:dyDescent="0.25">
      <c r="AE391" s="43" t="s">
        <v>142</v>
      </c>
      <c r="AF391" s="43" t="s">
        <v>60</v>
      </c>
      <c r="AG391" s="43" t="s">
        <v>143</v>
      </c>
      <c r="AH391" s="43" t="s">
        <v>62</v>
      </c>
      <c r="AI391">
        <v>1</v>
      </c>
      <c r="AJ391" s="43" t="s">
        <v>331</v>
      </c>
      <c r="AK391" s="43" t="s">
        <v>268</v>
      </c>
      <c r="AL391">
        <v>0</v>
      </c>
    </row>
    <row r="392" spans="31:38" x14ac:dyDescent="0.25">
      <c r="AE392" s="43" t="s">
        <v>142</v>
      </c>
      <c r="AF392" s="43" t="s">
        <v>60</v>
      </c>
      <c r="AG392" s="43" t="s">
        <v>143</v>
      </c>
      <c r="AH392" s="43" t="s">
        <v>62</v>
      </c>
      <c r="AI392">
        <v>1</v>
      </c>
      <c r="AJ392" s="43" t="s">
        <v>341</v>
      </c>
      <c r="AK392" s="43" t="s">
        <v>308</v>
      </c>
      <c r="AL392">
        <v>3.8</v>
      </c>
    </row>
    <row r="393" spans="31:38" x14ac:dyDescent="0.25">
      <c r="AE393" s="43" t="s">
        <v>142</v>
      </c>
      <c r="AF393" s="43" t="s">
        <v>60</v>
      </c>
      <c r="AG393" s="43" t="s">
        <v>143</v>
      </c>
      <c r="AH393" s="43" t="s">
        <v>62</v>
      </c>
      <c r="AI393">
        <v>1</v>
      </c>
      <c r="AJ393" s="43" t="s">
        <v>341</v>
      </c>
      <c r="AK393" s="43" t="s">
        <v>309</v>
      </c>
      <c r="AL393">
        <v>7.9</v>
      </c>
    </row>
    <row r="394" spans="31:38" x14ac:dyDescent="0.25">
      <c r="AE394" s="43" t="s">
        <v>142</v>
      </c>
      <c r="AF394" s="43" t="s">
        <v>60</v>
      </c>
      <c r="AG394" s="43" t="s">
        <v>143</v>
      </c>
      <c r="AH394" s="43" t="s">
        <v>62</v>
      </c>
      <c r="AI394">
        <v>1</v>
      </c>
      <c r="AJ394" s="43" t="s">
        <v>341</v>
      </c>
      <c r="AK394" s="43" t="s">
        <v>268</v>
      </c>
      <c r="AL394">
        <v>11.7</v>
      </c>
    </row>
    <row r="395" spans="31:38" x14ac:dyDescent="0.25">
      <c r="AE395" s="43" t="s">
        <v>142</v>
      </c>
      <c r="AF395" s="43" t="s">
        <v>60</v>
      </c>
      <c r="AG395" s="43" t="s">
        <v>143</v>
      </c>
      <c r="AH395" s="43" t="s">
        <v>62</v>
      </c>
      <c r="AI395">
        <v>1</v>
      </c>
      <c r="AJ395" s="43" t="s">
        <v>344</v>
      </c>
      <c r="AK395" s="43" t="s">
        <v>308</v>
      </c>
      <c r="AL395">
        <v>0</v>
      </c>
    </row>
    <row r="396" spans="31:38" x14ac:dyDescent="0.25">
      <c r="AE396" s="43" t="s">
        <v>142</v>
      </c>
      <c r="AF396" s="43" t="s">
        <v>60</v>
      </c>
      <c r="AG396" s="43" t="s">
        <v>143</v>
      </c>
      <c r="AH396" s="43" t="s">
        <v>62</v>
      </c>
      <c r="AI396">
        <v>1</v>
      </c>
      <c r="AJ396" s="43" t="s">
        <v>344</v>
      </c>
      <c r="AK396" s="43" t="s">
        <v>309</v>
      </c>
      <c r="AL396">
        <v>0</v>
      </c>
    </row>
    <row r="397" spans="31:38" x14ac:dyDescent="0.25">
      <c r="AE397" s="43" t="s">
        <v>142</v>
      </c>
      <c r="AF397" s="43" t="s">
        <v>60</v>
      </c>
      <c r="AG397" s="43" t="s">
        <v>143</v>
      </c>
      <c r="AH397" s="43" t="s">
        <v>62</v>
      </c>
      <c r="AI397">
        <v>1</v>
      </c>
      <c r="AJ397" s="43" t="s">
        <v>344</v>
      </c>
      <c r="AK397" s="43" t="s">
        <v>268</v>
      </c>
      <c r="AL397">
        <v>0</v>
      </c>
    </row>
    <row r="398" spans="31:38" x14ac:dyDescent="0.25">
      <c r="AE398" s="43" t="s">
        <v>106</v>
      </c>
      <c r="AF398" s="43" t="s">
        <v>60</v>
      </c>
      <c r="AG398" s="43" t="s">
        <v>107</v>
      </c>
      <c r="AH398" s="43" t="s">
        <v>31</v>
      </c>
      <c r="AI398">
        <v>1</v>
      </c>
      <c r="AJ398" s="43" t="s">
        <v>317</v>
      </c>
      <c r="AK398" s="43" t="s">
        <v>308</v>
      </c>
      <c r="AL398">
        <v>2.2999999999999998</v>
      </c>
    </row>
    <row r="399" spans="31:38" x14ac:dyDescent="0.25">
      <c r="AE399" s="43" t="s">
        <v>106</v>
      </c>
      <c r="AF399" s="43" t="s">
        <v>60</v>
      </c>
      <c r="AG399" s="43" t="s">
        <v>107</v>
      </c>
      <c r="AH399" s="43" t="s">
        <v>31</v>
      </c>
      <c r="AI399">
        <v>1</v>
      </c>
      <c r="AJ399" s="43" t="s">
        <v>317</v>
      </c>
      <c r="AK399" s="43" t="s">
        <v>309</v>
      </c>
      <c r="AL399">
        <v>2</v>
      </c>
    </row>
    <row r="400" spans="31:38" x14ac:dyDescent="0.25">
      <c r="AE400" s="43" t="s">
        <v>106</v>
      </c>
      <c r="AF400" s="43" t="s">
        <v>60</v>
      </c>
      <c r="AG400" s="43" t="s">
        <v>107</v>
      </c>
      <c r="AH400" s="43" t="s">
        <v>31</v>
      </c>
      <c r="AI400">
        <v>1</v>
      </c>
      <c r="AJ400" s="43" t="s">
        <v>317</v>
      </c>
      <c r="AK400" s="43" t="s">
        <v>268</v>
      </c>
      <c r="AL400">
        <v>4.3</v>
      </c>
    </row>
    <row r="401" spans="31:38" x14ac:dyDescent="0.25">
      <c r="AE401" s="43" t="s">
        <v>106</v>
      </c>
      <c r="AF401" s="43" t="s">
        <v>60</v>
      </c>
      <c r="AG401" s="43" t="s">
        <v>107</v>
      </c>
      <c r="AH401" s="43" t="s">
        <v>31</v>
      </c>
      <c r="AI401">
        <v>1</v>
      </c>
      <c r="AJ401" s="43" t="s">
        <v>325</v>
      </c>
      <c r="AK401" s="43" t="s">
        <v>308</v>
      </c>
      <c r="AL401">
        <v>0</v>
      </c>
    </row>
    <row r="402" spans="31:38" x14ac:dyDescent="0.25">
      <c r="AE402" s="43" t="s">
        <v>106</v>
      </c>
      <c r="AF402" s="43" t="s">
        <v>60</v>
      </c>
      <c r="AG402" s="43" t="s">
        <v>107</v>
      </c>
      <c r="AH402" s="43" t="s">
        <v>31</v>
      </c>
      <c r="AI402">
        <v>1</v>
      </c>
      <c r="AJ402" s="43" t="s">
        <v>325</v>
      </c>
      <c r="AK402" s="43" t="s">
        <v>309</v>
      </c>
      <c r="AL402">
        <v>0</v>
      </c>
    </row>
    <row r="403" spans="31:38" x14ac:dyDescent="0.25">
      <c r="AE403" s="43" t="s">
        <v>106</v>
      </c>
      <c r="AF403" s="43" t="s">
        <v>60</v>
      </c>
      <c r="AG403" s="43" t="s">
        <v>107</v>
      </c>
      <c r="AH403" s="43" t="s">
        <v>31</v>
      </c>
      <c r="AI403">
        <v>1</v>
      </c>
      <c r="AJ403" s="43" t="s">
        <v>325</v>
      </c>
      <c r="AK403" s="43" t="s">
        <v>268</v>
      </c>
      <c r="AL403">
        <v>0</v>
      </c>
    </row>
    <row r="404" spans="31:38" x14ac:dyDescent="0.25">
      <c r="AE404" s="43" t="s">
        <v>106</v>
      </c>
      <c r="AF404" s="43" t="s">
        <v>60</v>
      </c>
      <c r="AG404" s="43" t="s">
        <v>107</v>
      </c>
      <c r="AH404" s="43" t="s">
        <v>31</v>
      </c>
      <c r="AI404">
        <v>1</v>
      </c>
      <c r="AJ404" s="43" t="s">
        <v>330</v>
      </c>
      <c r="AK404" s="43" t="s">
        <v>308</v>
      </c>
      <c r="AL404">
        <v>0</v>
      </c>
    </row>
    <row r="405" spans="31:38" x14ac:dyDescent="0.25">
      <c r="AE405" s="43" t="s">
        <v>106</v>
      </c>
      <c r="AF405" s="43" t="s">
        <v>60</v>
      </c>
      <c r="AG405" s="43" t="s">
        <v>107</v>
      </c>
      <c r="AH405" s="43" t="s">
        <v>31</v>
      </c>
      <c r="AI405">
        <v>1</v>
      </c>
      <c r="AJ405" s="43" t="s">
        <v>330</v>
      </c>
      <c r="AK405" s="43" t="s">
        <v>309</v>
      </c>
      <c r="AL405">
        <v>0</v>
      </c>
    </row>
    <row r="406" spans="31:38" x14ac:dyDescent="0.25">
      <c r="AE406" s="43" t="s">
        <v>106</v>
      </c>
      <c r="AF406" s="43" t="s">
        <v>60</v>
      </c>
      <c r="AG406" s="43" t="s">
        <v>107</v>
      </c>
      <c r="AH406" s="43" t="s">
        <v>31</v>
      </c>
      <c r="AI406">
        <v>1</v>
      </c>
      <c r="AJ406" s="43" t="s">
        <v>330</v>
      </c>
      <c r="AK406" s="43" t="s">
        <v>268</v>
      </c>
      <c r="AL406">
        <v>0</v>
      </c>
    </row>
    <row r="407" spans="31:38" x14ac:dyDescent="0.25">
      <c r="AE407" s="43" t="s">
        <v>106</v>
      </c>
      <c r="AF407" s="43" t="s">
        <v>60</v>
      </c>
      <c r="AG407" s="43" t="s">
        <v>107</v>
      </c>
      <c r="AH407" s="43" t="s">
        <v>31</v>
      </c>
      <c r="AI407">
        <v>1</v>
      </c>
      <c r="AJ407" s="43" t="s">
        <v>331</v>
      </c>
      <c r="AK407" s="43" t="s">
        <v>308</v>
      </c>
      <c r="AL407">
        <v>0</v>
      </c>
    </row>
    <row r="408" spans="31:38" x14ac:dyDescent="0.25">
      <c r="AE408" s="43" t="s">
        <v>106</v>
      </c>
      <c r="AF408" s="43" t="s">
        <v>60</v>
      </c>
      <c r="AG408" s="43" t="s">
        <v>107</v>
      </c>
      <c r="AH408" s="43" t="s">
        <v>31</v>
      </c>
      <c r="AI408">
        <v>1</v>
      </c>
      <c r="AJ408" s="43" t="s">
        <v>331</v>
      </c>
      <c r="AK408" s="43" t="s">
        <v>309</v>
      </c>
      <c r="AL408">
        <v>0</v>
      </c>
    </row>
    <row r="409" spans="31:38" x14ac:dyDescent="0.25">
      <c r="AE409" s="43" t="s">
        <v>106</v>
      </c>
      <c r="AF409" s="43" t="s">
        <v>60</v>
      </c>
      <c r="AG409" s="43" t="s">
        <v>107</v>
      </c>
      <c r="AH409" s="43" t="s">
        <v>31</v>
      </c>
      <c r="AI409">
        <v>1</v>
      </c>
      <c r="AJ409" s="43" t="s">
        <v>331</v>
      </c>
      <c r="AK409" s="43" t="s">
        <v>268</v>
      </c>
      <c r="AL409">
        <v>0</v>
      </c>
    </row>
    <row r="410" spans="31:38" x14ac:dyDescent="0.25">
      <c r="AE410" s="43" t="s">
        <v>106</v>
      </c>
      <c r="AF410" s="43" t="s">
        <v>60</v>
      </c>
      <c r="AG410" s="43" t="s">
        <v>107</v>
      </c>
      <c r="AH410" s="43" t="s">
        <v>31</v>
      </c>
      <c r="AI410">
        <v>1</v>
      </c>
      <c r="AJ410" s="43" t="s">
        <v>341</v>
      </c>
      <c r="AK410" s="43" t="s">
        <v>308</v>
      </c>
      <c r="AL410">
        <v>2.2999999999999998</v>
      </c>
    </row>
    <row r="411" spans="31:38" x14ac:dyDescent="0.25">
      <c r="AE411" s="43" t="s">
        <v>106</v>
      </c>
      <c r="AF411" s="43" t="s">
        <v>60</v>
      </c>
      <c r="AG411" s="43" t="s">
        <v>107</v>
      </c>
      <c r="AH411" s="43" t="s">
        <v>31</v>
      </c>
      <c r="AI411">
        <v>1</v>
      </c>
      <c r="AJ411" s="43" t="s">
        <v>341</v>
      </c>
      <c r="AK411" s="43" t="s">
        <v>309</v>
      </c>
      <c r="AL411">
        <v>2</v>
      </c>
    </row>
    <row r="412" spans="31:38" x14ac:dyDescent="0.25">
      <c r="AE412" s="43" t="s">
        <v>106</v>
      </c>
      <c r="AF412" s="43" t="s">
        <v>60</v>
      </c>
      <c r="AG412" s="43" t="s">
        <v>107</v>
      </c>
      <c r="AH412" s="43" t="s">
        <v>31</v>
      </c>
      <c r="AI412">
        <v>1</v>
      </c>
      <c r="AJ412" s="43" t="s">
        <v>341</v>
      </c>
      <c r="AK412" s="43" t="s">
        <v>268</v>
      </c>
      <c r="AL412">
        <v>4.3</v>
      </c>
    </row>
    <row r="413" spans="31:38" x14ac:dyDescent="0.25">
      <c r="AE413" s="43" t="s">
        <v>106</v>
      </c>
      <c r="AF413" s="43" t="s">
        <v>60</v>
      </c>
      <c r="AG413" s="43" t="s">
        <v>107</v>
      </c>
      <c r="AH413" s="43" t="s">
        <v>31</v>
      </c>
      <c r="AI413">
        <v>1</v>
      </c>
      <c r="AJ413" s="43" t="s">
        <v>344</v>
      </c>
      <c r="AK413" s="43" t="s">
        <v>308</v>
      </c>
      <c r="AL413">
        <v>0</v>
      </c>
    </row>
    <row r="414" spans="31:38" x14ac:dyDescent="0.25">
      <c r="AE414" s="43" t="s">
        <v>106</v>
      </c>
      <c r="AF414" s="43" t="s">
        <v>60</v>
      </c>
      <c r="AG414" s="43" t="s">
        <v>107</v>
      </c>
      <c r="AH414" s="43" t="s">
        <v>31</v>
      </c>
      <c r="AI414">
        <v>1</v>
      </c>
      <c r="AJ414" s="43" t="s">
        <v>344</v>
      </c>
      <c r="AK414" s="43" t="s">
        <v>309</v>
      </c>
      <c r="AL414">
        <v>0</v>
      </c>
    </row>
    <row r="415" spans="31:38" x14ac:dyDescent="0.25">
      <c r="AE415" s="43" t="s">
        <v>106</v>
      </c>
      <c r="AF415" s="43" t="s">
        <v>60</v>
      </c>
      <c r="AG415" s="43" t="s">
        <v>107</v>
      </c>
      <c r="AH415" s="43" t="s">
        <v>31</v>
      </c>
      <c r="AI415">
        <v>1</v>
      </c>
      <c r="AJ415" s="43" t="s">
        <v>344</v>
      </c>
      <c r="AK415" s="43" t="s">
        <v>268</v>
      </c>
      <c r="AL415">
        <v>0</v>
      </c>
    </row>
    <row r="416" spans="31:38" x14ac:dyDescent="0.25">
      <c r="AE416" s="43" t="s">
        <v>100</v>
      </c>
      <c r="AF416" s="43" t="s">
        <v>60</v>
      </c>
      <c r="AG416" s="43" t="s">
        <v>101</v>
      </c>
      <c r="AH416" s="43" t="s">
        <v>31</v>
      </c>
      <c r="AI416">
        <v>1</v>
      </c>
      <c r="AJ416" s="43" t="s">
        <v>317</v>
      </c>
      <c r="AK416" s="43" t="s">
        <v>308</v>
      </c>
      <c r="AL416">
        <v>2.4</v>
      </c>
    </row>
    <row r="417" spans="31:38" x14ac:dyDescent="0.25">
      <c r="AE417" s="43" t="s">
        <v>100</v>
      </c>
      <c r="AF417" s="43" t="s">
        <v>60</v>
      </c>
      <c r="AG417" s="43" t="s">
        <v>101</v>
      </c>
      <c r="AH417" s="43" t="s">
        <v>31</v>
      </c>
      <c r="AI417">
        <v>1</v>
      </c>
      <c r="AJ417" s="43" t="s">
        <v>317</v>
      </c>
      <c r="AK417" s="43" t="s">
        <v>309</v>
      </c>
      <c r="AL417">
        <v>1.1000000000000001</v>
      </c>
    </row>
    <row r="418" spans="31:38" x14ac:dyDescent="0.25">
      <c r="AE418" s="43" t="s">
        <v>100</v>
      </c>
      <c r="AF418" s="43" t="s">
        <v>60</v>
      </c>
      <c r="AG418" s="43" t="s">
        <v>101</v>
      </c>
      <c r="AH418" s="43" t="s">
        <v>31</v>
      </c>
      <c r="AI418">
        <v>1</v>
      </c>
      <c r="AJ418" s="43" t="s">
        <v>317</v>
      </c>
      <c r="AK418" s="43" t="s">
        <v>268</v>
      </c>
      <c r="AL418">
        <v>3.5</v>
      </c>
    </row>
    <row r="419" spans="31:38" x14ac:dyDescent="0.25">
      <c r="AE419" s="43" t="s">
        <v>100</v>
      </c>
      <c r="AF419" s="43" t="s">
        <v>60</v>
      </c>
      <c r="AG419" s="43" t="s">
        <v>101</v>
      </c>
      <c r="AH419" s="43" t="s">
        <v>31</v>
      </c>
      <c r="AI419">
        <v>1</v>
      </c>
      <c r="AJ419" s="43" t="s">
        <v>325</v>
      </c>
      <c r="AK419" s="43" t="s">
        <v>308</v>
      </c>
      <c r="AL419">
        <v>0</v>
      </c>
    </row>
    <row r="420" spans="31:38" x14ac:dyDescent="0.25">
      <c r="AE420" s="43" t="s">
        <v>100</v>
      </c>
      <c r="AF420" s="43" t="s">
        <v>60</v>
      </c>
      <c r="AG420" s="43" t="s">
        <v>101</v>
      </c>
      <c r="AH420" s="43" t="s">
        <v>31</v>
      </c>
      <c r="AI420">
        <v>1</v>
      </c>
      <c r="AJ420" s="43" t="s">
        <v>325</v>
      </c>
      <c r="AK420" s="43" t="s">
        <v>309</v>
      </c>
      <c r="AL420">
        <v>0</v>
      </c>
    </row>
    <row r="421" spans="31:38" x14ac:dyDescent="0.25">
      <c r="AE421" s="43" t="s">
        <v>100</v>
      </c>
      <c r="AF421" s="43" t="s">
        <v>60</v>
      </c>
      <c r="AG421" s="43" t="s">
        <v>101</v>
      </c>
      <c r="AH421" s="43" t="s">
        <v>31</v>
      </c>
      <c r="AI421">
        <v>1</v>
      </c>
      <c r="AJ421" s="43" t="s">
        <v>325</v>
      </c>
      <c r="AK421" s="43" t="s">
        <v>268</v>
      </c>
      <c r="AL421">
        <v>0</v>
      </c>
    </row>
    <row r="422" spans="31:38" x14ac:dyDescent="0.25">
      <c r="AE422" s="43" t="s">
        <v>100</v>
      </c>
      <c r="AF422" s="43" t="s">
        <v>60</v>
      </c>
      <c r="AG422" s="43" t="s">
        <v>101</v>
      </c>
      <c r="AH422" s="43" t="s">
        <v>31</v>
      </c>
      <c r="AI422">
        <v>1</v>
      </c>
      <c r="AJ422" s="43" t="s">
        <v>330</v>
      </c>
      <c r="AK422" s="43" t="s">
        <v>308</v>
      </c>
      <c r="AL422">
        <v>0</v>
      </c>
    </row>
    <row r="423" spans="31:38" x14ac:dyDescent="0.25">
      <c r="AE423" s="43" t="s">
        <v>100</v>
      </c>
      <c r="AF423" s="43" t="s">
        <v>60</v>
      </c>
      <c r="AG423" s="43" t="s">
        <v>101</v>
      </c>
      <c r="AH423" s="43" t="s">
        <v>31</v>
      </c>
      <c r="AI423">
        <v>1</v>
      </c>
      <c r="AJ423" s="43" t="s">
        <v>330</v>
      </c>
      <c r="AK423" s="43" t="s">
        <v>309</v>
      </c>
      <c r="AL423">
        <v>0</v>
      </c>
    </row>
    <row r="424" spans="31:38" x14ac:dyDescent="0.25">
      <c r="AE424" s="43" t="s">
        <v>100</v>
      </c>
      <c r="AF424" s="43" t="s">
        <v>60</v>
      </c>
      <c r="AG424" s="43" t="s">
        <v>101</v>
      </c>
      <c r="AH424" s="43" t="s">
        <v>31</v>
      </c>
      <c r="AI424">
        <v>1</v>
      </c>
      <c r="AJ424" s="43" t="s">
        <v>330</v>
      </c>
      <c r="AK424" s="43" t="s">
        <v>268</v>
      </c>
      <c r="AL424">
        <v>0</v>
      </c>
    </row>
    <row r="425" spans="31:38" x14ac:dyDescent="0.25">
      <c r="AE425" s="43" t="s">
        <v>100</v>
      </c>
      <c r="AF425" s="43" t="s">
        <v>60</v>
      </c>
      <c r="AG425" s="43" t="s">
        <v>101</v>
      </c>
      <c r="AH425" s="43" t="s">
        <v>31</v>
      </c>
      <c r="AI425">
        <v>1</v>
      </c>
      <c r="AJ425" s="43" t="s">
        <v>331</v>
      </c>
      <c r="AK425" s="43" t="s">
        <v>308</v>
      </c>
      <c r="AL425">
        <v>0</v>
      </c>
    </row>
    <row r="426" spans="31:38" x14ac:dyDescent="0.25">
      <c r="AE426" s="43" t="s">
        <v>100</v>
      </c>
      <c r="AF426" s="43" t="s">
        <v>60</v>
      </c>
      <c r="AG426" s="43" t="s">
        <v>101</v>
      </c>
      <c r="AH426" s="43" t="s">
        <v>31</v>
      </c>
      <c r="AI426">
        <v>1</v>
      </c>
      <c r="AJ426" s="43" t="s">
        <v>331</v>
      </c>
      <c r="AK426" s="43" t="s">
        <v>309</v>
      </c>
      <c r="AL426">
        <v>0</v>
      </c>
    </row>
    <row r="427" spans="31:38" x14ac:dyDescent="0.25">
      <c r="AE427" s="43" t="s">
        <v>100</v>
      </c>
      <c r="AF427" s="43" t="s">
        <v>60</v>
      </c>
      <c r="AG427" s="43" t="s">
        <v>101</v>
      </c>
      <c r="AH427" s="43" t="s">
        <v>31</v>
      </c>
      <c r="AI427">
        <v>1</v>
      </c>
      <c r="AJ427" s="43" t="s">
        <v>331</v>
      </c>
      <c r="AK427" s="43" t="s">
        <v>268</v>
      </c>
      <c r="AL427">
        <v>0</v>
      </c>
    </row>
    <row r="428" spans="31:38" x14ac:dyDescent="0.25">
      <c r="AE428" s="43" t="s">
        <v>100</v>
      </c>
      <c r="AF428" s="43" t="s">
        <v>60</v>
      </c>
      <c r="AG428" s="43" t="s">
        <v>101</v>
      </c>
      <c r="AH428" s="43" t="s">
        <v>31</v>
      </c>
      <c r="AI428">
        <v>1</v>
      </c>
      <c r="AJ428" s="43" t="s">
        <v>341</v>
      </c>
      <c r="AK428" s="43" t="s">
        <v>308</v>
      </c>
      <c r="AL428">
        <v>2.4</v>
      </c>
    </row>
    <row r="429" spans="31:38" x14ac:dyDescent="0.25">
      <c r="AE429" s="43" t="s">
        <v>100</v>
      </c>
      <c r="AF429" s="43" t="s">
        <v>60</v>
      </c>
      <c r="AG429" s="43" t="s">
        <v>101</v>
      </c>
      <c r="AH429" s="43" t="s">
        <v>31</v>
      </c>
      <c r="AI429">
        <v>1</v>
      </c>
      <c r="AJ429" s="43" t="s">
        <v>341</v>
      </c>
      <c r="AK429" s="43" t="s">
        <v>309</v>
      </c>
      <c r="AL429">
        <v>1.1000000000000001</v>
      </c>
    </row>
    <row r="430" spans="31:38" x14ac:dyDescent="0.25">
      <c r="AE430" s="43" t="s">
        <v>100</v>
      </c>
      <c r="AF430" s="43" t="s">
        <v>60</v>
      </c>
      <c r="AG430" s="43" t="s">
        <v>101</v>
      </c>
      <c r="AH430" s="43" t="s">
        <v>31</v>
      </c>
      <c r="AI430">
        <v>1</v>
      </c>
      <c r="AJ430" s="43" t="s">
        <v>341</v>
      </c>
      <c r="AK430" s="43" t="s">
        <v>268</v>
      </c>
      <c r="AL430">
        <v>3.5</v>
      </c>
    </row>
    <row r="431" spans="31:38" x14ac:dyDescent="0.25">
      <c r="AE431" s="43" t="s">
        <v>100</v>
      </c>
      <c r="AF431" s="43" t="s">
        <v>60</v>
      </c>
      <c r="AG431" s="43" t="s">
        <v>101</v>
      </c>
      <c r="AH431" s="43" t="s">
        <v>31</v>
      </c>
      <c r="AI431">
        <v>1</v>
      </c>
      <c r="AJ431" s="43" t="s">
        <v>344</v>
      </c>
      <c r="AK431" s="43" t="s">
        <v>308</v>
      </c>
      <c r="AL431">
        <v>0</v>
      </c>
    </row>
    <row r="432" spans="31:38" x14ac:dyDescent="0.25">
      <c r="AE432" s="43" t="s">
        <v>100</v>
      </c>
      <c r="AF432" s="43" t="s">
        <v>60</v>
      </c>
      <c r="AG432" s="43" t="s">
        <v>101</v>
      </c>
      <c r="AH432" s="43" t="s">
        <v>31</v>
      </c>
      <c r="AI432">
        <v>1</v>
      </c>
      <c r="AJ432" s="43" t="s">
        <v>344</v>
      </c>
      <c r="AK432" s="43" t="s">
        <v>309</v>
      </c>
      <c r="AL432">
        <v>0</v>
      </c>
    </row>
    <row r="433" spans="31:38" x14ac:dyDescent="0.25">
      <c r="AE433" s="43" t="s">
        <v>100</v>
      </c>
      <c r="AF433" s="43" t="s">
        <v>60</v>
      </c>
      <c r="AG433" s="43" t="s">
        <v>101</v>
      </c>
      <c r="AH433" s="43" t="s">
        <v>31</v>
      </c>
      <c r="AI433">
        <v>1</v>
      </c>
      <c r="AJ433" s="43" t="s">
        <v>344</v>
      </c>
      <c r="AK433" s="43" t="s">
        <v>268</v>
      </c>
      <c r="AL433">
        <v>0</v>
      </c>
    </row>
    <row r="434" spans="31:38" x14ac:dyDescent="0.25">
      <c r="AE434" s="43" t="s">
        <v>25</v>
      </c>
      <c r="AF434" s="43" t="s">
        <v>26</v>
      </c>
      <c r="AG434" s="43" t="s">
        <v>27</v>
      </c>
      <c r="AH434" s="43" t="s">
        <v>28</v>
      </c>
      <c r="AI434">
        <v>4</v>
      </c>
      <c r="AJ434" s="43" t="s">
        <v>317</v>
      </c>
      <c r="AK434" s="43" t="s">
        <v>308</v>
      </c>
      <c r="AL434">
        <v>3.8</v>
      </c>
    </row>
    <row r="435" spans="31:38" x14ac:dyDescent="0.25">
      <c r="AE435" s="43" t="s">
        <v>25</v>
      </c>
      <c r="AF435" s="43" t="s">
        <v>26</v>
      </c>
      <c r="AG435" s="43" t="s">
        <v>27</v>
      </c>
      <c r="AH435" s="43" t="s">
        <v>28</v>
      </c>
      <c r="AI435">
        <v>4</v>
      </c>
      <c r="AJ435" s="43" t="s">
        <v>317</v>
      </c>
      <c r="AK435" s="43" t="s">
        <v>309</v>
      </c>
      <c r="AL435">
        <v>8.9499999999999993</v>
      </c>
    </row>
    <row r="436" spans="31:38" x14ac:dyDescent="0.25">
      <c r="AE436" s="43" t="s">
        <v>25</v>
      </c>
      <c r="AF436" s="43" t="s">
        <v>26</v>
      </c>
      <c r="AG436" s="43" t="s">
        <v>27</v>
      </c>
      <c r="AH436" s="43" t="s">
        <v>28</v>
      </c>
      <c r="AI436">
        <v>4</v>
      </c>
      <c r="AJ436" s="43" t="s">
        <v>317</v>
      </c>
      <c r="AK436" s="43" t="s">
        <v>268</v>
      </c>
      <c r="AL436">
        <v>12.75</v>
      </c>
    </row>
    <row r="437" spans="31:38" x14ac:dyDescent="0.25">
      <c r="AE437" s="43" t="s">
        <v>25</v>
      </c>
      <c r="AF437" s="43" t="s">
        <v>26</v>
      </c>
      <c r="AG437" s="43" t="s">
        <v>27</v>
      </c>
      <c r="AH437" s="43" t="s">
        <v>28</v>
      </c>
      <c r="AI437">
        <v>4</v>
      </c>
      <c r="AJ437" s="43" t="s">
        <v>325</v>
      </c>
      <c r="AK437" s="43" t="s">
        <v>308</v>
      </c>
      <c r="AL437">
        <v>3.8</v>
      </c>
    </row>
    <row r="438" spans="31:38" x14ac:dyDescent="0.25">
      <c r="AE438" s="43" t="s">
        <v>25</v>
      </c>
      <c r="AF438" s="43" t="s">
        <v>26</v>
      </c>
      <c r="AG438" s="43" t="s">
        <v>27</v>
      </c>
      <c r="AH438" s="43" t="s">
        <v>28</v>
      </c>
      <c r="AI438">
        <v>4</v>
      </c>
      <c r="AJ438" s="43" t="s">
        <v>325</v>
      </c>
      <c r="AK438" s="43" t="s">
        <v>309</v>
      </c>
      <c r="AL438">
        <v>8.9</v>
      </c>
    </row>
    <row r="439" spans="31:38" x14ac:dyDescent="0.25">
      <c r="AE439" s="43" t="s">
        <v>25</v>
      </c>
      <c r="AF439" s="43" t="s">
        <v>26</v>
      </c>
      <c r="AG439" s="43" t="s">
        <v>27</v>
      </c>
      <c r="AH439" s="43" t="s">
        <v>28</v>
      </c>
      <c r="AI439">
        <v>4</v>
      </c>
      <c r="AJ439" s="43" t="s">
        <v>325</v>
      </c>
      <c r="AK439" s="43" t="s">
        <v>268</v>
      </c>
      <c r="AL439">
        <v>12.7</v>
      </c>
    </row>
    <row r="440" spans="31:38" x14ac:dyDescent="0.25">
      <c r="AE440" s="43" t="s">
        <v>25</v>
      </c>
      <c r="AF440" s="43" t="s">
        <v>26</v>
      </c>
      <c r="AG440" s="43" t="s">
        <v>27</v>
      </c>
      <c r="AH440" s="43" t="s">
        <v>28</v>
      </c>
      <c r="AI440">
        <v>4</v>
      </c>
      <c r="AJ440" s="43" t="s">
        <v>330</v>
      </c>
      <c r="AK440" s="43" t="s">
        <v>308</v>
      </c>
      <c r="AL440">
        <v>3.8</v>
      </c>
    </row>
    <row r="441" spans="31:38" x14ac:dyDescent="0.25">
      <c r="AE441" s="43" t="s">
        <v>25</v>
      </c>
      <c r="AF441" s="43" t="s">
        <v>26</v>
      </c>
      <c r="AG441" s="43" t="s">
        <v>27</v>
      </c>
      <c r="AH441" s="43" t="s">
        <v>28</v>
      </c>
      <c r="AI441">
        <v>4</v>
      </c>
      <c r="AJ441" s="43" t="s">
        <v>330</v>
      </c>
      <c r="AK441" s="43" t="s">
        <v>309</v>
      </c>
      <c r="AL441">
        <v>8.5500000000000007</v>
      </c>
    </row>
    <row r="442" spans="31:38" x14ac:dyDescent="0.25">
      <c r="AE442" s="43" t="s">
        <v>25</v>
      </c>
      <c r="AF442" s="43" t="s">
        <v>26</v>
      </c>
      <c r="AG442" s="43" t="s">
        <v>27</v>
      </c>
      <c r="AH442" s="43" t="s">
        <v>28</v>
      </c>
      <c r="AI442">
        <v>4</v>
      </c>
      <c r="AJ442" s="43" t="s">
        <v>330</v>
      </c>
      <c r="AK442" s="43" t="s">
        <v>268</v>
      </c>
      <c r="AL442">
        <v>12.35</v>
      </c>
    </row>
    <row r="443" spans="31:38" x14ac:dyDescent="0.25">
      <c r="AE443" s="43" t="s">
        <v>25</v>
      </c>
      <c r="AF443" s="43" t="s">
        <v>26</v>
      </c>
      <c r="AG443" s="43" t="s">
        <v>27</v>
      </c>
      <c r="AH443" s="43" t="s">
        <v>28</v>
      </c>
      <c r="AI443">
        <v>4</v>
      </c>
      <c r="AJ443" s="43" t="s">
        <v>331</v>
      </c>
      <c r="AK443" s="43" t="s">
        <v>308</v>
      </c>
      <c r="AL443">
        <v>3.7</v>
      </c>
    </row>
    <row r="444" spans="31:38" x14ac:dyDescent="0.25">
      <c r="AE444" s="43" t="s">
        <v>25</v>
      </c>
      <c r="AF444" s="43" t="s">
        <v>26</v>
      </c>
      <c r="AG444" s="43" t="s">
        <v>27</v>
      </c>
      <c r="AH444" s="43" t="s">
        <v>28</v>
      </c>
      <c r="AI444">
        <v>4</v>
      </c>
      <c r="AJ444" s="43" t="s">
        <v>331</v>
      </c>
      <c r="AK444" s="43" t="s">
        <v>309</v>
      </c>
      <c r="AL444">
        <v>8.8000000000000007</v>
      </c>
    </row>
    <row r="445" spans="31:38" x14ac:dyDescent="0.25">
      <c r="AE445" s="43" t="s">
        <v>25</v>
      </c>
      <c r="AF445" s="43" t="s">
        <v>26</v>
      </c>
      <c r="AG445" s="43" t="s">
        <v>27</v>
      </c>
      <c r="AH445" s="43" t="s">
        <v>28</v>
      </c>
      <c r="AI445">
        <v>4</v>
      </c>
      <c r="AJ445" s="43" t="s">
        <v>331</v>
      </c>
      <c r="AK445" s="43" t="s">
        <v>268</v>
      </c>
      <c r="AL445">
        <v>12.5</v>
      </c>
    </row>
    <row r="446" spans="31:38" x14ac:dyDescent="0.25">
      <c r="AE446" s="43" t="s">
        <v>25</v>
      </c>
      <c r="AF446" s="43" t="s">
        <v>26</v>
      </c>
      <c r="AG446" s="43" t="s">
        <v>27</v>
      </c>
      <c r="AH446" s="43" t="s">
        <v>28</v>
      </c>
      <c r="AI446">
        <v>4</v>
      </c>
      <c r="AJ446" s="43" t="s">
        <v>341</v>
      </c>
      <c r="AK446" s="43" t="s">
        <v>308</v>
      </c>
      <c r="AL446">
        <v>11.399999999999999</v>
      </c>
    </row>
    <row r="447" spans="31:38" x14ac:dyDescent="0.25">
      <c r="AE447" s="43" t="s">
        <v>25</v>
      </c>
      <c r="AF447" s="43" t="s">
        <v>26</v>
      </c>
      <c r="AG447" s="43" t="s">
        <v>27</v>
      </c>
      <c r="AH447" s="43" t="s">
        <v>28</v>
      </c>
      <c r="AI447">
        <v>4</v>
      </c>
      <c r="AJ447" s="43" t="s">
        <v>341</v>
      </c>
      <c r="AK447" s="43" t="s">
        <v>309</v>
      </c>
      <c r="AL447">
        <v>26.650000000000002</v>
      </c>
    </row>
    <row r="448" spans="31:38" x14ac:dyDescent="0.25">
      <c r="AE448" s="43" t="s">
        <v>25</v>
      </c>
      <c r="AF448" s="43" t="s">
        <v>26</v>
      </c>
      <c r="AG448" s="43" t="s">
        <v>27</v>
      </c>
      <c r="AH448" s="43" t="s">
        <v>28</v>
      </c>
      <c r="AI448">
        <v>4</v>
      </c>
      <c r="AJ448" s="43" t="s">
        <v>341</v>
      </c>
      <c r="AK448" s="43" t="s">
        <v>268</v>
      </c>
      <c r="AL448">
        <v>37.950000000000003</v>
      </c>
    </row>
    <row r="449" spans="31:38" x14ac:dyDescent="0.25">
      <c r="AE449" s="43" t="s">
        <v>25</v>
      </c>
      <c r="AF449" s="43" t="s">
        <v>26</v>
      </c>
      <c r="AG449" s="43" t="s">
        <v>27</v>
      </c>
      <c r="AH449" s="43" t="s">
        <v>28</v>
      </c>
      <c r="AI449">
        <v>4</v>
      </c>
      <c r="AJ449" s="43" t="s">
        <v>344</v>
      </c>
      <c r="AK449" s="43" t="s">
        <v>308</v>
      </c>
      <c r="AL449">
        <v>3.7999999999999994</v>
      </c>
    </row>
    <row r="450" spans="31:38" x14ac:dyDescent="0.25">
      <c r="AE450" s="43" t="s">
        <v>25</v>
      </c>
      <c r="AF450" s="43" t="s">
        <v>26</v>
      </c>
      <c r="AG450" s="43" t="s">
        <v>27</v>
      </c>
      <c r="AH450" s="43" t="s">
        <v>28</v>
      </c>
      <c r="AI450">
        <v>4</v>
      </c>
      <c r="AJ450" s="43" t="s">
        <v>344</v>
      </c>
      <c r="AK450" s="43" t="s">
        <v>309</v>
      </c>
      <c r="AL450">
        <v>8.8833333333333346</v>
      </c>
    </row>
    <row r="451" spans="31:38" x14ac:dyDescent="0.25">
      <c r="AE451" s="43" t="s">
        <v>25</v>
      </c>
      <c r="AF451" s="43" t="s">
        <v>26</v>
      </c>
      <c r="AG451" s="43" t="s">
        <v>27</v>
      </c>
      <c r="AH451" s="43" t="s">
        <v>28</v>
      </c>
      <c r="AI451">
        <v>4</v>
      </c>
      <c r="AJ451" s="43" t="s">
        <v>344</v>
      </c>
      <c r="AK451" s="43" t="s">
        <v>268</v>
      </c>
      <c r="AL451">
        <v>12.65</v>
      </c>
    </row>
    <row r="452" spans="31:38" x14ac:dyDescent="0.25">
      <c r="AE452" s="43" t="s">
        <v>37</v>
      </c>
      <c r="AF452" s="43" t="s">
        <v>26</v>
      </c>
      <c r="AG452" s="43" t="s">
        <v>38</v>
      </c>
      <c r="AH452" s="43" t="s">
        <v>39</v>
      </c>
      <c r="AI452">
        <v>4</v>
      </c>
      <c r="AJ452" s="43" t="s">
        <v>317</v>
      </c>
      <c r="AK452" s="43" t="s">
        <v>308</v>
      </c>
      <c r="AL452">
        <v>4.4000000000000004</v>
      </c>
    </row>
    <row r="453" spans="31:38" x14ac:dyDescent="0.25">
      <c r="AE453" s="43" t="s">
        <v>37</v>
      </c>
      <c r="AF453" s="43" t="s">
        <v>26</v>
      </c>
      <c r="AG453" s="43" t="s">
        <v>38</v>
      </c>
      <c r="AH453" s="43" t="s">
        <v>39</v>
      </c>
      <c r="AI453">
        <v>4</v>
      </c>
      <c r="AJ453" s="43" t="s">
        <v>317</v>
      </c>
      <c r="AK453" s="43" t="s">
        <v>309</v>
      </c>
      <c r="AL453">
        <v>7.85</v>
      </c>
    </row>
    <row r="454" spans="31:38" x14ac:dyDescent="0.25">
      <c r="AE454" s="43" t="s">
        <v>37</v>
      </c>
      <c r="AF454" s="43" t="s">
        <v>26</v>
      </c>
      <c r="AG454" s="43" t="s">
        <v>38</v>
      </c>
      <c r="AH454" s="43" t="s">
        <v>39</v>
      </c>
      <c r="AI454">
        <v>4</v>
      </c>
      <c r="AJ454" s="43" t="s">
        <v>317</v>
      </c>
      <c r="AK454" s="43" t="s">
        <v>268</v>
      </c>
      <c r="AL454">
        <v>12.25</v>
      </c>
    </row>
    <row r="455" spans="31:38" x14ac:dyDescent="0.25">
      <c r="AE455" s="43" t="s">
        <v>37</v>
      </c>
      <c r="AF455" s="43" t="s">
        <v>26</v>
      </c>
      <c r="AG455" s="43" t="s">
        <v>38</v>
      </c>
      <c r="AH455" s="43" t="s">
        <v>39</v>
      </c>
      <c r="AI455">
        <v>4</v>
      </c>
      <c r="AJ455" s="43" t="s">
        <v>325</v>
      </c>
      <c r="AK455" s="43" t="s">
        <v>308</v>
      </c>
      <c r="AL455">
        <v>4.3</v>
      </c>
    </row>
    <row r="456" spans="31:38" x14ac:dyDescent="0.25">
      <c r="AE456" s="43" t="s">
        <v>37</v>
      </c>
      <c r="AF456" s="43" t="s">
        <v>26</v>
      </c>
      <c r="AG456" s="43" t="s">
        <v>38</v>
      </c>
      <c r="AH456" s="43" t="s">
        <v>39</v>
      </c>
      <c r="AI456">
        <v>4</v>
      </c>
      <c r="AJ456" s="43" t="s">
        <v>325</v>
      </c>
      <c r="AK456" s="43" t="s">
        <v>309</v>
      </c>
      <c r="AL456">
        <v>7.9</v>
      </c>
    </row>
    <row r="457" spans="31:38" x14ac:dyDescent="0.25">
      <c r="AE457" s="43" t="s">
        <v>37</v>
      </c>
      <c r="AF457" s="43" t="s">
        <v>26</v>
      </c>
      <c r="AG457" s="43" t="s">
        <v>38</v>
      </c>
      <c r="AH457" s="43" t="s">
        <v>39</v>
      </c>
      <c r="AI457">
        <v>4</v>
      </c>
      <c r="AJ457" s="43" t="s">
        <v>325</v>
      </c>
      <c r="AK457" s="43" t="s">
        <v>268</v>
      </c>
      <c r="AL457">
        <v>12.2</v>
      </c>
    </row>
    <row r="458" spans="31:38" x14ac:dyDescent="0.25">
      <c r="AE458" s="43" t="s">
        <v>37</v>
      </c>
      <c r="AF458" s="43" t="s">
        <v>26</v>
      </c>
      <c r="AG458" s="43" t="s">
        <v>38</v>
      </c>
      <c r="AH458" s="43" t="s">
        <v>39</v>
      </c>
      <c r="AI458">
        <v>4</v>
      </c>
      <c r="AJ458" s="43" t="s">
        <v>330</v>
      </c>
      <c r="AK458" s="43" t="s">
        <v>308</v>
      </c>
      <c r="AL458">
        <v>3.6</v>
      </c>
    </row>
    <row r="459" spans="31:38" x14ac:dyDescent="0.25">
      <c r="AE459" s="43" t="s">
        <v>37</v>
      </c>
      <c r="AF459" s="43" t="s">
        <v>26</v>
      </c>
      <c r="AG459" s="43" t="s">
        <v>38</v>
      </c>
      <c r="AH459" s="43" t="s">
        <v>39</v>
      </c>
      <c r="AI459">
        <v>4</v>
      </c>
      <c r="AJ459" s="43" t="s">
        <v>330</v>
      </c>
      <c r="AK459" s="43" t="s">
        <v>309</v>
      </c>
      <c r="AL459">
        <v>7.45</v>
      </c>
    </row>
    <row r="460" spans="31:38" x14ac:dyDescent="0.25">
      <c r="AE460" s="43" t="s">
        <v>37</v>
      </c>
      <c r="AF460" s="43" t="s">
        <v>26</v>
      </c>
      <c r="AG460" s="43" t="s">
        <v>38</v>
      </c>
      <c r="AH460" s="43" t="s">
        <v>39</v>
      </c>
      <c r="AI460">
        <v>4</v>
      </c>
      <c r="AJ460" s="43" t="s">
        <v>330</v>
      </c>
      <c r="AK460" s="43" t="s">
        <v>268</v>
      </c>
      <c r="AL460">
        <v>11.05</v>
      </c>
    </row>
    <row r="461" spans="31:38" x14ac:dyDescent="0.25">
      <c r="AE461" s="43" t="s">
        <v>37</v>
      </c>
      <c r="AF461" s="43" t="s">
        <v>26</v>
      </c>
      <c r="AG461" s="43" t="s">
        <v>38</v>
      </c>
      <c r="AH461" s="43" t="s">
        <v>39</v>
      </c>
      <c r="AI461">
        <v>4</v>
      </c>
      <c r="AJ461" s="43" t="s">
        <v>331</v>
      </c>
      <c r="AK461" s="43" t="s">
        <v>308</v>
      </c>
      <c r="AL461">
        <v>3.9</v>
      </c>
    </row>
    <row r="462" spans="31:38" x14ac:dyDescent="0.25">
      <c r="AE462" s="43" t="s">
        <v>37</v>
      </c>
      <c r="AF462" s="43" t="s">
        <v>26</v>
      </c>
      <c r="AG462" s="43" t="s">
        <v>38</v>
      </c>
      <c r="AH462" s="43" t="s">
        <v>39</v>
      </c>
      <c r="AI462">
        <v>4</v>
      </c>
      <c r="AJ462" s="43" t="s">
        <v>331</v>
      </c>
      <c r="AK462" s="43" t="s">
        <v>309</v>
      </c>
      <c r="AL462">
        <v>8.1999999999999993</v>
      </c>
    </row>
    <row r="463" spans="31:38" x14ac:dyDescent="0.25">
      <c r="AE463" s="43" t="s">
        <v>37</v>
      </c>
      <c r="AF463" s="43" t="s">
        <v>26</v>
      </c>
      <c r="AG463" s="43" t="s">
        <v>38</v>
      </c>
      <c r="AH463" s="43" t="s">
        <v>39</v>
      </c>
      <c r="AI463">
        <v>4</v>
      </c>
      <c r="AJ463" s="43" t="s">
        <v>331</v>
      </c>
      <c r="AK463" s="43" t="s">
        <v>268</v>
      </c>
      <c r="AL463">
        <v>12.1</v>
      </c>
    </row>
    <row r="464" spans="31:38" x14ac:dyDescent="0.25">
      <c r="AE464" s="43" t="s">
        <v>37</v>
      </c>
      <c r="AF464" s="43" t="s">
        <v>26</v>
      </c>
      <c r="AG464" s="43" t="s">
        <v>38</v>
      </c>
      <c r="AH464" s="43" t="s">
        <v>39</v>
      </c>
      <c r="AI464">
        <v>4</v>
      </c>
      <c r="AJ464" s="43" t="s">
        <v>341</v>
      </c>
      <c r="AK464" s="43" t="s">
        <v>308</v>
      </c>
      <c r="AL464">
        <v>12.6</v>
      </c>
    </row>
    <row r="465" spans="31:38" x14ac:dyDescent="0.25">
      <c r="AE465" s="43" t="s">
        <v>37</v>
      </c>
      <c r="AF465" s="43" t="s">
        <v>26</v>
      </c>
      <c r="AG465" s="43" t="s">
        <v>38</v>
      </c>
      <c r="AH465" s="43" t="s">
        <v>39</v>
      </c>
      <c r="AI465">
        <v>4</v>
      </c>
      <c r="AJ465" s="43" t="s">
        <v>341</v>
      </c>
      <c r="AK465" s="43" t="s">
        <v>309</v>
      </c>
      <c r="AL465">
        <v>23.950000000000003</v>
      </c>
    </row>
    <row r="466" spans="31:38" x14ac:dyDescent="0.25">
      <c r="AE466" s="43" t="s">
        <v>37</v>
      </c>
      <c r="AF466" s="43" t="s">
        <v>26</v>
      </c>
      <c r="AG466" s="43" t="s">
        <v>38</v>
      </c>
      <c r="AH466" s="43" t="s">
        <v>39</v>
      </c>
      <c r="AI466">
        <v>4</v>
      </c>
      <c r="AJ466" s="43" t="s">
        <v>341</v>
      </c>
      <c r="AK466" s="43" t="s">
        <v>268</v>
      </c>
      <c r="AL466">
        <v>36.549999999999997</v>
      </c>
    </row>
    <row r="467" spans="31:38" x14ac:dyDescent="0.25">
      <c r="AE467" s="43" t="s">
        <v>37</v>
      </c>
      <c r="AF467" s="43" t="s">
        <v>26</v>
      </c>
      <c r="AG467" s="43" t="s">
        <v>38</v>
      </c>
      <c r="AH467" s="43" t="s">
        <v>39</v>
      </c>
      <c r="AI467">
        <v>4</v>
      </c>
      <c r="AJ467" s="43" t="s">
        <v>344</v>
      </c>
      <c r="AK467" s="43" t="s">
        <v>308</v>
      </c>
      <c r="AL467">
        <v>4.2</v>
      </c>
    </row>
    <row r="468" spans="31:38" x14ac:dyDescent="0.25">
      <c r="AE468" s="43" t="s">
        <v>37</v>
      </c>
      <c r="AF468" s="43" t="s">
        <v>26</v>
      </c>
      <c r="AG468" s="43" t="s">
        <v>38</v>
      </c>
      <c r="AH468" s="43" t="s">
        <v>39</v>
      </c>
      <c r="AI468">
        <v>4</v>
      </c>
      <c r="AJ468" s="43" t="s">
        <v>344</v>
      </c>
      <c r="AK468" s="43" t="s">
        <v>309</v>
      </c>
      <c r="AL468">
        <v>7.9833333333333343</v>
      </c>
    </row>
    <row r="469" spans="31:38" x14ac:dyDescent="0.25">
      <c r="AE469" s="43" t="s">
        <v>37</v>
      </c>
      <c r="AF469" s="43" t="s">
        <v>26</v>
      </c>
      <c r="AG469" s="43" t="s">
        <v>38</v>
      </c>
      <c r="AH469" s="43" t="s">
        <v>39</v>
      </c>
      <c r="AI469">
        <v>4</v>
      </c>
      <c r="AJ469" s="43" t="s">
        <v>344</v>
      </c>
      <c r="AK469" s="43" t="s">
        <v>268</v>
      </c>
      <c r="AL469">
        <v>12.183333333333332</v>
      </c>
    </row>
    <row r="470" spans="31:38" x14ac:dyDescent="0.25">
      <c r="AE470" s="43" t="s">
        <v>34</v>
      </c>
      <c r="AF470" s="43" t="s">
        <v>26</v>
      </c>
      <c r="AG470" s="43" t="s">
        <v>35</v>
      </c>
      <c r="AH470" s="43" t="s">
        <v>36</v>
      </c>
      <c r="AI470">
        <v>4</v>
      </c>
      <c r="AJ470" s="43" t="s">
        <v>317</v>
      </c>
      <c r="AK470" s="43" t="s">
        <v>308</v>
      </c>
      <c r="AL470">
        <v>4.4000000000000004</v>
      </c>
    </row>
    <row r="471" spans="31:38" x14ac:dyDescent="0.25">
      <c r="AE471" s="43" t="s">
        <v>34</v>
      </c>
      <c r="AF471" s="43" t="s">
        <v>26</v>
      </c>
      <c r="AG471" s="43" t="s">
        <v>35</v>
      </c>
      <c r="AH471" s="43" t="s">
        <v>36</v>
      </c>
      <c r="AI471">
        <v>4</v>
      </c>
      <c r="AJ471" s="43" t="s">
        <v>317</v>
      </c>
      <c r="AK471" s="43" t="s">
        <v>309</v>
      </c>
      <c r="AL471">
        <v>7</v>
      </c>
    </row>
    <row r="472" spans="31:38" x14ac:dyDescent="0.25">
      <c r="AE472" s="43" t="s">
        <v>34</v>
      </c>
      <c r="AF472" s="43" t="s">
        <v>26</v>
      </c>
      <c r="AG472" s="43" t="s">
        <v>35</v>
      </c>
      <c r="AH472" s="43" t="s">
        <v>36</v>
      </c>
      <c r="AI472">
        <v>4</v>
      </c>
      <c r="AJ472" s="43" t="s">
        <v>317</v>
      </c>
      <c r="AK472" s="43" t="s">
        <v>268</v>
      </c>
      <c r="AL472">
        <v>11.4</v>
      </c>
    </row>
    <row r="473" spans="31:38" x14ac:dyDescent="0.25">
      <c r="AE473" s="43" t="s">
        <v>34</v>
      </c>
      <c r="AF473" s="43" t="s">
        <v>26</v>
      </c>
      <c r="AG473" s="43" t="s">
        <v>35</v>
      </c>
      <c r="AH473" s="43" t="s">
        <v>36</v>
      </c>
      <c r="AI473">
        <v>4</v>
      </c>
      <c r="AJ473" s="43" t="s">
        <v>325</v>
      </c>
      <c r="AK473" s="43" t="s">
        <v>308</v>
      </c>
      <c r="AL473">
        <v>3.9</v>
      </c>
    </row>
    <row r="474" spans="31:38" x14ac:dyDescent="0.25">
      <c r="AE474" s="43" t="s">
        <v>34</v>
      </c>
      <c r="AF474" s="43" t="s">
        <v>26</v>
      </c>
      <c r="AG474" s="43" t="s">
        <v>35</v>
      </c>
      <c r="AH474" s="43" t="s">
        <v>36</v>
      </c>
      <c r="AI474">
        <v>4</v>
      </c>
      <c r="AJ474" s="43" t="s">
        <v>325</v>
      </c>
      <c r="AK474" s="43" t="s">
        <v>309</v>
      </c>
      <c r="AL474">
        <v>7</v>
      </c>
    </row>
    <row r="475" spans="31:38" x14ac:dyDescent="0.25">
      <c r="AE475" s="43" t="s">
        <v>34</v>
      </c>
      <c r="AF475" s="43" t="s">
        <v>26</v>
      </c>
      <c r="AG475" s="43" t="s">
        <v>35</v>
      </c>
      <c r="AH475" s="43" t="s">
        <v>36</v>
      </c>
      <c r="AI475">
        <v>4</v>
      </c>
      <c r="AJ475" s="43" t="s">
        <v>325</v>
      </c>
      <c r="AK475" s="43" t="s">
        <v>268</v>
      </c>
      <c r="AL475">
        <v>10.9</v>
      </c>
    </row>
    <row r="476" spans="31:38" x14ac:dyDescent="0.25">
      <c r="AE476" s="43" t="s">
        <v>34</v>
      </c>
      <c r="AF476" s="43" t="s">
        <v>26</v>
      </c>
      <c r="AG476" s="43" t="s">
        <v>35</v>
      </c>
      <c r="AH476" s="43" t="s">
        <v>36</v>
      </c>
      <c r="AI476">
        <v>4</v>
      </c>
      <c r="AJ476" s="43" t="s">
        <v>330</v>
      </c>
      <c r="AK476" s="43" t="s">
        <v>308</v>
      </c>
      <c r="AL476">
        <v>3.6</v>
      </c>
    </row>
    <row r="477" spans="31:38" x14ac:dyDescent="0.25">
      <c r="AE477" s="43" t="s">
        <v>34</v>
      </c>
      <c r="AF477" s="43" t="s">
        <v>26</v>
      </c>
      <c r="AG477" s="43" t="s">
        <v>35</v>
      </c>
      <c r="AH477" s="43" t="s">
        <v>36</v>
      </c>
      <c r="AI477">
        <v>4</v>
      </c>
      <c r="AJ477" s="43" t="s">
        <v>330</v>
      </c>
      <c r="AK477" s="43" t="s">
        <v>309</v>
      </c>
      <c r="AL477">
        <v>8.4</v>
      </c>
    </row>
    <row r="478" spans="31:38" x14ac:dyDescent="0.25">
      <c r="AE478" s="43" t="s">
        <v>34</v>
      </c>
      <c r="AF478" s="43" t="s">
        <v>26</v>
      </c>
      <c r="AG478" s="43" t="s">
        <v>35</v>
      </c>
      <c r="AH478" s="43" t="s">
        <v>36</v>
      </c>
      <c r="AI478">
        <v>4</v>
      </c>
      <c r="AJ478" s="43" t="s">
        <v>330</v>
      </c>
      <c r="AK478" s="43" t="s">
        <v>268</v>
      </c>
      <c r="AL478">
        <v>12</v>
      </c>
    </row>
    <row r="479" spans="31:38" x14ac:dyDescent="0.25">
      <c r="AE479" s="43" t="s">
        <v>34</v>
      </c>
      <c r="AF479" s="43" t="s">
        <v>26</v>
      </c>
      <c r="AG479" s="43" t="s">
        <v>35</v>
      </c>
      <c r="AH479" s="43" t="s">
        <v>36</v>
      </c>
      <c r="AI479">
        <v>4</v>
      </c>
      <c r="AJ479" s="43" t="s">
        <v>331</v>
      </c>
      <c r="AK479" s="43" t="s">
        <v>308</v>
      </c>
      <c r="AL479">
        <v>3.6</v>
      </c>
    </row>
    <row r="480" spans="31:38" x14ac:dyDescent="0.25">
      <c r="AE480" s="43" t="s">
        <v>34</v>
      </c>
      <c r="AF480" s="43" t="s">
        <v>26</v>
      </c>
      <c r="AG480" s="43" t="s">
        <v>35</v>
      </c>
      <c r="AH480" s="43" t="s">
        <v>36</v>
      </c>
      <c r="AI480">
        <v>4</v>
      </c>
      <c r="AJ480" s="43" t="s">
        <v>331</v>
      </c>
      <c r="AK480" s="43" t="s">
        <v>309</v>
      </c>
      <c r="AL480">
        <v>8.3000000000000007</v>
      </c>
    </row>
    <row r="481" spans="31:38" x14ac:dyDescent="0.25">
      <c r="AE481" s="43" t="s">
        <v>34</v>
      </c>
      <c r="AF481" s="43" t="s">
        <v>26</v>
      </c>
      <c r="AG481" s="43" t="s">
        <v>35</v>
      </c>
      <c r="AH481" s="43" t="s">
        <v>36</v>
      </c>
      <c r="AI481">
        <v>4</v>
      </c>
      <c r="AJ481" s="43" t="s">
        <v>331</v>
      </c>
      <c r="AK481" s="43" t="s">
        <v>268</v>
      </c>
      <c r="AL481">
        <v>11.9</v>
      </c>
    </row>
    <row r="482" spans="31:38" x14ac:dyDescent="0.25">
      <c r="AE482" s="43" t="s">
        <v>34</v>
      </c>
      <c r="AF482" s="43" t="s">
        <v>26</v>
      </c>
      <c r="AG482" s="43" t="s">
        <v>35</v>
      </c>
      <c r="AH482" s="43" t="s">
        <v>36</v>
      </c>
      <c r="AI482">
        <v>4</v>
      </c>
      <c r="AJ482" s="43" t="s">
        <v>341</v>
      </c>
      <c r="AK482" s="43" t="s">
        <v>308</v>
      </c>
      <c r="AL482">
        <v>11.9</v>
      </c>
    </row>
    <row r="483" spans="31:38" x14ac:dyDescent="0.25">
      <c r="AE483" s="43" t="s">
        <v>34</v>
      </c>
      <c r="AF483" s="43" t="s">
        <v>26</v>
      </c>
      <c r="AG483" s="43" t="s">
        <v>35</v>
      </c>
      <c r="AH483" s="43" t="s">
        <v>36</v>
      </c>
      <c r="AI483">
        <v>4</v>
      </c>
      <c r="AJ483" s="43" t="s">
        <v>341</v>
      </c>
      <c r="AK483" s="43" t="s">
        <v>309</v>
      </c>
      <c r="AL483">
        <v>23.700000000000003</v>
      </c>
    </row>
    <row r="484" spans="31:38" x14ac:dyDescent="0.25">
      <c r="AE484" s="43" t="s">
        <v>34</v>
      </c>
      <c r="AF484" s="43" t="s">
        <v>26</v>
      </c>
      <c r="AG484" s="43" t="s">
        <v>35</v>
      </c>
      <c r="AH484" s="43" t="s">
        <v>36</v>
      </c>
      <c r="AI484">
        <v>4</v>
      </c>
      <c r="AJ484" s="43" t="s">
        <v>341</v>
      </c>
      <c r="AK484" s="43" t="s">
        <v>268</v>
      </c>
      <c r="AL484">
        <v>35.299999999999997</v>
      </c>
    </row>
    <row r="485" spans="31:38" x14ac:dyDescent="0.25">
      <c r="AE485" s="43" t="s">
        <v>34</v>
      </c>
      <c r="AF485" s="43" t="s">
        <v>26</v>
      </c>
      <c r="AG485" s="43" t="s">
        <v>35</v>
      </c>
      <c r="AH485" s="43" t="s">
        <v>36</v>
      </c>
      <c r="AI485">
        <v>4</v>
      </c>
      <c r="AJ485" s="43" t="s">
        <v>344</v>
      </c>
      <c r="AK485" s="43" t="s">
        <v>308</v>
      </c>
      <c r="AL485">
        <v>3.9666666666666668</v>
      </c>
    </row>
    <row r="486" spans="31:38" x14ac:dyDescent="0.25">
      <c r="AE486" s="43" t="s">
        <v>34</v>
      </c>
      <c r="AF486" s="43" t="s">
        <v>26</v>
      </c>
      <c r="AG486" s="43" t="s">
        <v>35</v>
      </c>
      <c r="AH486" s="43" t="s">
        <v>36</v>
      </c>
      <c r="AI486">
        <v>4</v>
      </c>
      <c r="AJ486" s="43" t="s">
        <v>344</v>
      </c>
      <c r="AK486" s="43" t="s">
        <v>309</v>
      </c>
      <c r="AL486">
        <v>7.9000000000000012</v>
      </c>
    </row>
    <row r="487" spans="31:38" x14ac:dyDescent="0.25">
      <c r="AE487" s="43" t="s">
        <v>34</v>
      </c>
      <c r="AF487" s="43" t="s">
        <v>26</v>
      </c>
      <c r="AG487" s="43" t="s">
        <v>35</v>
      </c>
      <c r="AH487" s="43" t="s">
        <v>36</v>
      </c>
      <c r="AI487">
        <v>4</v>
      </c>
      <c r="AJ487" s="43" t="s">
        <v>344</v>
      </c>
      <c r="AK487" s="43" t="s">
        <v>268</v>
      </c>
      <c r="AL487">
        <v>11.766666666666666</v>
      </c>
    </row>
    <row r="488" spans="31:38" x14ac:dyDescent="0.25">
      <c r="AE488" s="43" t="s">
        <v>32</v>
      </c>
      <c r="AF488" s="43" t="s">
        <v>26</v>
      </c>
      <c r="AG488" s="43" t="s">
        <v>33</v>
      </c>
      <c r="AH488" s="43" t="s">
        <v>31</v>
      </c>
      <c r="AI488">
        <v>4</v>
      </c>
      <c r="AJ488" s="43" t="s">
        <v>317</v>
      </c>
      <c r="AK488" s="43" t="s">
        <v>308</v>
      </c>
      <c r="AL488">
        <v>3.6</v>
      </c>
    </row>
    <row r="489" spans="31:38" x14ac:dyDescent="0.25">
      <c r="AE489" s="43" t="s">
        <v>32</v>
      </c>
      <c r="AF489" s="43" t="s">
        <v>26</v>
      </c>
      <c r="AG489" s="43" t="s">
        <v>33</v>
      </c>
      <c r="AH489" s="43" t="s">
        <v>31</v>
      </c>
      <c r="AI489">
        <v>4</v>
      </c>
      <c r="AJ489" s="43" t="s">
        <v>317</v>
      </c>
      <c r="AK489" s="43" t="s">
        <v>309</v>
      </c>
      <c r="AL489">
        <v>7</v>
      </c>
    </row>
    <row r="490" spans="31:38" x14ac:dyDescent="0.25">
      <c r="AE490" s="43" t="s">
        <v>32</v>
      </c>
      <c r="AF490" s="43" t="s">
        <v>26</v>
      </c>
      <c r="AG490" s="43" t="s">
        <v>33</v>
      </c>
      <c r="AH490" s="43" t="s">
        <v>31</v>
      </c>
      <c r="AI490">
        <v>4</v>
      </c>
      <c r="AJ490" s="43" t="s">
        <v>317</v>
      </c>
      <c r="AK490" s="43" t="s">
        <v>268</v>
      </c>
      <c r="AL490">
        <v>10.6</v>
      </c>
    </row>
    <row r="491" spans="31:38" x14ac:dyDescent="0.25">
      <c r="AE491" s="43" t="s">
        <v>32</v>
      </c>
      <c r="AF491" s="43" t="s">
        <v>26</v>
      </c>
      <c r="AG491" s="43" t="s">
        <v>33</v>
      </c>
      <c r="AH491" s="43" t="s">
        <v>31</v>
      </c>
      <c r="AI491">
        <v>4</v>
      </c>
      <c r="AJ491" s="43" t="s">
        <v>325</v>
      </c>
      <c r="AK491" s="43" t="s">
        <v>308</v>
      </c>
      <c r="AL491">
        <v>3.6</v>
      </c>
    </row>
    <row r="492" spans="31:38" x14ac:dyDescent="0.25">
      <c r="AE492" s="43" t="s">
        <v>32</v>
      </c>
      <c r="AF492" s="43" t="s">
        <v>26</v>
      </c>
      <c r="AG492" s="43" t="s">
        <v>33</v>
      </c>
      <c r="AH492" s="43" t="s">
        <v>31</v>
      </c>
      <c r="AI492">
        <v>4</v>
      </c>
      <c r="AJ492" s="43" t="s">
        <v>325</v>
      </c>
      <c r="AK492" s="43" t="s">
        <v>309</v>
      </c>
      <c r="AL492">
        <v>6.2</v>
      </c>
    </row>
    <row r="493" spans="31:38" x14ac:dyDescent="0.25">
      <c r="AE493" s="43" t="s">
        <v>32</v>
      </c>
      <c r="AF493" s="43" t="s">
        <v>26</v>
      </c>
      <c r="AG493" s="43" t="s">
        <v>33</v>
      </c>
      <c r="AH493" s="43" t="s">
        <v>31</v>
      </c>
      <c r="AI493">
        <v>4</v>
      </c>
      <c r="AJ493" s="43" t="s">
        <v>325</v>
      </c>
      <c r="AK493" s="43" t="s">
        <v>268</v>
      </c>
      <c r="AL493">
        <v>9.8000000000000007</v>
      </c>
    </row>
    <row r="494" spans="31:38" x14ac:dyDescent="0.25">
      <c r="AE494" s="43" t="s">
        <v>32</v>
      </c>
      <c r="AF494" s="43" t="s">
        <v>26</v>
      </c>
      <c r="AG494" s="43" t="s">
        <v>33</v>
      </c>
      <c r="AH494" s="43" t="s">
        <v>31</v>
      </c>
      <c r="AI494">
        <v>4</v>
      </c>
      <c r="AJ494" s="43" t="s">
        <v>330</v>
      </c>
      <c r="AK494" s="43" t="s">
        <v>308</v>
      </c>
      <c r="AL494">
        <v>3.4</v>
      </c>
    </row>
    <row r="495" spans="31:38" x14ac:dyDescent="0.25">
      <c r="AE495" s="43" t="s">
        <v>32</v>
      </c>
      <c r="AF495" s="43" t="s">
        <v>26</v>
      </c>
      <c r="AG495" s="43" t="s">
        <v>33</v>
      </c>
      <c r="AH495" s="43" t="s">
        <v>31</v>
      </c>
      <c r="AI495">
        <v>4</v>
      </c>
      <c r="AJ495" s="43" t="s">
        <v>330</v>
      </c>
      <c r="AK495" s="43" t="s">
        <v>309</v>
      </c>
      <c r="AL495">
        <v>7.95</v>
      </c>
    </row>
    <row r="496" spans="31:38" x14ac:dyDescent="0.25">
      <c r="AE496" s="43" t="s">
        <v>32</v>
      </c>
      <c r="AF496" s="43" t="s">
        <v>26</v>
      </c>
      <c r="AG496" s="43" t="s">
        <v>33</v>
      </c>
      <c r="AH496" s="43" t="s">
        <v>31</v>
      </c>
      <c r="AI496">
        <v>4</v>
      </c>
      <c r="AJ496" s="43" t="s">
        <v>330</v>
      </c>
      <c r="AK496" s="43" t="s">
        <v>268</v>
      </c>
      <c r="AL496">
        <v>11.35</v>
      </c>
    </row>
    <row r="497" spans="31:38" x14ac:dyDescent="0.25">
      <c r="AE497" s="43" t="s">
        <v>32</v>
      </c>
      <c r="AF497" s="43" t="s">
        <v>26</v>
      </c>
      <c r="AG497" s="43" t="s">
        <v>33</v>
      </c>
      <c r="AH497" s="43" t="s">
        <v>31</v>
      </c>
      <c r="AI497">
        <v>4</v>
      </c>
      <c r="AJ497" s="43" t="s">
        <v>331</v>
      </c>
      <c r="AK497" s="43" t="s">
        <v>308</v>
      </c>
      <c r="AL497">
        <v>3.6</v>
      </c>
    </row>
    <row r="498" spans="31:38" x14ac:dyDescent="0.25">
      <c r="AE498" s="43" t="s">
        <v>32</v>
      </c>
      <c r="AF498" s="43" t="s">
        <v>26</v>
      </c>
      <c r="AG498" s="43" t="s">
        <v>33</v>
      </c>
      <c r="AH498" s="43" t="s">
        <v>31</v>
      </c>
      <c r="AI498">
        <v>4</v>
      </c>
      <c r="AJ498" s="43" t="s">
        <v>331</v>
      </c>
      <c r="AK498" s="43" t="s">
        <v>309</v>
      </c>
      <c r="AL498">
        <v>8.3000000000000007</v>
      </c>
    </row>
    <row r="499" spans="31:38" x14ac:dyDescent="0.25">
      <c r="AE499" s="43" t="s">
        <v>32</v>
      </c>
      <c r="AF499" s="43" t="s">
        <v>26</v>
      </c>
      <c r="AG499" s="43" t="s">
        <v>33</v>
      </c>
      <c r="AH499" s="43" t="s">
        <v>31</v>
      </c>
      <c r="AI499">
        <v>4</v>
      </c>
      <c r="AJ499" s="43" t="s">
        <v>331</v>
      </c>
      <c r="AK499" s="43" t="s">
        <v>268</v>
      </c>
      <c r="AL499">
        <v>11.9</v>
      </c>
    </row>
    <row r="500" spans="31:38" x14ac:dyDescent="0.25">
      <c r="AE500" s="43" t="s">
        <v>32</v>
      </c>
      <c r="AF500" s="43" t="s">
        <v>26</v>
      </c>
      <c r="AG500" s="43" t="s">
        <v>33</v>
      </c>
      <c r="AH500" s="43" t="s">
        <v>31</v>
      </c>
      <c r="AI500">
        <v>4</v>
      </c>
      <c r="AJ500" s="43" t="s">
        <v>341</v>
      </c>
      <c r="AK500" s="43" t="s">
        <v>308</v>
      </c>
      <c r="AL500">
        <v>10.8</v>
      </c>
    </row>
    <row r="501" spans="31:38" x14ac:dyDescent="0.25">
      <c r="AE501" s="43" t="s">
        <v>32</v>
      </c>
      <c r="AF501" s="43" t="s">
        <v>26</v>
      </c>
      <c r="AG501" s="43" t="s">
        <v>33</v>
      </c>
      <c r="AH501" s="43" t="s">
        <v>31</v>
      </c>
      <c r="AI501">
        <v>4</v>
      </c>
      <c r="AJ501" s="43" t="s">
        <v>341</v>
      </c>
      <c r="AK501" s="43" t="s">
        <v>309</v>
      </c>
      <c r="AL501">
        <v>23.25</v>
      </c>
    </row>
    <row r="502" spans="31:38" x14ac:dyDescent="0.25">
      <c r="AE502" s="43" t="s">
        <v>32</v>
      </c>
      <c r="AF502" s="43" t="s">
        <v>26</v>
      </c>
      <c r="AG502" s="43" t="s">
        <v>33</v>
      </c>
      <c r="AH502" s="43" t="s">
        <v>31</v>
      </c>
      <c r="AI502">
        <v>4</v>
      </c>
      <c r="AJ502" s="43" t="s">
        <v>341</v>
      </c>
      <c r="AK502" s="43" t="s">
        <v>268</v>
      </c>
      <c r="AL502">
        <v>33.85</v>
      </c>
    </row>
    <row r="503" spans="31:38" x14ac:dyDescent="0.25">
      <c r="AE503" s="43" t="s">
        <v>32</v>
      </c>
      <c r="AF503" s="43" t="s">
        <v>26</v>
      </c>
      <c r="AG503" s="43" t="s">
        <v>33</v>
      </c>
      <c r="AH503" s="43" t="s">
        <v>31</v>
      </c>
      <c r="AI503">
        <v>4</v>
      </c>
      <c r="AJ503" s="43" t="s">
        <v>344</v>
      </c>
      <c r="AK503" s="43" t="s">
        <v>308</v>
      </c>
      <c r="AL503">
        <v>3.6</v>
      </c>
    </row>
    <row r="504" spans="31:38" x14ac:dyDescent="0.25">
      <c r="AE504" s="43" t="s">
        <v>32</v>
      </c>
      <c r="AF504" s="43" t="s">
        <v>26</v>
      </c>
      <c r="AG504" s="43" t="s">
        <v>33</v>
      </c>
      <c r="AH504" s="43" t="s">
        <v>31</v>
      </c>
      <c r="AI504">
        <v>4</v>
      </c>
      <c r="AJ504" s="43" t="s">
        <v>344</v>
      </c>
      <c r="AK504" s="43" t="s">
        <v>309</v>
      </c>
      <c r="AL504">
        <v>7.75</v>
      </c>
    </row>
    <row r="505" spans="31:38" x14ac:dyDescent="0.25">
      <c r="AE505" s="43" t="s">
        <v>32</v>
      </c>
      <c r="AF505" s="43" t="s">
        <v>26</v>
      </c>
      <c r="AG505" s="43" t="s">
        <v>33</v>
      </c>
      <c r="AH505" s="43" t="s">
        <v>31</v>
      </c>
      <c r="AI505">
        <v>4</v>
      </c>
      <c r="AJ505" s="43" t="s">
        <v>344</v>
      </c>
      <c r="AK505" s="43" t="s">
        <v>268</v>
      </c>
      <c r="AL505">
        <v>11.283333333333333</v>
      </c>
    </row>
    <row r="506" spans="31:38" x14ac:dyDescent="0.25">
      <c r="AE506" s="43" t="s">
        <v>44</v>
      </c>
      <c r="AF506" s="43" t="s">
        <v>26</v>
      </c>
      <c r="AG506" s="43" t="s">
        <v>45</v>
      </c>
      <c r="AH506" s="43" t="s">
        <v>39</v>
      </c>
      <c r="AI506">
        <v>4</v>
      </c>
      <c r="AJ506" s="43" t="s">
        <v>317</v>
      </c>
      <c r="AK506" s="43" t="s">
        <v>308</v>
      </c>
      <c r="AL506">
        <v>3</v>
      </c>
    </row>
    <row r="507" spans="31:38" x14ac:dyDescent="0.25">
      <c r="AE507" s="43" t="s">
        <v>44</v>
      </c>
      <c r="AF507" s="43" t="s">
        <v>26</v>
      </c>
      <c r="AG507" s="43" t="s">
        <v>45</v>
      </c>
      <c r="AH507" s="43" t="s">
        <v>39</v>
      </c>
      <c r="AI507">
        <v>4</v>
      </c>
      <c r="AJ507" s="43" t="s">
        <v>317</v>
      </c>
      <c r="AK507" s="43" t="s">
        <v>309</v>
      </c>
      <c r="AL507">
        <v>8.6</v>
      </c>
    </row>
    <row r="508" spans="31:38" x14ac:dyDescent="0.25">
      <c r="AE508" s="43" t="s">
        <v>44</v>
      </c>
      <c r="AF508" s="43" t="s">
        <v>26</v>
      </c>
      <c r="AG508" s="43" t="s">
        <v>45</v>
      </c>
      <c r="AH508" s="43" t="s">
        <v>39</v>
      </c>
      <c r="AI508">
        <v>4</v>
      </c>
      <c r="AJ508" s="43" t="s">
        <v>317</v>
      </c>
      <c r="AK508" s="43" t="s">
        <v>268</v>
      </c>
      <c r="AL508">
        <v>11.6</v>
      </c>
    </row>
    <row r="509" spans="31:38" x14ac:dyDescent="0.25">
      <c r="AE509" s="43" t="s">
        <v>44</v>
      </c>
      <c r="AF509" s="43" t="s">
        <v>26</v>
      </c>
      <c r="AG509" s="43" t="s">
        <v>45</v>
      </c>
      <c r="AH509" s="43" t="s">
        <v>39</v>
      </c>
      <c r="AI509">
        <v>4</v>
      </c>
      <c r="AJ509" s="43" t="s">
        <v>325</v>
      </c>
      <c r="AK509" s="43" t="s">
        <v>308</v>
      </c>
      <c r="AL509">
        <v>3</v>
      </c>
    </row>
    <row r="510" spans="31:38" x14ac:dyDescent="0.25">
      <c r="AE510" s="43" t="s">
        <v>44</v>
      </c>
      <c r="AF510" s="43" t="s">
        <v>26</v>
      </c>
      <c r="AG510" s="43" t="s">
        <v>45</v>
      </c>
      <c r="AH510" s="43" t="s">
        <v>39</v>
      </c>
      <c r="AI510">
        <v>4</v>
      </c>
      <c r="AJ510" s="43" t="s">
        <v>325</v>
      </c>
      <c r="AK510" s="43" t="s">
        <v>309</v>
      </c>
      <c r="AL510">
        <v>7.2</v>
      </c>
    </row>
    <row r="511" spans="31:38" x14ac:dyDescent="0.25">
      <c r="AE511" s="43" t="s">
        <v>44</v>
      </c>
      <c r="AF511" s="43" t="s">
        <v>26</v>
      </c>
      <c r="AG511" s="43" t="s">
        <v>45</v>
      </c>
      <c r="AH511" s="43" t="s">
        <v>39</v>
      </c>
      <c r="AI511">
        <v>4</v>
      </c>
      <c r="AJ511" s="43" t="s">
        <v>325</v>
      </c>
      <c r="AK511" s="43" t="s">
        <v>268</v>
      </c>
      <c r="AL511">
        <v>10.199999999999999</v>
      </c>
    </row>
    <row r="512" spans="31:38" x14ac:dyDescent="0.25">
      <c r="AE512" s="43" t="s">
        <v>44</v>
      </c>
      <c r="AF512" s="43" t="s">
        <v>26</v>
      </c>
      <c r="AG512" s="43" t="s">
        <v>45</v>
      </c>
      <c r="AH512" s="43" t="s">
        <v>39</v>
      </c>
      <c r="AI512">
        <v>4</v>
      </c>
      <c r="AJ512" s="43" t="s">
        <v>330</v>
      </c>
      <c r="AK512" s="43" t="s">
        <v>308</v>
      </c>
      <c r="AL512">
        <v>3</v>
      </c>
    </row>
    <row r="513" spans="31:38" x14ac:dyDescent="0.25">
      <c r="AE513" s="43" t="s">
        <v>44</v>
      </c>
      <c r="AF513" s="43" t="s">
        <v>26</v>
      </c>
      <c r="AG513" s="43" t="s">
        <v>45</v>
      </c>
      <c r="AH513" s="43" t="s">
        <v>39</v>
      </c>
      <c r="AI513">
        <v>4</v>
      </c>
      <c r="AJ513" s="43" t="s">
        <v>330</v>
      </c>
      <c r="AK513" s="43" t="s">
        <v>309</v>
      </c>
      <c r="AL513">
        <v>5.75</v>
      </c>
    </row>
    <row r="514" spans="31:38" x14ac:dyDescent="0.25">
      <c r="AE514" s="43" t="s">
        <v>44</v>
      </c>
      <c r="AF514" s="43" t="s">
        <v>26</v>
      </c>
      <c r="AG514" s="43" t="s">
        <v>45</v>
      </c>
      <c r="AH514" s="43" t="s">
        <v>39</v>
      </c>
      <c r="AI514">
        <v>4</v>
      </c>
      <c r="AJ514" s="43" t="s">
        <v>330</v>
      </c>
      <c r="AK514" s="43" t="s">
        <v>268</v>
      </c>
      <c r="AL514">
        <v>8.75</v>
      </c>
    </row>
    <row r="515" spans="31:38" x14ac:dyDescent="0.25">
      <c r="AE515" s="43" t="s">
        <v>44</v>
      </c>
      <c r="AF515" s="43" t="s">
        <v>26</v>
      </c>
      <c r="AG515" s="43" t="s">
        <v>45</v>
      </c>
      <c r="AH515" s="43" t="s">
        <v>39</v>
      </c>
      <c r="AI515">
        <v>4</v>
      </c>
      <c r="AJ515" s="43" t="s">
        <v>331</v>
      </c>
      <c r="AK515" s="43" t="s">
        <v>308</v>
      </c>
      <c r="AL515">
        <v>2.8</v>
      </c>
    </row>
    <row r="516" spans="31:38" x14ac:dyDescent="0.25">
      <c r="AE516" s="43" t="s">
        <v>44</v>
      </c>
      <c r="AF516" s="43" t="s">
        <v>26</v>
      </c>
      <c r="AG516" s="43" t="s">
        <v>45</v>
      </c>
      <c r="AH516" s="43" t="s">
        <v>39</v>
      </c>
      <c r="AI516">
        <v>4</v>
      </c>
      <c r="AJ516" s="43" t="s">
        <v>331</v>
      </c>
      <c r="AK516" s="43" t="s">
        <v>309</v>
      </c>
      <c r="AL516">
        <v>8.5</v>
      </c>
    </row>
    <row r="517" spans="31:38" x14ac:dyDescent="0.25">
      <c r="AE517" s="43" t="s">
        <v>44</v>
      </c>
      <c r="AF517" s="43" t="s">
        <v>26</v>
      </c>
      <c r="AG517" s="43" t="s">
        <v>45</v>
      </c>
      <c r="AH517" s="43" t="s">
        <v>39</v>
      </c>
      <c r="AI517">
        <v>4</v>
      </c>
      <c r="AJ517" s="43" t="s">
        <v>331</v>
      </c>
      <c r="AK517" s="43" t="s">
        <v>268</v>
      </c>
      <c r="AL517">
        <v>11.3</v>
      </c>
    </row>
    <row r="518" spans="31:38" x14ac:dyDescent="0.25">
      <c r="AE518" s="43" t="s">
        <v>44</v>
      </c>
      <c r="AF518" s="43" t="s">
        <v>26</v>
      </c>
      <c r="AG518" s="43" t="s">
        <v>45</v>
      </c>
      <c r="AH518" s="43" t="s">
        <v>39</v>
      </c>
      <c r="AI518">
        <v>4</v>
      </c>
      <c r="AJ518" s="43" t="s">
        <v>341</v>
      </c>
      <c r="AK518" s="43" t="s">
        <v>308</v>
      </c>
      <c r="AL518">
        <v>9</v>
      </c>
    </row>
    <row r="519" spans="31:38" x14ac:dyDescent="0.25">
      <c r="AE519" s="43" t="s">
        <v>44</v>
      </c>
      <c r="AF519" s="43" t="s">
        <v>26</v>
      </c>
      <c r="AG519" s="43" t="s">
        <v>45</v>
      </c>
      <c r="AH519" s="43" t="s">
        <v>39</v>
      </c>
      <c r="AI519">
        <v>4</v>
      </c>
      <c r="AJ519" s="43" t="s">
        <v>341</v>
      </c>
      <c r="AK519" s="43" t="s">
        <v>309</v>
      </c>
      <c r="AL519">
        <v>24.3</v>
      </c>
    </row>
    <row r="520" spans="31:38" x14ac:dyDescent="0.25">
      <c r="AE520" s="43" t="s">
        <v>44</v>
      </c>
      <c r="AF520" s="43" t="s">
        <v>26</v>
      </c>
      <c r="AG520" s="43" t="s">
        <v>45</v>
      </c>
      <c r="AH520" s="43" t="s">
        <v>39</v>
      </c>
      <c r="AI520">
        <v>4</v>
      </c>
      <c r="AJ520" s="43" t="s">
        <v>341</v>
      </c>
      <c r="AK520" s="43" t="s">
        <v>268</v>
      </c>
      <c r="AL520">
        <v>33.099999999999994</v>
      </c>
    </row>
    <row r="521" spans="31:38" x14ac:dyDescent="0.25">
      <c r="AE521" s="43" t="s">
        <v>44</v>
      </c>
      <c r="AF521" s="43" t="s">
        <v>26</v>
      </c>
      <c r="AG521" s="43" t="s">
        <v>45</v>
      </c>
      <c r="AH521" s="43" t="s">
        <v>39</v>
      </c>
      <c r="AI521">
        <v>4</v>
      </c>
      <c r="AJ521" s="43" t="s">
        <v>344</v>
      </c>
      <c r="AK521" s="43" t="s">
        <v>308</v>
      </c>
      <c r="AL521">
        <v>3</v>
      </c>
    </row>
    <row r="522" spans="31:38" x14ac:dyDescent="0.25">
      <c r="AE522" s="43" t="s">
        <v>44</v>
      </c>
      <c r="AF522" s="43" t="s">
        <v>26</v>
      </c>
      <c r="AG522" s="43" t="s">
        <v>45</v>
      </c>
      <c r="AH522" s="43" t="s">
        <v>39</v>
      </c>
      <c r="AI522">
        <v>4</v>
      </c>
      <c r="AJ522" s="43" t="s">
        <v>344</v>
      </c>
      <c r="AK522" s="43" t="s">
        <v>309</v>
      </c>
      <c r="AL522">
        <v>8.1</v>
      </c>
    </row>
    <row r="523" spans="31:38" x14ac:dyDescent="0.25">
      <c r="AE523" s="43" t="s">
        <v>44</v>
      </c>
      <c r="AF523" s="43" t="s">
        <v>26</v>
      </c>
      <c r="AG523" s="43" t="s">
        <v>45</v>
      </c>
      <c r="AH523" s="43" t="s">
        <v>39</v>
      </c>
      <c r="AI523">
        <v>4</v>
      </c>
      <c r="AJ523" s="43" t="s">
        <v>344</v>
      </c>
      <c r="AK523" s="43" t="s">
        <v>268</v>
      </c>
      <c r="AL523">
        <v>11.033333333333331</v>
      </c>
    </row>
    <row r="524" spans="31:38" x14ac:dyDescent="0.25">
      <c r="AE524" s="43" t="s">
        <v>40</v>
      </c>
      <c r="AF524" s="43" t="s">
        <v>26</v>
      </c>
      <c r="AG524" s="43" t="s">
        <v>41</v>
      </c>
      <c r="AH524" s="43" t="s">
        <v>39</v>
      </c>
      <c r="AI524">
        <v>3</v>
      </c>
      <c r="AJ524" s="43" t="s">
        <v>317</v>
      </c>
      <c r="AK524" s="43" t="s">
        <v>308</v>
      </c>
      <c r="AL524">
        <v>0</v>
      </c>
    </row>
    <row r="525" spans="31:38" x14ac:dyDescent="0.25">
      <c r="AE525" s="43" t="s">
        <v>40</v>
      </c>
      <c r="AF525" s="43" t="s">
        <v>26</v>
      </c>
      <c r="AG525" s="43" t="s">
        <v>41</v>
      </c>
      <c r="AH525" s="43" t="s">
        <v>39</v>
      </c>
      <c r="AI525">
        <v>3</v>
      </c>
      <c r="AJ525" s="43" t="s">
        <v>317</v>
      </c>
      <c r="AK525" s="43" t="s">
        <v>309</v>
      </c>
      <c r="AL525">
        <v>0</v>
      </c>
    </row>
    <row r="526" spans="31:38" x14ac:dyDescent="0.25">
      <c r="AE526" s="43" t="s">
        <v>40</v>
      </c>
      <c r="AF526" s="43" t="s">
        <v>26</v>
      </c>
      <c r="AG526" s="43" t="s">
        <v>41</v>
      </c>
      <c r="AH526" s="43" t="s">
        <v>39</v>
      </c>
      <c r="AI526">
        <v>3</v>
      </c>
      <c r="AJ526" s="43" t="s">
        <v>317</v>
      </c>
      <c r="AK526" s="43" t="s">
        <v>268</v>
      </c>
      <c r="AL526">
        <v>0</v>
      </c>
    </row>
    <row r="527" spans="31:38" x14ac:dyDescent="0.25">
      <c r="AE527" s="43" t="s">
        <v>40</v>
      </c>
      <c r="AF527" s="43" t="s">
        <v>26</v>
      </c>
      <c r="AG527" s="43" t="s">
        <v>41</v>
      </c>
      <c r="AH527" s="43" t="s">
        <v>39</v>
      </c>
      <c r="AI527">
        <v>3</v>
      </c>
      <c r="AJ527" s="43" t="s">
        <v>325</v>
      </c>
      <c r="AK527" s="43" t="s">
        <v>308</v>
      </c>
      <c r="AL527">
        <v>2.9</v>
      </c>
    </row>
    <row r="528" spans="31:38" x14ac:dyDescent="0.25">
      <c r="AE528" s="43" t="s">
        <v>40</v>
      </c>
      <c r="AF528" s="43" t="s">
        <v>26</v>
      </c>
      <c r="AG528" s="43" t="s">
        <v>41</v>
      </c>
      <c r="AH528" s="43" t="s">
        <v>39</v>
      </c>
      <c r="AI528">
        <v>3</v>
      </c>
      <c r="AJ528" s="43" t="s">
        <v>325</v>
      </c>
      <c r="AK528" s="43" t="s">
        <v>309</v>
      </c>
      <c r="AL528">
        <v>7.2</v>
      </c>
    </row>
    <row r="529" spans="31:38" x14ac:dyDescent="0.25">
      <c r="AE529" s="43" t="s">
        <v>40</v>
      </c>
      <c r="AF529" s="43" t="s">
        <v>26</v>
      </c>
      <c r="AG529" s="43" t="s">
        <v>41</v>
      </c>
      <c r="AH529" s="43" t="s">
        <v>39</v>
      </c>
      <c r="AI529">
        <v>3</v>
      </c>
      <c r="AJ529" s="43" t="s">
        <v>325</v>
      </c>
      <c r="AK529" s="43" t="s">
        <v>268</v>
      </c>
      <c r="AL529">
        <v>10.1</v>
      </c>
    </row>
    <row r="530" spans="31:38" x14ac:dyDescent="0.25">
      <c r="AE530" s="43" t="s">
        <v>40</v>
      </c>
      <c r="AF530" s="43" t="s">
        <v>26</v>
      </c>
      <c r="AG530" s="43" t="s">
        <v>41</v>
      </c>
      <c r="AH530" s="43" t="s">
        <v>39</v>
      </c>
      <c r="AI530">
        <v>3</v>
      </c>
      <c r="AJ530" s="43" t="s">
        <v>330</v>
      </c>
      <c r="AK530" s="43" t="s">
        <v>308</v>
      </c>
      <c r="AL530">
        <v>2.9</v>
      </c>
    </row>
    <row r="531" spans="31:38" x14ac:dyDescent="0.25">
      <c r="AE531" s="43" t="s">
        <v>40</v>
      </c>
      <c r="AF531" s="43" t="s">
        <v>26</v>
      </c>
      <c r="AG531" s="43" t="s">
        <v>41</v>
      </c>
      <c r="AH531" s="43" t="s">
        <v>39</v>
      </c>
      <c r="AI531">
        <v>3</v>
      </c>
      <c r="AJ531" s="43" t="s">
        <v>330</v>
      </c>
      <c r="AK531" s="43" t="s">
        <v>309</v>
      </c>
      <c r="AL531">
        <v>8.15</v>
      </c>
    </row>
    <row r="532" spans="31:38" x14ac:dyDescent="0.25">
      <c r="AE532" s="43" t="s">
        <v>40</v>
      </c>
      <c r="AF532" s="43" t="s">
        <v>26</v>
      </c>
      <c r="AG532" s="43" t="s">
        <v>41</v>
      </c>
      <c r="AH532" s="43" t="s">
        <v>39</v>
      </c>
      <c r="AI532">
        <v>3</v>
      </c>
      <c r="AJ532" s="43" t="s">
        <v>330</v>
      </c>
      <c r="AK532" s="43" t="s">
        <v>268</v>
      </c>
      <c r="AL532">
        <v>11.05</v>
      </c>
    </row>
    <row r="533" spans="31:38" x14ac:dyDescent="0.25">
      <c r="AE533" s="43" t="s">
        <v>40</v>
      </c>
      <c r="AF533" s="43" t="s">
        <v>26</v>
      </c>
      <c r="AG533" s="43" t="s">
        <v>41</v>
      </c>
      <c r="AH533" s="43" t="s">
        <v>39</v>
      </c>
      <c r="AI533">
        <v>3</v>
      </c>
      <c r="AJ533" s="43" t="s">
        <v>331</v>
      </c>
      <c r="AK533" s="43" t="s">
        <v>308</v>
      </c>
      <c r="AL533">
        <v>2.9</v>
      </c>
    </row>
    <row r="534" spans="31:38" x14ac:dyDescent="0.25">
      <c r="AE534" s="43" t="s">
        <v>40</v>
      </c>
      <c r="AF534" s="43" t="s">
        <v>26</v>
      </c>
      <c r="AG534" s="43" t="s">
        <v>41</v>
      </c>
      <c r="AH534" s="43" t="s">
        <v>39</v>
      </c>
      <c r="AI534">
        <v>3</v>
      </c>
      <c r="AJ534" s="43" t="s">
        <v>331</v>
      </c>
      <c r="AK534" s="43" t="s">
        <v>309</v>
      </c>
      <c r="AL534">
        <v>8.1</v>
      </c>
    </row>
    <row r="535" spans="31:38" x14ac:dyDescent="0.25">
      <c r="AE535" s="43" t="s">
        <v>40</v>
      </c>
      <c r="AF535" s="43" t="s">
        <v>26</v>
      </c>
      <c r="AG535" s="43" t="s">
        <v>41</v>
      </c>
      <c r="AH535" s="43" t="s">
        <v>39</v>
      </c>
      <c r="AI535">
        <v>3</v>
      </c>
      <c r="AJ535" s="43" t="s">
        <v>331</v>
      </c>
      <c r="AK535" s="43" t="s">
        <v>268</v>
      </c>
      <c r="AL535">
        <v>11</v>
      </c>
    </row>
    <row r="536" spans="31:38" x14ac:dyDescent="0.25">
      <c r="AE536" s="43" t="s">
        <v>40</v>
      </c>
      <c r="AF536" s="43" t="s">
        <v>26</v>
      </c>
      <c r="AG536" s="43" t="s">
        <v>41</v>
      </c>
      <c r="AH536" s="43" t="s">
        <v>39</v>
      </c>
      <c r="AI536">
        <v>3</v>
      </c>
      <c r="AJ536" s="43" t="s">
        <v>341</v>
      </c>
      <c r="AK536" s="43" t="s">
        <v>308</v>
      </c>
      <c r="AL536">
        <v>8.6999999999999993</v>
      </c>
    </row>
    <row r="537" spans="31:38" x14ac:dyDescent="0.25">
      <c r="AE537" s="43" t="s">
        <v>40</v>
      </c>
      <c r="AF537" s="43" t="s">
        <v>26</v>
      </c>
      <c r="AG537" s="43" t="s">
        <v>41</v>
      </c>
      <c r="AH537" s="43" t="s">
        <v>39</v>
      </c>
      <c r="AI537">
        <v>3</v>
      </c>
      <c r="AJ537" s="43" t="s">
        <v>341</v>
      </c>
      <c r="AK537" s="43" t="s">
        <v>309</v>
      </c>
      <c r="AL537">
        <v>23.45</v>
      </c>
    </row>
    <row r="538" spans="31:38" x14ac:dyDescent="0.25">
      <c r="AE538" s="43" t="s">
        <v>40</v>
      </c>
      <c r="AF538" s="43" t="s">
        <v>26</v>
      </c>
      <c r="AG538" s="43" t="s">
        <v>41</v>
      </c>
      <c r="AH538" s="43" t="s">
        <v>39</v>
      </c>
      <c r="AI538">
        <v>3</v>
      </c>
      <c r="AJ538" s="43" t="s">
        <v>341</v>
      </c>
      <c r="AK538" s="43" t="s">
        <v>268</v>
      </c>
      <c r="AL538">
        <v>32.15</v>
      </c>
    </row>
    <row r="539" spans="31:38" x14ac:dyDescent="0.25">
      <c r="AE539" s="43" t="s">
        <v>40</v>
      </c>
      <c r="AF539" s="43" t="s">
        <v>26</v>
      </c>
      <c r="AG539" s="43" t="s">
        <v>41</v>
      </c>
      <c r="AH539" s="43" t="s">
        <v>39</v>
      </c>
      <c r="AI539">
        <v>3</v>
      </c>
      <c r="AJ539" s="43" t="s">
        <v>344</v>
      </c>
      <c r="AK539" s="43" t="s">
        <v>308</v>
      </c>
      <c r="AL539">
        <v>2.9</v>
      </c>
    </row>
    <row r="540" spans="31:38" x14ac:dyDescent="0.25">
      <c r="AE540" s="43" t="s">
        <v>40</v>
      </c>
      <c r="AF540" s="43" t="s">
        <v>26</v>
      </c>
      <c r="AG540" s="43" t="s">
        <v>41</v>
      </c>
      <c r="AH540" s="43" t="s">
        <v>39</v>
      </c>
      <c r="AI540">
        <v>3</v>
      </c>
      <c r="AJ540" s="43" t="s">
        <v>344</v>
      </c>
      <c r="AK540" s="43" t="s">
        <v>309</v>
      </c>
      <c r="AL540">
        <v>7.8166666666666664</v>
      </c>
    </row>
    <row r="541" spans="31:38" x14ac:dyDescent="0.25">
      <c r="AE541" s="43" t="s">
        <v>40</v>
      </c>
      <c r="AF541" s="43" t="s">
        <v>26</v>
      </c>
      <c r="AG541" s="43" t="s">
        <v>41</v>
      </c>
      <c r="AH541" s="43" t="s">
        <v>39</v>
      </c>
      <c r="AI541">
        <v>3</v>
      </c>
      <c r="AJ541" s="43" t="s">
        <v>344</v>
      </c>
      <c r="AK541" s="43" t="s">
        <v>268</v>
      </c>
      <c r="AL541">
        <v>10.716666666666667</v>
      </c>
    </row>
    <row r="542" spans="31:38" x14ac:dyDescent="0.25">
      <c r="AE542" s="43" t="s">
        <v>29</v>
      </c>
      <c r="AF542" s="43" t="s">
        <v>26</v>
      </c>
      <c r="AG542" s="43" t="s">
        <v>30</v>
      </c>
      <c r="AH542" s="43" t="s">
        <v>31</v>
      </c>
      <c r="AI542">
        <v>3</v>
      </c>
      <c r="AJ542" s="43" t="s">
        <v>317</v>
      </c>
      <c r="AK542" s="43" t="s">
        <v>308</v>
      </c>
      <c r="AL542">
        <v>3.3</v>
      </c>
    </row>
    <row r="543" spans="31:38" x14ac:dyDescent="0.25">
      <c r="AE543" s="43" t="s">
        <v>29</v>
      </c>
      <c r="AF543" s="43" t="s">
        <v>26</v>
      </c>
      <c r="AG543" s="43" t="s">
        <v>30</v>
      </c>
      <c r="AH543" s="43" t="s">
        <v>31</v>
      </c>
      <c r="AI543">
        <v>3</v>
      </c>
      <c r="AJ543" s="43" t="s">
        <v>317</v>
      </c>
      <c r="AK543" s="43" t="s">
        <v>309</v>
      </c>
      <c r="AL543">
        <v>6.65</v>
      </c>
    </row>
    <row r="544" spans="31:38" x14ac:dyDescent="0.25">
      <c r="AE544" s="43" t="s">
        <v>29</v>
      </c>
      <c r="AF544" s="43" t="s">
        <v>26</v>
      </c>
      <c r="AG544" s="43" t="s">
        <v>30</v>
      </c>
      <c r="AH544" s="43" t="s">
        <v>31</v>
      </c>
      <c r="AI544">
        <v>3</v>
      </c>
      <c r="AJ544" s="43" t="s">
        <v>317</v>
      </c>
      <c r="AK544" s="43" t="s">
        <v>268</v>
      </c>
      <c r="AL544">
        <v>9.9499999999999993</v>
      </c>
    </row>
    <row r="545" spans="31:38" x14ac:dyDescent="0.25">
      <c r="AE545" s="43" t="s">
        <v>29</v>
      </c>
      <c r="AF545" s="43" t="s">
        <v>26</v>
      </c>
      <c r="AG545" s="43" t="s">
        <v>30</v>
      </c>
      <c r="AH545" s="43" t="s">
        <v>31</v>
      </c>
      <c r="AI545">
        <v>3</v>
      </c>
      <c r="AJ545" s="43" t="s">
        <v>325</v>
      </c>
      <c r="AK545" s="43" t="s">
        <v>308</v>
      </c>
      <c r="AL545">
        <v>3.6</v>
      </c>
    </row>
    <row r="546" spans="31:38" x14ac:dyDescent="0.25">
      <c r="AE546" s="43" t="s">
        <v>29</v>
      </c>
      <c r="AF546" s="43" t="s">
        <v>26</v>
      </c>
      <c r="AG546" s="43" t="s">
        <v>30</v>
      </c>
      <c r="AH546" s="43" t="s">
        <v>31</v>
      </c>
      <c r="AI546">
        <v>3</v>
      </c>
      <c r="AJ546" s="43" t="s">
        <v>325</v>
      </c>
      <c r="AK546" s="43" t="s">
        <v>309</v>
      </c>
      <c r="AL546">
        <v>8.35</v>
      </c>
    </row>
    <row r="547" spans="31:38" x14ac:dyDescent="0.25">
      <c r="AE547" s="43" t="s">
        <v>29</v>
      </c>
      <c r="AF547" s="43" t="s">
        <v>26</v>
      </c>
      <c r="AG547" s="43" t="s">
        <v>30</v>
      </c>
      <c r="AH547" s="43" t="s">
        <v>31</v>
      </c>
      <c r="AI547">
        <v>3</v>
      </c>
      <c r="AJ547" s="43" t="s">
        <v>325</v>
      </c>
      <c r="AK547" s="43" t="s">
        <v>268</v>
      </c>
      <c r="AL547">
        <v>11.95</v>
      </c>
    </row>
    <row r="548" spans="31:38" x14ac:dyDescent="0.25">
      <c r="AE548" s="43" t="s">
        <v>29</v>
      </c>
      <c r="AF548" s="43" t="s">
        <v>26</v>
      </c>
      <c r="AG548" s="43" t="s">
        <v>30</v>
      </c>
      <c r="AH548" s="43" t="s">
        <v>31</v>
      </c>
      <c r="AI548">
        <v>3</v>
      </c>
      <c r="AJ548" s="43" t="s">
        <v>330</v>
      </c>
      <c r="AK548" s="43" t="s">
        <v>308</v>
      </c>
      <c r="AL548">
        <v>0</v>
      </c>
    </row>
    <row r="549" spans="31:38" x14ac:dyDescent="0.25">
      <c r="AE549" s="43" t="s">
        <v>29</v>
      </c>
      <c r="AF549" s="43" t="s">
        <v>26</v>
      </c>
      <c r="AG549" s="43" t="s">
        <v>30</v>
      </c>
      <c r="AH549" s="43" t="s">
        <v>31</v>
      </c>
      <c r="AI549">
        <v>3</v>
      </c>
      <c r="AJ549" s="43" t="s">
        <v>330</v>
      </c>
      <c r="AK549" s="43" t="s">
        <v>309</v>
      </c>
      <c r="AL549">
        <v>0</v>
      </c>
    </row>
    <row r="550" spans="31:38" x14ac:dyDescent="0.25">
      <c r="AE550" s="43" t="s">
        <v>29</v>
      </c>
      <c r="AF550" s="43" t="s">
        <v>26</v>
      </c>
      <c r="AG550" s="43" t="s">
        <v>30</v>
      </c>
      <c r="AH550" s="43" t="s">
        <v>31</v>
      </c>
      <c r="AI550">
        <v>3</v>
      </c>
      <c r="AJ550" s="43" t="s">
        <v>330</v>
      </c>
      <c r="AK550" s="43" t="s">
        <v>268</v>
      </c>
      <c r="AL550">
        <v>0</v>
      </c>
    </row>
    <row r="551" spans="31:38" x14ac:dyDescent="0.25">
      <c r="AE551" s="43" t="s">
        <v>29</v>
      </c>
      <c r="AF551" s="43" t="s">
        <v>26</v>
      </c>
      <c r="AG551" s="43" t="s">
        <v>30</v>
      </c>
      <c r="AH551" s="43" t="s">
        <v>31</v>
      </c>
      <c r="AI551">
        <v>3</v>
      </c>
      <c r="AJ551" s="43" t="s">
        <v>331</v>
      </c>
      <c r="AK551" s="43" t="s">
        <v>308</v>
      </c>
      <c r="AL551">
        <v>3.6</v>
      </c>
    </row>
    <row r="552" spans="31:38" x14ac:dyDescent="0.25">
      <c r="AE552" s="43" t="s">
        <v>29</v>
      </c>
      <c r="AF552" s="43" t="s">
        <v>26</v>
      </c>
      <c r="AG552" s="43" t="s">
        <v>30</v>
      </c>
      <c r="AH552" s="43" t="s">
        <v>31</v>
      </c>
      <c r="AI552">
        <v>3</v>
      </c>
      <c r="AJ552" s="43" t="s">
        <v>331</v>
      </c>
      <c r="AK552" s="43" t="s">
        <v>309</v>
      </c>
      <c r="AL552">
        <v>6.3</v>
      </c>
    </row>
    <row r="553" spans="31:38" x14ac:dyDescent="0.25">
      <c r="AE553" s="43" t="s">
        <v>29</v>
      </c>
      <c r="AF553" s="43" t="s">
        <v>26</v>
      </c>
      <c r="AG553" s="43" t="s">
        <v>30</v>
      </c>
      <c r="AH553" s="43" t="s">
        <v>31</v>
      </c>
      <c r="AI553">
        <v>3</v>
      </c>
      <c r="AJ553" s="43" t="s">
        <v>331</v>
      </c>
      <c r="AK553" s="43" t="s">
        <v>268</v>
      </c>
      <c r="AL553">
        <v>9.9</v>
      </c>
    </row>
    <row r="554" spans="31:38" x14ac:dyDescent="0.25">
      <c r="AE554" s="43" t="s">
        <v>29</v>
      </c>
      <c r="AF554" s="43" t="s">
        <v>26</v>
      </c>
      <c r="AG554" s="43" t="s">
        <v>30</v>
      </c>
      <c r="AH554" s="43" t="s">
        <v>31</v>
      </c>
      <c r="AI554">
        <v>3</v>
      </c>
      <c r="AJ554" s="43" t="s">
        <v>341</v>
      </c>
      <c r="AK554" s="43" t="s">
        <v>308</v>
      </c>
      <c r="AL554">
        <v>10.5</v>
      </c>
    </row>
    <row r="555" spans="31:38" x14ac:dyDescent="0.25">
      <c r="AE555" s="43" t="s">
        <v>29</v>
      </c>
      <c r="AF555" s="43" t="s">
        <v>26</v>
      </c>
      <c r="AG555" s="43" t="s">
        <v>30</v>
      </c>
      <c r="AH555" s="43" t="s">
        <v>31</v>
      </c>
      <c r="AI555">
        <v>3</v>
      </c>
      <c r="AJ555" s="43" t="s">
        <v>341</v>
      </c>
      <c r="AK555" s="43" t="s">
        <v>309</v>
      </c>
      <c r="AL555">
        <v>21.3</v>
      </c>
    </row>
    <row r="556" spans="31:38" x14ac:dyDescent="0.25">
      <c r="AE556" s="43" t="s">
        <v>29</v>
      </c>
      <c r="AF556" s="43" t="s">
        <v>26</v>
      </c>
      <c r="AG556" s="43" t="s">
        <v>30</v>
      </c>
      <c r="AH556" s="43" t="s">
        <v>31</v>
      </c>
      <c r="AI556">
        <v>3</v>
      </c>
      <c r="AJ556" s="43" t="s">
        <v>341</v>
      </c>
      <c r="AK556" s="43" t="s">
        <v>268</v>
      </c>
      <c r="AL556">
        <v>31.799999999999997</v>
      </c>
    </row>
    <row r="557" spans="31:38" x14ac:dyDescent="0.25">
      <c r="AE557" s="43" t="s">
        <v>29</v>
      </c>
      <c r="AF557" s="43" t="s">
        <v>26</v>
      </c>
      <c r="AG557" s="43" t="s">
        <v>30</v>
      </c>
      <c r="AH557" s="43" t="s">
        <v>31</v>
      </c>
      <c r="AI557">
        <v>3</v>
      </c>
      <c r="AJ557" s="43" t="s">
        <v>344</v>
      </c>
      <c r="AK557" s="43" t="s">
        <v>308</v>
      </c>
      <c r="AL557">
        <v>3.5</v>
      </c>
    </row>
    <row r="558" spans="31:38" x14ac:dyDescent="0.25">
      <c r="AE558" s="43" t="s">
        <v>29</v>
      </c>
      <c r="AF558" s="43" t="s">
        <v>26</v>
      </c>
      <c r="AG558" s="43" t="s">
        <v>30</v>
      </c>
      <c r="AH558" s="43" t="s">
        <v>31</v>
      </c>
      <c r="AI558">
        <v>3</v>
      </c>
      <c r="AJ558" s="43" t="s">
        <v>344</v>
      </c>
      <c r="AK558" s="43" t="s">
        <v>309</v>
      </c>
      <c r="AL558">
        <v>7.1000000000000005</v>
      </c>
    </row>
    <row r="559" spans="31:38" x14ac:dyDescent="0.25">
      <c r="AE559" s="43" t="s">
        <v>29</v>
      </c>
      <c r="AF559" s="43" t="s">
        <v>26</v>
      </c>
      <c r="AG559" s="43" t="s">
        <v>30</v>
      </c>
      <c r="AH559" s="43" t="s">
        <v>31</v>
      </c>
      <c r="AI559">
        <v>3</v>
      </c>
      <c r="AJ559" s="43" t="s">
        <v>344</v>
      </c>
      <c r="AK559" s="43" t="s">
        <v>268</v>
      </c>
      <c r="AL559">
        <v>10.6</v>
      </c>
    </row>
    <row r="560" spans="31:38" x14ac:dyDescent="0.25">
      <c r="AE560" s="43" t="s">
        <v>42</v>
      </c>
      <c r="AF560" s="43" t="s">
        <v>26</v>
      </c>
      <c r="AG560" s="43" t="s">
        <v>43</v>
      </c>
      <c r="AH560" s="43" t="s">
        <v>36</v>
      </c>
      <c r="AI560">
        <v>4</v>
      </c>
      <c r="AJ560" s="43" t="s">
        <v>317</v>
      </c>
      <c r="AK560" s="43" t="s">
        <v>308</v>
      </c>
      <c r="AL560">
        <v>2.6</v>
      </c>
    </row>
    <row r="561" spans="31:38" x14ac:dyDescent="0.25">
      <c r="AE561" s="43" t="s">
        <v>42</v>
      </c>
      <c r="AF561" s="43" t="s">
        <v>26</v>
      </c>
      <c r="AG561" s="43" t="s">
        <v>43</v>
      </c>
      <c r="AH561" s="43" t="s">
        <v>36</v>
      </c>
      <c r="AI561">
        <v>4</v>
      </c>
      <c r="AJ561" s="43" t="s">
        <v>317</v>
      </c>
      <c r="AK561" s="43" t="s">
        <v>309</v>
      </c>
      <c r="AL561">
        <v>7.7</v>
      </c>
    </row>
    <row r="562" spans="31:38" x14ac:dyDescent="0.25">
      <c r="AE562" s="43" t="s">
        <v>42</v>
      </c>
      <c r="AF562" s="43" t="s">
        <v>26</v>
      </c>
      <c r="AG562" s="43" t="s">
        <v>43</v>
      </c>
      <c r="AH562" s="43" t="s">
        <v>36</v>
      </c>
      <c r="AI562">
        <v>4</v>
      </c>
      <c r="AJ562" s="43" t="s">
        <v>317</v>
      </c>
      <c r="AK562" s="43" t="s">
        <v>268</v>
      </c>
      <c r="AL562">
        <v>10.3</v>
      </c>
    </row>
    <row r="563" spans="31:38" x14ac:dyDescent="0.25">
      <c r="AE563" s="43" t="s">
        <v>42</v>
      </c>
      <c r="AF563" s="43" t="s">
        <v>26</v>
      </c>
      <c r="AG563" s="43" t="s">
        <v>43</v>
      </c>
      <c r="AH563" s="43" t="s">
        <v>36</v>
      </c>
      <c r="AI563">
        <v>4</v>
      </c>
      <c r="AJ563" s="43" t="s">
        <v>325</v>
      </c>
      <c r="AK563" s="43" t="s">
        <v>308</v>
      </c>
      <c r="AL563">
        <v>2.6</v>
      </c>
    </row>
    <row r="564" spans="31:38" x14ac:dyDescent="0.25">
      <c r="AE564" s="43" t="s">
        <v>42</v>
      </c>
      <c r="AF564" s="43" t="s">
        <v>26</v>
      </c>
      <c r="AG564" s="43" t="s">
        <v>43</v>
      </c>
      <c r="AH564" s="43" t="s">
        <v>36</v>
      </c>
      <c r="AI564">
        <v>4</v>
      </c>
      <c r="AJ564" s="43" t="s">
        <v>325</v>
      </c>
      <c r="AK564" s="43" t="s">
        <v>309</v>
      </c>
      <c r="AL564">
        <v>8.5500000000000007</v>
      </c>
    </row>
    <row r="565" spans="31:38" x14ac:dyDescent="0.25">
      <c r="AE565" s="43" t="s">
        <v>42</v>
      </c>
      <c r="AF565" s="43" t="s">
        <v>26</v>
      </c>
      <c r="AG565" s="43" t="s">
        <v>43</v>
      </c>
      <c r="AH565" s="43" t="s">
        <v>36</v>
      </c>
      <c r="AI565">
        <v>4</v>
      </c>
      <c r="AJ565" s="43" t="s">
        <v>325</v>
      </c>
      <c r="AK565" s="43" t="s">
        <v>268</v>
      </c>
      <c r="AL565">
        <v>11.15</v>
      </c>
    </row>
    <row r="566" spans="31:38" x14ac:dyDescent="0.25">
      <c r="AE566" s="43" t="s">
        <v>42</v>
      </c>
      <c r="AF566" s="43" t="s">
        <v>26</v>
      </c>
      <c r="AG566" s="43" t="s">
        <v>43</v>
      </c>
      <c r="AH566" s="43" t="s">
        <v>36</v>
      </c>
      <c r="AI566">
        <v>4</v>
      </c>
      <c r="AJ566" s="43" t="s">
        <v>330</v>
      </c>
      <c r="AK566" s="43" t="s">
        <v>308</v>
      </c>
      <c r="AL566">
        <v>2.6</v>
      </c>
    </row>
    <row r="567" spans="31:38" x14ac:dyDescent="0.25">
      <c r="AE567" s="43" t="s">
        <v>42</v>
      </c>
      <c r="AF567" s="43" t="s">
        <v>26</v>
      </c>
      <c r="AG567" s="43" t="s">
        <v>43</v>
      </c>
      <c r="AH567" s="43" t="s">
        <v>36</v>
      </c>
      <c r="AI567">
        <v>4</v>
      </c>
      <c r="AJ567" s="43" t="s">
        <v>330</v>
      </c>
      <c r="AK567" s="43" t="s">
        <v>309</v>
      </c>
      <c r="AL567">
        <v>7.65</v>
      </c>
    </row>
    <row r="568" spans="31:38" x14ac:dyDescent="0.25">
      <c r="AE568" s="43" t="s">
        <v>42</v>
      </c>
      <c r="AF568" s="43" t="s">
        <v>26</v>
      </c>
      <c r="AG568" s="43" t="s">
        <v>43</v>
      </c>
      <c r="AH568" s="43" t="s">
        <v>36</v>
      </c>
      <c r="AI568">
        <v>4</v>
      </c>
      <c r="AJ568" s="43" t="s">
        <v>330</v>
      </c>
      <c r="AK568" s="43" t="s">
        <v>268</v>
      </c>
      <c r="AL568">
        <v>10.25</v>
      </c>
    </row>
    <row r="569" spans="31:38" x14ac:dyDescent="0.25">
      <c r="AE569" s="43" t="s">
        <v>42</v>
      </c>
      <c r="AF569" s="43" t="s">
        <v>26</v>
      </c>
      <c r="AG569" s="43" t="s">
        <v>43</v>
      </c>
      <c r="AH569" s="43" t="s">
        <v>36</v>
      </c>
      <c r="AI569">
        <v>4</v>
      </c>
      <c r="AJ569" s="43" t="s">
        <v>331</v>
      </c>
      <c r="AK569" s="43" t="s">
        <v>308</v>
      </c>
      <c r="AL569">
        <v>2.6</v>
      </c>
    </row>
    <row r="570" spans="31:38" x14ac:dyDescent="0.25">
      <c r="AE570" s="43" t="s">
        <v>42</v>
      </c>
      <c r="AF570" s="43" t="s">
        <v>26</v>
      </c>
      <c r="AG570" s="43" t="s">
        <v>43</v>
      </c>
      <c r="AH570" s="43" t="s">
        <v>36</v>
      </c>
      <c r="AI570">
        <v>4</v>
      </c>
      <c r="AJ570" s="43" t="s">
        <v>331</v>
      </c>
      <c r="AK570" s="43" t="s">
        <v>309</v>
      </c>
      <c r="AL570">
        <v>7.2</v>
      </c>
    </row>
    <row r="571" spans="31:38" x14ac:dyDescent="0.25">
      <c r="AE571" s="43" t="s">
        <v>42</v>
      </c>
      <c r="AF571" s="43" t="s">
        <v>26</v>
      </c>
      <c r="AG571" s="43" t="s">
        <v>43</v>
      </c>
      <c r="AH571" s="43" t="s">
        <v>36</v>
      </c>
      <c r="AI571">
        <v>4</v>
      </c>
      <c r="AJ571" s="43" t="s">
        <v>331</v>
      </c>
      <c r="AK571" s="43" t="s">
        <v>268</v>
      </c>
      <c r="AL571">
        <v>9.8000000000000007</v>
      </c>
    </row>
    <row r="572" spans="31:38" x14ac:dyDescent="0.25">
      <c r="AE572" s="43" t="s">
        <v>42</v>
      </c>
      <c r="AF572" s="43" t="s">
        <v>26</v>
      </c>
      <c r="AG572" s="43" t="s">
        <v>43</v>
      </c>
      <c r="AH572" s="43" t="s">
        <v>36</v>
      </c>
      <c r="AI572">
        <v>4</v>
      </c>
      <c r="AJ572" s="43" t="s">
        <v>341</v>
      </c>
      <c r="AK572" s="43" t="s">
        <v>308</v>
      </c>
      <c r="AL572">
        <v>7.8000000000000007</v>
      </c>
    </row>
    <row r="573" spans="31:38" x14ac:dyDescent="0.25">
      <c r="AE573" s="43" t="s">
        <v>42</v>
      </c>
      <c r="AF573" s="43" t="s">
        <v>26</v>
      </c>
      <c r="AG573" s="43" t="s">
        <v>43</v>
      </c>
      <c r="AH573" s="43" t="s">
        <v>36</v>
      </c>
      <c r="AI573">
        <v>4</v>
      </c>
      <c r="AJ573" s="43" t="s">
        <v>341</v>
      </c>
      <c r="AK573" s="43" t="s">
        <v>309</v>
      </c>
      <c r="AL573">
        <v>23.9</v>
      </c>
    </row>
    <row r="574" spans="31:38" x14ac:dyDescent="0.25">
      <c r="AE574" s="43" t="s">
        <v>42</v>
      </c>
      <c r="AF574" s="43" t="s">
        <v>26</v>
      </c>
      <c r="AG574" s="43" t="s">
        <v>43</v>
      </c>
      <c r="AH574" s="43" t="s">
        <v>36</v>
      </c>
      <c r="AI574">
        <v>4</v>
      </c>
      <c r="AJ574" s="43" t="s">
        <v>341</v>
      </c>
      <c r="AK574" s="43" t="s">
        <v>268</v>
      </c>
      <c r="AL574">
        <v>31.700000000000003</v>
      </c>
    </row>
    <row r="575" spans="31:38" x14ac:dyDescent="0.25">
      <c r="AE575" s="43" t="s">
        <v>42</v>
      </c>
      <c r="AF575" s="43" t="s">
        <v>26</v>
      </c>
      <c r="AG575" s="43" t="s">
        <v>43</v>
      </c>
      <c r="AH575" s="43" t="s">
        <v>36</v>
      </c>
      <c r="AI575">
        <v>4</v>
      </c>
      <c r="AJ575" s="43" t="s">
        <v>344</v>
      </c>
      <c r="AK575" s="43" t="s">
        <v>308</v>
      </c>
      <c r="AL575">
        <v>2.6</v>
      </c>
    </row>
    <row r="576" spans="31:38" x14ac:dyDescent="0.25">
      <c r="AE576" s="43" t="s">
        <v>42</v>
      </c>
      <c r="AF576" s="43" t="s">
        <v>26</v>
      </c>
      <c r="AG576" s="43" t="s">
        <v>43</v>
      </c>
      <c r="AH576" s="43" t="s">
        <v>36</v>
      </c>
      <c r="AI576">
        <v>4</v>
      </c>
      <c r="AJ576" s="43" t="s">
        <v>344</v>
      </c>
      <c r="AK576" s="43" t="s">
        <v>309</v>
      </c>
      <c r="AL576">
        <v>7.9666666666666659</v>
      </c>
    </row>
    <row r="577" spans="31:38" x14ac:dyDescent="0.25">
      <c r="AE577" s="43" t="s">
        <v>42</v>
      </c>
      <c r="AF577" s="43" t="s">
        <v>26</v>
      </c>
      <c r="AG577" s="43" t="s">
        <v>43</v>
      </c>
      <c r="AH577" s="43" t="s">
        <v>36</v>
      </c>
      <c r="AI577">
        <v>4</v>
      </c>
      <c r="AJ577" s="43" t="s">
        <v>344</v>
      </c>
      <c r="AK577" s="43" t="s">
        <v>268</v>
      </c>
      <c r="AL577">
        <v>10.566666666666668</v>
      </c>
    </row>
    <row r="578" spans="31:38" x14ac:dyDescent="0.25">
      <c r="AE578" s="43" t="s">
        <v>114</v>
      </c>
      <c r="AF578" s="43" t="s">
        <v>26</v>
      </c>
      <c r="AG578" s="43" t="s">
        <v>115</v>
      </c>
      <c r="AH578" s="43" t="s">
        <v>36</v>
      </c>
      <c r="AI578">
        <v>3</v>
      </c>
      <c r="AJ578" s="43" t="s">
        <v>317</v>
      </c>
      <c r="AK578" s="43" t="s">
        <v>308</v>
      </c>
      <c r="AL578">
        <v>2.6</v>
      </c>
    </row>
    <row r="579" spans="31:38" x14ac:dyDescent="0.25">
      <c r="AE579" s="43" t="s">
        <v>114</v>
      </c>
      <c r="AF579" s="43" t="s">
        <v>26</v>
      </c>
      <c r="AG579" s="43" t="s">
        <v>115</v>
      </c>
      <c r="AH579" s="43" t="s">
        <v>36</v>
      </c>
      <c r="AI579">
        <v>3</v>
      </c>
      <c r="AJ579" s="43" t="s">
        <v>317</v>
      </c>
      <c r="AK579" s="43" t="s">
        <v>309</v>
      </c>
      <c r="AL579">
        <v>4.9000000000000004</v>
      </c>
    </row>
    <row r="580" spans="31:38" x14ac:dyDescent="0.25">
      <c r="AE580" s="43" t="s">
        <v>114</v>
      </c>
      <c r="AF580" s="43" t="s">
        <v>26</v>
      </c>
      <c r="AG580" s="43" t="s">
        <v>115</v>
      </c>
      <c r="AH580" s="43" t="s">
        <v>36</v>
      </c>
      <c r="AI580">
        <v>3</v>
      </c>
      <c r="AJ580" s="43" t="s">
        <v>317</v>
      </c>
      <c r="AK580" s="43" t="s">
        <v>268</v>
      </c>
      <c r="AL580">
        <v>7.5</v>
      </c>
    </row>
    <row r="581" spans="31:38" x14ac:dyDescent="0.25">
      <c r="AE581" s="43" t="s">
        <v>114</v>
      </c>
      <c r="AF581" s="43" t="s">
        <v>26</v>
      </c>
      <c r="AG581" s="43" t="s">
        <v>115</v>
      </c>
      <c r="AH581" s="43" t="s">
        <v>36</v>
      </c>
      <c r="AI581">
        <v>3</v>
      </c>
      <c r="AJ581" s="43" t="s">
        <v>325</v>
      </c>
      <c r="AK581" s="43" t="s">
        <v>308</v>
      </c>
      <c r="AL581">
        <v>0</v>
      </c>
    </row>
    <row r="582" spans="31:38" x14ac:dyDescent="0.25">
      <c r="AE582" s="43" t="s">
        <v>114</v>
      </c>
      <c r="AF582" s="43" t="s">
        <v>26</v>
      </c>
      <c r="AG582" s="43" t="s">
        <v>115</v>
      </c>
      <c r="AH582" s="43" t="s">
        <v>36</v>
      </c>
      <c r="AI582">
        <v>3</v>
      </c>
      <c r="AJ582" s="43" t="s">
        <v>325</v>
      </c>
      <c r="AK582" s="43" t="s">
        <v>309</v>
      </c>
      <c r="AL582">
        <v>0</v>
      </c>
    </row>
    <row r="583" spans="31:38" x14ac:dyDescent="0.25">
      <c r="AE583" s="43" t="s">
        <v>114</v>
      </c>
      <c r="AF583" s="43" t="s">
        <v>26</v>
      </c>
      <c r="AG583" s="43" t="s">
        <v>115</v>
      </c>
      <c r="AH583" s="43" t="s">
        <v>36</v>
      </c>
      <c r="AI583">
        <v>3</v>
      </c>
      <c r="AJ583" s="43" t="s">
        <v>325</v>
      </c>
      <c r="AK583" s="43" t="s">
        <v>268</v>
      </c>
      <c r="AL583">
        <v>0</v>
      </c>
    </row>
    <row r="584" spans="31:38" x14ac:dyDescent="0.25">
      <c r="AE584" s="43" t="s">
        <v>114</v>
      </c>
      <c r="AF584" s="43" t="s">
        <v>26</v>
      </c>
      <c r="AG584" s="43" t="s">
        <v>115</v>
      </c>
      <c r="AH584" s="43" t="s">
        <v>36</v>
      </c>
      <c r="AI584">
        <v>3</v>
      </c>
      <c r="AJ584" s="43" t="s">
        <v>330</v>
      </c>
      <c r="AK584" s="43" t="s">
        <v>308</v>
      </c>
      <c r="AL584">
        <v>2.6</v>
      </c>
    </row>
    <row r="585" spans="31:38" x14ac:dyDescent="0.25">
      <c r="AE585" s="43" t="s">
        <v>114</v>
      </c>
      <c r="AF585" s="43" t="s">
        <v>26</v>
      </c>
      <c r="AG585" s="43" t="s">
        <v>115</v>
      </c>
      <c r="AH585" s="43" t="s">
        <v>36</v>
      </c>
      <c r="AI585">
        <v>3</v>
      </c>
      <c r="AJ585" s="43" t="s">
        <v>330</v>
      </c>
      <c r="AK585" s="43" t="s">
        <v>309</v>
      </c>
      <c r="AL585">
        <v>7.65</v>
      </c>
    </row>
    <row r="586" spans="31:38" x14ac:dyDescent="0.25">
      <c r="AE586" s="43" t="s">
        <v>114</v>
      </c>
      <c r="AF586" s="43" t="s">
        <v>26</v>
      </c>
      <c r="AG586" s="43" t="s">
        <v>115</v>
      </c>
      <c r="AH586" s="43" t="s">
        <v>36</v>
      </c>
      <c r="AI586">
        <v>3</v>
      </c>
      <c r="AJ586" s="43" t="s">
        <v>330</v>
      </c>
      <c r="AK586" s="43" t="s">
        <v>268</v>
      </c>
      <c r="AL586">
        <v>10.25</v>
      </c>
    </row>
    <row r="587" spans="31:38" x14ac:dyDescent="0.25">
      <c r="AE587" s="43" t="s">
        <v>114</v>
      </c>
      <c r="AF587" s="43" t="s">
        <v>26</v>
      </c>
      <c r="AG587" s="43" t="s">
        <v>115</v>
      </c>
      <c r="AH587" s="43" t="s">
        <v>36</v>
      </c>
      <c r="AI587">
        <v>3</v>
      </c>
      <c r="AJ587" s="43" t="s">
        <v>331</v>
      </c>
      <c r="AK587" s="43" t="s">
        <v>308</v>
      </c>
      <c r="AL587">
        <v>2.6</v>
      </c>
    </row>
    <row r="588" spans="31:38" x14ac:dyDescent="0.25">
      <c r="AE588" s="43" t="s">
        <v>114</v>
      </c>
      <c r="AF588" s="43" t="s">
        <v>26</v>
      </c>
      <c r="AG588" s="43" t="s">
        <v>115</v>
      </c>
      <c r="AH588" s="43" t="s">
        <v>36</v>
      </c>
      <c r="AI588">
        <v>3</v>
      </c>
      <c r="AJ588" s="43" t="s">
        <v>331</v>
      </c>
      <c r="AK588" s="43" t="s">
        <v>309</v>
      </c>
      <c r="AL588">
        <v>6.5</v>
      </c>
    </row>
    <row r="589" spans="31:38" x14ac:dyDescent="0.25">
      <c r="AE589" s="43" t="s">
        <v>114</v>
      </c>
      <c r="AF589" s="43" t="s">
        <v>26</v>
      </c>
      <c r="AG589" s="43" t="s">
        <v>115</v>
      </c>
      <c r="AH589" s="43" t="s">
        <v>36</v>
      </c>
      <c r="AI589">
        <v>3</v>
      </c>
      <c r="AJ589" s="43" t="s">
        <v>331</v>
      </c>
      <c r="AK589" s="43" t="s">
        <v>268</v>
      </c>
      <c r="AL589">
        <v>9.1</v>
      </c>
    </row>
    <row r="590" spans="31:38" x14ac:dyDescent="0.25">
      <c r="AE590" s="43" t="s">
        <v>114</v>
      </c>
      <c r="AF590" s="43" t="s">
        <v>26</v>
      </c>
      <c r="AG590" s="43" t="s">
        <v>115</v>
      </c>
      <c r="AH590" s="43" t="s">
        <v>36</v>
      </c>
      <c r="AI590">
        <v>3</v>
      </c>
      <c r="AJ590" s="43" t="s">
        <v>341</v>
      </c>
      <c r="AK590" s="43" t="s">
        <v>308</v>
      </c>
      <c r="AL590">
        <v>7.8000000000000007</v>
      </c>
    </row>
    <row r="591" spans="31:38" x14ac:dyDescent="0.25">
      <c r="AE591" s="43" t="s">
        <v>114</v>
      </c>
      <c r="AF591" s="43" t="s">
        <v>26</v>
      </c>
      <c r="AG591" s="43" t="s">
        <v>115</v>
      </c>
      <c r="AH591" s="43" t="s">
        <v>36</v>
      </c>
      <c r="AI591">
        <v>3</v>
      </c>
      <c r="AJ591" s="43" t="s">
        <v>341</v>
      </c>
      <c r="AK591" s="43" t="s">
        <v>309</v>
      </c>
      <c r="AL591">
        <v>19.05</v>
      </c>
    </row>
    <row r="592" spans="31:38" x14ac:dyDescent="0.25">
      <c r="AE592" s="43" t="s">
        <v>114</v>
      </c>
      <c r="AF592" s="43" t="s">
        <v>26</v>
      </c>
      <c r="AG592" s="43" t="s">
        <v>115</v>
      </c>
      <c r="AH592" s="43" t="s">
        <v>36</v>
      </c>
      <c r="AI592">
        <v>3</v>
      </c>
      <c r="AJ592" s="43" t="s">
        <v>341</v>
      </c>
      <c r="AK592" s="43" t="s">
        <v>268</v>
      </c>
      <c r="AL592">
        <v>26.85</v>
      </c>
    </row>
    <row r="593" spans="31:38" x14ac:dyDescent="0.25">
      <c r="AE593" s="43" t="s">
        <v>114</v>
      </c>
      <c r="AF593" s="43" t="s">
        <v>26</v>
      </c>
      <c r="AG593" s="43" t="s">
        <v>115</v>
      </c>
      <c r="AH593" s="43" t="s">
        <v>36</v>
      </c>
      <c r="AI593">
        <v>3</v>
      </c>
      <c r="AJ593" s="43" t="s">
        <v>344</v>
      </c>
      <c r="AK593" s="43" t="s">
        <v>308</v>
      </c>
      <c r="AL593">
        <v>2.6</v>
      </c>
    </row>
    <row r="594" spans="31:38" x14ac:dyDescent="0.25">
      <c r="AE594" s="43" t="s">
        <v>114</v>
      </c>
      <c r="AF594" s="43" t="s">
        <v>26</v>
      </c>
      <c r="AG594" s="43" t="s">
        <v>115</v>
      </c>
      <c r="AH594" s="43" t="s">
        <v>36</v>
      </c>
      <c r="AI594">
        <v>3</v>
      </c>
      <c r="AJ594" s="43" t="s">
        <v>344</v>
      </c>
      <c r="AK594" s="43" t="s">
        <v>309</v>
      </c>
      <c r="AL594">
        <v>6.3500000000000005</v>
      </c>
    </row>
    <row r="595" spans="31:38" x14ac:dyDescent="0.25">
      <c r="AE595" s="43" t="s">
        <v>114</v>
      </c>
      <c r="AF595" s="43" t="s">
        <v>26</v>
      </c>
      <c r="AG595" s="43" t="s">
        <v>115</v>
      </c>
      <c r="AH595" s="43" t="s">
        <v>36</v>
      </c>
      <c r="AI595">
        <v>3</v>
      </c>
      <c r="AJ595" s="43" t="s">
        <v>344</v>
      </c>
      <c r="AK595" s="43" t="s">
        <v>268</v>
      </c>
      <c r="AL595">
        <v>8.9500000000000011</v>
      </c>
    </row>
    <row r="596" spans="31:38" x14ac:dyDescent="0.25">
      <c r="AE596" s="43" t="s">
        <v>52</v>
      </c>
      <c r="AF596" s="43" t="s">
        <v>26</v>
      </c>
      <c r="AG596" s="43" t="s">
        <v>53</v>
      </c>
      <c r="AH596" s="43" t="s">
        <v>36</v>
      </c>
      <c r="AI596">
        <v>4</v>
      </c>
      <c r="AJ596" s="43" t="s">
        <v>317</v>
      </c>
      <c r="AK596" s="43" t="s">
        <v>308</v>
      </c>
      <c r="AL596">
        <v>2.1</v>
      </c>
    </row>
    <row r="597" spans="31:38" x14ac:dyDescent="0.25">
      <c r="AE597" s="43" t="s">
        <v>52</v>
      </c>
      <c r="AF597" s="43" t="s">
        <v>26</v>
      </c>
      <c r="AG597" s="43" t="s">
        <v>53</v>
      </c>
      <c r="AH597" s="43" t="s">
        <v>36</v>
      </c>
      <c r="AI597">
        <v>4</v>
      </c>
      <c r="AJ597" s="43" t="s">
        <v>317</v>
      </c>
      <c r="AK597" s="43" t="s">
        <v>309</v>
      </c>
      <c r="AL597">
        <v>4.5</v>
      </c>
    </row>
    <row r="598" spans="31:38" x14ac:dyDescent="0.25">
      <c r="AE598" s="43" t="s">
        <v>52</v>
      </c>
      <c r="AF598" s="43" t="s">
        <v>26</v>
      </c>
      <c r="AG598" s="43" t="s">
        <v>53</v>
      </c>
      <c r="AH598" s="43" t="s">
        <v>36</v>
      </c>
      <c r="AI598">
        <v>4</v>
      </c>
      <c r="AJ598" s="43" t="s">
        <v>317</v>
      </c>
      <c r="AK598" s="43" t="s">
        <v>268</v>
      </c>
      <c r="AL598">
        <v>6.6</v>
      </c>
    </row>
    <row r="599" spans="31:38" x14ac:dyDescent="0.25">
      <c r="AE599" s="43" t="s">
        <v>52</v>
      </c>
      <c r="AF599" s="43" t="s">
        <v>26</v>
      </c>
      <c r="AG599" s="43" t="s">
        <v>53</v>
      </c>
      <c r="AH599" s="43" t="s">
        <v>36</v>
      </c>
      <c r="AI599">
        <v>4</v>
      </c>
      <c r="AJ599" s="43" t="s">
        <v>325</v>
      </c>
      <c r="AK599" s="43" t="s">
        <v>308</v>
      </c>
      <c r="AL599">
        <v>2.2000000000000002</v>
      </c>
    </row>
    <row r="600" spans="31:38" x14ac:dyDescent="0.25">
      <c r="AE600" s="43" t="s">
        <v>52</v>
      </c>
      <c r="AF600" s="43" t="s">
        <v>26</v>
      </c>
      <c r="AG600" s="43" t="s">
        <v>53</v>
      </c>
      <c r="AH600" s="43" t="s">
        <v>36</v>
      </c>
      <c r="AI600">
        <v>4</v>
      </c>
      <c r="AJ600" s="43" t="s">
        <v>325</v>
      </c>
      <c r="AK600" s="43" t="s">
        <v>309</v>
      </c>
      <c r="AL600">
        <v>6.5</v>
      </c>
    </row>
    <row r="601" spans="31:38" x14ac:dyDescent="0.25">
      <c r="AE601" s="43" t="s">
        <v>52</v>
      </c>
      <c r="AF601" s="43" t="s">
        <v>26</v>
      </c>
      <c r="AG601" s="43" t="s">
        <v>53</v>
      </c>
      <c r="AH601" s="43" t="s">
        <v>36</v>
      </c>
      <c r="AI601">
        <v>4</v>
      </c>
      <c r="AJ601" s="43" t="s">
        <v>325</v>
      </c>
      <c r="AK601" s="43" t="s">
        <v>268</v>
      </c>
      <c r="AL601">
        <v>8.6999999999999993</v>
      </c>
    </row>
    <row r="602" spans="31:38" x14ac:dyDescent="0.25">
      <c r="AE602" s="43" t="s">
        <v>52</v>
      </c>
      <c r="AF602" s="43" t="s">
        <v>26</v>
      </c>
      <c r="AG602" s="43" t="s">
        <v>53</v>
      </c>
      <c r="AH602" s="43" t="s">
        <v>36</v>
      </c>
      <c r="AI602">
        <v>4</v>
      </c>
      <c r="AJ602" s="43" t="s">
        <v>330</v>
      </c>
      <c r="AK602" s="43" t="s">
        <v>308</v>
      </c>
      <c r="AL602">
        <v>2.2000000000000002</v>
      </c>
    </row>
    <row r="603" spans="31:38" x14ac:dyDescent="0.25">
      <c r="AE603" s="43" t="s">
        <v>52</v>
      </c>
      <c r="AF603" s="43" t="s">
        <v>26</v>
      </c>
      <c r="AG603" s="43" t="s">
        <v>53</v>
      </c>
      <c r="AH603" s="43" t="s">
        <v>36</v>
      </c>
      <c r="AI603">
        <v>4</v>
      </c>
      <c r="AJ603" s="43" t="s">
        <v>330</v>
      </c>
      <c r="AK603" s="43" t="s">
        <v>309</v>
      </c>
      <c r="AL603">
        <v>6.2</v>
      </c>
    </row>
    <row r="604" spans="31:38" x14ac:dyDescent="0.25">
      <c r="AE604" s="43" t="s">
        <v>52</v>
      </c>
      <c r="AF604" s="43" t="s">
        <v>26</v>
      </c>
      <c r="AG604" s="43" t="s">
        <v>53</v>
      </c>
      <c r="AH604" s="43" t="s">
        <v>36</v>
      </c>
      <c r="AI604">
        <v>4</v>
      </c>
      <c r="AJ604" s="43" t="s">
        <v>330</v>
      </c>
      <c r="AK604" s="43" t="s">
        <v>268</v>
      </c>
      <c r="AL604">
        <v>8.4</v>
      </c>
    </row>
    <row r="605" spans="31:38" x14ac:dyDescent="0.25">
      <c r="AE605" s="43" t="s">
        <v>52</v>
      </c>
      <c r="AF605" s="43" t="s">
        <v>26</v>
      </c>
      <c r="AG605" s="43" t="s">
        <v>53</v>
      </c>
      <c r="AH605" s="43" t="s">
        <v>36</v>
      </c>
      <c r="AI605">
        <v>4</v>
      </c>
      <c r="AJ605" s="43" t="s">
        <v>331</v>
      </c>
      <c r="AK605" s="43" t="s">
        <v>308</v>
      </c>
      <c r="AL605">
        <v>2</v>
      </c>
    </row>
    <row r="606" spans="31:38" x14ac:dyDescent="0.25">
      <c r="AE606" s="43" t="s">
        <v>52</v>
      </c>
      <c r="AF606" s="43" t="s">
        <v>26</v>
      </c>
      <c r="AG606" s="43" t="s">
        <v>53</v>
      </c>
      <c r="AH606" s="43" t="s">
        <v>36</v>
      </c>
      <c r="AI606">
        <v>4</v>
      </c>
      <c r="AJ606" s="43" t="s">
        <v>331</v>
      </c>
      <c r="AK606" s="43" t="s">
        <v>309</v>
      </c>
      <c r="AL606">
        <v>3.5</v>
      </c>
    </row>
    <row r="607" spans="31:38" x14ac:dyDescent="0.25">
      <c r="AE607" s="43" t="s">
        <v>52</v>
      </c>
      <c r="AF607" s="43" t="s">
        <v>26</v>
      </c>
      <c r="AG607" s="43" t="s">
        <v>53</v>
      </c>
      <c r="AH607" s="43" t="s">
        <v>36</v>
      </c>
      <c r="AI607">
        <v>4</v>
      </c>
      <c r="AJ607" s="43" t="s">
        <v>331</v>
      </c>
      <c r="AK607" s="43" t="s">
        <v>268</v>
      </c>
      <c r="AL607">
        <v>5.5</v>
      </c>
    </row>
    <row r="608" spans="31:38" x14ac:dyDescent="0.25">
      <c r="AE608" s="43" t="s">
        <v>52</v>
      </c>
      <c r="AF608" s="43" t="s">
        <v>26</v>
      </c>
      <c r="AG608" s="43" t="s">
        <v>53</v>
      </c>
      <c r="AH608" s="43" t="s">
        <v>36</v>
      </c>
      <c r="AI608">
        <v>4</v>
      </c>
      <c r="AJ608" s="43" t="s">
        <v>341</v>
      </c>
      <c r="AK608" s="43" t="s">
        <v>308</v>
      </c>
      <c r="AL608">
        <v>6.5</v>
      </c>
    </row>
    <row r="609" spans="31:38" x14ac:dyDescent="0.25">
      <c r="AE609" s="43" t="s">
        <v>52</v>
      </c>
      <c r="AF609" s="43" t="s">
        <v>26</v>
      </c>
      <c r="AG609" s="43" t="s">
        <v>53</v>
      </c>
      <c r="AH609" s="43" t="s">
        <v>36</v>
      </c>
      <c r="AI609">
        <v>4</v>
      </c>
      <c r="AJ609" s="43" t="s">
        <v>341</v>
      </c>
      <c r="AK609" s="43" t="s">
        <v>309</v>
      </c>
      <c r="AL609">
        <v>17.2</v>
      </c>
    </row>
    <row r="610" spans="31:38" x14ac:dyDescent="0.25">
      <c r="AE610" s="43" t="s">
        <v>52</v>
      </c>
      <c r="AF610" s="43" t="s">
        <v>26</v>
      </c>
      <c r="AG610" s="43" t="s">
        <v>53</v>
      </c>
      <c r="AH610" s="43" t="s">
        <v>36</v>
      </c>
      <c r="AI610">
        <v>4</v>
      </c>
      <c r="AJ610" s="43" t="s">
        <v>341</v>
      </c>
      <c r="AK610" s="43" t="s">
        <v>268</v>
      </c>
      <c r="AL610">
        <v>23.700000000000003</v>
      </c>
    </row>
    <row r="611" spans="31:38" x14ac:dyDescent="0.25">
      <c r="AE611" s="43" t="s">
        <v>52</v>
      </c>
      <c r="AF611" s="43" t="s">
        <v>26</v>
      </c>
      <c r="AG611" s="43" t="s">
        <v>53</v>
      </c>
      <c r="AH611" s="43" t="s">
        <v>36</v>
      </c>
      <c r="AI611">
        <v>4</v>
      </c>
      <c r="AJ611" s="43" t="s">
        <v>344</v>
      </c>
      <c r="AK611" s="43" t="s">
        <v>308</v>
      </c>
      <c r="AL611">
        <v>2.1666666666666665</v>
      </c>
    </row>
    <row r="612" spans="31:38" x14ac:dyDescent="0.25">
      <c r="AE612" s="43" t="s">
        <v>52</v>
      </c>
      <c r="AF612" s="43" t="s">
        <v>26</v>
      </c>
      <c r="AG612" s="43" t="s">
        <v>53</v>
      </c>
      <c r="AH612" s="43" t="s">
        <v>36</v>
      </c>
      <c r="AI612">
        <v>4</v>
      </c>
      <c r="AJ612" s="43" t="s">
        <v>344</v>
      </c>
      <c r="AK612" s="43" t="s">
        <v>309</v>
      </c>
      <c r="AL612">
        <v>5.7333333333333334</v>
      </c>
    </row>
    <row r="613" spans="31:38" x14ac:dyDescent="0.25">
      <c r="AE613" s="43" t="s">
        <v>52</v>
      </c>
      <c r="AF613" s="43" t="s">
        <v>26</v>
      </c>
      <c r="AG613" s="43" t="s">
        <v>53</v>
      </c>
      <c r="AH613" s="43" t="s">
        <v>36</v>
      </c>
      <c r="AI613">
        <v>4</v>
      </c>
      <c r="AJ613" s="43" t="s">
        <v>344</v>
      </c>
      <c r="AK613" s="43" t="s">
        <v>268</v>
      </c>
      <c r="AL613">
        <v>7.9000000000000012</v>
      </c>
    </row>
    <row r="614" spans="31:38" x14ac:dyDescent="0.25">
      <c r="AE614" s="43" t="s">
        <v>48</v>
      </c>
      <c r="AF614" s="43" t="s">
        <v>26</v>
      </c>
      <c r="AG614" s="43" t="s">
        <v>49</v>
      </c>
      <c r="AH614" s="43" t="s">
        <v>36</v>
      </c>
      <c r="AI614">
        <v>4</v>
      </c>
      <c r="AJ614" s="43" t="s">
        <v>317</v>
      </c>
      <c r="AK614" s="43" t="s">
        <v>308</v>
      </c>
      <c r="AL614">
        <v>2.8</v>
      </c>
    </row>
    <row r="615" spans="31:38" x14ac:dyDescent="0.25">
      <c r="AE615" s="43" t="s">
        <v>48</v>
      </c>
      <c r="AF615" s="43" t="s">
        <v>26</v>
      </c>
      <c r="AG615" s="43" t="s">
        <v>49</v>
      </c>
      <c r="AH615" s="43" t="s">
        <v>36</v>
      </c>
      <c r="AI615">
        <v>4</v>
      </c>
      <c r="AJ615" s="43" t="s">
        <v>317</v>
      </c>
      <c r="AK615" s="43" t="s">
        <v>309</v>
      </c>
      <c r="AL615">
        <v>4</v>
      </c>
    </row>
    <row r="616" spans="31:38" x14ac:dyDescent="0.25">
      <c r="AE616" s="43" t="s">
        <v>48</v>
      </c>
      <c r="AF616" s="43" t="s">
        <v>26</v>
      </c>
      <c r="AG616" s="43" t="s">
        <v>49</v>
      </c>
      <c r="AH616" s="43" t="s">
        <v>36</v>
      </c>
      <c r="AI616">
        <v>4</v>
      </c>
      <c r="AJ616" s="43" t="s">
        <v>317</v>
      </c>
      <c r="AK616" s="43" t="s">
        <v>268</v>
      </c>
      <c r="AL616">
        <v>6.8</v>
      </c>
    </row>
    <row r="617" spans="31:38" x14ac:dyDescent="0.25">
      <c r="AE617" s="43" t="s">
        <v>48</v>
      </c>
      <c r="AF617" s="43" t="s">
        <v>26</v>
      </c>
      <c r="AG617" s="43" t="s">
        <v>49</v>
      </c>
      <c r="AH617" s="43" t="s">
        <v>36</v>
      </c>
      <c r="AI617">
        <v>4</v>
      </c>
      <c r="AJ617" s="43" t="s">
        <v>325</v>
      </c>
      <c r="AK617" s="43" t="s">
        <v>308</v>
      </c>
      <c r="AL617">
        <v>2.7</v>
      </c>
    </row>
    <row r="618" spans="31:38" x14ac:dyDescent="0.25">
      <c r="AE618" s="43" t="s">
        <v>48</v>
      </c>
      <c r="AF618" s="43" t="s">
        <v>26</v>
      </c>
      <c r="AG618" s="43" t="s">
        <v>49</v>
      </c>
      <c r="AH618" s="43" t="s">
        <v>36</v>
      </c>
      <c r="AI618">
        <v>4</v>
      </c>
      <c r="AJ618" s="43" t="s">
        <v>325</v>
      </c>
      <c r="AK618" s="43" t="s">
        <v>309</v>
      </c>
      <c r="AL618">
        <v>1.95</v>
      </c>
    </row>
    <row r="619" spans="31:38" x14ac:dyDescent="0.25">
      <c r="AE619" s="43" t="s">
        <v>48</v>
      </c>
      <c r="AF619" s="43" t="s">
        <v>26</v>
      </c>
      <c r="AG619" s="43" t="s">
        <v>49</v>
      </c>
      <c r="AH619" s="43" t="s">
        <v>36</v>
      </c>
      <c r="AI619">
        <v>4</v>
      </c>
      <c r="AJ619" s="43" t="s">
        <v>325</v>
      </c>
      <c r="AK619" s="43" t="s">
        <v>268</v>
      </c>
      <c r="AL619">
        <v>4.6500000000000004</v>
      </c>
    </row>
    <row r="620" spans="31:38" x14ac:dyDescent="0.25">
      <c r="AE620" s="43" t="s">
        <v>48</v>
      </c>
      <c r="AF620" s="43" t="s">
        <v>26</v>
      </c>
      <c r="AG620" s="43" t="s">
        <v>49</v>
      </c>
      <c r="AH620" s="43" t="s">
        <v>36</v>
      </c>
      <c r="AI620">
        <v>4</v>
      </c>
      <c r="AJ620" s="43" t="s">
        <v>330</v>
      </c>
      <c r="AK620" s="43" t="s">
        <v>308</v>
      </c>
      <c r="AL620">
        <v>2.2000000000000002</v>
      </c>
    </row>
    <row r="621" spans="31:38" x14ac:dyDescent="0.25">
      <c r="AE621" s="43" t="s">
        <v>48</v>
      </c>
      <c r="AF621" s="43" t="s">
        <v>26</v>
      </c>
      <c r="AG621" s="43" t="s">
        <v>49</v>
      </c>
      <c r="AH621" s="43" t="s">
        <v>36</v>
      </c>
      <c r="AI621">
        <v>4</v>
      </c>
      <c r="AJ621" s="43" t="s">
        <v>330</v>
      </c>
      <c r="AK621" s="43" t="s">
        <v>309</v>
      </c>
      <c r="AL621">
        <v>4.95</v>
      </c>
    </row>
    <row r="622" spans="31:38" x14ac:dyDescent="0.25">
      <c r="AE622" s="43" t="s">
        <v>48</v>
      </c>
      <c r="AF622" s="43" t="s">
        <v>26</v>
      </c>
      <c r="AG622" s="43" t="s">
        <v>49</v>
      </c>
      <c r="AH622" s="43" t="s">
        <v>36</v>
      </c>
      <c r="AI622">
        <v>4</v>
      </c>
      <c r="AJ622" s="43" t="s">
        <v>330</v>
      </c>
      <c r="AK622" s="43" t="s">
        <v>268</v>
      </c>
      <c r="AL622">
        <v>7.15</v>
      </c>
    </row>
    <row r="623" spans="31:38" x14ac:dyDescent="0.25">
      <c r="AE623" s="43" t="s">
        <v>48</v>
      </c>
      <c r="AF623" s="43" t="s">
        <v>26</v>
      </c>
      <c r="AG623" s="43" t="s">
        <v>49</v>
      </c>
      <c r="AH623" s="43" t="s">
        <v>36</v>
      </c>
      <c r="AI623">
        <v>4</v>
      </c>
      <c r="AJ623" s="43" t="s">
        <v>331</v>
      </c>
      <c r="AK623" s="43" t="s">
        <v>308</v>
      </c>
      <c r="AL623">
        <v>2.6</v>
      </c>
    </row>
    <row r="624" spans="31:38" x14ac:dyDescent="0.25">
      <c r="AE624" s="43" t="s">
        <v>48</v>
      </c>
      <c r="AF624" s="43" t="s">
        <v>26</v>
      </c>
      <c r="AG624" s="43" t="s">
        <v>49</v>
      </c>
      <c r="AH624" s="43" t="s">
        <v>36</v>
      </c>
      <c r="AI624">
        <v>4</v>
      </c>
      <c r="AJ624" s="43" t="s">
        <v>331</v>
      </c>
      <c r="AK624" s="43" t="s">
        <v>309</v>
      </c>
      <c r="AL624">
        <v>7</v>
      </c>
    </row>
    <row r="625" spans="31:38" x14ac:dyDescent="0.25">
      <c r="AE625" s="43" t="s">
        <v>48</v>
      </c>
      <c r="AF625" s="43" t="s">
        <v>26</v>
      </c>
      <c r="AG625" s="43" t="s">
        <v>49</v>
      </c>
      <c r="AH625" s="43" t="s">
        <v>36</v>
      </c>
      <c r="AI625">
        <v>4</v>
      </c>
      <c r="AJ625" s="43" t="s">
        <v>331</v>
      </c>
      <c r="AK625" s="43" t="s">
        <v>268</v>
      </c>
      <c r="AL625">
        <v>9.6</v>
      </c>
    </row>
    <row r="626" spans="31:38" x14ac:dyDescent="0.25">
      <c r="AE626" s="43" t="s">
        <v>48</v>
      </c>
      <c r="AF626" s="43" t="s">
        <v>26</v>
      </c>
      <c r="AG626" s="43" t="s">
        <v>49</v>
      </c>
      <c r="AH626" s="43" t="s">
        <v>36</v>
      </c>
      <c r="AI626">
        <v>4</v>
      </c>
      <c r="AJ626" s="43" t="s">
        <v>341</v>
      </c>
      <c r="AK626" s="43" t="s">
        <v>308</v>
      </c>
      <c r="AL626">
        <v>8.1</v>
      </c>
    </row>
    <row r="627" spans="31:38" x14ac:dyDescent="0.25">
      <c r="AE627" s="43" t="s">
        <v>48</v>
      </c>
      <c r="AF627" s="43" t="s">
        <v>26</v>
      </c>
      <c r="AG627" s="43" t="s">
        <v>49</v>
      </c>
      <c r="AH627" s="43" t="s">
        <v>36</v>
      </c>
      <c r="AI627">
        <v>4</v>
      </c>
      <c r="AJ627" s="43" t="s">
        <v>341</v>
      </c>
      <c r="AK627" s="43" t="s">
        <v>309</v>
      </c>
      <c r="AL627">
        <v>15.95</v>
      </c>
    </row>
    <row r="628" spans="31:38" x14ac:dyDescent="0.25">
      <c r="AE628" s="43" t="s">
        <v>48</v>
      </c>
      <c r="AF628" s="43" t="s">
        <v>26</v>
      </c>
      <c r="AG628" s="43" t="s">
        <v>49</v>
      </c>
      <c r="AH628" s="43" t="s">
        <v>36</v>
      </c>
      <c r="AI628">
        <v>4</v>
      </c>
      <c r="AJ628" s="43" t="s">
        <v>341</v>
      </c>
      <c r="AK628" s="43" t="s">
        <v>268</v>
      </c>
      <c r="AL628">
        <v>23.55</v>
      </c>
    </row>
    <row r="629" spans="31:38" x14ac:dyDescent="0.25">
      <c r="AE629" s="43" t="s">
        <v>48</v>
      </c>
      <c r="AF629" s="43" t="s">
        <v>26</v>
      </c>
      <c r="AG629" s="43" t="s">
        <v>49</v>
      </c>
      <c r="AH629" s="43" t="s">
        <v>36</v>
      </c>
      <c r="AI629">
        <v>4</v>
      </c>
      <c r="AJ629" s="43" t="s">
        <v>344</v>
      </c>
      <c r="AK629" s="43" t="s">
        <v>308</v>
      </c>
      <c r="AL629">
        <v>2.6999999999999997</v>
      </c>
    </row>
    <row r="630" spans="31:38" x14ac:dyDescent="0.25">
      <c r="AE630" s="43" t="s">
        <v>48</v>
      </c>
      <c r="AF630" s="43" t="s">
        <v>26</v>
      </c>
      <c r="AG630" s="43" t="s">
        <v>49</v>
      </c>
      <c r="AH630" s="43" t="s">
        <v>36</v>
      </c>
      <c r="AI630">
        <v>4</v>
      </c>
      <c r="AJ630" s="43" t="s">
        <v>344</v>
      </c>
      <c r="AK630" s="43" t="s">
        <v>309</v>
      </c>
      <c r="AL630">
        <v>5.3166666666666664</v>
      </c>
    </row>
    <row r="631" spans="31:38" x14ac:dyDescent="0.25">
      <c r="AE631" s="43" t="s">
        <v>48</v>
      </c>
      <c r="AF631" s="43" t="s">
        <v>26</v>
      </c>
      <c r="AG631" s="43" t="s">
        <v>49</v>
      </c>
      <c r="AH631" s="43" t="s">
        <v>36</v>
      </c>
      <c r="AI631">
        <v>4</v>
      </c>
      <c r="AJ631" s="43" t="s">
        <v>344</v>
      </c>
      <c r="AK631" s="43" t="s">
        <v>268</v>
      </c>
      <c r="AL631">
        <v>7.8500000000000005</v>
      </c>
    </row>
    <row r="632" spans="31:38" x14ac:dyDescent="0.25">
      <c r="AE632" s="43" t="s">
        <v>46</v>
      </c>
      <c r="AF632" s="43" t="s">
        <v>26</v>
      </c>
      <c r="AG632" s="43" t="s">
        <v>47</v>
      </c>
      <c r="AH632" s="43" t="s">
        <v>36</v>
      </c>
      <c r="AI632">
        <v>3</v>
      </c>
      <c r="AJ632" s="43" t="s">
        <v>317</v>
      </c>
      <c r="AK632" s="43" t="s">
        <v>308</v>
      </c>
      <c r="AL632">
        <v>0</v>
      </c>
    </row>
    <row r="633" spans="31:38" x14ac:dyDescent="0.25">
      <c r="AE633" s="43" t="s">
        <v>46</v>
      </c>
      <c r="AF633" s="43" t="s">
        <v>26</v>
      </c>
      <c r="AG633" s="43" t="s">
        <v>47</v>
      </c>
      <c r="AH633" s="43" t="s">
        <v>36</v>
      </c>
      <c r="AI633">
        <v>3</v>
      </c>
      <c r="AJ633" s="43" t="s">
        <v>317</v>
      </c>
      <c r="AK633" s="43" t="s">
        <v>309</v>
      </c>
      <c r="AL633">
        <v>0</v>
      </c>
    </row>
    <row r="634" spans="31:38" x14ac:dyDescent="0.25">
      <c r="AE634" s="43" t="s">
        <v>46</v>
      </c>
      <c r="AF634" s="43" t="s">
        <v>26</v>
      </c>
      <c r="AG634" s="43" t="s">
        <v>47</v>
      </c>
      <c r="AH634" s="43" t="s">
        <v>36</v>
      </c>
      <c r="AI634">
        <v>3</v>
      </c>
      <c r="AJ634" s="43" t="s">
        <v>317</v>
      </c>
      <c r="AK634" s="43" t="s">
        <v>268</v>
      </c>
      <c r="AL634">
        <v>0</v>
      </c>
    </row>
    <row r="635" spans="31:38" x14ac:dyDescent="0.25">
      <c r="AE635" s="43" t="s">
        <v>46</v>
      </c>
      <c r="AF635" s="43" t="s">
        <v>26</v>
      </c>
      <c r="AG635" s="43" t="s">
        <v>47</v>
      </c>
      <c r="AH635" s="43" t="s">
        <v>36</v>
      </c>
      <c r="AI635">
        <v>3</v>
      </c>
      <c r="AJ635" s="43" t="s">
        <v>325</v>
      </c>
      <c r="AK635" s="43" t="s">
        <v>308</v>
      </c>
      <c r="AL635">
        <v>2.2000000000000002</v>
      </c>
    </row>
    <row r="636" spans="31:38" x14ac:dyDescent="0.25">
      <c r="AE636" s="43" t="s">
        <v>46</v>
      </c>
      <c r="AF636" s="43" t="s">
        <v>26</v>
      </c>
      <c r="AG636" s="43" t="s">
        <v>47</v>
      </c>
      <c r="AH636" s="43" t="s">
        <v>36</v>
      </c>
      <c r="AI636">
        <v>3</v>
      </c>
      <c r="AJ636" s="43" t="s">
        <v>325</v>
      </c>
      <c r="AK636" s="43" t="s">
        <v>309</v>
      </c>
      <c r="AL636">
        <v>5.75</v>
      </c>
    </row>
    <row r="637" spans="31:38" x14ac:dyDescent="0.25">
      <c r="AE637" s="43" t="s">
        <v>46</v>
      </c>
      <c r="AF637" s="43" t="s">
        <v>26</v>
      </c>
      <c r="AG637" s="43" t="s">
        <v>47</v>
      </c>
      <c r="AH637" s="43" t="s">
        <v>36</v>
      </c>
      <c r="AI637">
        <v>3</v>
      </c>
      <c r="AJ637" s="43" t="s">
        <v>325</v>
      </c>
      <c r="AK637" s="43" t="s">
        <v>268</v>
      </c>
      <c r="AL637">
        <v>7.95</v>
      </c>
    </row>
    <row r="638" spans="31:38" x14ac:dyDescent="0.25">
      <c r="AE638" s="43" t="s">
        <v>46</v>
      </c>
      <c r="AF638" s="43" t="s">
        <v>26</v>
      </c>
      <c r="AG638" s="43" t="s">
        <v>47</v>
      </c>
      <c r="AH638" s="43" t="s">
        <v>36</v>
      </c>
      <c r="AI638">
        <v>3</v>
      </c>
      <c r="AJ638" s="43" t="s">
        <v>330</v>
      </c>
      <c r="AK638" s="43" t="s">
        <v>308</v>
      </c>
      <c r="AL638">
        <v>2.2000000000000002</v>
      </c>
    </row>
    <row r="639" spans="31:38" x14ac:dyDescent="0.25">
      <c r="AE639" s="43" t="s">
        <v>46</v>
      </c>
      <c r="AF639" s="43" t="s">
        <v>26</v>
      </c>
      <c r="AG639" s="43" t="s">
        <v>47</v>
      </c>
      <c r="AH639" s="43" t="s">
        <v>36</v>
      </c>
      <c r="AI639">
        <v>3</v>
      </c>
      <c r="AJ639" s="43" t="s">
        <v>330</v>
      </c>
      <c r="AK639" s="43" t="s">
        <v>309</v>
      </c>
      <c r="AL639">
        <v>2.75</v>
      </c>
    </row>
    <row r="640" spans="31:38" x14ac:dyDescent="0.25">
      <c r="AE640" s="43" t="s">
        <v>46</v>
      </c>
      <c r="AF640" s="43" t="s">
        <v>26</v>
      </c>
      <c r="AG640" s="43" t="s">
        <v>47</v>
      </c>
      <c r="AH640" s="43" t="s">
        <v>36</v>
      </c>
      <c r="AI640">
        <v>3</v>
      </c>
      <c r="AJ640" s="43" t="s">
        <v>330</v>
      </c>
      <c r="AK640" s="43" t="s">
        <v>268</v>
      </c>
      <c r="AL640">
        <v>4.95</v>
      </c>
    </row>
    <row r="641" spans="31:38" x14ac:dyDescent="0.25">
      <c r="AE641" s="43" t="s">
        <v>46</v>
      </c>
      <c r="AF641" s="43" t="s">
        <v>26</v>
      </c>
      <c r="AG641" s="43" t="s">
        <v>47</v>
      </c>
      <c r="AH641" s="43" t="s">
        <v>36</v>
      </c>
      <c r="AI641">
        <v>3</v>
      </c>
      <c r="AJ641" s="43" t="s">
        <v>331</v>
      </c>
      <c r="AK641" s="43" t="s">
        <v>308</v>
      </c>
      <c r="AL641">
        <v>2.5</v>
      </c>
    </row>
    <row r="642" spans="31:38" x14ac:dyDescent="0.25">
      <c r="AE642" s="43" t="s">
        <v>46</v>
      </c>
      <c r="AF642" s="43" t="s">
        <v>26</v>
      </c>
      <c r="AG642" s="43" t="s">
        <v>47</v>
      </c>
      <c r="AH642" s="43" t="s">
        <v>36</v>
      </c>
      <c r="AI642">
        <v>3</v>
      </c>
      <c r="AJ642" s="43" t="s">
        <v>331</v>
      </c>
      <c r="AK642" s="43" t="s">
        <v>309</v>
      </c>
      <c r="AL642">
        <v>5.5</v>
      </c>
    </row>
    <row r="643" spans="31:38" x14ac:dyDescent="0.25">
      <c r="AE643" s="43" t="s">
        <v>46</v>
      </c>
      <c r="AF643" s="43" t="s">
        <v>26</v>
      </c>
      <c r="AG643" s="43" t="s">
        <v>47</v>
      </c>
      <c r="AH643" s="43" t="s">
        <v>36</v>
      </c>
      <c r="AI643">
        <v>3</v>
      </c>
      <c r="AJ643" s="43" t="s">
        <v>331</v>
      </c>
      <c r="AK643" s="43" t="s">
        <v>268</v>
      </c>
      <c r="AL643">
        <v>8</v>
      </c>
    </row>
    <row r="644" spans="31:38" x14ac:dyDescent="0.25">
      <c r="AE644" s="43" t="s">
        <v>46</v>
      </c>
      <c r="AF644" s="43" t="s">
        <v>26</v>
      </c>
      <c r="AG644" s="43" t="s">
        <v>47</v>
      </c>
      <c r="AH644" s="43" t="s">
        <v>36</v>
      </c>
      <c r="AI644">
        <v>3</v>
      </c>
      <c r="AJ644" s="43" t="s">
        <v>341</v>
      </c>
      <c r="AK644" s="43" t="s">
        <v>308</v>
      </c>
      <c r="AL644">
        <v>6.9</v>
      </c>
    </row>
    <row r="645" spans="31:38" x14ac:dyDescent="0.25">
      <c r="AE645" s="43" t="s">
        <v>46</v>
      </c>
      <c r="AF645" s="43" t="s">
        <v>26</v>
      </c>
      <c r="AG645" s="43" t="s">
        <v>47</v>
      </c>
      <c r="AH645" s="43" t="s">
        <v>36</v>
      </c>
      <c r="AI645">
        <v>3</v>
      </c>
      <c r="AJ645" s="43" t="s">
        <v>341</v>
      </c>
      <c r="AK645" s="43" t="s">
        <v>309</v>
      </c>
      <c r="AL645">
        <v>14</v>
      </c>
    </row>
    <row r="646" spans="31:38" x14ac:dyDescent="0.25">
      <c r="AE646" s="43" t="s">
        <v>46</v>
      </c>
      <c r="AF646" s="43" t="s">
        <v>26</v>
      </c>
      <c r="AG646" s="43" t="s">
        <v>47</v>
      </c>
      <c r="AH646" s="43" t="s">
        <v>36</v>
      </c>
      <c r="AI646">
        <v>3</v>
      </c>
      <c r="AJ646" s="43" t="s">
        <v>341</v>
      </c>
      <c r="AK646" s="43" t="s">
        <v>268</v>
      </c>
      <c r="AL646">
        <v>20.9</v>
      </c>
    </row>
    <row r="647" spans="31:38" x14ac:dyDescent="0.25">
      <c r="AE647" s="43" t="s">
        <v>46</v>
      </c>
      <c r="AF647" s="43" t="s">
        <v>26</v>
      </c>
      <c r="AG647" s="43" t="s">
        <v>47</v>
      </c>
      <c r="AH647" s="43" t="s">
        <v>36</v>
      </c>
      <c r="AI647">
        <v>3</v>
      </c>
      <c r="AJ647" s="43" t="s">
        <v>344</v>
      </c>
      <c r="AK647" s="43" t="s">
        <v>308</v>
      </c>
      <c r="AL647">
        <v>2.3000000000000003</v>
      </c>
    </row>
    <row r="648" spans="31:38" x14ac:dyDescent="0.25">
      <c r="AE648" s="43" t="s">
        <v>46</v>
      </c>
      <c r="AF648" s="43" t="s">
        <v>26</v>
      </c>
      <c r="AG648" s="43" t="s">
        <v>47</v>
      </c>
      <c r="AH648" s="43" t="s">
        <v>36</v>
      </c>
      <c r="AI648">
        <v>3</v>
      </c>
      <c r="AJ648" s="43" t="s">
        <v>344</v>
      </c>
      <c r="AK648" s="43" t="s">
        <v>309</v>
      </c>
      <c r="AL648">
        <v>4.666666666666667</v>
      </c>
    </row>
    <row r="649" spans="31:38" x14ac:dyDescent="0.25">
      <c r="AE649" s="43" t="s">
        <v>46</v>
      </c>
      <c r="AF649" s="43" t="s">
        <v>26</v>
      </c>
      <c r="AG649" s="43" t="s">
        <v>47</v>
      </c>
      <c r="AH649" s="43" t="s">
        <v>36</v>
      </c>
      <c r="AI649">
        <v>3</v>
      </c>
      <c r="AJ649" s="43" t="s">
        <v>344</v>
      </c>
      <c r="AK649" s="43" t="s">
        <v>268</v>
      </c>
      <c r="AL649">
        <v>6.9666666666666659</v>
      </c>
    </row>
    <row r="650" spans="31:38" x14ac:dyDescent="0.25">
      <c r="AE650" s="43" t="s">
        <v>112</v>
      </c>
      <c r="AF650" s="43" t="s">
        <v>26</v>
      </c>
      <c r="AG650" s="43" t="s">
        <v>113</v>
      </c>
      <c r="AH650" s="43" t="s">
        <v>31</v>
      </c>
      <c r="AI650">
        <v>2</v>
      </c>
      <c r="AJ650" s="43" t="s">
        <v>317</v>
      </c>
      <c r="AK650" s="43" t="s">
        <v>308</v>
      </c>
      <c r="AL650">
        <v>3.1</v>
      </c>
    </row>
    <row r="651" spans="31:38" x14ac:dyDescent="0.25">
      <c r="AE651" s="43" t="s">
        <v>112</v>
      </c>
      <c r="AF651" s="43" t="s">
        <v>26</v>
      </c>
      <c r="AG651" s="43" t="s">
        <v>113</v>
      </c>
      <c r="AH651" s="43" t="s">
        <v>31</v>
      </c>
      <c r="AI651">
        <v>2</v>
      </c>
      <c r="AJ651" s="43" t="s">
        <v>317</v>
      </c>
      <c r="AK651" s="43" t="s">
        <v>309</v>
      </c>
      <c r="AL651">
        <v>7.65</v>
      </c>
    </row>
    <row r="652" spans="31:38" x14ac:dyDescent="0.25">
      <c r="AE652" s="43" t="s">
        <v>112</v>
      </c>
      <c r="AF652" s="43" t="s">
        <v>26</v>
      </c>
      <c r="AG652" s="43" t="s">
        <v>113</v>
      </c>
      <c r="AH652" s="43" t="s">
        <v>31</v>
      </c>
      <c r="AI652">
        <v>2</v>
      </c>
      <c r="AJ652" s="43" t="s">
        <v>317</v>
      </c>
      <c r="AK652" s="43" t="s">
        <v>268</v>
      </c>
      <c r="AL652">
        <v>10.75</v>
      </c>
    </row>
    <row r="653" spans="31:38" x14ac:dyDescent="0.25">
      <c r="AE653" s="43" t="s">
        <v>112</v>
      </c>
      <c r="AF653" s="43" t="s">
        <v>26</v>
      </c>
      <c r="AG653" s="43" t="s">
        <v>113</v>
      </c>
      <c r="AH653" s="43" t="s">
        <v>31</v>
      </c>
      <c r="AI653">
        <v>2</v>
      </c>
      <c r="AJ653" s="43" t="s">
        <v>325</v>
      </c>
      <c r="AK653" s="43" t="s">
        <v>308</v>
      </c>
      <c r="AL653">
        <v>0</v>
      </c>
    </row>
    <row r="654" spans="31:38" x14ac:dyDescent="0.25">
      <c r="AE654" s="43" t="s">
        <v>112</v>
      </c>
      <c r="AF654" s="43" t="s">
        <v>26</v>
      </c>
      <c r="AG654" s="43" t="s">
        <v>113</v>
      </c>
      <c r="AH654" s="43" t="s">
        <v>31</v>
      </c>
      <c r="AI654">
        <v>2</v>
      </c>
      <c r="AJ654" s="43" t="s">
        <v>325</v>
      </c>
      <c r="AK654" s="43" t="s">
        <v>309</v>
      </c>
      <c r="AL654">
        <v>0</v>
      </c>
    </row>
    <row r="655" spans="31:38" x14ac:dyDescent="0.25">
      <c r="AE655" s="43" t="s">
        <v>112</v>
      </c>
      <c r="AF655" s="43" t="s">
        <v>26</v>
      </c>
      <c r="AG655" s="43" t="s">
        <v>113</v>
      </c>
      <c r="AH655" s="43" t="s">
        <v>31</v>
      </c>
      <c r="AI655">
        <v>2</v>
      </c>
      <c r="AJ655" s="43" t="s">
        <v>325</v>
      </c>
      <c r="AK655" s="43" t="s">
        <v>268</v>
      </c>
      <c r="AL655">
        <v>0</v>
      </c>
    </row>
    <row r="656" spans="31:38" x14ac:dyDescent="0.25">
      <c r="AE656" s="43" t="s">
        <v>112</v>
      </c>
      <c r="AF656" s="43" t="s">
        <v>26</v>
      </c>
      <c r="AG656" s="43" t="s">
        <v>113</v>
      </c>
      <c r="AH656" s="43" t="s">
        <v>31</v>
      </c>
      <c r="AI656">
        <v>2</v>
      </c>
      <c r="AJ656" s="43" t="s">
        <v>330</v>
      </c>
      <c r="AK656" s="43" t="s">
        <v>308</v>
      </c>
      <c r="AL656">
        <v>0</v>
      </c>
    </row>
    <row r="657" spans="31:38" x14ac:dyDescent="0.25">
      <c r="AE657" s="43" t="s">
        <v>112</v>
      </c>
      <c r="AF657" s="43" t="s">
        <v>26</v>
      </c>
      <c r="AG657" s="43" t="s">
        <v>113</v>
      </c>
      <c r="AH657" s="43" t="s">
        <v>31</v>
      </c>
      <c r="AI657">
        <v>2</v>
      </c>
      <c r="AJ657" s="43" t="s">
        <v>330</v>
      </c>
      <c r="AK657" s="43" t="s">
        <v>309</v>
      </c>
      <c r="AL657">
        <v>0</v>
      </c>
    </row>
    <row r="658" spans="31:38" x14ac:dyDescent="0.25">
      <c r="AE658" s="43" t="s">
        <v>112</v>
      </c>
      <c r="AF658" s="43" t="s">
        <v>26</v>
      </c>
      <c r="AG658" s="43" t="s">
        <v>113</v>
      </c>
      <c r="AH658" s="43" t="s">
        <v>31</v>
      </c>
      <c r="AI658">
        <v>2</v>
      </c>
      <c r="AJ658" s="43" t="s">
        <v>330</v>
      </c>
      <c r="AK658" s="43" t="s">
        <v>268</v>
      </c>
      <c r="AL658">
        <v>0</v>
      </c>
    </row>
    <row r="659" spans="31:38" x14ac:dyDescent="0.25">
      <c r="AE659" s="43" t="s">
        <v>112</v>
      </c>
      <c r="AF659" s="43" t="s">
        <v>26</v>
      </c>
      <c r="AG659" s="43" t="s">
        <v>113</v>
      </c>
      <c r="AH659" s="43" t="s">
        <v>31</v>
      </c>
      <c r="AI659">
        <v>2</v>
      </c>
      <c r="AJ659" s="43" t="s">
        <v>331</v>
      </c>
      <c r="AK659" s="43" t="s">
        <v>308</v>
      </c>
      <c r="AL659">
        <v>2.7</v>
      </c>
    </row>
    <row r="660" spans="31:38" x14ac:dyDescent="0.25">
      <c r="AE660" s="43" t="s">
        <v>112</v>
      </c>
      <c r="AF660" s="43" t="s">
        <v>26</v>
      </c>
      <c r="AG660" s="43" t="s">
        <v>113</v>
      </c>
      <c r="AH660" s="43" t="s">
        <v>31</v>
      </c>
      <c r="AI660">
        <v>2</v>
      </c>
      <c r="AJ660" s="43" t="s">
        <v>331</v>
      </c>
      <c r="AK660" s="43" t="s">
        <v>309</v>
      </c>
      <c r="AL660">
        <v>6</v>
      </c>
    </row>
    <row r="661" spans="31:38" x14ac:dyDescent="0.25">
      <c r="AE661" s="43" t="s">
        <v>112</v>
      </c>
      <c r="AF661" s="43" t="s">
        <v>26</v>
      </c>
      <c r="AG661" s="43" t="s">
        <v>113</v>
      </c>
      <c r="AH661" s="43" t="s">
        <v>31</v>
      </c>
      <c r="AI661">
        <v>2</v>
      </c>
      <c r="AJ661" s="43" t="s">
        <v>331</v>
      </c>
      <c r="AK661" s="43" t="s">
        <v>268</v>
      </c>
      <c r="AL661">
        <v>8.6999999999999993</v>
      </c>
    </row>
    <row r="662" spans="31:38" x14ac:dyDescent="0.25">
      <c r="AE662" s="43" t="s">
        <v>112</v>
      </c>
      <c r="AF662" s="43" t="s">
        <v>26</v>
      </c>
      <c r="AG662" s="43" t="s">
        <v>113</v>
      </c>
      <c r="AH662" s="43" t="s">
        <v>31</v>
      </c>
      <c r="AI662">
        <v>2</v>
      </c>
      <c r="AJ662" s="43" t="s">
        <v>341</v>
      </c>
      <c r="AK662" s="43" t="s">
        <v>308</v>
      </c>
      <c r="AL662">
        <v>5.8000000000000007</v>
      </c>
    </row>
    <row r="663" spans="31:38" x14ac:dyDescent="0.25">
      <c r="AE663" s="43" t="s">
        <v>112</v>
      </c>
      <c r="AF663" s="43" t="s">
        <v>26</v>
      </c>
      <c r="AG663" s="43" t="s">
        <v>113</v>
      </c>
      <c r="AH663" s="43" t="s">
        <v>31</v>
      </c>
      <c r="AI663">
        <v>2</v>
      </c>
      <c r="AJ663" s="43" t="s">
        <v>341</v>
      </c>
      <c r="AK663" s="43" t="s">
        <v>309</v>
      </c>
      <c r="AL663">
        <v>13.65</v>
      </c>
    </row>
    <row r="664" spans="31:38" x14ac:dyDescent="0.25">
      <c r="AE664" s="43" t="s">
        <v>112</v>
      </c>
      <c r="AF664" s="43" t="s">
        <v>26</v>
      </c>
      <c r="AG664" s="43" t="s">
        <v>113</v>
      </c>
      <c r="AH664" s="43" t="s">
        <v>31</v>
      </c>
      <c r="AI664">
        <v>2</v>
      </c>
      <c r="AJ664" s="43" t="s">
        <v>341</v>
      </c>
      <c r="AK664" s="43" t="s">
        <v>268</v>
      </c>
      <c r="AL664">
        <v>19.45</v>
      </c>
    </row>
    <row r="665" spans="31:38" x14ac:dyDescent="0.25">
      <c r="AE665" s="43" t="s">
        <v>112</v>
      </c>
      <c r="AF665" s="43" t="s">
        <v>26</v>
      </c>
      <c r="AG665" s="43" t="s">
        <v>113</v>
      </c>
      <c r="AH665" s="43" t="s">
        <v>31</v>
      </c>
      <c r="AI665">
        <v>2</v>
      </c>
      <c r="AJ665" s="43" t="s">
        <v>344</v>
      </c>
      <c r="AK665" s="43" t="s">
        <v>308</v>
      </c>
      <c r="AL665">
        <v>0</v>
      </c>
    </row>
    <row r="666" spans="31:38" x14ac:dyDescent="0.25">
      <c r="AE666" s="43" t="s">
        <v>112</v>
      </c>
      <c r="AF666" s="43" t="s">
        <v>26</v>
      </c>
      <c r="AG666" s="43" t="s">
        <v>113</v>
      </c>
      <c r="AH666" s="43" t="s">
        <v>31</v>
      </c>
      <c r="AI666">
        <v>2</v>
      </c>
      <c r="AJ666" s="43" t="s">
        <v>344</v>
      </c>
      <c r="AK666" s="43" t="s">
        <v>309</v>
      </c>
      <c r="AL666">
        <v>0</v>
      </c>
    </row>
    <row r="667" spans="31:38" x14ac:dyDescent="0.25">
      <c r="AE667" s="43" t="s">
        <v>112</v>
      </c>
      <c r="AF667" s="43" t="s">
        <v>26</v>
      </c>
      <c r="AG667" s="43" t="s">
        <v>113</v>
      </c>
      <c r="AH667" s="43" t="s">
        <v>31</v>
      </c>
      <c r="AI667">
        <v>2</v>
      </c>
      <c r="AJ667" s="43" t="s">
        <v>344</v>
      </c>
      <c r="AK667" s="43" t="s">
        <v>268</v>
      </c>
      <c r="AL667">
        <v>0</v>
      </c>
    </row>
    <row r="668" spans="31:38" x14ac:dyDescent="0.25">
      <c r="AE668" s="43" t="s">
        <v>120</v>
      </c>
      <c r="AF668" s="43" t="s">
        <v>26</v>
      </c>
      <c r="AG668" s="43" t="s">
        <v>121</v>
      </c>
      <c r="AH668" s="43" t="s">
        <v>39</v>
      </c>
      <c r="AI668">
        <v>2</v>
      </c>
      <c r="AJ668" s="43" t="s">
        <v>317</v>
      </c>
      <c r="AK668" s="43" t="s">
        <v>308</v>
      </c>
      <c r="AL668">
        <v>2.6</v>
      </c>
    </row>
    <row r="669" spans="31:38" x14ac:dyDescent="0.25">
      <c r="AE669" s="43" t="s">
        <v>120</v>
      </c>
      <c r="AF669" s="43" t="s">
        <v>26</v>
      </c>
      <c r="AG669" s="43" t="s">
        <v>121</v>
      </c>
      <c r="AH669" s="43" t="s">
        <v>39</v>
      </c>
      <c r="AI669">
        <v>2</v>
      </c>
      <c r="AJ669" s="43" t="s">
        <v>317</v>
      </c>
      <c r="AK669" s="43" t="s">
        <v>309</v>
      </c>
      <c r="AL669">
        <v>4.4000000000000004</v>
      </c>
    </row>
    <row r="670" spans="31:38" x14ac:dyDescent="0.25">
      <c r="AE670" s="43" t="s">
        <v>120</v>
      </c>
      <c r="AF670" s="43" t="s">
        <v>26</v>
      </c>
      <c r="AG670" s="43" t="s">
        <v>121</v>
      </c>
      <c r="AH670" s="43" t="s">
        <v>39</v>
      </c>
      <c r="AI670">
        <v>2</v>
      </c>
      <c r="AJ670" s="43" t="s">
        <v>317</v>
      </c>
      <c r="AK670" s="43" t="s">
        <v>268</v>
      </c>
      <c r="AL670">
        <v>7</v>
      </c>
    </row>
    <row r="671" spans="31:38" x14ac:dyDescent="0.25">
      <c r="AE671" s="43" t="s">
        <v>120</v>
      </c>
      <c r="AF671" s="43" t="s">
        <v>26</v>
      </c>
      <c r="AG671" s="43" t="s">
        <v>121</v>
      </c>
      <c r="AH671" s="43" t="s">
        <v>39</v>
      </c>
      <c r="AI671">
        <v>2</v>
      </c>
      <c r="AJ671" s="43" t="s">
        <v>325</v>
      </c>
      <c r="AK671" s="43" t="s">
        <v>308</v>
      </c>
      <c r="AL671">
        <v>0</v>
      </c>
    </row>
    <row r="672" spans="31:38" x14ac:dyDescent="0.25">
      <c r="AE672" s="43" t="s">
        <v>120</v>
      </c>
      <c r="AF672" s="43" t="s">
        <v>26</v>
      </c>
      <c r="AG672" s="43" t="s">
        <v>121</v>
      </c>
      <c r="AH672" s="43" t="s">
        <v>39</v>
      </c>
      <c r="AI672">
        <v>2</v>
      </c>
      <c r="AJ672" s="43" t="s">
        <v>325</v>
      </c>
      <c r="AK672" s="43" t="s">
        <v>309</v>
      </c>
      <c r="AL672">
        <v>0</v>
      </c>
    </row>
    <row r="673" spans="31:38" x14ac:dyDescent="0.25">
      <c r="AE673" s="43" t="s">
        <v>120</v>
      </c>
      <c r="AF673" s="43" t="s">
        <v>26</v>
      </c>
      <c r="AG673" s="43" t="s">
        <v>121</v>
      </c>
      <c r="AH673" s="43" t="s">
        <v>39</v>
      </c>
      <c r="AI673">
        <v>2</v>
      </c>
      <c r="AJ673" s="43" t="s">
        <v>325</v>
      </c>
      <c r="AK673" s="43" t="s">
        <v>268</v>
      </c>
      <c r="AL673">
        <v>0</v>
      </c>
    </row>
    <row r="674" spans="31:38" x14ac:dyDescent="0.25">
      <c r="AE674" s="43" t="s">
        <v>120</v>
      </c>
      <c r="AF674" s="43" t="s">
        <v>26</v>
      </c>
      <c r="AG674" s="43" t="s">
        <v>121</v>
      </c>
      <c r="AH674" s="43" t="s">
        <v>39</v>
      </c>
      <c r="AI674">
        <v>2</v>
      </c>
      <c r="AJ674" s="43" t="s">
        <v>330</v>
      </c>
      <c r="AK674" s="43" t="s">
        <v>308</v>
      </c>
      <c r="AL674">
        <v>2.4</v>
      </c>
    </row>
    <row r="675" spans="31:38" x14ac:dyDescent="0.25">
      <c r="AE675" s="43" t="s">
        <v>120</v>
      </c>
      <c r="AF675" s="43" t="s">
        <v>26</v>
      </c>
      <c r="AG675" s="43" t="s">
        <v>121</v>
      </c>
      <c r="AH675" s="43" t="s">
        <v>39</v>
      </c>
      <c r="AI675">
        <v>2</v>
      </c>
      <c r="AJ675" s="43" t="s">
        <v>330</v>
      </c>
      <c r="AK675" s="43" t="s">
        <v>309</v>
      </c>
      <c r="AL675">
        <v>5.7</v>
      </c>
    </row>
    <row r="676" spans="31:38" x14ac:dyDescent="0.25">
      <c r="AE676" s="43" t="s">
        <v>120</v>
      </c>
      <c r="AF676" s="43" t="s">
        <v>26</v>
      </c>
      <c r="AG676" s="43" t="s">
        <v>121</v>
      </c>
      <c r="AH676" s="43" t="s">
        <v>39</v>
      </c>
      <c r="AI676">
        <v>2</v>
      </c>
      <c r="AJ676" s="43" t="s">
        <v>330</v>
      </c>
      <c r="AK676" s="43" t="s">
        <v>268</v>
      </c>
      <c r="AL676">
        <v>8.1</v>
      </c>
    </row>
    <row r="677" spans="31:38" x14ac:dyDescent="0.25">
      <c r="AE677" s="43" t="s">
        <v>120</v>
      </c>
      <c r="AF677" s="43" t="s">
        <v>26</v>
      </c>
      <c r="AG677" s="43" t="s">
        <v>121</v>
      </c>
      <c r="AH677" s="43" t="s">
        <v>39</v>
      </c>
      <c r="AI677">
        <v>2</v>
      </c>
      <c r="AJ677" s="43" t="s">
        <v>331</v>
      </c>
      <c r="AK677" s="43" t="s">
        <v>308</v>
      </c>
      <c r="AL677">
        <v>0</v>
      </c>
    </row>
    <row r="678" spans="31:38" x14ac:dyDescent="0.25">
      <c r="AE678" s="43" t="s">
        <v>120</v>
      </c>
      <c r="AF678" s="43" t="s">
        <v>26</v>
      </c>
      <c r="AG678" s="43" t="s">
        <v>121</v>
      </c>
      <c r="AH678" s="43" t="s">
        <v>39</v>
      </c>
      <c r="AI678">
        <v>2</v>
      </c>
      <c r="AJ678" s="43" t="s">
        <v>331</v>
      </c>
      <c r="AK678" s="43" t="s">
        <v>309</v>
      </c>
      <c r="AL678">
        <v>0</v>
      </c>
    </row>
    <row r="679" spans="31:38" x14ac:dyDescent="0.25">
      <c r="AE679" s="43" t="s">
        <v>120</v>
      </c>
      <c r="AF679" s="43" t="s">
        <v>26</v>
      </c>
      <c r="AG679" s="43" t="s">
        <v>121</v>
      </c>
      <c r="AH679" s="43" t="s">
        <v>39</v>
      </c>
      <c r="AI679">
        <v>2</v>
      </c>
      <c r="AJ679" s="43" t="s">
        <v>331</v>
      </c>
      <c r="AK679" s="43" t="s">
        <v>268</v>
      </c>
      <c r="AL679">
        <v>0</v>
      </c>
    </row>
    <row r="680" spans="31:38" x14ac:dyDescent="0.25">
      <c r="AE680" s="43" t="s">
        <v>120</v>
      </c>
      <c r="AF680" s="43" t="s">
        <v>26</v>
      </c>
      <c r="AG680" s="43" t="s">
        <v>121</v>
      </c>
      <c r="AH680" s="43" t="s">
        <v>39</v>
      </c>
      <c r="AI680">
        <v>2</v>
      </c>
      <c r="AJ680" s="43" t="s">
        <v>341</v>
      </c>
      <c r="AK680" s="43" t="s">
        <v>308</v>
      </c>
      <c r="AL680">
        <v>5</v>
      </c>
    </row>
    <row r="681" spans="31:38" x14ac:dyDescent="0.25">
      <c r="AE681" s="43" t="s">
        <v>120</v>
      </c>
      <c r="AF681" s="43" t="s">
        <v>26</v>
      </c>
      <c r="AG681" s="43" t="s">
        <v>121</v>
      </c>
      <c r="AH681" s="43" t="s">
        <v>39</v>
      </c>
      <c r="AI681">
        <v>2</v>
      </c>
      <c r="AJ681" s="43" t="s">
        <v>341</v>
      </c>
      <c r="AK681" s="43" t="s">
        <v>309</v>
      </c>
      <c r="AL681">
        <v>10.100000000000001</v>
      </c>
    </row>
    <row r="682" spans="31:38" x14ac:dyDescent="0.25">
      <c r="AE682" s="43" t="s">
        <v>120</v>
      </c>
      <c r="AF682" s="43" t="s">
        <v>26</v>
      </c>
      <c r="AG682" s="43" t="s">
        <v>121</v>
      </c>
      <c r="AH682" s="43" t="s">
        <v>39</v>
      </c>
      <c r="AI682">
        <v>2</v>
      </c>
      <c r="AJ682" s="43" t="s">
        <v>341</v>
      </c>
      <c r="AK682" s="43" t="s">
        <v>268</v>
      </c>
      <c r="AL682">
        <v>15.1</v>
      </c>
    </row>
    <row r="683" spans="31:38" x14ac:dyDescent="0.25">
      <c r="AE683" s="43" t="s">
        <v>120</v>
      </c>
      <c r="AF683" s="43" t="s">
        <v>26</v>
      </c>
      <c r="AG683" s="43" t="s">
        <v>121</v>
      </c>
      <c r="AH683" s="43" t="s">
        <v>39</v>
      </c>
      <c r="AI683">
        <v>2</v>
      </c>
      <c r="AJ683" s="43" t="s">
        <v>344</v>
      </c>
      <c r="AK683" s="43" t="s">
        <v>308</v>
      </c>
      <c r="AL683">
        <v>0</v>
      </c>
    </row>
    <row r="684" spans="31:38" x14ac:dyDescent="0.25">
      <c r="AE684" s="43" t="s">
        <v>120</v>
      </c>
      <c r="AF684" s="43" t="s">
        <v>26</v>
      </c>
      <c r="AG684" s="43" t="s">
        <v>121</v>
      </c>
      <c r="AH684" s="43" t="s">
        <v>39</v>
      </c>
      <c r="AI684">
        <v>2</v>
      </c>
      <c r="AJ684" s="43" t="s">
        <v>344</v>
      </c>
      <c r="AK684" s="43" t="s">
        <v>309</v>
      </c>
      <c r="AL684">
        <v>0</v>
      </c>
    </row>
    <row r="685" spans="31:38" x14ac:dyDescent="0.25">
      <c r="AE685" s="43" t="s">
        <v>120</v>
      </c>
      <c r="AF685" s="43" t="s">
        <v>26</v>
      </c>
      <c r="AG685" s="43" t="s">
        <v>121</v>
      </c>
      <c r="AH685" s="43" t="s">
        <v>39</v>
      </c>
      <c r="AI685">
        <v>2</v>
      </c>
      <c r="AJ685" s="43" t="s">
        <v>344</v>
      </c>
      <c r="AK685" s="43" t="s">
        <v>268</v>
      </c>
      <c r="AL685">
        <v>0</v>
      </c>
    </row>
    <row r="686" spans="31:38" x14ac:dyDescent="0.25">
      <c r="AE686" s="43" t="s">
        <v>132</v>
      </c>
      <c r="AF686" s="43" t="s">
        <v>26</v>
      </c>
      <c r="AG686" s="43" t="s">
        <v>133</v>
      </c>
      <c r="AH686" s="43" t="s">
        <v>39</v>
      </c>
      <c r="AI686">
        <v>1</v>
      </c>
      <c r="AJ686" s="43" t="s">
        <v>317</v>
      </c>
      <c r="AK686" s="43" t="s">
        <v>308</v>
      </c>
      <c r="AL686">
        <v>3</v>
      </c>
    </row>
    <row r="687" spans="31:38" x14ac:dyDescent="0.25">
      <c r="AE687" s="43" t="s">
        <v>132</v>
      </c>
      <c r="AF687" s="43" t="s">
        <v>26</v>
      </c>
      <c r="AG687" s="43" t="s">
        <v>133</v>
      </c>
      <c r="AH687" s="43" t="s">
        <v>39</v>
      </c>
      <c r="AI687">
        <v>1</v>
      </c>
      <c r="AJ687" s="43" t="s">
        <v>317</v>
      </c>
      <c r="AK687" s="43" t="s">
        <v>309</v>
      </c>
      <c r="AL687">
        <v>7.6</v>
      </c>
    </row>
    <row r="688" spans="31:38" x14ac:dyDescent="0.25">
      <c r="AE688" s="43" t="s">
        <v>132</v>
      </c>
      <c r="AF688" s="43" t="s">
        <v>26</v>
      </c>
      <c r="AG688" s="43" t="s">
        <v>133</v>
      </c>
      <c r="AH688" s="43" t="s">
        <v>39</v>
      </c>
      <c r="AI688">
        <v>1</v>
      </c>
      <c r="AJ688" s="43" t="s">
        <v>317</v>
      </c>
      <c r="AK688" s="43" t="s">
        <v>268</v>
      </c>
      <c r="AL688">
        <v>10.6</v>
      </c>
    </row>
    <row r="689" spans="31:38" x14ac:dyDescent="0.25">
      <c r="AE689" s="43" t="s">
        <v>132</v>
      </c>
      <c r="AF689" s="43" t="s">
        <v>26</v>
      </c>
      <c r="AG689" s="43" t="s">
        <v>133</v>
      </c>
      <c r="AH689" s="43" t="s">
        <v>39</v>
      </c>
      <c r="AI689">
        <v>1</v>
      </c>
      <c r="AJ689" s="43" t="s">
        <v>325</v>
      </c>
      <c r="AK689" s="43" t="s">
        <v>308</v>
      </c>
      <c r="AL689">
        <v>0</v>
      </c>
    </row>
    <row r="690" spans="31:38" x14ac:dyDescent="0.25">
      <c r="AE690" s="43" t="s">
        <v>132</v>
      </c>
      <c r="AF690" s="43" t="s">
        <v>26</v>
      </c>
      <c r="AG690" s="43" t="s">
        <v>133</v>
      </c>
      <c r="AH690" s="43" t="s">
        <v>39</v>
      </c>
      <c r="AI690">
        <v>1</v>
      </c>
      <c r="AJ690" s="43" t="s">
        <v>325</v>
      </c>
      <c r="AK690" s="43" t="s">
        <v>309</v>
      </c>
      <c r="AL690">
        <v>0</v>
      </c>
    </row>
    <row r="691" spans="31:38" x14ac:dyDescent="0.25">
      <c r="AE691" s="43" t="s">
        <v>132</v>
      </c>
      <c r="AF691" s="43" t="s">
        <v>26</v>
      </c>
      <c r="AG691" s="43" t="s">
        <v>133</v>
      </c>
      <c r="AH691" s="43" t="s">
        <v>39</v>
      </c>
      <c r="AI691">
        <v>1</v>
      </c>
      <c r="AJ691" s="43" t="s">
        <v>325</v>
      </c>
      <c r="AK691" s="43" t="s">
        <v>268</v>
      </c>
      <c r="AL691">
        <v>0</v>
      </c>
    </row>
    <row r="692" spans="31:38" x14ac:dyDescent="0.25">
      <c r="AE692" s="43" t="s">
        <v>132</v>
      </c>
      <c r="AF692" s="43" t="s">
        <v>26</v>
      </c>
      <c r="AG692" s="43" t="s">
        <v>133</v>
      </c>
      <c r="AH692" s="43" t="s">
        <v>39</v>
      </c>
      <c r="AI692">
        <v>1</v>
      </c>
      <c r="AJ692" s="43" t="s">
        <v>330</v>
      </c>
      <c r="AK692" s="43" t="s">
        <v>308</v>
      </c>
      <c r="AL692">
        <v>0</v>
      </c>
    </row>
    <row r="693" spans="31:38" x14ac:dyDescent="0.25">
      <c r="AE693" s="43" t="s">
        <v>132</v>
      </c>
      <c r="AF693" s="43" t="s">
        <v>26</v>
      </c>
      <c r="AG693" s="43" t="s">
        <v>133</v>
      </c>
      <c r="AH693" s="43" t="s">
        <v>39</v>
      </c>
      <c r="AI693">
        <v>1</v>
      </c>
      <c r="AJ693" s="43" t="s">
        <v>330</v>
      </c>
      <c r="AK693" s="43" t="s">
        <v>309</v>
      </c>
      <c r="AL693">
        <v>0</v>
      </c>
    </row>
    <row r="694" spans="31:38" x14ac:dyDescent="0.25">
      <c r="AE694" s="43" t="s">
        <v>132</v>
      </c>
      <c r="AF694" s="43" t="s">
        <v>26</v>
      </c>
      <c r="AG694" s="43" t="s">
        <v>133</v>
      </c>
      <c r="AH694" s="43" t="s">
        <v>39</v>
      </c>
      <c r="AI694">
        <v>1</v>
      </c>
      <c r="AJ694" s="43" t="s">
        <v>330</v>
      </c>
      <c r="AK694" s="43" t="s">
        <v>268</v>
      </c>
      <c r="AL694">
        <v>0</v>
      </c>
    </row>
    <row r="695" spans="31:38" x14ac:dyDescent="0.25">
      <c r="AE695" s="43" t="s">
        <v>132</v>
      </c>
      <c r="AF695" s="43" t="s">
        <v>26</v>
      </c>
      <c r="AG695" s="43" t="s">
        <v>133</v>
      </c>
      <c r="AH695" s="43" t="s">
        <v>39</v>
      </c>
      <c r="AI695">
        <v>1</v>
      </c>
      <c r="AJ695" s="43" t="s">
        <v>331</v>
      </c>
      <c r="AK695" s="43" t="s">
        <v>308</v>
      </c>
      <c r="AL695">
        <v>0</v>
      </c>
    </row>
    <row r="696" spans="31:38" x14ac:dyDescent="0.25">
      <c r="AE696" s="43" t="s">
        <v>132</v>
      </c>
      <c r="AF696" s="43" t="s">
        <v>26</v>
      </c>
      <c r="AG696" s="43" t="s">
        <v>133</v>
      </c>
      <c r="AH696" s="43" t="s">
        <v>39</v>
      </c>
      <c r="AI696">
        <v>1</v>
      </c>
      <c r="AJ696" s="43" t="s">
        <v>331</v>
      </c>
      <c r="AK696" s="43" t="s">
        <v>309</v>
      </c>
      <c r="AL696">
        <v>0</v>
      </c>
    </row>
    <row r="697" spans="31:38" x14ac:dyDescent="0.25">
      <c r="AE697" s="43" t="s">
        <v>132</v>
      </c>
      <c r="AF697" s="43" t="s">
        <v>26</v>
      </c>
      <c r="AG697" s="43" t="s">
        <v>133</v>
      </c>
      <c r="AH697" s="43" t="s">
        <v>39</v>
      </c>
      <c r="AI697">
        <v>1</v>
      </c>
      <c r="AJ697" s="43" t="s">
        <v>331</v>
      </c>
      <c r="AK697" s="43" t="s">
        <v>268</v>
      </c>
      <c r="AL697">
        <v>0</v>
      </c>
    </row>
    <row r="698" spans="31:38" x14ac:dyDescent="0.25">
      <c r="AE698" s="43" t="s">
        <v>132</v>
      </c>
      <c r="AF698" s="43" t="s">
        <v>26</v>
      </c>
      <c r="AG698" s="43" t="s">
        <v>133</v>
      </c>
      <c r="AH698" s="43" t="s">
        <v>39</v>
      </c>
      <c r="AI698">
        <v>1</v>
      </c>
      <c r="AJ698" s="43" t="s">
        <v>341</v>
      </c>
      <c r="AK698" s="43" t="s">
        <v>308</v>
      </c>
      <c r="AL698">
        <v>3</v>
      </c>
    </row>
    <row r="699" spans="31:38" x14ac:dyDescent="0.25">
      <c r="AE699" s="43" t="s">
        <v>132</v>
      </c>
      <c r="AF699" s="43" t="s">
        <v>26</v>
      </c>
      <c r="AG699" s="43" t="s">
        <v>133</v>
      </c>
      <c r="AH699" s="43" t="s">
        <v>39</v>
      </c>
      <c r="AI699">
        <v>1</v>
      </c>
      <c r="AJ699" s="43" t="s">
        <v>341</v>
      </c>
      <c r="AK699" s="43" t="s">
        <v>309</v>
      </c>
      <c r="AL699">
        <v>7.6</v>
      </c>
    </row>
    <row r="700" spans="31:38" x14ac:dyDescent="0.25">
      <c r="AE700" s="43" t="s">
        <v>132</v>
      </c>
      <c r="AF700" s="43" t="s">
        <v>26</v>
      </c>
      <c r="AG700" s="43" t="s">
        <v>133</v>
      </c>
      <c r="AH700" s="43" t="s">
        <v>39</v>
      </c>
      <c r="AI700">
        <v>1</v>
      </c>
      <c r="AJ700" s="43" t="s">
        <v>341</v>
      </c>
      <c r="AK700" s="43" t="s">
        <v>268</v>
      </c>
      <c r="AL700">
        <v>10.6</v>
      </c>
    </row>
    <row r="701" spans="31:38" x14ac:dyDescent="0.25">
      <c r="AE701" s="43" t="s">
        <v>132</v>
      </c>
      <c r="AF701" s="43" t="s">
        <v>26</v>
      </c>
      <c r="AG701" s="43" t="s">
        <v>133</v>
      </c>
      <c r="AH701" s="43" t="s">
        <v>39</v>
      </c>
      <c r="AI701">
        <v>1</v>
      </c>
      <c r="AJ701" s="43" t="s">
        <v>344</v>
      </c>
      <c r="AK701" s="43" t="s">
        <v>308</v>
      </c>
      <c r="AL701">
        <v>0</v>
      </c>
    </row>
    <row r="702" spans="31:38" x14ac:dyDescent="0.25">
      <c r="AE702" s="43" t="s">
        <v>132</v>
      </c>
      <c r="AF702" s="43" t="s">
        <v>26</v>
      </c>
      <c r="AG702" s="43" t="s">
        <v>133</v>
      </c>
      <c r="AH702" s="43" t="s">
        <v>39</v>
      </c>
      <c r="AI702">
        <v>1</v>
      </c>
      <c r="AJ702" s="43" t="s">
        <v>344</v>
      </c>
      <c r="AK702" s="43" t="s">
        <v>309</v>
      </c>
      <c r="AL702">
        <v>0</v>
      </c>
    </row>
    <row r="703" spans="31:38" x14ac:dyDescent="0.25">
      <c r="AE703" s="43" t="s">
        <v>132</v>
      </c>
      <c r="AF703" s="43" t="s">
        <v>26</v>
      </c>
      <c r="AG703" s="43" t="s">
        <v>133</v>
      </c>
      <c r="AH703" s="43" t="s">
        <v>39</v>
      </c>
      <c r="AI703">
        <v>1</v>
      </c>
      <c r="AJ703" s="43" t="s">
        <v>344</v>
      </c>
      <c r="AK703" s="43" t="s">
        <v>268</v>
      </c>
      <c r="AL703">
        <v>0</v>
      </c>
    </row>
    <row r="704" spans="31:38" x14ac:dyDescent="0.25">
      <c r="AE704" s="43" t="s">
        <v>57</v>
      </c>
      <c r="AF704" s="43" t="s">
        <v>26</v>
      </c>
      <c r="AG704" s="43" t="s">
        <v>58</v>
      </c>
      <c r="AH704" s="43" t="s">
        <v>36</v>
      </c>
      <c r="AI704">
        <v>1</v>
      </c>
      <c r="AJ704" s="43" t="s">
        <v>317</v>
      </c>
      <c r="AK704" s="43" t="s">
        <v>308</v>
      </c>
      <c r="AL704">
        <v>2.6</v>
      </c>
    </row>
    <row r="705" spans="31:38" x14ac:dyDescent="0.25">
      <c r="AE705" s="43" t="s">
        <v>57</v>
      </c>
      <c r="AF705" s="43" t="s">
        <v>26</v>
      </c>
      <c r="AG705" s="43" t="s">
        <v>58</v>
      </c>
      <c r="AH705" s="43" t="s">
        <v>36</v>
      </c>
      <c r="AI705">
        <v>1</v>
      </c>
      <c r="AJ705" s="43" t="s">
        <v>317</v>
      </c>
      <c r="AK705" s="43" t="s">
        <v>309</v>
      </c>
      <c r="AL705">
        <v>6</v>
      </c>
    </row>
    <row r="706" spans="31:38" x14ac:dyDescent="0.25">
      <c r="AE706" s="43" t="s">
        <v>57</v>
      </c>
      <c r="AF706" s="43" t="s">
        <v>26</v>
      </c>
      <c r="AG706" s="43" t="s">
        <v>58</v>
      </c>
      <c r="AH706" s="43" t="s">
        <v>36</v>
      </c>
      <c r="AI706">
        <v>1</v>
      </c>
      <c r="AJ706" s="43" t="s">
        <v>317</v>
      </c>
      <c r="AK706" s="43" t="s">
        <v>268</v>
      </c>
      <c r="AL706">
        <v>8.6</v>
      </c>
    </row>
    <row r="707" spans="31:38" x14ac:dyDescent="0.25">
      <c r="AE707" s="43" t="s">
        <v>57</v>
      </c>
      <c r="AF707" s="43" t="s">
        <v>26</v>
      </c>
      <c r="AG707" s="43" t="s">
        <v>58</v>
      </c>
      <c r="AH707" s="43" t="s">
        <v>36</v>
      </c>
      <c r="AI707">
        <v>1</v>
      </c>
      <c r="AJ707" s="43" t="s">
        <v>325</v>
      </c>
      <c r="AK707" s="43" t="s">
        <v>308</v>
      </c>
      <c r="AL707">
        <v>0</v>
      </c>
    </row>
    <row r="708" spans="31:38" x14ac:dyDescent="0.25">
      <c r="AE708" s="43" t="s">
        <v>57</v>
      </c>
      <c r="AF708" s="43" t="s">
        <v>26</v>
      </c>
      <c r="AG708" s="43" t="s">
        <v>58</v>
      </c>
      <c r="AH708" s="43" t="s">
        <v>36</v>
      </c>
      <c r="AI708">
        <v>1</v>
      </c>
      <c r="AJ708" s="43" t="s">
        <v>325</v>
      </c>
      <c r="AK708" s="43" t="s">
        <v>309</v>
      </c>
      <c r="AL708">
        <v>0</v>
      </c>
    </row>
    <row r="709" spans="31:38" x14ac:dyDescent="0.25">
      <c r="AE709" s="43" t="s">
        <v>57</v>
      </c>
      <c r="AF709" s="43" t="s">
        <v>26</v>
      </c>
      <c r="AG709" s="43" t="s">
        <v>58</v>
      </c>
      <c r="AH709" s="43" t="s">
        <v>36</v>
      </c>
      <c r="AI709">
        <v>1</v>
      </c>
      <c r="AJ709" s="43" t="s">
        <v>325</v>
      </c>
      <c r="AK709" s="43" t="s">
        <v>268</v>
      </c>
      <c r="AL709">
        <v>0</v>
      </c>
    </row>
    <row r="710" spans="31:38" x14ac:dyDescent="0.25">
      <c r="AE710" s="43" t="s">
        <v>57</v>
      </c>
      <c r="AF710" s="43" t="s">
        <v>26</v>
      </c>
      <c r="AG710" s="43" t="s">
        <v>58</v>
      </c>
      <c r="AH710" s="43" t="s">
        <v>36</v>
      </c>
      <c r="AI710">
        <v>1</v>
      </c>
      <c r="AJ710" s="43" t="s">
        <v>330</v>
      </c>
      <c r="AK710" s="43" t="s">
        <v>308</v>
      </c>
      <c r="AL710">
        <v>0</v>
      </c>
    </row>
    <row r="711" spans="31:38" x14ac:dyDescent="0.25">
      <c r="AE711" s="43" t="s">
        <v>57</v>
      </c>
      <c r="AF711" s="43" t="s">
        <v>26</v>
      </c>
      <c r="AG711" s="43" t="s">
        <v>58</v>
      </c>
      <c r="AH711" s="43" t="s">
        <v>36</v>
      </c>
      <c r="AI711">
        <v>1</v>
      </c>
      <c r="AJ711" s="43" t="s">
        <v>330</v>
      </c>
      <c r="AK711" s="43" t="s">
        <v>309</v>
      </c>
      <c r="AL711">
        <v>0</v>
      </c>
    </row>
    <row r="712" spans="31:38" x14ac:dyDescent="0.25">
      <c r="AE712" s="43" t="s">
        <v>57</v>
      </c>
      <c r="AF712" s="43" t="s">
        <v>26</v>
      </c>
      <c r="AG712" s="43" t="s">
        <v>58</v>
      </c>
      <c r="AH712" s="43" t="s">
        <v>36</v>
      </c>
      <c r="AI712">
        <v>1</v>
      </c>
      <c r="AJ712" s="43" t="s">
        <v>330</v>
      </c>
      <c r="AK712" s="43" t="s">
        <v>268</v>
      </c>
      <c r="AL712">
        <v>0</v>
      </c>
    </row>
    <row r="713" spans="31:38" x14ac:dyDescent="0.25">
      <c r="AE713" s="43" t="s">
        <v>57</v>
      </c>
      <c r="AF713" s="43" t="s">
        <v>26</v>
      </c>
      <c r="AG713" s="43" t="s">
        <v>58</v>
      </c>
      <c r="AH713" s="43" t="s">
        <v>36</v>
      </c>
      <c r="AI713">
        <v>1</v>
      </c>
      <c r="AJ713" s="43" t="s">
        <v>331</v>
      </c>
      <c r="AK713" s="43" t="s">
        <v>308</v>
      </c>
      <c r="AL713">
        <v>0</v>
      </c>
    </row>
    <row r="714" spans="31:38" x14ac:dyDescent="0.25">
      <c r="AE714" s="43" t="s">
        <v>57</v>
      </c>
      <c r="AF714" s="43" t="s">
        <v>26</v>
      </c>
      <c r="AG714" s="43" t="s">
        <v>58</v>
      </c>
      <c r="AH714" s="43" t="s">
        <v>36</v>
      </c>
      <c r="AI714">
        <v>1</v>
      </c>
      <c r="AJ714" s="43" t="s">
        <v>331</v>
      </c>
      <c r="AK714" s="43" t="s">
        <v>309</v>
      </c>
      <c r="AL714">
        <v>0</v>
      </c>
    </row>
    <row r="715" spans="31:38" x14ac:dyDescent="0.25">
      <c r="AE715" s="43" t="s">
        <v>57</v>
      </c>
      <c r="AF715" s="43" t="s">
        <v>26</v>
      </c>
      <c r="AG715" s="43" t="s">
        <v>58</v>
      </c>
      <c r="AH715" s="43" t="s">
        <v>36</v>
      </c>
      <c r="AI715">
        <v>1</v>
      </c>
      <c r="AJ715" s="43" t="s">
        <v>331</v>
      </c>
      <c r="AK715" s="43" t="s">
        <v>268</v>
      </c>
      <c r="AL715">
        <v>0</v>
      </c>
    </row>
    <row r="716" spans="31:38" x14ac:dyDescent="0.25">
      <c r="AE716" s="43" t="s">
        <v>57</v>
      </c>
      <c r="AF716" s="43" t="s">
        <v>26</v>
      </c>
      <c r="AG716" s="43" t="s">
        <v>58</v>
      </c>
      <c r="AH716" s="43" t="s">
        <v>36</v>
      </c>
      <c r="AI716">
        <v>1</v>
      </c>
      <c r="AJ716" s="43" t="s">
        <v>341</v>
      </c>
      <c r="AK716" s="43" t="s">
        <v>308</v>
      </c>
      <c r="AL716">
        <v>2.6</v>
      </c>
    </row>
    <row r="717" spans="31:38" x14ac:dyDescent="0.25">
      <c r="AE717" s="43" t="s">
        <v>57</v>
      </c>
      <c r="AF717" s="43" t="s">
        <v>26</v>
      </c>
      <c r="AG717" s="43" t="s">
        <v>58</v>
      </c>
      <c r="AH717" s="43" t="s">
        <v>36</v>
      </c>
      <c r="AI717">
        <v>1</v>
      </c>
      <c r="AJ717" s="43" t="s">
        <v>341</v>
      </c>
      <c r="AK717" s="43" t="s">
        <v>309</v>
      </c>
      <c r="AL717">
        <v>6</v>
      </c>
    </row>
    <row r="718" spans="31:38" x14ac:dyDescent="0.25">
      <c r="AE718" s="43" t="s">
        <v>57</v>
      </c>
      <c r="AF718" s="43" t="s">
        <v>26</v>
      </c>
      <c r="AG718" s="43" t="s">
        <v>58</v>
      </c>
      <c r="AH718" s="43" t="s">
        <v>36</v>
      </c>
      <c r="AI718">
        <v>1</v>
      </c>
      <c r="AJ718" s="43" t="s">
        <v>341</v>
      </c>
      <c r="AK718" s="43" t="s">
        <v>268</v>
      </c>
      <c r="AL718">
        <v>8.6</v>
      </c>
    </row>
    <row r="719" spans="31:38" x14ac:dyDescent="0.25">
      <c r="AE719" s="43" t="s">
        <v>57</v>
      </c>
      <c r="AF719" s="43" t="s">
        <v>26</v>
      </c>
      <c r="AG719" s="43" t="s">
        <v>58</v>
      </c>
      <c r="AH719" s="43" t="s">
        <v>36</v>
      </c>
      <c r="AI719">
        <v>1</v>
      </c>
      <c r="AJ719" s="43" t="s">
        <v>344</v>
      </c>
      <c r="AK719" s="43" t="s">
        <v>308</v>
      </c>
      <c r="AL719">
        <v>0</v>
      </c>
    </row>
    <row r="720" spans="31:38" x14ac:dyDescent="0.25">
      <c r="AE720" s="43" t="s">
        <v>57</v>
      </c>
      <c r="AF720" s="43" t="s">
        <v>26</v>
      </c>
      <c r="AG720" s="43" t="s">
        <v>58</v>
      </c>
      <c r="AH720" s="43" t="s">
        <v>36</v>
      </c>
      <c r="AI720">
        <v>1</v>
      </c>
      <c r="AJ720" s="43" t="s">
        <v>344</v>
      </c>
      <c r="AK720" s="43" t="s">
        <v>309</v>
      </c>
      <c r="AL720">
        <v>0</v>
      </c>
    </row>
    <row r="721" spans="31:38" x14ac:dyDescent="0.25">
      <c r="AE721" s="43" t="s">
        <v>57</v>
      </c>
      <c r="AF721" s="43" t="s">
        <v>26</v>
      </c>
      <c r="AG721" s="43" t="s">
        <v>58</v>
      </c>
      <c r="AH721" s="43" t="s">
        <v>36</v>
      </c>
      <c r="AI721">
        <v>1</v>
      </c>
      <c r="AJ721" s="43" t="s">
        <v>344</v>
      </c>
      <c r="AK721" s="43" t="s">
        <v>268</v>
      </c>
      <c r="AL721">
        <v>0</v>
      </c>
    </row>
    <row r="722" spans="31:38" x14ac:dyDescent="0.25">
      <c r="AE722" s="43" t="s">
        <v>139</v>
      </c>
      <c r="AF722" s="43" t="s">
        <v>26</v>
      </c>
      <c r="AG722" s="43" t="s">
        <v>140</v>
      </c>
      <c r="AH722" s="43" t="s">
        <v>124</v>
      </c>
      <c r="AI722">
        <v>1</v>
      </c>
      <c r="AJ722" s="43" t="s">
        <v>317</v>
      </c>
      <c r="AK722" s="43" t="s">
        <v>308</v>
      </c>
      <c r="AL722">
        <v>1.5</v>
      </c>
    </row>
    <row r="723" spans="31:38" x14ac:dyDescent="0.25">
      <c r="AE723" s="43" t="s">
        <v>139</v>
      </c>
      <c r="AF723" s="43" t="s">
        <v>26</v>
      </c>
      <c r="AG723" s="43" t="s">
        <v>140</v>
      </c>
      <c r="AH723" s="43" t="s">
        <v>124</v>
      </c>
      <c r="AI723">
        <v>1</v>
      </c>
      <c r="AJ723" s="43" t="s">
        <v>317</v>
      </c>
      <c r="AK723" s="43" t="s">
        <v>309</v>
      </c>
      <c r="AL723">
        <v>0</v>
      </c>
    </row>
    <row r="724" spans="31:38" x14ac:dyDescent="0.25">
      <c r="AE724" s="43" t="s">
        <v>139</v>
      </c>
      <c r="AF724" s="43" t="s">
        <v>26</v>
      </c>
      <c r="AG724" s="43" t="s">
        <v>140</v>
      </c>
      <c r="AH724" s="43" t="s">
        <v>124</v>
      </c>
      <c r="AI724">
        <v>1</v>
      </c>
      <c r="AJ724" s="43" t="s">
        <v>317</v>
      </c>
      <c r="AK724" s="43" t="s">
        <v>268</v>
      </c>
      <c r="AL724">
        <v>1.5</v>
      </c>
    </row>
    <row r="725" spans="31:38" x14ac:dyDescent="0.25">
      <c r="AE725" s="43" t="s">
        <v>139</v>
      </c>
      <c r="AF725" s="43" t="s">
        <v>26</v>
      </c>
      <c r="AG725" s="43" t="s">
        <v>140</v>
      </c>
      <c r="AH725" s="43" t="s">
        <v>124</v>
      </c>
      <c r="AI725">
        <v>1</v>
      </c>
      <c r="AJ725" s="43" t="s">
        <v>325</v>
      </c>
      <c r="AK725" s="43" t="s">
        <v>308</v>
      </c>
      <c r="AL725">
        <v>0</v>
      </c>
    </row>
    <row r="726" spans="31:38" x14ac:dyDescent="0.25">
      <c r="AE726" s="43" t="s">
        <v>139</v>
      </c>
      <c r="AF726" s="43" t="s">
        <v>26</v>
      </c>
      <c r="AG726" s="43" t="s">
        <v>140</v>
      </c>
      <c r="AH726" s="43" t="s">
        <v>124</v>
      </c>
      <c r="AI726">
        <v>1</v>
      </c>
      <c r="AJ726" s="43" t="s">
        <v>325</v>
      </c>
      <c r="AK726" s="43" t="s">
        <v>309</v>
      </c>
      <c r="AL726">
        <v>0</v>
      </c>
    </row>
    <row r="727" spans="31:38" x14ac:dyDescent="0.25">
      <c r="AE727" s="43" t="s">
        <v>139</v>
      </c>
      <c r="AF727" s="43" t="s">
        <v>26</v>
      </c>
      <c r="AG727" s="43" t="s">
        <v>140</v>
      </c>
      <c r="AH727" s="43" t="s">
        <v>124</v>
      </c>
      <c r="AI727">
        <v>1</v>
      </c>
      <c r="AJ727" s="43" t="s">
        <v>325</v>
      </c>
      <c r="AK727" s="43" t="s">
        <v>268</v>
      </c>
      <c r="AL727">
        <v>0</v>
      </c>
    </row>
    <row r="728" spans="31:38" x14ac:dyDescent="0.25">
      <c r="AE728" s="43" t="s">
        <v>139</v>
      </c>
      <c r="AF728" s="43" t="s">
        <v>26</v>
      </c>
      <c r="AG728" s="43" t="s">
        <v>140</v>
      </c>
      <c r="AH728" s="43" t="s">
        <v>124</v>
      </c>
      <c r="AI728">
        <v>1</v>
      </c>
      <c r="AJ728" s="43" t="s">
        <v>330</v>
      </c>
      <c r="AK728" s="43" t="s">
        <v>308</v>
      </c>
      <c r="AL728">
        <v>0</v>
      </c>
    </row>
    <row r="729" spans="31:38" x14ac:dyDescent="0.25">
      <c r="AE729" s="43" t="s">
        <v>139</v>
      </c>
      <c r="AF729" s="43" t="s">
        <v>26</v>
      </c>
      <c r="AG729" s="43" t="s">
        <v>140</v>
      </c>
      <c r="AH729" s="43" t="s">
        <v>124</v>
      </c>
      <c r="AI729">
        <v>1</v>
      </c>
      <c r="AJ729" s="43" t="s">
        <v>330</v>
      </c>
      <c r="AK729" s="43" t="s">
        <v>309</v>
      </c>
      <c r="AL729">
        <v>0</v>
      </c>
    </row>
    <row r="730" spans="31:38" x14ac:dyDescent="0.25">
      <c r="AE730" s="43" t="s">
        <v>139</v>
      </c>
      <c r="AF730" s="43" t="s">
        <v>26</v>
      </c>
      <c r="AG730" s="43" t="s">
        <v>140</v>
      </c>
      <c r="AH730" s="43" t="s">
        <v>124</v>
      </c>
      <c r="AI730">
        <v>1</v>
      </c>
      <c r="AJ730" s="43" t="s">
        <v>330</v>
      </c>
      <c r="AK730" s="43" t="s">
        <v>268</v>
      </c>
      <c r="AL730">
        <v>0</v>
      </c>
    </row>
    <row r="731" spans="31:38" x14ac:dyDescent="0.25">
      <c r="AE731" s="43" t="s">
        <v>139</v>
      </c>
      <c r="AF731" s="43" t="s">
        <v>26</v>
      </c>
      <c r="AG731" s="43" t="s">
        <v>140</v>
      </c>
      <c r="AH731" s="43" t="s">
        <v>124</v>
      </c>
      <c r="AI731">
        <v>1</v>
      </c>
      <c r="AJ731" s="43" t="s">
        <v>331</v>
      </c>
      <c r="AK731" s="43" t="s">
        <v>308</v>
      </c>
      <c r="AL731">
        <v>0</v>
      </c>
    </row>
    <row r="732" spans="31:38" x14ac:dyDescent="0.25">
      <c r="AE732" s="43" t="s">
        <v>139</v>
      </c>
      <c r="AF732" s="43" t="s">
        <v>26</v>
      </c>
      <c r="AG732" s="43" t="s">
        <v>140</v>
      </c>
      <c r="AH732" s="43" t="s">
        <v>124</v>
      </c>
      <c r="AI732">
        <v>1</v>
      </c>
      <c r="AJ732" s="43" t="s">
        <v>331</v>
      </c>
      <c r="AK732" s="43" t="s">
        <v>309</v>
      </c>
      <c r="AL732">
        <v>0</v>
      </c>
    </row>
    <row r="733" spans="31:38" x14ac:dyDescent="0.25">
      <c r="AE733" s="43" t="s">
        <v>139</v>
      </c>
      <c r="AF733" s="43" t="s">
        <v>26</v>
      </c>
      <c r="AG733" s="43" t="s">
        <v>140</v>
      </c>
      <c r="AH733" s="43" t="s">
        <v>124</v>
      </c>
      <c r="AI733">
        <v>1</v>
      </c>
      <c r="AJ733" s="43" t="s">
        <v>331</v>
      </c>
      <c r="AK733" s="43" t="s">
        <v>268</v>
      </c>
      <c r="AL733">
        <v>0</v>
      </c>
    </row>
    <row r="734" spans="31:38" x14ac:dyDescent="0.25">
      <c r="AE734" s="43" t="s">
        <v>139</v>
      </c>
      <c r="AF734" s="43" t="s">
        <v>26</v>
      </c>
      <c r="AG734" s="43" t="s">
        <v>140</v>
      </c>
      <c r="AH734" s="43" t="s">
        <v>124</v>
      </c>
      <c r="AI734">
        <v>1</v>
      </c>
      <c r="AJ734" s="43" t="s">
        <v>341</v>
      </c>
      <c r="AK734" s="43" t="s">
        <v>308</v>
      </c>
      <c r="AL734">
        <v>1.5</v>
      </c>
    </row>
    <row r="735" spans="31:38" x14ac:dyDescent="0.25">
      <c r="AE735" s="43" t="s">
        <v>139</v>
      </c>
      <c r="AF735" s="43" t="s">
        <v>26</v>
      </c>
      <c r="AG735" s="43" t="s">
        <v>140</v>
      </c>
      <c r="AH735" s="43" t="s">
        <v>124</v>
      </c>
      <c r="AI735">
        <v>1</v>
      </c>
      <c r="AJ735" s="43" t="s">
        <v>341</v>
      </c>
      <c r="AK735" s="43" t="s">
        <v>309</v>
      </c>
      <c r="AL735">
        <v>0</v>
      </c>
    </row>
    <row r="736" spans="31:38" x14ac:dyDescent="0.25">
      <c r="AE736" s="43" t="s">
        <v>139</v>
      </c>
      <c r="AF736" s="43" t="s">
        <v>26</v>
      </c>
      <c r="AG736" s="43" t="s">
        <v>140</v>
      </c>
      <c r="AH736" s="43" t="s">
        <v>124</v>
      </c>
      <c r="AI736">
        <v>1</v>
      </c>
      <c r="AJ736" s="43" t="s">
        <v>341</v>
      </c>
      <c r="AK736" s="43" t="s">
        <v>268</v>
      </c>
      <c r="AL736">
        <v>1.5</v>
      </c>
    </row>
    <row r="737" spans="31:38" x14ac:dyDescent="0.25">
      <c r="AE737" s="43" t="s">
        <v>139</v>
      </c>
      <c r="AF737" s="43" t="s">
        <v>26</v>
      </c>
      <c r="AG737" s="43" t="s">
        <v>140</v>
      </c>
      <c r="AH737" s="43" t="s">
        <v>124</v>
      </c>
      <c r="AI737">
        <v>1</v>
      </c>
      <c r="AJ737" s="43" t="s">
        <v>344</v>
      </c>
      <c r="AK737" s="43" t="s">
        <v>308</v>
      </c>
      <c r="AL737">
        <v>0</v>
      </c>
    </row>
    <row r="738" spans="31:38" x14ac:dyDescent="0.25">
      <c r="AE738" s="43" t="s">
        <v>139</v>
      </c>
      <c r="AF738" s="43" t="s">
        <v>26</v>
      </c>
      <c r="AG738" s="43" t="s">
        <v>140</v>
      </c>
      <c r="AH738" s="43" t="s">
        <v>124</v>
      </c>
      <c r="AI738">
        <v>1</v>
      </c>
      <c r="AJ738" s="43" t="s">
        <v>344</v>
      </c>
      <c r="AK738" s="43" t="s">
        <v>309</v>
      </c>
      <c r="AL738">
        <v>0</v>
      </c>
    </row>
    <row r="739" spans="31:38" x14ac:dyDescent="0.25">
      <c r="AE739" s="43" t="s">
        <v>139</v>
      </c>
      <c r="AF739" s="43" t="s">
        <v>26</v>
      </c>
      <c r="AG739" s="43" t="s">
        <v>140</v>
      </c>
      <c r="AH739" s="43" t="s">
        <v>124</v>
      </c>
      <c r="AI739">
        <v>1</v>
      </c>
      <c r="AJ739" s="43" t="s">
        <v>344</v>
      </c>
      <c r="AK739" s="43" t="s">
        <v>268</v>
      </c>
      <c r="AL739">
        <v>0</v>
      </c>
    </row>
    <row r="740" spans="31:38" x14ac:dyDescent="0.25">
      <c r="AE740" s="43" t="s">
        <v>135</v>
      </c>
      <c r="AF740" s="43" t="s">
        <v>26</v>
      </c>
      <c r="AG740" s="43" t="s">
        <v>136</v>
      </c>
      <c r="AH740" s="43" t="s">
        <v>124</v>
      </c>
      <c r="AI740">
        <v>1</v>
      </c>
      <c r="AJ740" s="43" t="s">
        <v>317</v>
      </c>
      <c r="AK740" s="43" t="s">
        <v>308</v>
      </c>
      <c r="AL740">
        <v>1.3</v>
      </c>
    </row>
    <row r="741" spans="31:38" x14ac:dyDescent="0.25">
      <c r="AE741" s="43" t="s">
        <v>135</v>
      </c>
      <c r="AF741" s="43" t="s">
        <v>26</v>
      </c>
      <c r="AG741" s="43" t="s">
        <v>136</v>
      </c>
      <c r="AH741" s="43" t="s">
        <v>124</v>
      </c>
      <c r="AI741">
        <v>1</v>
      </c>
      <c r="AJ741" s="43" t="s">
        <v>317</v>
      </c>
      <c r="AK741" s="43" t="s">
        <v>309</v>
      </c>
      <c r="AL741">
        <v>0</v>
      </c>
    </row>
    <row r="742" spans="31:38" x14ac:dyDescent="0.25">
      <c r="AE742" s="43" t="s">
        <v>135</v>
      </c>
      <c r="AF742" s="43" t="s">
        <v>26</v>
      </c>
      <c r="AG742" s="43" t="s">
        <v>136</v>
      </c>
      <c r="AH742" s="43" t="s">
        <v>124</v>
      </c>
      <c r="AI742">
        <v>1</v>
      </c>
      <c r="AJ742" s="43" t="s">
        <v>317</v>
      </c>
      <c r="AK742" s="43" t="s">
        <v>268</v>
      </c>
      <c r="AL742">
        <v>1.3</v>
      </c>
    </row>
    <row r="743" spans="31:38" x14ac:dyDescent="0.25">
      <c r="AE743" s="43" t="s">
        <v>135</v>
      </c>
      <c r="AF743" s="43" t="s">
        <v>26</v>
      </c>
      <c r="AG743" s="43" t="s">
        <v>136</v>
      </c>
      <c r="AH743" s="43" t="s">
        <v>124</v>
      </c>
      <c r="AI743">
        <v>1</v>
      </c>
      <c r="AJ743" s="43" t="s">
        <v>325</v>
      </c>
      <c r="AK743" s="43" t="s">
        <v>308</v>
      </c>
      <c r="AL743">
        <v>0</v>
      </c>
    </row>
    <row r="744" spans="31:38" x14ac:dyDescent="0.25">
      <c r="AE744" s="43" t="s">
        <v>135</v>
      </c>
      <c r="AF744" s="43" t="s">
        <v>26</v>
      </c>
      <c r="AG744" s="43" t="s">
        <v>136</v>
      </c>
      <c r="AH744" s="43" t="s">
        <v>124</v>
      </c>
      <c r="AI744">
        <v>1</v>
      </c>
      <c r="AJ744" s="43" t="s">
        <v>325</v>
      </c>
      <c r="AK744" s="43" t="s">
        <v>309</v>
      </c>
      <c r="AL744">
        <v>0</v>
      </c>
    </row>
    <row r="745" spans="31:38" x14ac:dyDescent="0.25">
      <c r="AE745" s="43" t="s">
        <v>135</v>
      </c>
      <c r="AF745" s="43" t="s">
        <v>26</v>
      </c>
      <c r="AG745" s="43" t="s">
        <v>136</v>
      </c>
      <c r="AH745" s="43" t="s">
        <v>124</v>
      </c>
      <c r="AI745">
        <v>1</v>
      </c>
      <c r="AJ745" s="43" t="s">
        <v>325</v>
      </c>
      <c r="AK745" s="43" t="s">
        <v>268</v>
      </c>
      <c r="AL745">
        <v>0</v>
      </c>
    </row>
    <row r="746" spans="31:38" x14ac:dyDescent="0.25">
      <c r="AE746" s="43" t="s">
        <v>135</v>
      </c>
      <c r="AF746" s="43" t="s">
        <v>26</v>
      </c>
      <c r="AG746" s="43" t="s">
        <v>136</v>
      </c>
      <c r="AH746" s="43" t="s">
        <v>124</v>
      </c>
      <c r="AI746">
        <v>1</v>
      </c>
      <c r="AJ746" s="43" t="s">
        <v>330</v>
      </c>
      <c r="AK746" s="43" t="s">
        <v>308</v>
      </c>
      <c r="AL746">
        <v>0</v>
      </c>
    </row>
    <row r="747" spans="31:38" x14ac:dyDescent="0.25">
      <c r="AE747" s="43" t="s">
        <v>135</v>
      </c>
      <c r="AF747" s="43" t="s">
        <v>26</v>
      </c>
      <c r="AG747" s="43" t="s">
        <v>136</v>
      </c>
      <c r="AH747" s="43" t="s">
        <v>124</v>
      </c>
      <c r="AI747">
        <v>1</v>
      </c>
      <c r="AJ747" s="43" t="s">
        <v>330</v>
      </c>
      <c r="AK747" s="43" t="s">
        <v>309</v>
      </c>
      <c r="AL747">
        <v>0</v>
      </c>
    </row>
    <row r="748" spans="31:38" x14ac:dyDescent="0.25">
      <c r="AE748" s="43" t="s">
        <v>135</v>
      </c>
      <c r="AF748" s="43" t="s">
        <v>26</v>
      </c>
      <c r="AG748" s="43" t="s">
        <v>136</v>
      </c>
      <c r="AH748" s="43" t="s">
        <v>124</v>
      </c>
      <c r="AI748">
        <v>1</v>
      </c>
      <c r="AJ748" s="43" t="s">
        <v>330</v>
      </c>
      <c r="AK748" s="43" t="s">
        <v>268</v>
      </c>
      <c r="AL748">
        <v>0</v>
      </c>
    </row>
    <row r="749" spans="31:38" x14ac:dyDescent="0.25">
      <c r="AE749" s="43" t="s">
        <v>135</v>
      </c>
      <c r="AF749" s="43" t="s">
        <v>26</v>
      </c>
      <c r="AG749" s="43" t="s">
        <v>136</v>
      </c>
      <c r="AH749" s="43" t="s">
        <v>124</v>
      </c>
      <c r="AI749">
        <v>1</v>
      </c>
      <c r="AJ749" s="43" t="s">
        <v>331</v>
      </c>
      <c r="AK749" s="43" t="s">
        <v>308</v>
      </c>
      <c r="AL749">
        <v>0</v>
      </c>
    </row>
    <row r="750" spans="31:38" x14ac:dyDescent="0.25">
      <c r="AE750" s="43" t="s">
        <v>135</v>
      </c>
      <c r="AF750" s="43" t="s">
        <v>26</v>
      </c>
      <c r="AG750" s="43" t="s">
        <v>136</v>
      </c>
      <c r="AH750" s="43" t="s">
        <v>124</v>
      </c>
      <c r="AI750">
        <v>1</v>
      </c>
      <c r="AJ750" s="43" t="s">
        <v>331</v>
      </c>
      <c r="AK750" s="43" t="s">
        <v>309</v>
      </c>
      <c r="AL750">
        <v>0</v>
      </c>
    </row>
    <row r="751" spans="31:38" x14ac:dyDescent="0.25">
      <c r="AE751" s="43" t="s">
        <v>135</v>
      </c>
      <c r="AF751" s="43" t="s">
        <v>26</v>
      </c>
      <c r="AG751" s="43" t="s">
        <v>136</v>
      </c>
      <c r="AH751" s="43" t="s">
        <v>124</v>
      </c>
      <c r="AI751">
        <v>1</v>
      </c>
      <c r="AJ751" s="43" t="s">
        <v>331</v>
      </c>
      <c r="AK751" s="43" t="s">
        <v>268</v>
      </c>
      <c r="AL751">
        <v>0</v>
      </c>
    </row>
    <row r="752" spans="31:38" x14ac:dyDescent="0.25">
      <c r="AE752" s="43" t="s">
        <v>135</v>
      </c>
      <c r="AF752" s="43" t="s">
        <v>26</v>
      </c>
      <c r="AG752" s="43" t="s">
        <v>136</v>
      </c>
      <c r="AH752" s="43" t="s">
        <v>124</v>
      </c>
      <c r="AI752">
        <v>1</v>
      </c>
      <c r="AJ752" s="43" t="s">
        <v>341</v>
      </c>
      <c r="AK752" s="43" t="s">
        <v>308</v>
      </c>
      <c r="AL752">
        <v>1.3</v>
      </c>
    </row>
    <row r="753" spans="31:38" x14ac:dyDescent="0.25">
      <c r="AE753" s="43" t="s">
        <v>135</v>
      </c>
      <c r="AF753" s="43" t="s">
        <v>26</v>
      </c>
      <c r="AG753" s="43" t="s">
        <v>136</v>
      </c>
      <c r="AH753" s="43" t="s">
        <v>124</v>
      </c>
      <c r="AI753">
        <v>1</v>
      </c>
      <c r="AJ753" s="43" t="s">
        <v>341</v>
      </c>
      <c r="AK753" s="43" t="s">
        <v>309</v>
      </c>
      <c r="AL753">
        <v>0</v>
      </c>
    </row>
    <row r="754" spans="31:38" x14ac:dyDescent="0.25">
      <c r="AE754" s="43" t="s">
        <v>135</v>
      </c>
      <c r="AF754" s="43" t="s">
        <v>26</v>
      </c>
      <c r="AG754" s="43" t="s">
        <v>136</v>
      </c>
      <c r="AH754" s="43" t="s">
        <v>124</v>
      </c>
      <c r="AI754">
        <v>1</v>
      </c>
      <c r="AJ754" s="43" t="s">
        <v>341</v>
      </c>
      <c r="AK754" s="43" t="s">
        <v>268</v>
      </c>
      <c r="AL754">
        <v>1.3</v>
      </c>
    </row>
    <row r="755" spans="31:38" x14ac:dyDescent="0.25">
      <c r="AE755" s="43" t="s">
        <v>135</v>
      </c>
      <c r="AF755" s="43" t="s">
        <v>26</v>
      </c>
      <c r="AG755" s="43" t="s">
        <v>136</v>
      </c>
      <c r="AH755" s="43" t="s">
        <v>124</v>
      </c>
      <c r="AI755">
        <v>1</v>
      </c>
      <c r="AJ755" s="43" t="s">
        <v>344</v>
      </c>
      <c r="AK755" s="43" t="s">
        <v>308</v>
      </c>
      <c r="AL755">
        <v>0</v>
      </c>
    </row>
    <row r="756" spans="31:38" x14ac:dyDescent="0.25">
      <c r="AE756" s="43" t="s">
        <v>135</v>
      </c>
      <c r="AF756" s="43" t="s">
        <v>26</v>
      </c>
      <c r="AG756" s="43" t="s">
        <v>136</v>
      </c>
      <c r="AH756" s="43" t="s">
        <v>124</v>
      </c>
      <c r="AI756">
        <v>1</v>
      </c>
      <c r="AJ756" s="43" t="s">
        <v>344</v>
      </c>
      <c r="AK756" s="43" t="s">
        <v>309</v>
      </c>
      <c r="AL756">
        <v>0</v>
      </c>
    </row>
    <row r="757" spans="31:38" x14ac:dyDescent="0.25">
      <c r="AE757" s="43" t="s">
        <v>135</v>
      </c>
      <c r="AF757" s="43" t="s">
        <v>26</v>
      </c>
      <c r="AG757" s="43" t="s">
        <v>136</v>
      </c>
      <c r="AH757" s="43" t="s">
        <v>124</v>
      </c>
      <c r="AI757">
        <v>1</v>
      </c>
      <c r="AJ757" s="43" t="s">
        <v>344</v>
      </c>
      <c r="AK757" s="43" t="s">
        <v>268</v>
      </c>
      <c r="AL757">
        <v>0</v>
      </c>
    </row>
    <row r="758" spans="31:38" x14ac:dyDescent="0.25">
      <c r="AE758" s="43" t="s">
        <v>137</v>
      </c>
      <c r="AF758" s="43" t="s">
        <v>26</v>
      </c>
      <c r="AG758" s="43" t="s">
        <v>138</v>
      </c>
      <c r="AH758" s="43" t="s">
        <v>124</v>
      </c>
      <c r="AI758">
        <v>1</v>
      </c>
      <c r="AJ758" s="43" t="s">
        <v>317</v>
      </c>
      <c r="AK758" s="43" t="s">
        <v>308</v>
      </c>
      <c r="AL758">
        <v>0.6</v>
      </c>
    </row>
    <row r="759" spans="31:38" x14ac:dyDescent="0.25">
      <c r="AE759" s="43" t="s">
        <v>137</v>
      </c>
      <c r="AF759" s="43" t="s">
        <v>26</v>
      </c>
      <c r="AG759" s="43" t="s">
        <v>138</v>
      </c>
      <c r="AH759" s="43" t="s">
        <v>124</v>
      </c>
      <c r="AI759">
        <v>1</v>
      </c>
      <c r="AJ759" s="43" t="s">
        <v>317</v>
      </c>
      <c r="AK759" s="43" t="s">
        <v>309</v>
      </c>
      <c r="AL759">
        <v>0</v>
      </c>
    </row>
    <row r="760" spans="31:38" x14ac:dyDescent="0.25">
      <c r="AE760" s="43" t="s">
        <v>137</v>
      </c>
      <c r="AF760" s="43" t="s">
        <v>26</v>
      </c>
      <c r="AG760" s="43" t="s">
        <v>138</v>
      </c>
      <c r="AH760" s="43" t="s">
        <v>124</v>
      </c>
      <c r="AI760">
        <v>1</v>
      </c>
      <c r="AJ760" s="43" t="s">
        <v>317</v>
      </c>
      <c r="AK760" s="43" t="s">
        <v>268</v>
      </c>
      <c r="AL760">
        <v>0.6</v>
      </c>
    </row>
    <row r="761" spans="31:38" x14ac:dyDescent="0.25">
      <c r="AE761" s="43" t="s">
        <v>137</v>
      </c>
      <c r="AF761" s="43" t="s">
        <v>26</v>
      </c>
      <c r="AG761" s="43" t="s">
        <v>138</v>
      </c>
      <c r="AH761" s="43" t="s">
        <v>124</v>
      </c>
      <c r="AI761">
        <v>1</v>
      </c>
      <c r="AJ761" s="43" t="s">
        <v>325</v>
      </c>
      <c r="AK761" s="43" t="s">
        <v>308</v>
      </c>
      <c r="AL761">
        <v>0</v>
      </c>
    </row>
    <row r="762" spans="31:38" x14ac:dyDescent="0.25">
      <c r="AE762" s="43" t="s">
        <v>137</v>
      </c>
      <c r="AF762" s="43" t="s">
        <v>26</v>
      </c>
      <c r="AG762" s="43" t="s">
        <v>138</v>
      </c>
      <c r="AH762" s="43" t="s">
        <v>124</v>
      </c>
      <c r="AI762">
        <v>1</v>
      </c>
      <c r="AJ762" s="43" t="s">
        <v>325</v>
      </c>
      <c r="AK762" s="43" t="s">
        <v>309</v>
      </c>
      <c r="AL762">
        <v>0</v>
      </c>
    </row>
    <row r="763" spans="31:38" x14ac:dyDescent="0.25">
      <c r="AE763" s="43" t="s">
        <v>137</v>
      </c>
      <c r="AF763" s="43" t="s">
        <v>26</v>
      </c>
      <c r="AG763" s="43" t="s">
        <v>138</v>
      </c>
      <c r="AH763" s="43" t="s">
        <v>124</v>
      </c>
      <c r="AI763">
        <v>1</v>
      </c>
      <c r="AJ763" s="43" t="s">
        <v>325</v>
      </c>
      <c r="AK763" s="43" t="s">
        <v>268</v>
      </c>
      <c r="AL763">
        <v>0</v>
      </c>
    </row>
    <row r="764" spans="31:38" x14ac:dyDescent="0.25">
      <c r="AE764" s="43" t="s">
        <v>137</v>
      </c>
      <c r="AF764" s="43" t="s">
        <v>26</v>
      </c>
      <c r="AG764" s="43" t="s">
        <v>138</v>
      </c>
      <c r="AH764" s="43" t="s">
        <v>124</v>
      </c>
      <c r="AI764">
        <v>1</v>
      </c>
      <c r="AJ764" s="43" t="s">
        <v>330</v>
      </c>
      <c r="AK764" s="43" t="s">
        <v>308</v>
      </c>
      <c r="AL764">
        <v>0</v>
      </c>
    </row>
    <row r="765" spans="31:38" x14ac:dyDescent="0.25">
      <c r="AE765" s="43" t="s">
        <v>137</v>
      </c>
      <c r="AF765" s="43" t="s">
        <v>26</v>
      </c>
      <c r="AG765" s="43" t="s">
        <v>138</v>
      </c>
      <c r="AH765" s="43" t="s">
        <v>124</v>
      </c>
      <c r="AI765">
        <v>1</v>
      </c>
      <c r="AJ765" s="43" t="s">
        <v>330</v>
      </c>
      <c r="AK765" s="43" t="s">
        <v>309</v>
      </c>
      <c r="AL765">
        <v>0</v>
      </c>
    </row>
    <row r="766" spans="31:38" x14ac:dyDescent="0.25">
      <c r="AE766" s="43" t="s">
        <v>137</v>
      </c>
      <c r="AF766" s="43" t="s">
        <v>26</v>
      </c>
      <c r="AG766" s="43" t="s">
        <v>138</v>
      </c>
      <c r="AH766" s="43" t="s">
        <v>124</v>
      </c>
      <c r="AI766">
        <v>1</v>
      </c>
      <c r="AJ766" s="43" t="s">
        <v>330</v>
      </c>
      <c r="AK766" s="43" t="s">
        <v>268</v>
      </c>
      <c r="AL766">
        <v>0</v>
      </c>
    </row>
    <row r="767" spans="31:38" x14ac:dyDescent="0.25">
      <c r="AE767" s="43" t="s">
        <v>137</v>
      </c>
      <c r="AF767" s="43" t="s">
        <v>26</v>
      </c>
      <c r="AG767" s="43" t="s">
        <v>138</v>
      </c>
      <c r="AH767" s="43" t="s">
        <v>124</v>
      </c>
      <c r="AI767">
        <v>1</v>
      </c>
      <c r="AJ767" s="43" t="s">
        <v>331</v>
      </c>
      <c r="AK767" s="43" t="s">
        <v>308</v>
      </c>
      <c r="AL767">
        <v>0</v>
      </c>
    </row>
    <row r="768" spans="31:38" x14ac:dyDescent="0.25">
      <c r="AE768" s="43" t="s">
        <v>137</v>
      </c>
      <c r="AF768" s="43" t="s">
        <v>26</v>
      </c>
      <c r="AG768" s="43" t="s">
        <v>138</v>
      </c>
      <c r="AH768" s="43" t="s">
        <v>124</v>
      </c>
      <c r="AI768">
        <v>1</v>
      </c>
      <c r="AJ768" s="43" t="s">
        <v>331</v>
      </c>
      <c r="AK768" s="43" t="s">
        <v>309</v>
      </c>
      <c r="AL768">
        <v>0</v>
      </c>
    </row>
    <row r="769" spans="31:38" x14ac:dyDescent="0.25">
      <c r="AE769" s="43" t="s">
        <v>137</v>
      </c>
      <c r="AF769" s="43" t="s">
        <v>26</v>
      </c>
      <c r="AG769" s="43" t="s">
        <v>138</v>
      </c>
      <c r="AH769" s="43" t="s">
        <v>124</v>
      </c>
      <c r="AI769">
        <v>1</v>
      </c>
      <c r="AJ769" s="43" t="s">
        <v>331</v>
      </c>
      <c r="AK769" s="43" t="s">
        <v>268</v>
      </c>
      <c r="AL769">
        <v>0</v>
      </c>
    </row>
    <row r="770" spans="31:38" x14ac:dyDescent="0.25">
      <c r="AE770" s="43" t="s">
        <v>137</v>
      </c>
      <c r="AF770" s="43" t="s">
        <v>26</v>
      </c>
      <c r="AG770" s="43" t="s">
        <v>138</v>
      </c>
      <c r="AH770" s="43" t="s">
        <v>124</v>
      </c>
      <c r="AI770">
        <v>1</v>
      </c>
      <c r="AJ770" s="43" t="s">
        <v>341</v>
      </c>
      <c r="AK770" s="43" t="s">
        <v>308</v>
      </c>
      <c r="AL770">
        <v>0.6</v>
      </c>
    </row>
    <row r="771" spans="31:38" x14ac:dyDescent="0.25">
      <c r="AE771" s="43" t="s">
        <v>137</v>
      </c>
      <c r="AF771" s="43" t="s">
        <v>26</v>
      </c>
      <c r="AG771" s="43" t="s">
        <v>138</v>
      </c>
      <c r="AH771" s="43" t="s">
        <v>124</v>
      </c>
      <c r="AI771">
        <v>1</v>
      </c>
      <c r="AJ771" s="43" t="s">
        <v>341</v>
      </c>
      <c r="AK771" s="43" t="s">
        <v>309</v>
      </c>
      <c r="AL771">
        <v>0</v>
      </c>
    </row>
    <row r="772" spans="31:38" x14ac:dyDescent="0.25">
      <c r="AE772" s="43" t="s">
        <v>137</v>
      </c>
      <c r="AF772" s="43" t="s">
        <v>26</v>
      </c>
      <c r="AG772" s="43" t="s">
        <v>138</v>
      </c>
      <c r="AH772" s="43" t="s">
        <v>124</v>
      </c>
      <c r="AI772">
        <v>1</v>
      </c>
      <c r="AJ772" s="43" t="s">
        <v>341</v>
      </c>
      <c r="AK772" s="43" t="s">
        <v>268</v>
      </c>
      <c r="AL772">
        <v>0.6</v>
      </c>
    </row>
    <row r="773" spans="31:38" x14ac:dyDescent="0.25">
      <c r="AE773" s="43" t="s">
        <v>137</v>
      </c>
      <c r="AF773" s="43" t="s">
        <v>26</v>
      </c>
      <c r="AG773" s="43" t="s">
        <v>138</v>
      </c>
      <c r="AH773" s="43" t="s">
        <v>124</v>
      </c>
      <c r="AI773">
        <v>1</v>
      </c>
      <c r="AJ773" s="43" t="s">
        <v>344</v>
      </c>
      <c r="AK773" s="43" t="s">
        <v>308</v>
      </c>
      <c r="AL773">
        <v>0</v>
      </c>
    </row>
    <row r="774" spans="31:38" x14ac:dyDescent="0.25">
      <c r="AE774" s="43" t="s">
        <v>137</v>
      </c>
      <c r="AF774" s="43" t="s">
        <v>26</v>
      </c>
      <c r="AG774" s="43" t="s">
        <v>138</v>
      </c>
      <c r="AH774" s="43" t="s">
        <v>124</v>
      </c>
      <c r="AI774">
        <v>1</v>
      </c>
      <c r="AJ774" s="43" t="s">
        <v>344</v>
      </c>
      <c r="AK774" s="43" t="s">
        <v>309</v>
      </c>
      <c r="AL774">
        <v>0</v>
      </c>
    </row>
    <row r="775" spans="31:38" x14ac:dyDescent="0.25">
      <c r="AE775" s="43" t="s">
        <v>137</v>
      </c>
      <c r="AF775" s="43" t="s">
        <v>26</v>
      </c>
      <c r="AG775" s="43" t="s">
        <v>138</v>
      </c>
      <c r="AH775" s="43" t="s">
        <v>124</v>
      </c>
      <c r="AI775">
        <v>1</v>
      </c>
      <c r="AJ775" s="43" t="s">
        <v>344</v>
      </c>
      <c r="AK775" s="43" t="s">
        <v>268</v>
      </c>
      <c r="AL775">
        <v>0</v>
      </c>
    </row>
  </sheetData>
  <mergeCells count="2">
    <mergeCell ref="Y2:Y7"/>
    <mergeCell ref="Y8:Y13"/>
  </mergeCells>
  <phoneticPr fontId="1" type="noConversion"/>
  <conditionalFormatting sqref="A2:A44">
    <cfRule type="expression" dxfId="578" priority="177">
      <formula>IF($B2="junior",$T2=MAX(_xlfn._xlws.FILTER($T$2:$T$47,$B$2:$B$47="junior")),$T2=MAX(_xlfn._xlws.FILTER($T$2:$T$47,$B$2:$B$47="senior")))</formula>
    </cfRule>
    <cfRule type="expression" dxfId="577" priority="178">
      <formula>IF($B2="junior",$T2=LARGE(_xlfn._xlws.FILTER($T$2:$T$47,$B$2:$B$47="junior"),2),$T2=LARGE(_xlfn._xlws.FILTER($T$2:$T$47,$B$2:$B$47="senior"),2))</formula>
    </cfRule>
    <cfRule type="expression" dxfId="576" priority="179">
      <formula>IF($B2="junior",$T2=LARGE(_xlfn._xlws.FILTER($T$2:$T$47,$B$2:$B$47="junior"),3),$T2=LARGE(_xlfn._xlws.FILTER($T$2:$T$47,$B$2:$B$47="senior"),3))</formula>
    </cfRule>
    <cfRule type="expression" dxfId="575" priority="180">
      <formula>IF($B2="junior",$R2=MAX(_xlfn._xlws.FILTER($R$2:$R$47,$B$2:$B$47="junior")),$R2=MAX(_xlfn._xlws.FILTER($R$2:$R$47,$B$2:$B$47="senior")))</formula>
    </cfRule>
    <cfRule type="expression" dxfId="574" priority="181">
      <formula>IF($B2="junior",$S2=MAX(_xlfn._xlws.FILTER($S$2:$S$47,$B$2:$B$47="junior")),$S2=MAX(_xlfn._xlws.FILTER($S$2:$S$47,$B$2:$B$47="senior")))</formula>
    </cfRule>
  </conditionalFormatting>
  <conditionalFormatting sqref="F2:F44 I2:I44 L2:L44 O2:O44 U2:U44">
    <cfRule type="expression" dxfId="573" priority="10">
      <formula>IF($B2="junior",F2&gt;=($AA$8+$AB$8),F2&gt;=($AA$2+$AB$2))</formula>
    </cfRule>
  </conditionalFormatting>
  <conditionalFormatting sqref="F2:F44 I2:I44 L2:L44 O2:O44">
    <cfRule type="expression" dxfId="572" priority="14">
      <formula>AND(AND($B2="junior",F2&lt;2.6),F2&gt;0)</formula>
    </cfRule>
    <cfRule type="expression" dxfId="571" priority="15">
      <formula>AND(AND($B2="senior",F2&lt;2.9),F2&gt;0)</formula>
    </cfRule>
  </conditionalFormatting>
  <conditionalFormatting sqref="F2:W44">
    <cfRule type="cellIs" dxfId="570" priority="16" operator="equal">
      <formula>0</formula>
    </cfRule>
  </conditionalFormatting>
  <conditionalFormatting sqref="H2:H44 K2:K44 N2:N44 Q2:Q44 W2:W44">
    <cfRule type="expression" dxfId="569" priority="11">
      <formula>IF($B2="junior",H2&gt;=($AA$10+$AB$10),H2&gt;=($AA$4+$AB$4))</formula>
    </cfRule>
  </conditionalFormatting>
  <conditionalFormatting sqref="H2:H44 K2:K44 N2:N44 Q2:Q44">
    <cfRule type="expression" dxfId="568" priority="8">
      <formula>IF($B2="junior",H2&gt;=$AC$10,H2&gt;=$AC$4)</formula>
    </cfRule>
  </conditionalFormatting>
  <conditionalFormatting sqref="R2:R44">
    <cfRule type="expression" dxfId="567" priority="9">
      <formula>IF($B2="junior",R2&gt;=($AA$11+$AB$11),R2&gt;=($AA$5+$AB$5))</formula>
    </cfRule>
  </conditionalFormatting>
  <conditionalFormatting sqref="S2:S44">
    <cfRule type="expression" dxfId="566" priority="13">
      <formula>IF($B2="junior",S2&gt;=$AA$12+$AB$12,S2&gt;=$AA$6+$AB$6)</formula>
    </cfRule>
  </conditionalFormatting>
  <conditionalFormatting sqref="T2:T44">
    <cfRule type="expression" dxfId="565" priority="7">
      <formula>IF($B2="junior",T2&gt;=$AC$13,T2&gt;=$AC$7)</formula>
    </cfRule>
    <cfRule type="expression" dxfId="564" priority="12">
      <formula>IF($B2="junior",T2&gt;=($AA$13+$AB$13),T2&gt;=($AA$7+$AB$7))</formula>
    </cfRule>
  </conditionalFormatting>
  <conditionalFormatting sqref="V2:V44">
    <cfRule type="expression" dxfId="563" priority="6">
      <formula>IF($B2="junior",V2&gt;=$AA$9+$AB$9,V2&gt;=$AA$3+$AB$3)</formula>
    </cfRule>
  </conditionalFormatting>
  <pageMargins left="0.7" right="0.7" top="0.75" bottom="0.75" header="0.3" footer="0.3"/>
  <drawing r:id="rId2"/>
  <tableParts count="3">
    <tablePart r:id="rId3"/>
    <tablePart r:id="rId4"/>
    <tablePart r:id="rId5"/>
  </tablePart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CABCB-AB39-0C4A-B8F9-717F9AD297E6}">
  <sheetPr codeName="Arkusz8">
    <tabColor theme="5" tint="0.39997558519241921"/>
  </sheetPr>
  <dimension ref="A1:AK793"/>
  <sheetViews>
    <sheetView topLeftCell="F1" zoomScale="75" zoomScaleNormal="75" workbookViewId="0">
      <selection activeCell="Z27" sqref="Z27"/>
    </sheetView>
  </sheetViews>
  <sheetFormatPr defaultColWidth="11" defaultRowHeight="15.75" x14ac:dyDescent="0.25"/>
  <cols>
    <col min="1" max="1" width="23.125" bestFit="1" customWidth="1"/>
    <col min="2" max="2" width="13.875" style="2" customWidth="1"/>
    <col min="3" max="3" width="14.125" style="2" customWidth="1"/>
    <col min="4" max="4" width="21.75" customWidth="1"/>
    <col min="5" max="5" width="11.75" style="3" customWidth="1"/>
    <col min="6" max="6" width="23.875" style="5" customWidth="1"/>
    <col min="7" max="7" width="6.875" style="8" customWidth="1"/>
    <col min="8" max="8" width="29.125" style="8" bestFit="1" customWidth="1"/>
    <col min="9" max="9" width="21.75" style="5" bestFit="1" customWidth="1"/>
    <col min="10" max="10" width="21.5" style="8" bestFit="1" customWidth="1"/>
    <col min="11" max="11" width="26" style="8" bestFit="1" customWidth="1"/>
    <col min="12" max="12" width="6.875" style="5" customWidth="1"/>
    <col min="13" max="14" width="6.875" style="8" customWidth="1"/>
    <col min="15" max="15" width="6.875" style="5" customWidth="1"/>
    <col min="16" max="16" width="22" style="8" bestFit="1" customWidth="1"/>
    <col min="17" max="17" width="6.875" style="8" customWidth="1"/>
    <col min="18" max="18" width="10.125" style="3" customWidth="1"/>
    <col min="19" max="23" width="6.875" style="3" customWidth="1"/>
    <col min="25" max="25" width="17.625" bestFit="1" customWidth="1"/>
    <col min="26" max="26" width="17.125" bestFit="1" customWidth="1"/>
    <col min="27" max="27" width="14" bestFit="1" customWidth="1"/>
    <col min="28" max="28" width="8.125" bestFit="1" customWidth="1"/>
    <col min="29" max="29" width="18.75" bestFit="1" customWidth="1"/>
  </cols>
  <sheetData>
    <row r="1" spans="1:37" s="2" customFormat="1" x14ac:dyDescent="0.25">
      <c r="A1" s="4" t="s">
        <v>1</v>
      </c>
      <c r="B1" s="2" t="s">
        <v>2</v>
      </c>
      <c r="C1" s="2" t="s">
        <v>4</v>
      </c>
      <c r="D1" s="2" t="s">
        <v>5</v>
      </c>
      <c r="E1" s="2" t="s">
        <v>227</v>
      </c>
      <c r="F1" s="2" t="s">
        <v>169</v>
      </c>
      <c r="G1" s="2" t="s">
        <v>170</v>
      </c>
      <c r="H1" s="2" t="s">
        <v>171</v>
      </c>
      <c r="I1" s="2" t="s">
        <v>172</v>
      </c>
      <c r="J1" s="2" t="s">
        <v>173</v>
      </c>
      <c r="K1" s="2" t="s">
        <v>174</v>
      </c>
      <c r="L1" s="2" t="s">
        <v>175</v>
      </c>
      <c r="M1" s="2" t="s">
        <v>176</v>
      </c>
      <c r="N1" s="2" t="s">
        <v>177</v>
      </c>
      <c r="O1" s="2" t="s">
        <v>178</v>
      </c>
      <c r="P1" s="2" t="s">
        <v>179</v>
      </c>
      <c r="Q1" s="2" t="s">
        <v>180</v>
      </c>
      <c r="R1" s="2" t="s">
        <v>219</v>
      </c>
      <c r="S1" s="2" t="s">
        <v>220</v>
      </c>
      <c r="T1" s="2" t="s">
        <v>221</v>
      </c>
      <c r="U1" s="2" t="s">
        <v>235</v>
      </c>
      <c r="V1" s="2" t="s">
        <v>236</v>
      </c>
      <c r="W1" s="2" t="s">
        <v>237</v>
      </c>
      <c r="AA1" s="20" t="s">
        <v>273</v>
      </c>
      <c r="AB1" s="20" t="s">
        <v>272</v>
      </c>
      <c r="AC1" s="20" t="s">
        <v>274</v>
      </c>
      <c r="AE1" t="s">
        <v>1</v>
      </c>
      <c r="AF1" t="s">
        <v>2</v>
      </c>
      <c r="AG1" t="s">
        <v>5</v>
      </c>
      <c r="AH1" t="s">
        <v>227</v>
      </c>
      <c r="AI1" t="s">
        <v>333</v>
      </c>
      <c r="AJ1" t="s">
        <v>266</v>
      </c>
      <c r="AK1" t="s">
        <v>307</v>
      </c>
    </row>
    <row r="2" spans="1:37" x14ac:dyDescent="0.25">
      <c r="A2" t="s">
        <v>59</v>
      </c>
      <c r="B2" s="2" t="s">
        <v>60</v>
      </c>
      <c r="C2" s="2" t="s">
        <v>61</v>
      </c>
      <c r="D2" t="s">
        <v>62</v>
      </c>
      <c r="E2" s="9">
        <f>COUNTIF(SR[[#This Row],[bydgoszcz_SR_Total_Score]],"&gt;0")+COUNTIF(SR[[#This Row],[zabrze_SR_Total_Score]],"&gt;0")+COUNTIF(SR[[#This Row],[cracow_SR_Total_Score]],"&gt;0")+COUNTIF(SR[[#This Row],[gdansk_SR_Total_Score]],"&gt;0")</f>
        <v>3</v>
      </c>
      <c r="F2" s="4">
        <v>0</v>
      </c>
      <c r="G2" s="7">
        <v>0</v>
      </c>
      <c r="H2" s="7">
        <v>0</v>
      </c>
      <c r="I2" s="4">
        <v>4.0999999999999996</v>
      </c>
      <c r="J2" s="7">
        <v>8.35</v>
      </c>
      <c r="K2" s="7">
        <v>12.45</v>
      </c>
      <c r="L2" s="4">
        <v>4.0999999999999996</v>
      </c>
      <c r="M2" s="7">
        <v>8.1</v>
      </c>
      <c r="N2" s="7">
        <v>12.2</v>
      </c>
      <c r="O2" s="4">
        <v>2.8</v>
      </c>
      <c r="P2" s="7">
        <v>9.1999999999999993</v>
      </c>
      <c r="Q2" s="7">
        <v>12</v>
      </c>
      <c r="R2" s="4">
        <f>LARGE(CHOOSE({1;2;3;4},F2,I2,L2,O2),1)+LARGE(CHOOSE({1;2;3;4},F2,I2,L2,O2),2)+LARGE(CHOOSE({1;2;3;4},F2,I2,L2,O2),3)</f>
        <v>11</v>
      </c>
      <c r="S2" s="7">
        <f>LARGE(CHOOSE({1;2;3;4},G2,J2,M2,P2),1)+LARGE(CHOOSE({1;2;3;4},G2,J2,M2,P2),2)+LARGE(CHOOSE({1;2;3;4},G2,J2,M2,P2),3)</f>
        <v>25.65</v>
      </c>
      <c r="T2" s="7">
        <f>LARGE(CHOOSE({1;2;3;4},H2,K2,N2,Q2),1)+LARGE(CHOOSE({1;2;3;4},H2,K2,N2,Q2),2)+LARGE(CHOOSE({1;2;3;4},H2,K2,N2,Q2),3)</f>
        <v>36.65</v>
      </c>
      <c r="U2" s="4" cm="1">
        <f t="array" ref="U2">IF(SR[[#This Row],[Number_of_competition]:[Number_of_competition]]&gt;=3,(LARGE(CHOOSE({1;2;3;4},F2,I2,L2,O2),1)+LARGE(CHOOSE({1;2;3;4},F2,I2,L2,O2),2)+LARGE(CHOOSE({1;2;3;4},F2,I2,L2,O2),3))/3,0)</f>
        <v>3.6666666666666665</v>
      </c>
      <c r="V2" s="7" cm="1">
        <f t="array" ref="V2">IF(SR[[#This Row],[Number_of_competition]:[Number_of_competition]]&gt;=3,(LARGE(CHOOSE({1;2;3;4},G2,J2,M2,P2),1)+LARGE(CHOOSE({1;2;3;4},G2,J2,M2,P2),2)+LARGE(CHOOSE({1;2;3;4},G2,J2,M2,P2),3))/3,0)</f>
        <v>8.5499999999999989</v>
      </c>
      <c r="W2" s="7" cm="1">
        <f t="array" ref="W2">IF(SR[[#This Row],[Number_of_competition]:[Number_of_competition]]&gt;=3,(LARGE(CHOOSE({1;2;3;4},H2,K2,N2,Q2),1)+LARGE(CHOOSE({1;2;3;4},H2,K2,N2,Q2),2)+LARGE(CHOOSE({1;2;3;4},H2,K2,N2,Q2),3))/3,0)</f>
        <v>12.216666666666667</v>
      </c>
      <c r="Y2" s="39" t="s">
        <v>60</v>
      </c>
      <c r="Z2" s="20" t="s">
        <v>269</v>
      </c>
      <c r="AA2" s="21" cm="1">
        <f t="array" ref="AA2">SUM(_xlfn._xlws.FILTER(SR[bydgoszcz_SR_Dscore],SR[Category]="senior"),_xlfn._xlws.FILTER(SR[zabrze_SR_Dscore],SR[Category]="senior"),_xlfn._xlws.FILTER(SR[cracow_SR_Dscore],SR[Category]="senior"),_xlfn._xlws.FILTER(SR[gdansk_SR_Dscore],SR[Category]="senior"))/(COUNTIFS(SR[bydgoszcz_SR_Dscore],"&gt;0",SR[Category],"senior")+COUNTIFS(SR[zabrze_SR_Dscore],"&gt;0",SR[Category],"senior")+COUNTIFS(SR[cracow_SR_Dscore],"&gt;0",SR[Category],"senior")+COUNTIFS(SR[gdansk_SR_Dscore],"&gt;0",SR[Category],"senior"))</f>
        <v>3.563333333333333</v>
      </c>
      <c r="AB2" s="21" cm="1">
        <f t="array" ref="AB2">_xlfn.STDEV.S(_xlfn._xlws.FILTER(SR[bydgoszcz_SR_Dscore],(SR[Category]="senior")*(SR[bydgoszcz_SR_Dscore])&gt;0),_xlfn._xlws.FILTER(SR[zabrze_SR_Dscore],(SR[Category]="senior")*(SR[zabrze_SR_Dscore])&gt;0),_xlfn._xlws.FILTER(SR[cracow_SR_Dscore],(SR[Category]="senior")*(SR[cracow_SR_Dscore])&gt;0),_xlfn._xlws.FILTER(SR[gdansk_SR_Dscore],(SR[Category]="senior")*(SR[gdansk_SR_Dscore])&gt;0))</f>
        <v>0.66586675174050203</v>
      </c>
      <c r="AC2" s="21" cm="1">
        <f t="array" ref="AC2">MAX(_xlfn._xlws.FILTER(SR[bydgoszcz_SR_Dscore],SR[Category]="senior"),_xlfn._xlws.FILTER(SR[zabrze_SR_Dscore],SR[Category]="senior"),_xlfn._xlws.FILTER(SR[cracow_SR_Dscore],SR[Category]="senior"),_xlfn._xlws.FILTER(SR[gdansk_SR_Dscore],SR[Category]="senior"))</f>
        <v>5.3</v>
      </c>
      <c r="AE2" s="43" t="s">
        <v>59</v>
      </c>
      <c r="AF2" s="43" t="s">
        <v>60</v>
      </c>
      <c r="AG2" s="43" t="s">
        <v>62</v>
      </c>
      <c r="AH2">
        <v>3</v>
      </c>
      <c r="AI2" t="s">
        <v>317</v>
      </c>
      <c r="AJ2" s="43" t="s">
        <v>308</v>
      </c>
      <c r="AK2">
        <v>0</v>
      </c>
    </row>
    <row r="3" spans="1:37" x14ac:dyDescent="0.25">
      <c r="A3" t="s">
        <v>63</v>
      </c>
      <c r="B3" s="2" t="s">
        <v>60</v>
      </c>
      <c r="C3" s="2" t="s">
        <v>64</v>
      </c>
      <c r="D3" t="s">
        <v>39</v>
      </c>
      <c r="E3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3" s="4">
        <v>4.5999999999999996</v>
      </c>
      <c r="G3" s="7">
        <v>7.2</v>
      </c>
      <c r="H3" s="7">
        <v>11.8</v>
      </c>
      <c r="I3" s="4">
        <v>3.9</v>
      </c>
      <c r="J3" s="7">
        <v>8.1</v>
      </c>
      <c r="K3" s="7">
        <v>12</v>
      </c>
      <c r="L3" s="4">
        <v>4.3</v>
      </c>
      <c r="M3" s="7">
        <v>7.85</v>
      </c>
      <c r="N3" s="7">
        <v>12.15</v>
      </c>
      <c r="O3" s="4">
        <v>4.2</v>
      </c>
      <c r="P3" s="7">
        <v>8</v>
      </c>
      <c r="Q3" s="7">
        <v>12.2</v>
      </c>
      <c r="R3" s="4">
        <f>LARGE(CHOOSE({1;2;3;4},F3,I3,L3,O3),1)+LARGE(CHOOSE({1;2;3;4},F3,I3,L3,O3),2)+LARGE(CHOOSE({1;2;3;4},F3,I3,L3,O3),3)</f>
        <v>13.099999999999998</v>
      </c>
      <c r="S3" s="7">
        <f>LARGE(CHOOSE({1;2;3;4},G3,J3,M3,P3),1)+LARGE(CHOOSE({1;2;3;4},G3,J3,M3,P3),2)+LARGE(CHOOSE({1;2;3;4},G3,J3,M3,P3),3)</f>
        <v>23.950000000000003</v>
      </c>
      <c r="T3" s="7">
        <f>LARGE(CHOOSE({1;2;3;4},H3,K3,N3,Q3),1)+LARGE(CHOOSE({1;2;3;4},H3,K3,N3,Q3),2)+LARGE(CHOOSE({1;2;3;4},H3,K3,N3,Q3),3)</f>
        <v>36.35</v>
      </c>
      <c r="U3" s="4" cm="1">
        <f t="array" ref="U3">IF(SR[[#This Row],[Number_of_competition]:[Number_of_competition]]&gt;=3,(LARGE(CHOOSE({1;2;3;4},F3,I3,L3,O3),1)+LARGE(CHOOSE({1;2;3;4},F3,I3,L3,O3),2)+LARGE(CHOOSE({1;2;3;4},F3,I3,L3,O3),3))/3,0)</f>
        <v>4.3666666666666663</v>
      </c>
      <c r="V3" s="7" cm="1">
        <f t="array" ref="V3">IF(SR[[#This Row],[Number_of_competition]:[Number_of_competition]]&gt;=3,(LARGE(CHOOSE({1;2;3;4},G3,J3,M3,P3),1)+LARGE(CHOOSE({1;2;3;4},G3,J3,M3,P3),2)+LARGE(CHOOSE({1;2;3;4},G3,J3,M3,P3),3))/3,0)</f>
        <v>7.9833333333333343</v>
      </c>
      <c r="W3" s="7" cm="1">
        <f t="array" ref="W3">IF(SR[[#This Row],[Number_of_competition]:[Number_of_competition]]&gt;=3,(LARGE(CHOOSE({1;2;3;4},H3,K3,N3,Q3),1)+LARGE(CHOOSE({1;2;3;4},H3,K3,N3,Q3),2)+LARGE(CHOOSE({1;2;3;4},H3,K3,N3,Q3),3))/3,0)</f>
        <v>12.116666666666667</v>
      </c>
      <c r="Y3" s="40"/>
      <c r="Z3" s="20" t="s">
        <v>267</v>
      </c>
      <c r="AA3" s="22" cm="1">
        <f t="array" ref="AA3">SUM(_xlfn._xlws.FILTER(SR[bydgoszcz_SR_Escore],SR[Category]="senior"),_xlfn._xlws.FILTER(SR[zabrze_SR_Escore],SR[Category]="senior"),_xlfn._xlws.FILTER(SR[cracow_SR_Escore],SR[Category]="senior"),_xlfn._xlws.FILTER(SR[gdansk_SR_Escore],SR[Category]="senior"))/(COUNTIFS(SR[bydgoszcz_SR_Escore],"&gt;0",SR[Category],"senior")+COUNTIFS(SR[zabrze_SR_Escore],"&gt;0",SR[Category],"senior")+COUNTIFS(SR[cracow_SR_Escore],"&gt;0",SR[Category],"senior")+COUNTIFS(SR[gdansk_SR_Escore],"&gt;0",SR[Category],"senior"))</f>
        <v>7.38</v>
      </c>
      <c r="AB3" s="22" cm="1">
        <f t="array" ref="AB3">_xlfn.STDEV.S(_xlfn._xlws.FILTER(SR[bydgoszcz_SR_Escore],(SR[Category]="senior")*(SR[bydgoszcz_SR_Escore])&gt;0),_xlfn._xlws.FILTER(SR[zabrze_SR_Escore],(SR[Category]="senior")*(SR[zabrze_SR_Escore])&gt;0),_xlfn._xlws.FILTER(SR[cracow_SR_Escore],(SR[Category]="senior")*(SR[cracow_SR_Escore])&gt;0),_xlfn._xlws.FILTER(SR[gdansk_SR_Escore],(SR[Category]="senior")*(SR[gdansk_SR_Escore])&gt;0))</f>
        <v>1.1926753859584667</v>
      </c>
      <c r="AC3" s="22" cm="1">
        <f t="array" ref="AC3">MAX(_xlfn._xlws.FILTER(SR[bydgoszcz_SR_Escore],SR[Category]="senior"),_xlfn._xlws.FILTER(SR[zabrze_SR_Escore],SR[Category]="senior"),_xlfn._xlws.FILTER(SR[cracow_SR_Escore],SR[Category]="senior"),_xlfn._xlws.FILTER(SR[gdansk_SR_Escore],SR[Category]="senior"))</f>
        <v>9.1999999999999993</v>
      </c>
      <c r="AE3" s="43" t="s">
        <v>59</v>
      </c>
      <c r="AF3" s="43" t="s">
        <v>60</v>
      </c>
      <c r="AG3" s="43" t="s">
        <v>62</v>
      </c>
      <c r="AH3">
        <v>3</v>
      </c>
      <c r="AI3" t="s">
        <v>317</v>
      </c>
      <c r="AJ3" s="43" t="s">
        <v>309</v>
      </c>
      <c r="AK3">
        <v>0</v>
      </c>
    </row>
    <row r="4" spans="1:37" x14ac:dyDescent="0.25">
      <c r="A4" t="s">
        <v>94</v>
      </c>
      <c r="B4" s="2" t="s">
        <v>60</v>
      </c>
      <c r="C4" s="2" t="s">
        <v>95</v>
      </c>
      <c r="D4" t="s">
        <v>72</v>
      </c>
      <c r="E4" s="9">
        <f>COUNTIF(SR[[#This Row],[bydgoszcz_SR_Total_Score]],"&gt;0")+COUNTIF(SR[[#This Row],[zabrze_SR_Total_Score]],"&gt;0")+COUNTIF(SR[[#This Row],[cracow_SR_Total_Score]],"&gt;0")+COUNTIF(SR[[#This Row],[gdansk_SR_Total_Score]],"&gt;0")</f>
        <v>3</v>
      </c>
      <c r="F4" s="4">
        <v>0</v>
      </c>
      <c r="G4" s="7">
        <v>0</v>
      </c>
      <c r="H4" s="7">
        <v>0</v>
      </c>
      <c r="I4" s="4">
        <v>4</v>
      </c>
      <c r="J4" s="7">
        <v>8.4</v>
      </c>
      <c r="K4" s="7">
        <v>12.4</v>
      </c>
      <c r="L4" s="4">
        <v>4</v>
      </c>
      <c r="M4" s="7">
        <v>7.65</v>
      </c>
      <c r="N4" s="7">
        <v>11.65</v>
      </c>
      <c r="O4" s="4">
        <v>4.3</v>
      </c>
      <c r="P4" s="7">
        <v>7.2</v>
      </c>
      <c r="Q4" s="7">
        <v>11.5</v>
      </c>
      <c r="R4" s="4">
        <f>LARGE(CHOOSE({1;2;3;4},F4,I4,L4,O4),1)+LARGE(CHOOSE({1;2;3;4},F4,I4,L4,O4),2)+LARGE(CHOOSE({1;2;3;4},F4,I4,L4,O4),3)</f>
        <v>12.3</v>
      </c>
      <c r="S4" s="7">
        <f>LARGE(CHOOSE({1;2;3;4},G4,J4,M4,P4),1)+LARGE(CHOOSE({1;2;3;4},G4,J4,M4,P4),2)+LARGE(CHOOSE({1;2;3;4},G4,J4,M4,P4),3)</f>
        <v>23.25</v>
      </c>
      <c r="T4" s="7">
        <f>LARGE(CHOOSE({1;2;3;4},H4,K4,N4,Q4),1)+LARGE(CHOOSE({1;2;3;4},H4,K4,N4,Q4),2)+LARGE(CHOOSE({1;2;3;4},H4,K4,N4,Q4),3)</f>
        <v>35.549999999999997</v>
      </c>
      <c r="U4" s="4" cm="1">
        <f t="array" ref="U4">IF(SR[[#This Row],[Number_of_competition]:[Number_of_competition]]&gt;=3,(LARGE(CHOOSE({1;2;3;4},F4,I4,L4,O4),1)+LARGE(CHOOSE({1;2;3;4},F4,I4,L4,O4),2)+LARGE(CHOOSE({1;2;3;4},F4,I4,L4,O4),3))/3,0)</f>
        <v>4.1000000000000005</v>
      </c>
      <c r="V4" s="7" cm="1">
        <f t="array" ref="V4">IF(SR[[#This Row],[Number_of_competition]:[Number_of_competition]]&gt;=3,(LARGE(CHOOSE({1;2;3;4},G4,J4,M4,P4),1)+LARGE(CHOOSE({1;2;3;4},G4,J4,M4,P4),2)+LARGE(CHOOSE({1;2;3;4},G4,J4,M4,P4),3))/3,0)</f>
        <v>7.75</v>
      </c>
      <c r="W4" s="7" cm="1">
        <f t="array" ref="W4">IF(SR[[#This Row],[Number_of_competition]:[Number_of_competition]]&gt;=3,(LARGE(CHOOSE({1;2;3;4},H4,K4,N4,Q4),1)+LARGE(CHOOSE({1;2;3;4},H4,K4,N4,Q4),2)+LARGE(CHOOSE({1;2;3;4},H4,K4,N4,Q4),3))/3,0)</f>
        <v>11.85</v>
      </c>
      <c r="Y4" s="40"/>
      <c r="Z4" s="20" t="s">
        <v>268</v>
      </c>
      <c r="AA4" s="22" cm="1">
        <f t="array" ref="AA4">SUM(_xlfn._xlws.FILTER(SR[bydgoszcz_SR_Total_Score],SR[Category]="senior"),_xlfn._xlws.FILTER(SR[zabrze_SR_Total_Score],SR[Category]="senior"),_xlfn._xlws.FILTER(SR[cracow_SR_Total_Score],SR[Category]="senior"),_xlfn._xlws.FILTER(SR[gdansk_SR_Total_Score],SR[Category]="senior"))/(COUNTIFS(SR[bydgoszcz_SR_Total_Score],"&gt;0",SR[Category],"senior")+COUNTIFS(SR[zabrze_SR_Total_Score],"&gt;0",SR[Category],"senior")+COUNTIFS(SR[cracow_SR_Total_Score],"&gt;0",SR[Category],"senior")+COUNTIFS(SR[gdansk_SR_Total_Score],"&gt;0",SR[Category],"senior"))</f>
        <v>10.943333333333335</v>
      </c>
      <c r="AB4" s="22" cm="1">
        <f t="array" ref="AB4">_xlfn.STDEV.S(_xlfn._xlws.FILTER(SR[bydgoszcz_SR_Total_Score],(SR[Category]="senior")*(SR[bydgoszcz_SR_Total_Score])&gt;0),_xlfn._xlws.FILTER(SR[zabrze_SR_Total_Score],(SR[Category]="senior")*(SR[zabrze_SR_Total_Score])&gt;0),_xlfn._xlws.FILTER(SR[cracow_SR_Total_Score],(SR[Category]="senior")*(SR[cracow_SR_Total_Score])&gt;0),_xlfn._xlws.FILTER(SR[gdansk_SR_Total_Score],(SR[Category]="senior")*(SR[gdansk_SR_Total_Score])&gt;0))</f>
        <v>1.5734951559028219</v>
      </c>
      <c r="AC4" s="22" cm="1">
        <f t="array" ref="AC4">MAX(_xlfn._xlws.FILTER(SR[bydgoszcz_SR_Total_Score],SR[Category]="senior"),_xlfn._xlws.FILTER(SR[zabrze_SR_Total_Score],SR[Category]="senior"),_xlfn._xlws.FILTER(SR[cracow_SR_Total_Score],SR[Category]="senior"),_xlfn._xlws.FILTER(SR[gdansk_SR_Total_Score],SR[Category]="senior"))</f>
        <v>13.1</v>
      </c>
      <c r="AE4" s="43" t="s">
        <v>59</v>
      </c>
      <c r="AF4" s="43" t="s">
        <v>60</v>
      </c>
      <c r="AG4" s="43" t="s">
        <v>62</v>
      </c>
      <c r="AH4">
        <v>3</v>
      </c>
      <c r="AI4" t="s">
        <v>317</v>
      </c>
      <c r="AJ4" s="43" t="s">
        <v>268</v>
      </c>
      <c r="AK4">
        <v>0</v>
      </c>
    </row>
    <row r="5" spans="1:37" x14ac:dyDescent="0.25">
      <c r="A5" t="s">
        <v>80</v>
      </c>
      <c r="B5" s="2" t="s">
        <v>60</v>
      </c>
      <c r="C5" s="2" t="s">
        <v>81</v>
      </c>
      <c r="D5" t="s">
        <v>62</v>
      </c>
      <c r="E5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5" s="4">
        <v>3.9</v>
      </c>
      <c r="G5" s="7">
        <v>6.4</v>
      </c>
      <c r="H5" s="7">
        <v>10.3</v>
      </c>
      <c r="I5" s="4">
        <v>3.7</v>
      </c>
      <c r="J5" s="7">
        <v>7.9</v>
      </c>
      <c r="K5" s="7">
        <v>11.6</v>
      </c>
      <c r="L5" s="4">
        <v>3.9</v>
      </c>
      <c r="M5" s="7">
        <v>8.1999999999999993</v>
      </c>
      <c r="N5" s="7">
        <v>12.1</v>
      </c>
      <c r="O5" s="4">
        <v>3.5</v>
      </c>
      <c r="P5" s="7">
        <v>8.3000000000000007</v>
      </c>
      <c r="Q5" s="7">
        <v>11.8</v>
      </c>
      <c r="R5" s="4">
        <f>LARGE(CHOOSE({1;2;3;4},F5,I5,L5,O5),1)+LARGE(CHOOSE({1;2;3;4},F5,I5,L5,O5),2)+LARGE(CHOOSE({1;2;3;4},F5,I5,L5,O5),3)</f>
        <v>11.5</v>
      </c>
      <c r="S5" s="7">
        <f>LARGE(CHOOSE({1;2;3;4},G5,J5,M5,P5),1)+LARGE(CHOOSE({1;2;3;4},G5,J5,M5,P5),2)+LARGE(CHOOSE({1;2;3;4},G5,J5,M5,P5),3)</f>
        <v>24.4</v>
      </c>
      <c r="T5" s="7">
        <f>LARGE(CHOOSE({1;2;3;4},H5,K5,N5,Q5),1)+LARGE(CHOOSE({1;2;3;4},H5,K5,N5,Q5),2)+LARGE(CHOOSE({1;2;3;4},H5,K5,N5,Q5),3)</f>
        <v>35.5</v>
      </c>
      <c r="U5" s="4" cm="1">
        <f t="array" ref="U5">IF(SR[[#This Row],[Number_of_competition]:[Number_of_competition]]&gt;=3,(LARGE(CHOOSE({1;2;3;4},F5,I5,L5,O5),1)+LARGE(CHOOSE({1;2;3;4},F5,I5,L5,O5),2)+LARGE(CHOOSE({1;2;3;4},F5,I5,L5,O5),3))/3,0)</f>
        <v>3.8333333333333335</v>
      </c>
      <c r="V5" s="7" cm="1">
        <f t="array" ref="V5">IF(SR[[#This Row],[Number_of_competition]:[Number_of_competition]]&gt;=3,(LARGE(CHOOSE({1;2;3;4},G5,J5,M5,P5),1)+LARGE(CHOOSE({1;2;3;4},G5,J5,M5,P5),2)+LARGE(CHOOSE({1;2;3;4},G5,J5,M5,P5),3))/3,0)</f>
        <v>8.1333333333333329</v>
      </c>
      <c r="W5" s="7" cm="1">
        <f t="array" ref="W5">IF(SR[[#This Row],[Number_of_competition]:[Number_of_competition]]&gt;=3,(LARGE(CHOOSE({1;2;3;4},H5,K5,N5,Q5),1)+LARGE(CHOOSE({1;2;3;4},H5,K5,N5,Q5),2)+LARGE(CHOOSE({1;2;3;4},H5,K5,N5,Q5),3))/3,0)</f>
        <v>11.833333333333334</v>
      </c>
      <c r="Y5" s="40"/>
      <c r="Z5" s="20" t="s">
        <v>275</v>
      </c>
      <c r="AA5" s="21" cm="1">
        <f t="array" ref="AA5">SUM(_xlfn._xlws.FILTER(SR[Year_Dscore],(SR[Category]="senior")*(SR[Number_of_competition]&gt;=3))/COUNTIFS(SR[Number_of_competition],"&gt;=3",SR[Category],"senior"))</f>
        <v>10.930000000000001</v>
      </c>
      <c r="AB5" s="21" cm="1">
        <f t="array" ref="AB5">_xlfn.STDEV.S(_xlfn._xlws.FILTER(SR[Year_Dscore],(SR[Category]="senior")*(SR[Number_of_competition]&gt;=3)))</f>
        <v>1.5055822055862096</v>
      </c>
      <c r="AC5" s="21" cm="1">
        <f t="array" ref="AC5">MAX(_xlfn._xlws.FILTER(SR[Year_Dscore],SR[Category]="senior"))</f>
        <v>13.099999999999998</v>
      </c>
      <c r="AE5" s="43" t="s">
        <v>59</v>
      </c>
      <c r="AF5" s="43" t="s">
        <v>60</v>
      </c>
      <c r="AG5" s="43" t="s">
        <v>62</v>
      </c>
      <c r="AH5">
        <v>3</v>
      </c>
      <c r="AI5" t="s">
        <v>325</v>
      </c>
      <c r="AJ5" s="43" t="s">
        <v>308</v>
      </c>
      <c r="AK5">
        <v>4.0999999999999996</v>
      </c>
    </row>
    <row r="6" spans="1:37" x14ac:dyDescent="0.25">
      <c r="A6" t="s">
        <v>77</v>
      </c>
      <c r="B6" s="2" t="s">
        <v>60</v>
      </c>
      <c r="C6" s="2" t="s">
        <v>78</v>
      </c>
      <c r="D6" t="s">
        <v>79</v>
      </c>
      <c r="E6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6" s="4">
        <v>4</v>
      </c>
      <c r="G6" s="7">
        <v>7.3</v>
      </c>
      <c r="H6" s="7">
        <v>11.3</v>
      </c>
      <c r="I6" s="4">
        <v>3.8</v>
      </c>
      <c r="J6" s="7">
        <v>8.4</v>
      </c>
      <c r="K6" s="7">
        <v>12.2</v>
      </c>
      <c r="L6" s="4">
        <v>3.8</v>
      </c>
      <c r="M6" s="7">
        <v>8.0500000000000007</v>
      </c>
      <c r="N6" s="7">
        <v>11.85</v>
      </c>
      <c r="O6" s="4">
        <v>3.4</v>
      </c>
      <c r="P6" s="7">
        <v>6</v>
      </c>
      <c r="Q6" s="7">
        <v>9.4</v>
      </c>
      <c r="R6" s="4">
        <f>LARGE(CHOOSE({1;2;3;4},F6,I6,L6,O6),1)+LARGE(CHOOSE({1;2;3;4},F6,I6,L6,O6),2)+LARGE(CHOOSE({1;2;3;4},F6,I6,L6,O6),3)</f>
        <v>11.6</v>
      </c>
      <c r="S6" s="7">
        <f>LARGE(CHOOSE({1;2;3;4},G6,J6,M6,P6),1)+LARGE(CHOOSE({1;2;3;4},G6,J6,M6,P6),2)+LARGE(CHOOSE({1;2;3;4},G6,J6,M6,P6),3)</f>
        <v>23.750000000000004</v>
      </c>
      <c r="T6" s="7">
        <f>LARGE(CHOOSE({1;2;3;4},H6,K6,N6,Q6),1)+LARGE(CHOOSE({1;2;3;4},H6,K6,N6,Q6),2)+LARGE(CHOOSE({1;2;3;4},H6,K6,N6,Q6),3)</f>
        <v>35.349999999999994</v>
      </c>
      <c r="U6" s="4" cm="1">
        <f t="array" ref="U6">IF(SR[[#This Row],[Number_of_competition]:[Number_of_competition]]&gt;=3,(LARGE(CHOOSE({1;2;3;4},F6,I6,L6,O6),1)+LARGE(CHOOSE({1;2;3;4},F6,I6,L6,O6),2)+LARGE(CHOOSE({1;2;3;4},F6,I6,L6,O6),3))/3,0)</f>
        <v>3.8666666666666667</v>
      </c>
      <c r="V6" s="7" cm="1">
        <f t="array" ref="V6">IF(SR[[#This Row],[Number_of_competition]:[Number_of_competition]]&gt;=3,(LARGE(CHOOSE({1;2;3;4},G6,J6,M6,P6),1)+LARGE(CHOOSE({1;2;3;4},G6,J6,M6,P6),2)+LARGE(CHOOSE({1;2;3;4},G6,J6,M6,P6),3))/3,0)</f>
        <v>7.9166666666666679</v>
      </c>
      <c r="W6" s="7" cm="1">
        <f t="array" ref="W6">IF(SR[[#This Row],[Number_of_competition]:[Number_of_competition]]&gt;=3,(LARGE(CHOOSE({1;2;3;4},H6,K6,N6,Q6),1)+LARGE(CHOOSE({1;2;3;4},H6,K6,N6,Q6),2)+LARGE(CHOOSE({1;2;3;4},H6,K6,N6,Q6),3))/3,0)</f>
        <v>11.783333333333331</v>
      </c>
      <c r="Y6" s="40"/>
      <c r="Z6" s="20" t="s">
        <v>276</v>
      </c>
      <c r="AA6" s="22" cm="1">
        <f t="array" ref="AA6">SUM(_xlfn._xlws.FILTER(SR[Year_Escore],(SR[Category]="senior")*(SR[Number_of_competition]&gt;=3))/COUNTIFS(SR[Number_of_competition],"&gt;=3",SR[Category],"senior"))</f>
        <v>22.880000000000003</v>
      </c>
      <c r="AB6" s="22" cm="1">
        <f t="array" ref="AB6">_xlfn.STDEV.S(_xlfn._xlws.FILTER(SR[Year_Escore],(SR[Category]="senior")*(SR[Number_of_competition]&gt;=3)))</f>
        <v>2.6866129026878651</v>
      </c>
      <c r="AC6" s="22" cm="1">
        <f t="array" ref="AC6">MAX(_xlfn._xlws.FILTER(SR[Year_Escore],SR[Category]="senior"))</f>
        <v>25.65</v>
      </c>
      <c r="AE6" s="43" t="s">
        <v>59</v>
      </c>
      <c r="AF6" s="43" t="s">
        <v>60</v>
      </c>
      <c r="AG6" s="43" t="s">
        <v>62</v>
      </c>
      <c r="AH6">
        <v>3</v>
      </c>
      <c r="AI6" t="s">
        <v>325</v>
      </c>
      <c r="AJ6" s="43" t="s">
        <v>309</v>
      </c>
      <c r="AK6">
        <v>8.35</v>
      </c>
    </row>
    <row r="7" spans="1:37" x14ac:dyDescent="0.25">
      <c r="A7" t="s">
        <v>68</v>
      </c>
      <c r="B7" s="2" t="s">
        <v>60</v>
      </c>
      <c r="C7" s="2" t="s">
        <v>69</v>
      </c>
      <c r="D7" t="s">
        <v>31</v>
      </c>
      <c r="E7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7" s="4">
        <v>3.2</v>
      </c>
      <c r="G7" s="7">
        <v>7.4</v>
      </c>
      <c r="H7" s="7">
        <v>10.6</v>
      </c>
      <c r="I7" s="4">
        <v>3.8</v>
      </c>
      <c r="J7" s="7">
        <v>7.7</v>
      </c>
      <c r="K7" s="7">
        <v>11.5</v>
      </c>
      <c r="L7" s="4">
        <v>3.8</v>
      </c>
      <c r="M7" s="7">
        <v>8.5500000000000007</v>
      </c>
      <c r="N7" s="7">
        <v>12.35</v>
      </c>
      <c r="O7" s="4">
        <v>3.7</v>
      </c>
      <c r="P7" s="7">
        <v>7.3</v>
      </c>
      <c r="Q7" s="7">
        <v>11</v>
      </c>
      <c r="R7" s="4">
        <f>LARGE(CHOOSE({1;2;3;4},F7,I7,L7,O7),1)+LARGE(CHOOSE({1;2;3;4},F7,I7,L7,O7),2)+LARGE(CHOOSE({1;2;3;4},F7,I7,L7,O7),3)</f>
        <v>11.3</v>
      </c>
      <c r="S7" s="7">
        <f>LARGE(CHOOSE({1;2;3;4},G7,J7,M7,P7),1)+LARGE(CHOOSE({1;2;3;4},G7,J7,M7,P7),2)+LARGE(CHOOSE({1;2;3;4},G7,J7,M7,P7),3)</f>
        <v>23.65</v>
      </c>
      <c r="T7" s="7">
        <f>LARGE(CHOOSE({1;2;3;4},H7,K7,N7,Q7),1)+LARGE(CHOOSE({1;2;3;4},H7,K7,N7,Q7),2)+LARGE(CHOOSE({1;2;3;4},H7,K7,N7,Q7),3)</f>
        <v>34.85</v>
      </c>
      <c r="U7" s="4" cm="1">
        <f t="array" ref="U7">IF(SR[[#This Row],[Number_of_competition]:[Number_of_competition]]&gt;=3,(LARGE(CHOOSE({1;2;3;4},F7,I7,L7,O7),1)+LARGE(CHOOSE({1;2;3;4},F7,I7,L7,O7),2)+LARGE(CHOOSE({1;2;3;4},F7,I7,L7,O7),3))/3,0)</f>
        <v>3.7666666666666671</v>
      </c>
      <c r="V7" s="7" cm="1">
        <f t="array" ref="V7">IF(SR[[#This Row],[Number_of_competition]:[Number_of_competition]]&gt;=3,(LARGE(CHOOSE({1;2;3;4},G7,J7,M7,P7),1)+LARGE(CHOOSE({1;2;3;4},G7,J7,M7,P7),2)+LARGE(CHOOSE({1;2;3;4},G7,J7,M7,P7),3))/3,0)</f>
        <v>7.8833333333333329</v>
      </c>
      <c r="W7" s="7" cm="1">
        <f t="array" ref="W7">IF(SR[[#This Row],[Number_of_competition]:[Number_of_competition]]&gt;=3,(LARGE(CHOOSE({1;2;3;4},H7,K7,N7,Q7),1)+LARGE(CHOOSE({1;2;3;4},H7,K7,N7,Q7),2)+LARGE(CHOOSE({1;2;3;4},H7,K7,N7,Q7),3))/3,0)</f>
        <v>11.616666666666667</v>
      </c>
      <c r="Y7" s="41"/>
      <c r="Z7" s="20" t="s">
        <v>277</v>
      </c>
      <c r="AA7" s="22" cm="1">
        <f t="array" ref="AA7">SUM(_xlfn._xlws.FILTER(SR[Year_Total_Score],(SR[Category]="senior")*(SR[Number_of_competition]&gt;=3))/COUNTIFS(SR[Number_of_competition],"&gt;=3",SR[Category],"senior"))</f>
        <v>33.659999999999997</v>
      </c>
      <c r="AB7" s="22" cm="1">
        <f t="array" ref="AB7">_xlfn.STDEV.S(_xlfn._xlws.FILTER(SR[Year_Total_Score],(SR[Category]="senior")*(SR[Number_of_competition]&gt;=3)))</f>
        <v>3.6583086559532512</v>
      </c>
      <c r="AC7" s="22" cm="1">
        <f t="array" ref="AC7">MAX(_xlfn._xlws.FILTER(SR[Year_Total_Score],SR[Category]="senior"))</f>
        <v>36.65</v>
      </c>
      <c r="AE7" s="43" t="s">
        <v>59</v>
      </c>
      <c r="AF7" s="43" t="s">
        <v>60</v>
      </c>
      <c r="AG7" s="43" t="s">
        <v>62</v>
      </c>
      <c r="AH7">
        <v>3</v>
      </c>
      <c r="AI7" t="s">
        <v>325</v>
      </c>
      <c r="AJ7" s="43" t="s">
        <v>268</v>
      </c>
      <c r="AK7">
        <v>12.45</v>
      </c>
    </row>
    <row r="8" spans="1:37" x14ac:dyDescent="0.25">
      <c r="A8" t="s">
        <v>34</v>
      </c>
      <c r="B8" s="2" t="s">
        <v>26</v>
      </c>
      <c r="C8" s="2" t="s">
        <v>35</v>
      </c>
      <c r="D8" t="s">
        <v>36</v>
      </c>
      <c r="E8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8" s="4">
        <v>3.6</v>
      </c>
      <c r="G8" s="7">
        <v>7.8</v>
      </c>
      <c r="H8" s="7">
        <v>11.4</v>
      </c>
      <c r="I8" s="4">
        <v>3.9</v>
      </c>
      <c r="J8" s="7">
        <v>8.1</v>
      </c>
      <c r="K8" s="7">
        <v>12</v>
      </c>
      <c r="L8" s="4">
        <v>3.7</v>
      </c>
      <c r="M8" s="7">
        <v>7.45</v>
      </c>
      <c r="N8" s="7">
        <v>11.15</v>
      </c>
      <c r="O8" s="4">
        <v>3.4</v>
      </c>
      <c r="P8" s="7">
        <v>7.7</v>
      </c>
      <c r="Q8" s="7">
        <v>11.1</v>
      </c>
      <c r="R8" s="4">
        <f>LARGE(CHOOSE({1;2;3;4},F8,I8,L8,O8),1)+LARGE(CHOOSE({1;2;3;4},F8,I8,L8,O8),2)+LARGE(CHOOSE({1;2;3;4},F8,I8,L8,O8),3)</f>
        <v>11.2</v>
      </c>
      <c r="S8" s="7">
        <f>LARGE(CHOOSE({1;2;3;4},G8,J8,M8,P8),1)+LARGE(CHOOSE({1;2;3;4},G8,J8,M8,P8),2)+LARGE(CHOOSE({1;2;3;4},G8,J8,M8,P8),3)</f>
        <v>23.599999999999998</v>
      </c>
      <c r="T8" s="7">
        <f>LARGE(CHOOSE({1;2;3;4},H8,K8,N8,Q8),1)+LARGE(CHOOSE({1;2;3;4},H8,K8,N8,Q8),2)+LARGE(CHOOSE({1;2;3;4},H8,K8,N8,Q8),3)</f>
        <v>34.549999999999997</v>
      </c>
      <c r="U8" s="4" cm="1">
        <f t="array" ref="U8">IF(SR[[#This Row],[Number_of_competition]:[Number_of_competition]]&gt;=3,(LARGE(CHOOSE({1;2;3;4},F8,I8,L8,O8),1)+LARGE(CHOOSE({1;2;3;4},F8,I8,L8,O8),2)+LARGE(CHOOSE({1;2;3;4},F8,I8,L8,O8),3))/3,0)</f>
        <v>3.7333333333333329</v>
      </c>
      <c r="V8" s="7" cm="1">
        <f t="array" ref="V8">IF(SR[[#This Row],[Number_of_competition]:[Number_of_competition]]&gt;=3,(LARGE(CHOOSE({1;2;3;4},G8,J8,M8,P8),1)+LARGE(CHOOSE({1;2;3;4},G8,J8,M8,P8),2)+LARGE(CHOOSE({1;2;3;4},G8,J8,M8,P8),3))/3,0)</f>
        <v>7.8666666666666663</v>
      </c>
      <c r="W8" s="7" cm="1">
        <f t="array" ref="W8">IF(SR[[#This Row],[Number_of_competition]:[Number_of_competition]]&gt;=3,(LARGE(CHOOSE({1;2;3;4},H8,K8,N8,Q8),1)+LARGE(CHOOSE({1;2;3;4},H8,K8,N8,Q8),2)+LARGE(CHOOSE({1;2;3;4},H8,K8,N8,Q8),3))/3,0)</f>
        <v>11.516666666666666</v>
      </c>
      <c r="Y8" s="39" t="s">
        <v>26</v>
      </c>
      <c r="Z8" s="20" t="s">
        <v>269</v>
      </c>
      <c r="AA8" s="21" cm="1">
        <f t="array" ref="AA8">SUM(_xlfn._xlws.FILTER(SR[bydgoszcz_SR_Dscore],SR[Category]="junior"),_xlfn._xlws.FILTER(SR[zabrze_SR_Dscore],SR[Category]="junior"),_xlfn._xlws.FILTER(SR[cracow_SR_Dscore],SR[Category]="junior"),_xlfn._xlws.FILTER(SR[gdansk_SR_Dscore],SR[Category]="junior"))/(COUNTIFS(SR[bydgoszcz_SR_Dscore],"&gt;0",SR[Category],"junior")+COUNTIFS(SR[zabrze_SR_Dscore],"&gt;0",SR[Category],"junior")+COUNTIFS(SR[cracow_SR_Dscore],"&gt;0",SR[Category],"junior")+COUNTIFS(SR[gdansk_SR_Dscore],"&gt;0",SR[Category],"junior"))</f>
        <v>2.6319999999999997</v>
      </c>
      <c r="AB8" s="21" cm="1">
        <f t="array" ref="AB8">_xlfn.STDEV.S(_xlfn._xlws.FILTER(SR[bydgoszcz_SR_Dscore],(SR[Category]="junior")*(SR[bydgoszcz_SR_Dscore])&gt;0),_xlfn._xlws.FILTER(SR[zabrze_SR_Dscore],(SR[Category]="junior")*(SR[zabrze_SR_Dscore])&gt;0),_xlfn._xlws.FILTER(SR[cracow_SR_Dscore],(SR[Category]="junior")*(SR[cracow_SR_Dscore])&gt;0),_xlfn._xlws.FILTER(SR[gdansk_SR_Dscore],(SR[Category]="junior")*(SR[gdansk_SR_Dscore])&gt;0))</f>
        <v>0.61393345381587205</v>
      </c>
      <c r="AC8" s="21" cm="1">
        <f t="array" ref="AC8">MAX(_xlfn._xlws.FILTER(SR[bydgoszcz_SR_Dscore],SR[Category]="junior"),_xlfn._xlws.FILTER(SR[zabrze_SR_Dscore],SR[Category]="junior"),_xlfn._xlws.FILTER(SR[cracow_SR_Dscore],SR[Category]="junior"),_xlfn._xlws.FILTER(SR[gdansk_SR_Dscore],SR[Category]="junior"))</f>
        <v>3.9</v>
      </c>
      <c r="AE8" s="43" t="s">
        <v>59</v>
      </c>
      <c r="AF8" s="43" t="s">
        <v>60</v>
      </c>
      <c r="AG8" s="43" t="s">
        <v>62</v>
      </c>
      <c r="AH8">
        <v>3</v>
      </c>
      <c r="AI8" t="s">
        <v>330</v>
      </c>
      <c r="AJ8" s="43" t="s">
        <v>308</v>
      </c>
      <c r="AK8">
        <v>4.0999999999999996</v>
      </c>
    </row>
    <row r="9" spans="1:37" x14ac:dyDescent="0.25">
      <c r="A9" t="s">
        <v>82</v>
      </c>
      <c r="B9" s="2" t="s">
        <v>60</v>
      </c>
      <c r="C9" s="2" t="s">
        <v>83</v>
      </c>
      <c r="D9" t="s">
        <v>36</v>
      </c>
      <c r="E9" s="9">
        <f>COUNTIF(SR[[#This Row],[bydgoszcz_SR_Total_Score]],"&gt;0")+COUNTIF(SR[[#This Row],[zabrze_SR_Total_Score]],"&gt;0")+COUNTIF(SR[[#This Row],[cracow_SR_Total_Score]],"&gt;0")+COUNTIF(SR[[#This Row],[gdansk_SR_Total_Score]],"&gt;0")</f>
        <v>3</v>
      </c>
      <c r="F9" s="4">
        <v>0</v>
      </c>
      <c r="G9" s="7">
        <v>0</v>
      </c>
      <c r="H9" s="7">
        <v>0</v>
      </c>
      <c r="I9" s="4">
        <v>3.8</v>
      </c>
      <c r="J9" s="7">
        <v>7.5</v>
      </c>
      <c r="K9" s="7">
        <v>11.3</v>
      </c>
      <c r="L9" s="4">
        <v>3.8</v>
      </c>
      <c r="M9" s="7">
        <v>7.7</v>
      </c>
      <c r="N9" s="7">
        <v>11.5</v>
      </c>
      <c r="O9" s="4">
        <v>3.8</v>
      </c>
      <c r="P9" s="7">
        <v>7.9</v>
      </c>
      <c r="Q9" s="7">
        <v>11.7</v>
      </c>
      <c r="R9" s="4">
        <f>LARGE(CHOOSE({1;2;3;4},F9,I9,L9,O9),1)+LARGE(CHOOSE({1;2;3;4},F9,I9,L9,O9),2)+LARGE(CHOOSE({1;2;3;4},F9,I9,L9,O9),3)</f>
        <v>11.399999999999999</v>
      </c>
      <c r="S9" s="7">
        <f>LARGE(CHOOSE({1;2;3;4},G9,J9,M9,P9),1)+LARGE(CHOOSE({1;2;3;4},G9,J9,M9,P9),2)+LARGE(CHOOSE({1;2;3;4},G9,J9,M9,P9),3)</f>
        <v>23.1</v>
      </c>
      <c r="T9" s="7">
        <f>LARGE(CHOOSE({1;2;3;4},H9,K9,N9,Q9),1)+LARGE(CHOOSE({1;2;3;4},H9,K9,N9,Q9),2)+LARGE(CHOOSE({1;2;3;4},H9,K9,N9,Q9),3)</f>
        <v>34.5</v>
      </c>
      <c r="U9" s="4" cm="1">
        <f t="array" ref="U9">IF(SR[[#This Row],[Number_of_competition]:[Number_of_competition]]&gt;=3,(LARGE(CHOOSE({1;2;3;4},F9,I9,L9,O9),1)+LARGE(CHOOSE({1;2;3;4},F9,I9,L9,O9),2)+LARGE(CHOOSE({1;2;3;4},F9,I9,L9,O9),3))/3,0)</f>
        <v>3.7999999999999994</v>
      </c>
      <c r="V9" s="7" cm="1">
        <f t="array" ref="V9">IF(SR[[#This Row],[Number_of_competition]:[Number_of_competition]]&gt;=3,(LARGE(CHOOSE({1;2;3;4},G9,J9,M9,P9),1)+LARGE(CHOOSE({1;2;3;4},G9,J9,M9,P9),2)+LARGE(CHOOSE({1;2;3;4},G9,J9,M9,P9),3))/3,0)</f>
        <v>7.7</v>
      </c>
      <c r="W9" s="7" cm="1">
        <f t="array" ref="W9">IF(SR[[#This Row],[Number_of_competition]:[Number_of_competition]]&gt;=3,(LARGE(CHOOSE({1;2;3;4},H9,K9,N9,Q9),1)+LARGE(CHOOSE({1;2;3;4},H9,K9,N9,Q9),2)+LARGE(CHOOSE({1;2;3;4},H9,K9,N9,Q9),3))/3,0)</f>
        <v>11.5</v>
      </c>
      <c r="Y9" s="40"/>
      <c r="Z9" s="20" t="s">
        <v>267</v>
      </c>
      <c r="AA9" s="22" cm="1">
        <f t="array" ref="AA9">SUM(_xlfn._xlws.FILTER(SR[bydgoszcz_SR_Escore],SR[Category]="junior"),_xlfn._xlws.FILTER(SR[zabrze_SR_Escore],SR[Category]="junior"),_xlfn._xlws.FILTER(SR[cracow_SR_Escore],SR[Category]="junior"),_xlfn._xlws.FILTER(SR[gdansk_SR_Escore],SR[Category]="junior"))/(COUNTIFS(SR[bydgoszcz_SR_Escore],"&gt;0",SR[Category],"junior")+COUNTIFS(SR[zabrze_SR_Escore],"&gt;0",SR[Category],"junior")+COUNTIFS(SR[cracow_SR_Escore],"&gt;0",SR[Category],"junior")+COUNTIFS(SR[gdansk_SR_Escore],"&gt;0",SR[Category],"junior"))</f>
        <v>7.4880000000000004</v>
      </c>
      <c r="AB9" s="22" cm="1">
        <f t="array" ref="AB9">_xlfn.STDEV.S(_xlfn._xlws.FILTER(SR[bydgoszcz_SR_Escore],(SR[Category]="junior")*(SR[bydgoszcz_SR_Escore])&gt;0),_xlfn._xlws.FILTER(SR[zabrze_SR_Escore],(SR[Category]="junior")*(SR[zabrze_SR_Escore])&gt;0),_xlfn._xlws.FILTER(SR[cracow_SR_Escore],(SR[Category]="junior")*(SR[cracow_SR_Escore])&gt;0),_xlfn._xlws.FILTER(SR[gdansk_SR_Escore],(SR[Category]="junior")*(SR[gdansk_SR_Escore])&gt;0))</f>
        <v>0.94548119699840694</v>
      </c>
      <c r="AC9" s="22" cm="1">
        <f t="array" ref="AC9">MAX(_xlfn._xlws.FILTER(SR[bydgoszcz_SR_Escore],SR[Category]="junior"),_xlfn._xlws.FILTER(SR[zabrze_SR_Escore],SR[Category]="junior"),_xlfn._xlws.FILTER(SR[cracow_SR_Escore],SR[Category]="junior"),_xlfn._xlws.FILTER(SR[gdansk_SR_Escore],SR[Category]="junior"))</f>
        <v>9</v>
      </c>
      <c r="AE9" s="43" t="s">
        <v>59</v>
      </c>
      <c r="AF9" s="43" t="s">
        <v>60</v>
      </c>
      <c r="AG9" s="43" t="s">
        <v>62</v>
      </c>
      <c r="AH9">
        <v>3</v>
      </c>
      <c r="AI9" t="s">
        <v>330</v>
      </c>
      <c r="AJ9" s="43" t="s">
        <v>309</v>
      </c>
      <c r="AK9">
        <v>8.1</v>
      </c>
    </row>
    <row r="10" spans="1:37" x14ac:dyDescent="0.25">
      <c r="A10" t="s">
        <v>25</v>
      </c>
      <c r="B10" s="2" t="s">
        <v>26</v>
      </c>
      <c r="C10" s="2" t="s">
        <v>27</v>
      </c>
      <c r="D10" t="s">
        <v>28</v>
      </c>
      <c r="E10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10" s="4">
        <v>2.8</v>
      </c>
      <c r="G10" s="7">
        <v>8.85</v>
      </c>
      <c r="H10" s="7">
        <v>11.65</v>
      </c>
      <c r="I10" s="4">
        <v>2.6</v>
      </c>
      <c r="J10" s="7">
        <v>8.1999999999999993</v>
      </c>
      <c r="K10" s="7">
        <v>10.8</v>
      </c>
      <c r="L10" s="4">
        <v>2.8</v>
      </c>
      <c r="M10" s="7">
        <v>8.4</v>
      </c>
      <c r="N10" s="7">
        <v>11.2</v>
      </c>
      <c r="O10" s="4">
        <v>2.8</v>
      </c>
      <c r="P10" s="7">
        <v>8.4</v>
      </c>
      <c r="Q10" s="7">
        <v>11.2</v>
      </c>
      <c r="R10" s="4">
        <f>LARGE(CHOOSE({1;2;3;4},F10,I10,L10,O10),1)+LARGE(CHOOSE({1;2;3;4},F10,I10,L10,O10),2)+LARGE(CHOOSE({1;2;3;4},F10,I10,L10,O10),3)</f>
        <v>8.3999999999999986</v>
      </c>
      <c r="S10" s="7">
        <f>LARGE(CHOOSE({1;2;3;4},G10,J10,M10,P10),1)+LARGE(CHOOSE({1;2;3;4},G10,J10,M10,P10),2)+LARGE(CHOOSE({1;2;3;4},G10,J10,M10,P10),3)</f>
        <v>25.65</v>
      </c>
      <c r="T10" s="7">
        <f>LARGE(CHOOSE({1;2;3;4},H10,K10,N10,Q10),1)+LARGE(CHOOSE({1;2;3;4},H10,K10,N10,Q10),2)+LARGE(CHOOSE({1;2;3;4},H10,K10,N10,Q10),3)</f>
        <v>34.049999999999997</v>
      </c>
      <c r="U10" s="4" cm="1">
        <f t="array" ref="U10">IF(SR[[#This Row],[Number_of_competition]:[Number_of_competition]]&gt;=3,(LARGE(CHOOSE({1;2;3;4},F10,I10,L10,O10),1)+LARGE(CHOOSE({1;2;3;4},F10,I10,L10,O10),2)+LARGE(CHOOSE({1;2;3;4},F10,I10,L10,O10),3))/3,0)</f>
        <v>2.7999999999999994</v>
      </c>
      <c r="V10" s="7" cm="1">
        <f t="array" ref="V10">IF(SR[[#This Row],[Number_of_competition]:[Number_of_competition]]&gt;=3,(LARGE(CHOOSE({1;2;3;4},G10,J10,M10,P10),1)+LARGE(CHOOSE({1;2;3;4},G10,J10,M10,P10),2)+LARGE(CHOOSE({1;2;3;4},G10,J10,M10,P10),3))/3,0)</f>
        <v>8.5499999999999989</v>
      </c>
      <c r="W10" s="7" cm="1">
        <f t="array" ref="W10">IF(SR[[#This Row],[Number_of_competition]:[Number_of_competition]]&gt;=3,(LARGE(CHOOSE({1;2;3;4},H10,K10,N10,Q10),1)+LARGE(CHOOSE({1;2;3;4},H10,K10,N10,Q10),2)+LARGE(CHOOSE({1;2;3;4},H10,K10,N10,Q10),3))/3,0)</f>
        <v>11.35</v>
      </c>
      <c r="Y10" s="40"/>
      <c r="Z10" s="20" t="s">
        <v>268</v>
      </c>
      <c r="AA10" s="22" cm="1">
        <f t="array" ref="AA10">SUM(_xlfn._xlws.FILTER(SR[bydgoszcz_SR_Total_Score],SR[Category]="junior"),_xlfn._xlws.FILTER(SR[zabrze_SR_Total_Score],SR[Category]="junior"),_xlfn._xlws.FILTER(SR[cracow_SR_Total_Score],SR[Category]="junior"),_xlfn._xlws.FILTER(SR[gdansk_SR_Total_Score],SR[Category]="junior"))/(COUNTIFS(SR[bydgoszcz_SR_Total_Score],"&gt;0",SR[Category],"junior")+COUNTIFS(SR[zabrze_SR_Total_Score],"&gt;0",SR[Category],"junior")+COUNTIFS(SR[cracow_SR_Total_Score],"&gt;0",SR[Category],"junior")+COUNTIFS(SR[gdansk_SR_Total_Score],"&gt;0",SR[Category],"junior"))</f>
        <v>10.119999999999999</v>
      </c>
      <c r="AB10" s="22" cm="1">
        <f t="array" ref="AB10">_xlfn.STDEV.S(_xlfn._xlws.FILTER(SR[bydgoszcz_SR_Total_Score],(SR[Category]="junior")*(SR[bydgoszcz_SR_Total_Score])&gt;0),_xlfn._xlws.FILTER(SR[zabrze_SR_Total_Score],(SR[Category]="junior")*(SR[zabrze_SR_Total_Score])&gt;0),_xlfn._xlws.FILTER(SR[cracow_SR_Total_Score],(SR[Category]="junior")*(SR[cracow_SR_Total_Score])&gt;0),_xlfn._xlws.FILTER(SR[gdansk_SR_Total_Score],(SR[Category]="junior")*(SR[gdansk_SR_Total_Score])&gt;0))</f>
        <v>1.2946514778038192</v>
      </c>
      <c r="AC10" s="22" cm="1">
        <f t="array" ref="AC10">MAX(_xlfn._xlws.FILTER(SR[bydgoszcz_SR_Total_Score],SR[Category]="junior"),_xlfn._xlws.FILTER(SR[zabrze_SR_Total_Score],SR[Category]="junior"),_xlfn._xlws.FILTER(SR[cracow_SR_Total_Score],SR[Category]="junior"),_xlfn._xlws.FILTER(SR[gdansk_SR_Total_Score],SR[Category]="junior"))</f>
        <v>12.2</v>
      </c>
      <c r="AE10" s="43" t="s">
        <v>59</v>
      </c>
      <c r="AF10" s="43" t="s">
        <v>60</v>
      </c>
      <c r="AG10" s="43" t="s">
        <v>62</v>
      </c>
      <c r="AH10">
        <v>3</v>
      </c>
      <c r="AI10" t="s">
        <v>330</v>
      </c>
      <c r="AJ10" s="43" t="s">
        <v>268</v>
      </c>
      <c r="AK10">
        <v>12.2</v>
      </c>
    </row>
    <row r="11" spans="1:37" x14ac:dyDescent="0.25">
      <c r="A11" t="s">
        <v>32</v>
      </c>
      <c r="B11" s="2" t="s">
        <v>26</v>
      </c>
      <c r="C11" s="2" t="s">
        <v>33</v>
      </c>
      <c r="D11" t="s">
        <v>31</v>
      </c>
      <c r="E11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11" s="4">
        <v>3.3</v>
      </c>
      <c r="G11" s="7">
        <v>7.1</v>
      </c>
      <c r="H11" s="7">
        <v>10.4</v>
      </c>
      <c r="I11" s="4">
        <v>3.2</v>
      </c>
      <c r="J11" s="7">
        <v>9</v>
      </c>
      <c r="K11" s="7">
        <v>12.2</v>
      </c>
      <c r="L11" s="4">
        <v>3.3</v>
      </c>
      <c r="M11" s="7">
        <v>6.95</v>
      </c>
      <c r="N11" s="7">
        <v>10.25</v>
      </c>
      <c r="O11" s="4">
        <v>3.3</v>
      </c>
      <c r="P11" s="7">
        <v>7.9</v>
      </c>
      <c r="Q11" s="7">
        <v>11.2</v>
      </c>
      <c r="R11" s="4">
        <f>LARGE(CHOOSE({1;2;3;4},F11,I11,L11,O11),1)+LARGE(CHOOSE({1;2;3;4},F11,I11,L11,O11),2)+LARGE(CHOOSE({1;2;3;4},F11,I11,L11,O11),3)</f>
        <v>9.8999999999999986</v>
      </c>
      <c r="S11" s="7">
        <f>LARGE(CHOOSE({1;2;3;4},G11,J11,M11,P11),1)+LARGE(CHOOSE({1;2;3;4},G11,J11,M11,P11),2)+LARGE(CHOOSE({1;2;3;4},G11,J11,M11,P11),3)</f>
        <v>24</v>
      </c>
      <c r="T11" s="7">
        <f>LARGE(CHOOSE({1;2;3;4},H11,K11,N11,Q11),1)+LARGE(CHOOSE({1;2;3;4},H11,K11,N11,Q11),2)+LARGE(CHOOSE({1;2;3;4},H11,K11,N11,Q11),3)</f>
        <v>33.799999999999997</v>
      </c>
      <c r="U11" s="4" cm="1">
        <f t="array" ref="U11">IF(SR[[#This Row],[Number_of_competition]:[Number_of_competition]]&gt;=3,(LARGE(CHOOSE({1;2;3;4},F11,I11,L11,O11),1)+LARGE(CHOOSE({1;2;3;4},F11,I11,L11,O11),2)+LARGE(CHOOSE({1;2;3;4},F11,I11,L11,O11),3))/3,0)</f>
        <v>3.2999999999999994</v>
      </c>
      <c r="V11" s="7" cm="1">
        <f t="array" ref="V11">IF(SR[[#This Row],[Number_of_competition]:[Number_of_competition]]&gt;=3,(LARGE(CHOOSE({1;2;3;4},G11,J11,M11,P11),1)+LARGE(CHOOSE({1;2;3;4},G11,J11,M11,P11),2)+LARGE(CHOOSE({1;2;3;4},G11,J11,M11,P11),3))/3,0)</f>
        <v>8</v>
      </c>
      <c r="W11" s="7" cm="1">
        <f t="array" ref="W11">IF(SR[[#This Row],[Number_of_competition]:[Number_of_competition]]&gt;=3,(LARGE(CHOOSE({1;2;3;4},H11,K11,N11,Q11),1)+LARGE(CHOOSE({1;2;3;4},H11,K11,N11,Q11),2)+LARGE(CHOOSE({1;2;3;4},H11,K11,N11,Q11),3))/3,0)</f>
        <v>11.266666666666666</v>
      </c>
      <c r="Y11" s="40"/>
      <c r="Z11" s="20" t="s">
        <v>275</v>
      </c>
      <c r="AA11" s="21" cm="1">
        <f t="array" ref="AA11">SUM(_xlfn._xlws.FILTER(SR[Year_Dscore],(SR[Category]="junior")*(SR[Number_of_competition]&gt;=3))/COUNTIFS(SR[Number_of_competition],"&gt;=3",SR[Category],"junior"))</f>
        <v>8.2100000000000009</v>
      </c>
      <c r="AB11" s="21" cm="1">
        <f t="array" ref="AB11">_xlfn.STDEV.S(_xlfn._xlws.FILTER(SR[Year_Dscore],(SR[Category]="junior")*(SR[Number_of_competition]&gt;=3)))</f>
        <v>1.7342625714310571</v>
      </c>
      <c r="AC11" s="21" cm="1">
        <f t="array" ref="AC11">MAX(_xlfn._xlws.FILTER(SR[Year_Dscore],SR[Category]="junior"))</f>
        <v>11.2</v>
      </c>
      <c r="AE11" s="43" t="s">
        <v>59</v>
      </c>
      <c r="AF11" s="43" t="s">
        <v>60</v>
      </c>
      <c r="AG11" s="43" t="s">
        <v>62</v>
      </c>
      <c r="AH11">
        <v>3</v>
      </c>
      <c r="AI11" t="s">
        <v>331</v>
      </c>
      <c r="AJ11" s="43" t="s">
        <v>308</v>
      </c>
      <c r="AK11">
        <v>2.8</v>
      </c>
    </row>
    <row r="12" spans="1:37" x14ac:dyDescent="0.25">
      <c r="A12" t="s">
        <v>40</v>
      </c>
      <c r="B12" s="2" t="s">
        <v>26</v>
      </c>
      <c r="C12" s="2" t="s">
        <v>41</v>
      </c>
      <c r="D12" t="s">
        <v>39</v>
      </c>
      <c r="E12" s="9">
        <f>COUNTIF(SR[[#This Row],[bydgoszcz_SR_Total_Score]],"&gt;0")+COUNTIF(SR[[#This Row],[zabrze_SR_Total_Score]],"&gt;0")+COUNTIF(SR[[#This Row],[cracow_SR_Total_Score]],"&gt;0")+COUNTIF(SR[[#This Row],[gdansk_SR_Total_Score]],"&gt;0")</f>
        <v>3</v>
      </c>
      <c r="F12" s="4">
        <v>0</v>
      </c>
      <c r="G12" s="7">
        <v>0</v>
      </c>
      <c r="H12" s="7">
        <v>0</v>
      </c>
      <c r="I12" s="4">
        <v>3.4</v>
      </c>
      <c r="J12" s="7">
        <v>8.1999999999999993</v>
      </c>
      <c r="K12" s="7">
        <v>11.6</v>
      </c>
      <c r="L12" s="4">
        <v>3.4</v>
      </c>
      <c r="M12" s="7">
        <v>7.9</v>
      </c>
      <c r="N12" s="7">
        <v>11.3</v>
      </c>
      <c r="O12" s="4">
        <v>3.4</v>
      </c>
      <c r="P12" s="7">
        <v>6</v>
      </c>
      <c r="Q12" s="7">
        <v>9.4</v>
      </c>
      <c r="R12" s="4">
        <f>LARGE(CHOOSE({1;2;3;4},F12,I12,L12,O12),1)+LARGE(CHOOSE({1;2;3;4},F12,I12,L12,O12),2)+LARGE(CHOOSE({1;2;3;4},F12,I12,L12,O12),3)</f>
        <v>10.199999999999999</v>
      </c>
      <c r="S12" s="7">
        <f>LARGE(CHOOSE({1;2;3;4},G12,J12,M12,P12),1)+LARGE(CHOOSE({1;2;3;4},G12,J12,M12,P12),2)+LARGE(CHOOSE({1;2;3;4},G12,J12,M12,P12),3)</f>
        <v>22.1</v>
      </c>
      <c r="T12" s="7">
        <f>LARGE(CHOOSE({1;2;3;4},H12,K12,N12,Q12),1)+LARGE(CHOOSE({1;2;3;4},H12,K12,N12,Q12),2)+LARGE(CHOOSE({1;2;3;4},H12,K12,N12,Q12),3)</f>
        <v>32.299999999999997</v>
      </c>
      <c r="U12" s="4" cm="1">
        <f t="array" ref="U12">IF(SR[[#This Row],[Number_of_competition]:[Number_of_competition]]&gt;=3,(LARGE(CHOOSE({1;2;3;4},F12,I12,L12,O12),1)+LARGE(CHOOSE({1;2;3;4},F12,I12,L12,O12),2)+LARGE(CHOOSE({1;2;3;4},F12,I12,L12,O12),3))/3,0)</f>
        <v>3.4</v>
      </c>
      <c r="V12" s="7" cm="1">
        <f t="array" ref="V12">IF(SR[[#This Row],[Number_of_competition]:[Number_of_competition]]&gt;=3,(LARGE(CHOOSE({1;2;3;4},G12,J12,M12,P12),1)+LARGE(CHOOSE({1;2;3;4},G12,J12,M12,P12),2)+LARGE(CHOOSE({1;2;3;4},G12,J12,M12,P12),3))/3,0)</f>
        <v>7.3666666666666671</v>
      </c>
      <c r="W12" s="7" cm="1">
        <f t="array" ref="W12">IF(SR[[#This Row],[Number_of_competition]:[Number_of_competition]]&gt;=3,(LARGE(CHOOSE({1;2;3;4},H12,K12,N12,Q12),1)+LARGE(CHOOSE({1;2;3;4},H12,K12,N12,Q12),2)+LARGE(CHOOSE({1;2;3;4},H12,K12,N12,Q12),3))/3,0)</f>
        <v>10.766666666666666</v>
      </c>
      <c r="Y12" s="40"/>
      <c r="Z12" s="20" t="s">
        <v>276</v>
      </c>
      <c r="AA12" s="22" cm="1">
        <f t="array" ref="AA12">SUM(_xlfn._xlws.FILTER(SR[Year_Escore],(SR[Category]="junior")*(SR[Number_of_competition]&gt;=3))/COUNTIFS(SR[Number_of_competition],"&gt;=3",SR[Category],"junior"))</f>
        <v>23.279999999999998</v>
      </c>
      <c r="AB12" s="22" cm="1">
        <f t="array" ref="AB12">_xlfn.STDEV.S(_xlfn._xlws.FILTER(SR[Year_Escore],(SR[Category]="junior")*(SR[Number_of_competition]&gt;=3)))</f>
        <v>1.302390963659616</v>
      </c>
      <c r="AC12" s="22" cm="1">
        <f t="array" ref="AC12">MAX(_xlfn._xlws.FILTER(SR[Year_Escore],SR[Category]="junior"))</f>
        <v>25.65</v>
      </c>
      <c r="AE12" s="43" t="s">
        <v>59</v>
      </c>
      <c r="AF12" s="43" t="s">
        <v>60</v>
      </c>
      <c r="AG12" s="43" t="s">
        <v>62</v>
      </c>
      <c r="AH12">
        <v>3</v>
      </c>
      <c r="AI12" t="s">
        <v>331</v>
      </c>
      <c r="AJ12" s="43" t="s">
        <v>309</v>
      </c>
      <c r="AK12">
        <v>9.1999999999999993</v>
      </c>
    </row>
    <row r="13" spans="1:37" x14ac:dyDescent="0.25">
      <c r="A13" t="s">
        <v>84</v>
      </c>
      <c r="B13" s="2" t="s">
        <v>60</v>
      </c>
      <c r="C13" s="2" t="s">
        <v>85</v>
      </c>
      <c r="D13" t="s">
        <v>39</v>
      </c>
      <c r="E13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13" s="4">
        <v>3.6</v>
      </c>
      <c r="G13" s="7">
        <v>7.5</v>
      </c>
      <c r="H13" s="7">
        <v>11.1</v>
      </c>
      <c r="I13" s="4">
        <v>3.4</v>
      </c>
      <c r="J13" s="7">
        <v>7.3</v>
      </c>
      <c r="K13" s="7">
        <v>10.7</v>
      </c>
      <c r="L13" s="4">
        <v>2.9</v>
      </c>
      <c r="M13" s="7">
        <v>6.15</v>
      </c>
      <c r="N13" s="7">
        <v>9.0500000000000007</v>
      </c>
      <c r="O13" s="4">
        <v>3.1</v>
      </c>
      <c r="P13" s="7">
        <v>7.3</v>
      </c>
      <c r="Q13" s="7">
        <v>10.4</v>
      </c>
      <c r="R13" s="4">
        <f>LARGE(CHOOSE({1;2;3;4},F13,I13,L13,O13),1)+LARGE(CHOOSE({1;2;3;4},F13,I13,L13,O13),2)+LARGE(CHOOSE({1;2;3;4},F13,I13,L13,O13),3)</f>
        <v>10.1</v>
      </c>
      <c r="S13" s="7">
        <f>LARGE(CHOOSE({1;2;3;4},G13,J13,M13,P13),1)+LARGE(CHOOSE({1;2;3;4},G13,J13,M13,P13),2)+LARGE(CHOOSE({1;2;3;4},G13,J13,M13,P13),3)</f>
        <v>22.1</v>
      </c>
      <c r="T13" s="7">
        <f>LARGE(CHOOSE({1;2;3;4},H13,K13,N13,Q13),1)+LARGE(CHOOSE({1;2;3;4},H13,K13,N13,Q13),2)+LARGE(CHOOSE({1;2;3;4},H13,K13,N13,Q13),3)</f>
        <v>32.199999999999996</v>
      </c>
      <c r="U13" s="4" cm="1">
        <f t="array" ref="U13">IF(SR[[#This Row],[Number_of_competition]:[Number_of_competition]]&gt;=3,(LARGE(CHOOSE({1;2;3;4},F13,I13,L13,O13),1)+LARGE(CHOOSE({1;2;3;4},F13,I13,L13,O13),2)+LARGE(CHOOSE({1;2;3;4},F13,I13,L13,O13),3))/3,0)</f>
        <v>3.3666666666666667</v>
      </c>
      <c r="V13" s="7" cm="1">
        <f t="array" ref="V13">IF(SR[[#This Row],[Number_of_competition]:[Number_of_competition]]&gt;=3,(LARGE(CHOOSE({1;2;3;4},G13,J13,M13,P13),1)+LARGE(CHOOSE({1;2;3;4},G13,J13,M13,P13),2)+LARGE(CHOOSE({1;2;3;4},G13,J13,M13,P13),3))/3,0)</f>
        <v>7.3666666666666671</v>
      </c>
      <c r="W13" s="7" cm="1">
        <f t="array" ref="W13">IF(SR[[#This Row],[Number_of_competition]:[Number_of_competition]]&gt;=3,(LARGE(CHOOSE({1;2;3;4},H13,K13,N13,Q13),1)+LARGE(CHOOSE({1;2;3;4},H13,K13,N13,Q13),2)+LARGE(CHOOSE({1;2;3;4},H13,K13,N13,Q13),3))/3,0)</f>
        <v>10.733333333333333</v>
      </c>
      <c r="Y13" s="41"/>
      <c r="Z13" s="20" t="s">
        <v>277</v>
      </c>
      <c r="AA13" s="22" cm="1">
        <f t="array" ref="AA13">SUM(_xlfn._xlws.FILTER(SR[Year_Total_Score],(SR[Category]="junior")*(SR[Number_of_competition]&gt;=3))/COUNTIFS(SR[Number_of_competition],"&gt;=3",SR[Category],"junior"))</f>
        <v>31.395</v>
      </c>
      <c r="AB13" s="22" cm="1">
        <f t="array" ref="AB13">_xlfn.STDEV.S(_xlfn._xlws.FILTER(SR[Year_Total_Score],(SR[Category]="junior")*(SR[Number_of_competition]&gt;=3)))</f>
        <v>2.4399965846970626</v>
      </c>
      <c r="AC13" s="22" cm="1">
        <f t="array" ref="AC13">MAX(_xlfn._xlws.FILTER(SR[Year_Total_Score],SR[Category]="junior"))</f>
        <v>34.549999999999997</v>
      </c>
      <c r="AE13" s="43" t="s">
        <v>59</v>
      </c>
      <c r="AF13" s="43" t="s">
        <v>60</v>
      </c>
      <c r="AG13" s="43" t="s">
        <v>62</v>
      </c>
      <c r="AH13">
        <v>3</v>
      </c>
      <c r="AI13" t="s">
        <v>331</v>
      </c>
      <c r="AJ13" s="43" t="s">
        <v>268</v>
      </c>
      <c r="AK13">
        <v>12</v>
      </c>
    </row>
    <row r="14" spans="1:37" x14ac:dyDescent="0.25">
      <c r="A14" t="s">
        <v>29</v>
      </c>
      <c r="B14" s="2" t="s">
        <v>26</v>
      </c>
      <c r="C14" s="2" t="s">
        <v>30</v>
      </c>
      <c r="D14" t="s">
        <v>31</v>
      </c>
      <c r="E14" s="9">
        <f>COUNTIF(SR[[#This Row],[bydgoszcz_SR_Total_Score]],"&gt;0")+COUNTIF(SR[[#This Row],[zabrze_SR_Total_Score]],"&gt;0")+COUNTIF(SR[[#This Row],[cracow_SR_Total_Score]],"&gt;0")+COUNTIF(SR[[#This Row],[gdansk_SR_Total_Score]],"&gt;0")</f>
        <v>3</v>
      </c>
      <c r="F14" s="4">
        <v>2.6</v>
      </c>
      <c r="G14" s="7">
        <v>6.9</v>
      </c>
      <c r="H14" s="7">
        <v>9.5</v>
      </c>
      <c r="I14" s="4">
        <v>2.9</v>
      </c>
      <c r="J14" s="7">
        <v>8.1</v>
      </c>
      <c r="K14" s="7">
        <v>11</v>
      </c>
      <c r="L14" s="4">
        <v>0</v>
      </c>
      <c r="M14" s="7">
        <v>0</v>
      </c>
      <c r="N14" s="7">
        <v>0</v>
      </c>
      <c r="O14" s="4">
        <v>2.2999999999999998</v>
      </c>
      <c r="P14" s="7">
        <v>8.6</v>
      </c>
      <c r="Q14" s="7">
        <v>10.9</v>
      </c>
      <c r="R14" s="4">
        <f>LARGE(CHOOSE({1;2;3;4},F14,I14,L14,O14),1)+LARGE(CHOOSE({1;2;3;4},F14,I14,L14,O14),2)+LARGE(CHOOSE({1;2;3;4},F14,I14,L14,O14),3)</f>
        <v>7.8</v>
      </c>
      <c r="S14" s="7">
        <f>LARGE(CHOOSE({1;2;3;4},G14,J14,M14,P14),1)+LARGE(CHOOSE({1;2;3;4},G14,J14,M14,P14),2)+LARGE(CHOOSE({1;2;3;4},G14,J14,M14,P14),3)</f>
        <v>23.6</v>
      </c>
      <c r="T14" s="7">
        <f>LARGE(CHOOSE({1;2;3;4},H14,K14,N14,Q14),1)+LARGE(CHOOSE({1;2;3;4},H14,K14,N14,Q14),2)+LARGE(CHOOSE({1;2;3;4},H14,K14,N14,Q14),3)</f>
        <v>31.4</v>
      </c>
      <c r="U14" s="4" cm="1">
        <f t="array" ref="U14">IF(SR[[#This Row],[Number_of_competition]:[Number_of_competition]]&gt;=3,(LARGE(CHOOSE({1;2;3;4},F14,I14,L14,O14),1)+LARGE(CHOOSE({1;2;3;4},F14,I14,L14,O14),2)+LARGE(CHOOSE({1;2;3;4},F14,I14,L14,O14),3))/3,0)</f>
        <v>2.6</v>
      </c>
      <c r="V14" s="7" cm="1">
        <f t="array" ref="V14">IF(SR[[#This Row],[Number_of_competition]:[Number_of_competition]]&gt;=3,(LARGE(CHOOSE({1;2;3;4},G14,J14,M14,P14),1)+LARGE(CHOOSE({1;2;3;4},G14,J14,M14,P14),2)+LARGE(CHOOSE({1;2;3;4},G14,J14,M14,P14),3))/3,0)</f>
        <v>7.8666666666666671</v>
      </c>
      <c r="W14" s="7" cm="1">
        <f t="array" ref="W14">IF(SR[[#This Row],[Number_of_competition]:[Number_of_competition]]&gt;=3,(LARGE(CHOOSE({1;2;3;4},H14,K14,N14,Q14),1)+LARGE(CHOOSE({1;2;3;4},H14,K14,N14,Q14),2)+LARGE(CHOOSE({1;2;3;4},H14,K14,N14,Q14),3))/3,0)</f>
        <v>10.466666666666667</v>
      </c>
      <c r="AE14" s="43" t="s">
        <v>59</v>
      </c>
      <c r="AF14" s="43" t="s">
        <v>60</v>
      </c>
      <c r="AG14" s="43" t="s">
        <v>62</v>
      </c>
      <c r="AH14">
        <v>3</v>
      </c>
      <c r="AI14" t="s">
        <v>341</v>
      </c>
      <c r="AJ14" s="43" t="s">
        <v>308</v>
      </c>
      <c r="AK14">
        <v>11</v>
      </c>
    </row>
    <row r="15" spans="1:37" x14ac:dyDescent="0.25">
      <c r="A15" t="s">
        <v>73</v>
      </c>
      <c r="B15" s="2" t="s">
        <v>60</v>
      </c>
      <c r="C15" s="2" t="s">
        <v>74</v>
      </c>
      <c r="D15" t="s">
        <v>62</v>
      </c>
      <c r="E15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15" s="4">
        <v>2.7</v>
      </c>
      <c r="G15" s="7">
        <v>7.7</v>
      </c>
      <c r="H15" s="7">
        <v>10.4</v>
      </c>
      <c r="I15" s="4">
        <v>2.5</v>
      </c>
      <c r="J15" s="7">
        <v>8.15</v>
      </c>
      <c r="K15" s="7">
        <v>10.65</v>
      </c>
      <c r="L15" s="4">
        <v>2.8</v>
      </c>
      <c r="M15" s="7">
        <v>7.1</v>
      </c>
      <c r="N15" s="7">
        <v>9.9</v>
      </c>
      <c r="O15" s="4">
        <v>2.7</v>
      </c>
      <c r="P15" s="7">
        <v>7.4</v>
      </c>
      <c r="Q15" s="7">
        <v>10.1</v>
      </c>
      <c r="R15" s="4">
        <f>LARGE(CHOOSE({1;2;3;4},F15,I15,L15,O15),1)+LARGE(CHOOSE({1;2;3;4},F15,I15,L15,O15),2)+LARGE(CHOOSE({1;2;3;4},F15,I15,L15,O15),3)</f>
        <v>8.1999999999999993</v>
      </c>
      <c r="S15" s="7">
        <f>LARGE(CHOOSE({1;2;3;4},G15,J15,M15,P15),1)+LARGE(CHOOSE({1;2;3;4},G15,J15,M15,P15),2)+LARGE(CHOOSE({1;2;3;4},G15,J15,M15,P15),3)</f>
        <v>23.25</v>
      </c>
      <c r="T15" s="7">
        <f>LARGE(CHOOSE({1;2;3;4},H15,K15,N15,Q15),1)+LARGE(CHOOSE({1;2;3;4},H15,K15,N15,Q15),2)+LARGE(CHOOSE({1;2;3;4},H15,K15,N15,Q15),3)</f>
        <v>31.15</v>
      </c>
      <c r="U15" s="4" cm="1">
        <f t="array" ref="U15">IF(SR[[#This Row],[Number_of_competition]:[Number_of_competition]]&gt;=3,(LARGE(CHOOSE({1;2;3;4},F15,I15,L15,O15),1)+LARGE(CHOOSE({1;2;3;4},F15,I15,L15,O15),2)+LARGE(CHOOSE({1;2;3;4},F15,I15,L15,O15),3))/3,0)</f>
        <v>2.7333333333333329</v>
      </c>
      <c r="V15" s="7" cm="1">
        <f t="array" ref="V15">IF(SR[[#This Row],[Number_of_competition]:[Number_of_competition]]&gt;=3,(LARGE(CHOOSE({1;2;3;4},G15,J15,M15,P15),1)+LARGE(CHOOSE({1;2;3;4},G15,J15,M15,P15),2)+LARGE(CHOOSE({1;2;3;4},G15,J15,M15,P15),3))/3,0)</f>
        <v>7.75</v>
      </c>
      <c r="W15" s="7" cm="1">
        <f t="array" ref="W15">IF(SR[[#This Row],[Number_of_competition]:[Number_of_competition]]&gt;=3,(LARGE(CHOOSE({1;2;3;4},H15,K15,N15,Q15),1)+LARGE(CHOOSE({1;2;3;4},H15,K15,N15,Q15),2)+LARGE(CHOOSE({1;2;3;4},H15,K15,N15,Q15),3))/3,0)</f>
        <v>10.383333333333333</v>
      </c>
      <c r="Y15" s="28" t="s">
        <v>296</v>
      </c>
      <c r="AE15" s="43" t="s">
        <v>59</v>
      </c>
      <c r="AF15" s="43" t="s">
        <v>60</v>
      </c>
      <c r="AG15" s="43" t="s">
        <v>62</v>
      </c>
      <c r="AH15">
        <v>3</v>
      </c>
      <c r="AI15" t="s">
        <v>341</v>
      </c>
      <c r="AJ15" s="43" t="s">
        <v>309</v>
      </c>
      <c r="AK15">
        <v>25.65</v>
      </c>
    </row>
    <row r="16" spans="1:37" x14ac:dyDescent="0.25">
      <c r="A16" t="s">
        <v>42</v>
      </c>
      <c r="B16" s="2" t="s">
        <v>26</v>
      </c>
      <c r="C16" s="2" t="s">
        <v>43</v>
      </c>
      <c r="D16" t="s">
        <v>36</v>
      </c>
      <c r="E16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16" s="4">
        <v>2.4</v>
      </c>
      <c r="G16" s="7">
        <v>7.8</v>
      </c>
      <c r="H16" s="7">
        <v>10.199999999999999</v>
      </c>
      <c r="I16" s="4">
        <v>2.4</v>
      </c>
      <c r="J16" s="7">
        <v>7.9</v>
      </c>
      <c r="K16" s="7">
        <v>10.3</v>
      </c>
      <c r="L16" s="4">
        <v>2.4</v>
      </c>
      <c r="M16" s="7">
        <v>8.0500000000000007</v>
      </c>
      <c r="N16" s="7">
        <v>10.45</v>
      </c>
      <c r="O16" s="4">
        <v>2</v>
      </c>
      <c r="P16" s="7">
        <v>7.9</v>
      </c>
      <c r="Q16" s="7">
        <v>9.9</v>
      </c>
      <c r="R16" s="4">
        <f>LARGE(CHOOSE({1;2;3;4},F16,I16,L16,O16),1)+LARGE(CHOOSE({1;2;3;4},F16,I16,L16,O16),2)+LARGE(CHOOSE({1;2;3;4},F16,I16,L16,O16),3)</f>
        <v>7.1999999999999993</v>
      </c>
      <c r="S16" s="7">
        <f>LARGE(CHOOSE({1;2;3;4},G16,J16,M16,P16),1)+LARGE(CHOOSE({1;2;3;4},G16,J16,M16,P16),2)+LARGE(CHOOSE({1;2;3;4},G16,J16,M16,P16),3)</f>
        <v>23.85</v>
      </c>
      <c r="T16" s="7">
        <f>LARGE(CHOOSE({1;2;3;4},H16,K16,N16,Q16),1)+LARGE(CHOOSE({1;2;3;4},H16,K16,N16,Q16),2)+LARGE(CHOOSE({1;2;3;4},H16,K16,N16,Q16),3)</f>
        <v>30.95</v>
      </c>
      <c r="U16" s="4" cm="1">
        <f t="array" ref="U16">IF(SR[[#This Row],[Number_of_competition]:[Number_of_competition]]&gt;=3,(LARGE(CHOOSE({1;2;3;4},F16,I16,L16,O16),1)+LARGE(CHOOSE({1;2;3;4},F16,I16,L16,O16),2)+LARGE(CHOOSE({1;2;3;4},F16,I16,L16,O16),3))/3,0)</f>
        <v>2.4</v>
      </c>
      <c r="V16" s="7" cm="1">
        <f t="array" ref="V16">IF(SR[[#This Row],[Number_of_competition]:[Number_of_competition]]&gt;=3,(LARGE(CHOOSE({1;2;3;4},G16,J16,M16,P16),1)+LARGE(CHOOSE({1;2;3;4},G16,J16,M16,P16),2)+LARGE(CHOOSE({1;2;3;4},G16,J16,M16,P16),3))/3,0)</f>
        <v>7.95</v>
      </c>
      <c r="W16" s="7" cm="1">
        <f t="array" ref="W16">IF(SR[[#This Row],[Number_of_competition]:[Number_of_competition]]&gt;=3,(LARGE(CHOOSE({1;2;3;4},H16,K16,N16,Q16),1)+LARGE(CHOOSE({1;2;3;4},H16,K16,N16,Q16),2)+LARGE(CHOOSE({1;2;3;4},H16,K16,N16,Q16),3))/3,0)</f>
        <v>10.316666666666666</v>
      </c>
      <c r="Y16" s="29" t="s">
        <v>297</v>
      </c>
      <c r="AE16" s="43" t="s">
        <v>59</v>
      </c>
      <c r="AF16" s="43" t="s">
        <v>60</v>
      </c>
      <c r="AG16" s="43" t="s">
        <v>62</v>
      </c>
      <c r="AH16">
        <v>3</v>
      </c>
      <c r="AI16" t="s">
        <v>341</v>
      </c>
      <c r="AJ16" s="43" t="s">
        <v>268</v>
      </c>
      <c r="AK16">
        <v>36.65</v>
      </c>
    </row>
    <row r="17" spans="1:37" x14ac:dyDescent="0.25">
      <c r="A17" t="s">
        <v>37</v>
      </c>
      <c r="B17" s="2" t="s">
        <v>26</v>
      </c>
      <c r="C17" s="2" t="s">
        <v>38</v>
      </c>
      <c r="D17" t="s">
        <v>39</v>
      </c>
      <c r="E17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17" s="4">
        <v>2.2999999999999998</v>
      </c>
      <c r="G17" s="7">
        <v>7.3</v>
      </c>
      <c r="H17" s="7">
        <v>9.6</v>
      </c>
      <c r="I17" s="4">
        <v>3</v>
      </c>
      <c r="J17" s="7">
        <v>8</v>
      </c>
      <c r="K17" s="7">
        <v>11</v>
      </c>
      <c r="L17" s="4">
        <v>2.2999999999999998</v>
      </c>
      <c r="M17" s="7">
        <v>6.85</v>
      </c>
      <c r="N17" s="7">
        <v>9.15</v>
      </c>
      <c r="O17" s="4">
        <v>2.2999999999999998</v>
      </c>
      <c r="P17" s="7">
        <v>7.8</v>
      </c>
      <c r="Q17" s="7">
        <v>10.1</v>
      </c>
      <c r="R17" s="4">
        <f>LARGE(CHOOSE({1;2;3;4},F17,I17,L17,O17),1)+LARGE(CHOOSE({1;2;3;4},F17,I17,L17,O17),2)+LARGE(CHOOSE({1;2;3;4},F17,I17,L17,O17),3)</f>
        <v>7.6</v>
      </c>
      <c r="S17" s="7">
        <f>LARGE(CHOOSE({1;2;3;4},G17,J17,M17,P17),1)+LARGE(CHOOSE({1;2;3;4},G17,J17,M17,P17),2)+LARGE(CHOOSE({1;2;3;4},G17,J17,M17,P17),3)</f>
        <v>23.1</v>
      </c>
      <c r="T17" s="7">
        <f>LARGE(CHOOSE({1;2;3;4},H17,K17,N17,Q17),1)+LARGE(CHOOSE({1;2;3;4},H17,K17,N17,Q17),2)+LARGE(CHOOSE({1;2;3;4},H17,K17,N17,Q17),3)</f>
        <v>30.700000000000003</v>
      </c>
      <c r="U17" s="4" cm="1">
        <f t="array" ref="U17">IF(SR[[#This Row],[Number_of_competition]:[Number_of_competition]]&gt;=3,(LARGE(CHOOSE({1;2;3;4},F17,I17,L17,O17),1)+LARGE(CHOOSE({1;2;3;4},F17,I17,L17,O17),2)+LARGE(CHOOSE({1;2;3;4},F17,I17,L17,O17),3))/3,0)</f>
        <v>2.5333333333333332</v>
      </c>
      <c r="V17" s="7" cm="1">
        <f t="array" ref="V17">IF(SR[[#This Row],[Number_of_competition]:[Number_of_competition]]&gt;=3,(LARGE(CHOOSE({1;2;3;4},G17,J17,M17,P17),1)+LARGE(CHOOSE({1;2;3;4},G17,J17,M17,P17),2)+LARGE(CHOOSE({1;2;3;4},G17,J17,M17,P17),3))/3,0)</f>
        <v>7.7</v>
      </c>
      <c r="W17" s="7" cm="1">
        <f t="array" ref="W17">IF(SR[[#This Row],[Number_of_competition]:[Number_of_competition]]&gt;=3,(LARGE(CHOOSE({1;2;3;4},H17,K17,N17,Q17),1)+LARGE(CHOOSE({1;2;3;4},H17,K17,N17,Q17),2)+LARGE(CHOOSE({1;2;3;4},H17,K17,N17,Q17),3))/3,0)</f>
        <v>10.233333333333334</v>
      </c>
      <c r="Y17" s="30" t="s">
        <v>298</v>
      </c>
      <c r="AE17" s="43" t="s">
        <v>59</v>
      </c>
      <c r="AF17" s="43" t="s">
        <v>60</v>
      </c>
      <c r="AG17" s="43" t="s">
        <v>62</v>
      </c>
      <c r="AH17">
        <v>3</v>
      </c>
      <c r="AI17" t="s">
        <v>273</v>
      </c>
      <c r="AJ17" s="43" t="s">
        <v>308</v>
      </c>
      <c r="AK17">
        <v>3.6666666666666665</v>
      </c>
    </row>
    <row r="18" spans="1:37" x14ac:dyDescent="0.25">
      <c r="A18" t="s">
        <v>44</v>
      </c>
      <c r="B18" s="2" t="s">
        <v>26</v>
      </c>
      <c r="C18" s="2" t="s">
        <v>45</v>
      </c>
      <c r="D18" t="s">
        <v>39</v>
      </c>
      <c r="E18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18" s="4">
        <v>2.2999999999999998</v>
      </c>
      <c r="G18" s="7">
        <v>7.3</v>
      </c>
      <c r="H18" s="7">
        <v>9.6</v>
      </c>
      <c r="I18" s="4">
        <v>2.1</v>
      </c>
      <c r="J18" s="7">
        <v>8.0500000000000007</v>
      </c>
      <c r="K18" s="7">
        <v>10.15</v>
      </c>
      <c r="L18" s="4">
        <v>2.2999999999999998</v>
      </c>
      <c r="M18" s="7">
        <v>7.9</v>
      </c>
      <c r="N18" s="7">
        <v>10.199999999999999</v>
      </c>
      <c r="O18" s="4">
        <v>2.2999999999999998</v>
      </c>
      <c r="P18" s="7">
        <v>8</v>
      </c>
      <c r="Q18" s="7">
        <v>10.3</v>
      </c>
      <c r="R18" s="4">
        <f>LARGE(CHOOSE({1;2;3;4},F18,I18,L18,O18),1)+LARGE(CHOOSE({1;2;3;4},F18,I18,L18,O18),2)+LARGE(CHOOSE({1;2;3;4},F18,I18,L18,O18),3)</f>
        <v>6.8999999999999995</v>
      </c>
      <c r="S18" s="7">
        <f>LARGE(CHOOSE({1;2;3;4},G18,J18,M18,P18),1)+LARGE(CHOOSE({1;2;3;4},G18,J18,M18,P18),2)+LARGE(CHOOSE({1;2;3;4},G18,J18,M18,P18),3)</f>
        <v>23.950000000000003</v>
      </c>
      <c r="T18" s="7">
        <f>LARGE(CHOOSE({1;2;3;4},H18,K18,N18,Q18),1)+LARGE(CHOOSE({1;2;3;4},H18,K18,N18,Q18),2)+LARGE(CHOOSE({1;2;3;4},H18,K18,N18,Q18),3)</f>
        <v>30.65</v>
      </c>
      <c r="U18" s="4" cm="1">
        <f t="array" ref="U18">IF(SR[[#This Row],[Number_of_competition]:[Number_of_competition]]&gt;=3,(LARGE(CHOOSE({1;2;3;4},F18,I18,L18,O18),1)+LARGE(CHOOSE({1;2;3;4},F18,I18,L18,O18),2)+LARGE(CHOOSE({1;2;3;4},F18,I18,L18,O18),3))/3,0)</f>
        <v>2.2999999999999998</v>
      </c>
      <c r="V18" s="7" cm="1">
        <f t="array" ref="V18">IF(SR[[#This Row],[Number_of_competition]:[Number_of_competition]]&gt;=3,(LARGE(CHOOSE({1;2;3;4},G18,J18,M18,P18),1)+LARGE(CHOOSE({1;2;3;4},G18,J18,M18,P18),2)+LARGE(CHOOSE({1;2;3;4},G18,J18,M18,P18),3))/3,0)</f>
        <v>7.9833333333333343</v>
      </c>
      <c r="W18" s="7" cm="1">
        <f t="array" ref="W18">IF(SR[[#This Row],[Number_of_competition]:[Number_of_competition]]&gt;=3,(LARGE(CHOOSE({1;2;3;4},H18,K18,N18,Q18),1)+LARGE(CHOOSE({1;2;3;4},H18,K18,N18,Q18),2)+LARGE(CHOOSE({1;2;3;4},H18,K18,N18,Q18),3))/3,0)</f>
        <v>10.216666666666667</v>
      </c>
      <c r="Y18" s="31" t="s">
        <v>300</v>
      </c>
      <c r="AE18" s="43" t="s">
        <v>59</v>
      </c>
      <c r="AF18" s="43" t="s">
        <v>60</v>
      </c>
      <c r="AG18" s="43" t="s">
        <v>62</v>
      </c>
      <c r="AH18">
        <v>3</v>
      </c>
      <c r="AI18" t="s">
        <v>273</v>
      </c>
      <c r="AJ18" s="43" t="s">
        <v>309</v>
      </c>
      <c r="AK18">
        <v>8.5499999999999989</v>
      </c>
    </row>
    <row r="19" spans="1:37" x14ac:dyDescent="0.25">
      <c r="A19" t="s">
        <v>48</v>
      </c>
      <c r="B19" s="2" t="s">
        <v>26</v>
      </c>
      <c r="C19" s="2" t="s">
        <v>49</v>
      </c>
      <c r="D19" t="s">
        <v>36</v>
      </c>
      <c r="E19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19" s="4">
        <v>2.4</v>
      </c>
      <c r="G19" s="7">
        <v>7.55</v>
      </c>
      <c r="H19" s="7">
        <v>9.9499999999999993</v>
      </c>
      <c r="I19" s="4">
        <v>2.5</v>
      </c>
      <c r="J19" s="7">
        <v>6.5</v>
      </c>
      <c r="K19" s="7">
        <v>9</v>
      </c>
      <c r="L19" s="4">
        <v>2.5</v>
      </c>
      <c r="M19" s="7">
        <v>6.65</v>
      </c>
      <c r="N19" s="7">
        <v>9.15</v>
      </c>
      <c r="O19" s="4">
        <v>2.2000000000000002</v>
      </c>
      <c r="P19" s="7">
        <v>7.6</v>
      </c>
      <c r="Q19" s="7">
        <v>9.8000000000000007</v>
      </c>
      <c r="R19" s="4">
        <f>LARGE(CHOOSE({1;2;3;4},F19,I19,L19,O19),1)+LARGE(CHOOSE({1;2;3;4},F19,I19,L19,O19),2)+LARGE(CHOOSE({1;2;3;4},F19,I19,L19,O19),3)</f>
        <v>7.4</v>
      </c>
      <c r="S19" s="7">
        <f>LARGE(CHOOSE({1;2;3;4},G19,J19,M19,P19),1)+LARGE(CHOOSE({1;2;3;4},G19,J19,M19,P19),2)+LARGE(CHOOSE({1;2;3;4},G19,J19,M19,P19),3)</f>
        <v>21.799999999999997</v>
      </c>
      <c r="T19" s="7">
        <f>LARGE(CHOOSE({1;2;3;4},H19,K19,N19,Q19),1)+LARGE(CHOOSE({1;2;3;4},H19,K19,N19,Q19),2)+LARGE(CHOOSE({1;2;3;4},H19,K19,N19,Q19),3)</f>
        <v>28.9</v>
      </c>
      <c r="U19" s="4" cm="1">
        <f t="array" ref="U19">IF(SR[[#This Row],[Number_of_competition]:[Number_of_competition]]&gt;=3,(LARGE(CHOOSE({1;2;3;4},F19,I19,L19,O19),1)+LARGE(CHOOSE({1;2;3;4},F19,I19,L19,O19),2)+LARGE(CHOOSE({1;2;3;4},F19,I19,L19,O19),3))/3,0)</f>
        <v>2.4666666666666668</v>
      </c>
      <c r="V19" s="7" cm="1">
        <f t="array" ref="V19">IF(SR[[#This Row],[Number_of_competition]:[Number_of_competition]]&gt;=3,(LARGE(CHOOSE({1;2;3;4},G19,J19,M19,P19),1)+LARGE(CHOOSE({1;2;3;4},G19,J19,M19,P19),2)+LARGE(CHOOSE({1;2;3;4},G19,J19,M19,P19),3))/3,0)</f>
        <v>7.2666666666666657</v>
      </c>
      <c r="W19" s="7" cm="1">
        <f t="array" ref="W19">IF(SR[[#This Row],[Number_of_competition]:[Number_of_competition]]&gt;=3,(LARGE(CHOOSE({1;2;3;4},H19,K19,N19,Q19),1)+LARGE(CHOOSE({1;2;3;4},H19,K19,N19,Q19),2)+LARGE(CHOOSE({1;2;3;4},H19,K19,N19,Q19),3))/3,0)</f>
        <v>9.6333333333333329</v>
      </c>
      <c r="Y19" s="32" t="s">
        <v>299</v>
      </c>
      <c r="AE19" s="43" t="s">
        <v>59</v>
      </c>
      <c r="AF19" s="43" t="s">
        <v>60</v>
      </c>
      <c r="AG19" s="43" t="s">
        <v>62</v>
      </c>
      <c r="AH19">
        <v>3</v>
      </c>
      <c r="AI19" t="s">
        <v>273</v>
      </c>
      <c r="AJ19" s="43" t="s">
        <v>268</v>
      </c>
      <c r="AK19">
        <v>12.216666666666667</v>
      </c>
    </row>
    <row r="20" spans="1:37" x14ac:dyDescent="0.25">
      <c r="A20" t="s">
        <v>46</v>
      </c>
      <c r="B20" s="2" t="s">
        <v>26</v>
      </c>
      <c r="C20" s="2" t="s">
        <v>47</v>
      </c>
      <c r="D20" t="s">
        <v>36</v>
      </c>
      <c r="E20" s="9">
        <f>COUNTIF(SR[[#This Row],[bydgoszcz_SR_Total_Score]],"&gt;0")+COUNTIF(SR[[#This Row],[zabrze_SR_Total_Score]],"&gt;0")+COUNTIF(SR[[#This Row],[cracow_SR_Total_Score]],"&gt;0")+COUNTIF(SR[[#This Row],[gdansk_SR_Total_Score]],"&gt;0")</f>
        <v>3</v>
      </c>
      <c r="F20" s="4">
        <v>0</v>
      </c>
      <c r="G20" s="7">
        <v>0</v>
      </c>
      <c r="H20" s="7">
        <v>0</v>
      </c>
      <c r="I20" s="4">
        <v>1.7</v>
      </c>
      <c r="J20" s="7">
        <v>6.8</v>
      </c>
      <c r="K20" s="7">
        <v>8.5</v>
      </c>
      <c r="L20" s="4">
        <v>2.1</v>
      </c>
      <c r="M20" s="7">
        <v>6.65</v>
      </c>
      <c r="N20" s="7">
        <v>8.75</v>
      </c>
      <c r="O20" s="4">
        <v>1.7</v>
      </c>
      <c r="P20" s="7">
        <v>7.7</v>
      </c>
      <c r="Q20" s="7">
        <v>9.4</v>
      </c>
      <c r="R20" s="4">
        <f>LARGE(CHOOSE({1;2;3;4},F20,I20,L20,O20),1)+LARGE(CHOOSE({1;2;3;4},F20,I20,L20,O20),2)+LARGE(CHOOSE({1;2;3;4},F20,I20,L20,O20),3)</f>
        <v>5.5</v>
      </c>
      <c r="S20" s="7">
        <f>LARGE(CHOOSE({1;2;3;4},G20,J20,M20,P20),1)+LARGE(CHOOSE({1;2;3;4},G20,J20,M20,P20),2)+LARGE(CHOOSE({1;2;3;4},G20,J20,M20,P20),3)</f>
        <v>21.15</v>
      </c>
      <c r="T20" s="7">
        <f>LARGE(CHOOSE({1;2;3;4},H20,K20,N20,Q20),1)+LARGE(CHOOSE({1;2;3;4},H20,K20,N20,Q20),2)+LARGE(CHOOSE({1;2;3;4},H20,K20,N20,Q20),3)</f>
        <v>26.65</v>
      </c>
      <c r="U20" s="4" cm="1">
        <f t="array" ref="U20">IF(SR[[#This Row],[Number_of_competition]:[Number_of_competition]]&gt;=3,(LARGE(CHOOSE({1;2;3;4},F20,I20,L20,O20),1)+LARGE(CHOOSE({1;2;3;4},F20,I20,L20,O20),2)+LARGE(CHOOSE({1;2;3;4},F20,I20,L20,O20),3))/3,0)</f>
        <v>1.8333333333333333</v>
      </c>
      <c r="V20" s="7" cm="1">
        <f t="array" ref="V20">IF(SR[[#This Row],[Number_of_competition]:[Number_of_competition]]&gt;=3,(LARGE(CHOOSE({1;2;3;4},G20,J20,M20,P20),1)+LARGE(CHOOSE({1;2;3;4},G20,J20,M20,P20),2)+LARGE(CHOOSE({1;2;3;4},G20,J20,M20,P20),3))/3,0)</f>
        <v>7.05</v>
      </c>
      <c r="W20" s="7" cm="1">
        <f t="array" ref="W20">IF(SR[[#This Row],[Number_of_competition]:[Number_of_competition]]&gt;=3,(LARGE(CHOOSE({1;2;3;4},H20,K20,N20,Q20),1)+LARGE(CHOOSE({1;2;3;4},H20,K20,N20,Q20),2)+LARGE(CHOOSE({1;2;3;4},H20,K20,N20,Q20),3))/3,0)</f>
        <v>8.8833333333333329</v>
      </c>
      <c r="Y20" s="33" t="s">
        <v>252</v>
      </c>
      <c r="AE20" s="43" t="s">
        <v>63</v>
      </c>
      <c r="AF20" s="43" t="s">
        <v>60</v>
      </c>
      <c r="AG20" s="43" t="s">
        <v>39</v>
      </c>
      <c r="AH20">
        <v>4</v>
      </c>
      <c r="AI20" t="s">
        <v>317</v>
      </c>
      <c r="AJ20" s="43" t="s">
        <v>308</v>
      </c>
      <c r="AK20">
        <v>4.5999999999999996</v>
      </c>
    </row>
    <row r="21" spans="1:37" x14ac:dyDescent="0.25">
      <c r="A21" t="s">
        <v>96</v>
      </c>
      <c r="B21" s="2" t="s">
        <v>60</v>
      </c>
      <c r="C21" s="2" t="s">
        <v>97</v>
      </c>
      <c r="D21" t="s">
        <v>62</v>
      </c>
      <c r="E21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21" s="4">
        <v>0</v>
      </c>
      <c r="G21" s="7">
        <v>0</v>
      </c>
      <c r="H21" s="7">
        <v>0</v>
      </c>
      <c r="I21" s="4">
        <v>4.5999999999999996</v>
      </c>
      <c r="J21" s="7">
        <v>8.1</v>
      </c>
      <c r="K21" s="7">
        <v>12.7</v>
      </c>
      <c r="L21" s="4">
        <v>4.2</v>
      </c>
      <c r="M21" s="7">
        <v>8.5</v>
      </c>
      <c r="N21" s="7">
        <v>12.7</v>
      </c>
      <c r="O21" s="4">
        <v>0</v>
      </c>
      <c r="P21" s="7">
        <v>0</v>
      </c>
      <c r="Q21" s="7">
        <v>0</v>
      </c>
      <c r="R21" s="4">
        <f>LARGE(CHOOSE({1;2;3;4},F21,I21,L21,O21),1)+LARGE(CHOOSE({1;2;3;4},F21,I21,L21,O21),2)+LARGE(CHOOSE({1;2;3;4},F21,I21,L21,O21),3)</f>
        <v>8.8000000000000007</v>
      </c>
      <c r="S21" s="7">
        <f>LARGE(CHOOSE({1;2;3;4},G21,J21,M21,P21),1)+LARGE(CHOOSE({1;2;3;4},G21,J21,M21,P21),2)+LARGE(CHOOSE({1;2;3;4},G21,J21,M21,P21),3)</f>
        <v>16.600000000000001</v>
      </c>
      <c r="T21" s="7">
        <f>LARGE(CHOOSE({1;2;3;4},H21,K21,N21,Q21),1)+LARGE(CHOOSE({1;2;3;4},H21,K21,N21,Q21),2)+LARGE(CHOOSE({1;2;3;4},H21,K21,N21,Q21),3)</f>
        <v>25.4</v>
      </c>
      <c r="U21" s="4" cm="1">
        <f t="array" ref="U21">IF(SR[[#This Row],[Number_of_competition]:[Number_of_competition]]&gt;=3,(LARGE(CHOOSE({1;2;3;4},F21,I21,L21,O21),1)+LARGE(CHOOSE({1;2;3;4},F21,I21,L21,O21),2)+LARGE(CHOOSE({1;2;3;4},F21,I21,L21,O21),3))/3,0)</f>
        <v>0</v>
      </c>
      <c r="V21" s="7" cm="1">
        <f t="array" ref="V21">IF(SR[[#This Row],[Number_of_competition]:[Number_of_competition]]&gt;=3,(LARGE(CHOOSE({1;2;3;4},G21,J21,M21,P21),1)+LARGE(CHOOSE({1;2;3;4},G21,J21,M21,P21),2)+LARGE(CHOOSE({1;2;3;4},G21,J21,M21,P21),3))/3,0)</f>
        <v>0</v>
      </c>
      <c r="W21" s="7" cm="1">
        <f t="array" ref="W21">IF(SR[[#This Row],[Number_of_competition]:[Number_of_competition]]&gt;=3,(LARGE(CHOOSE({1;2;3;4},H21,K21,N21,Q21),1)+LARGE(CHOOSE({1;2;3;4},H21,K21,N21,Q21),2)+LARGE(CHOOSE({1;2;3;4},H21,K21,N21,Q21),3))/3,0)</f>
        <v>0</v>
      </c>
      <c r="Y21" s="34" t="s">
        <v>301</v>
      </c>
      <c r="AE21" s="43" t="s">
        <v>63</v>
      </c>
      <c r="AF21" s="43" t="s">
        <v>60</v>
      </c>
      <c r="AG21" s="43" t="s">
        <v>39</v>
      </c>
      <c r="AH21">
        <v>4</v>
      </c>
      <c r="AI21" t="s">
        <v>317</v>
      </c>
      <c r="AJ21" s="43" t="s">
        <v>309</v>
      </c>
      <c r="AK21">
        <v>7.2</v>
      </c>
    </row>
    <row r="22" spans="1:37" x14ac:dyDescent="0.25">
      <c r="A22" t="s">
        <v>116</v>
      </c>
      <c r="B22" s="2" t="s">
        <v>60</v>
      </c>
      <c r="C22" s="2" t="s">
        <v>117</v>
      </c>
      <c r="D22" t="s">
        <v>62</v>
      </c>
      <c r="E22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22" s="4">
        <v>0</v>
      </c>
      <c r="G22" s="7">
        <v>0</v>
      </c>
      <c r="H22" s="7">
        <v>0</v>
      </c>
      <c r="I22" s="4">
        <v>0</v>
      </c>
      <c r="J22" s="7">
        <v>0</v>
      </c>
      <c r="K22" s="7">
        <v>0</v>
      </c>
      <c r="L22" s="4">
        <v>5</v>
      </c>
      <c r="M22" s="7">
        <v>8.1</v>
      </c>
      <c r="N22" s="7">
        <v>13.1</v>
      </c>
      <c r="O22" s="4">
        <v>5.3</v>
      </c>
      <c r="P22" s="7">
        <v>6.6</v>
      </c>
      <c r="Q22" s="7">
        <v>11.9</v>
      </c>
      <c r="R22" s="4">
        <f>LARGE(CHOOSE({1;2;3;4},F22,I22,L22,O22),1)+LARGE(CHOOSE({1;2;3;4},F22,I22,L22,O22),2)+LARGE(CHOOSE({1;2;3;4},F22,I22,L22,O22),3)</f>
        <v>10.3</v>
      </c>
      <c r="S22" s="7">
        <f>LARGE(CHOOSE({1;2;3;4},G22,J22,M22,P22),1)+LARGE(CHOOSE({1;2;3;4},G22,J22,M22,P22),2)+LARGE(CHOOSE({1;2;3;4},G22,J22,M22,P22),3)</f>
        <v>14.7</v>
      </c>
      <c r="T22" s="7">
        <f>LARGE(CHOOSE({1;2;3;4},H22,K22,N22,Q22),1)+LARGE(CHOOSE({1;2;3;4},H22,K22,N22,Q22),2)+LARGE(CHOOSE({1;2;3;4},H22,K22,N22,Q22),3)</f>
        <v>25</v>
      </c>
      <c r="U22" s="4" cm="1">
        <f t="array" ref="U22">IF(SR[[#This Row],[Number_of_competition]:[Number_of_competition]]&gt;=3,(LARGE(CHOOSE({1;2;3;4},F22,I22,L22,O22),1)+LARGE(CHOOSE({1;2;3;4},F22,I22,L22,O22),2)+LARGE(CHOOSE({1;2;3;4},F22,I22,L22,O22),3))/3,0)</f>
        <v>0</v>
      </c>
      <c r="V22" s="7" cm="1">
        <f t="array" ref="V22">IF(SR[[#This Row],[Number_of_competition]:[Number_of_competition]]&gt;=3,(LARGE(CHOOSE({1;2;3;4},G22,J22,M22,P22),1)+LARGE(CHOOSE({1;2;3;4},G22,J22,M22,P22),2)+LARGE(CHOOSE({1;2;3;4},G22,J22,M22,P22),3))/3,0)</f>
        <v>0</v>
      </c>
      <c r="W22" s="7" cm="1">
        <f t="array" ref="W22">IF(SR[[#This Row],[Number_of_competition]:[Number_of_competition]]&gt;=3,(LARGE(CHOOSE({1;2;3;4},H22,K22,N22,Q22),1)+LARGE(CHOOSE({1;2;3;4},H22,K22,N22,Q22),2)+LARGE(CHOOSE({1;2;3;4},H22,K22,N22,Q22),3))/3,0)</f>
        <v>0</v>
      </c>
      <c r="Y22" s="37" t="s">
        <v>304</v>
      </c>
      <c r="AE22" s="43" t="s">
        <v>63</v>
      </c>
      <c r="AF22" s="43" t="s">
        <v>60</v>
      </c>
      <c r="AG22" s="43" t="s">
        <v>39</v>
      </c>
      <c r="AH22">
        <v>4</v>
      </c>
      <c r="AI22" t="s">
        <v>317</v>
      </c>
      <c r="AJ22" s="43" t="s">
        <v>268</v>
      </c>
      <c r="AK22">
        <v>11.8</v>
      </c>
    </row>
    <row r="23" spans="1:37" x14ac:dyDescent="0.25">
      <c r="A23" t="s">
        <v>86</v>
      </c>
      <c r="B23" s="2" t="s">
        <v>60</v>
      </c>
      <c r="C23" s="2" t="s">
        <v>87</v>
      </c>
      <c r="D23" t="s">
        <v>72</v>
      </c>
      <c r="E23" s="9">
        <f>COUNTIF(SR[[#This Row],[bydgoszcz_SR_Total_Score]],"&gt;0")+COUNTIF(SR[[#This Row],[zabrze_SR_Total_Score]],"&gt;0")+COUNTIF(SR[[#This Row],[cracow_SR_Total_Score]],"&gt;0")+COUNTIF(SR[[#This Row],[gdansk_SR_Total_Score]],"&gt;0")</f>
        <v>3</v>
      </c>
      <c r="F23" s="4">
        <v>3.5</v>
      </c>
      <c r="G23" s="7">
        <v>6.7</v>
      </c>
      <c r="H23" s="7">
        <v>10.199999999999999</v>
      </c>
      <c r="I23" s="4">
        <v>2.6</v>
      </c>
      <c r="J23" s="7">
        <v>3</v>
      </c>
      <c r="K23" s="7">
        <v>5.6</v>
      </c>
      <c r="L23" s="4">
        <v>0</v>
      </c>
      <c r="M23" s="7">
        <v>0</v>
      </c>
      <c r="N23" s="7">
        <v>0</v>
      </c>
      <c r="O23" s="4">
        <v>2.7</v>
      </c>
      <c r="P23" s="7">
        <v>6</v>
      </c>
      <c r="Q23" s="7">
        <v>8.6999999999999993</v>
      </c>
      <c r="R23" s="4">
        <f>LARGE(CHOOSE({1;2;3;4},F23,I23,L23,O23),1)+LARGE(CHOOSE({1;2;3;4},F23,I23,L23,O23),2)+LARGE(CHOOSE({1;2;3;4},F23,I23,L23,O23),3)</f>
        <v>8.8000000000000007</v>
      </c>
      <c r="S23" s="7">
        <f>LARGE(CHOOSE({1;2;3;4},G23,J23,M23,P23),1)+LARGE(CHOOSE({1;2;3;4},G23,J23,M23,P23),2)+LARGE(CHOOSE({1;2;3;4},G23,J23,M23,P23),3)</f>
        <v>15.7</v>
      </c>
      <c r="T23" s="7">
        <f>LARGE(CHOOSE({1;2;3;4},H23,K23,N23,Q23),1)+LARGE(CHOOSE({1;2;3;4},H23,K23,N23,Q23),2)+LARGE(CHOOSE({1;2;3;4},H23,K23,N23,Q23),3)</f>
        <v>24.5</v>
      </c>
      <c r="U23" s="4" cm="1">
        <f t="array" ref="U23">IF(SR[[#This Row],[Number_of_competition]:[Number_of_competition]]&gt;=3,(LARGE(CHOOSE({1;2;3;4},F23,I23,L23,O23),1)+LARGE(CHOOSE({1;2;3;4},F23,I23,L23,O23),2)+LARGE(CHOOSE({1;2;3;4},F23,I23,L23,O23),3))/3,0)</f>
        <v>2.9333333333333336</v>
      </c>
      <c r="V23" s="7" cm="1">
        <f t="array" ref="V23">IF(SR[[#This Row],[Number_of_competition]:[Number_of_competition]]&gt;=3,(LARGE(CHOOSE({1;2;3;4},G23,J23,M23,P23),1)+LARGE(CHOOSE({1;2;3;4},G23,J23,M23,P23),2)+LARGE(CHOOSE({1;2;3;4},G23,J23,M23,P23),3))/3,0)</f>
        <v>5.2333333333333334</v>
      </c>
      <c r="W23" s="7" cm="1">
        <f t="array" ref="W23">IF(SR[[#This Row],[Number_of_competition]:[Number_of_competition]]&gt;=3,(LARGE(CHOOSE({1;2;3;4},H23,K23,N23,Q23),1)+LARGE(CHOOSE({1;2;3;4},H23,K23,N23,Q23),2)+LARGE(CHOOSE({1;2;3;4},H23,K23,N23,Q23),3))/3,0)</f>
        <v>8.1666666666666661</v>
      </c>
      <c r="Y23" s="35" t="s">
        <v>302</v>
      </c>
      <c r="AE23" s="43" t="s">
        <v>63</v>
      </c>
      <c r="AF23" s="43" t="s">
        <v>60</v>
      </c>
      <c r="AG23" s="43" t="s">
        <v>39</v>
      </c>
      <c r="AH23">
        <v>4</v>
      </c>
      <c r="AI23" t="s">
        <v>325</v>
      </c>
      <c r="AJ23" s="43" t="s">
        <v>308</v>
      </c>
      <c r="AK23">
        <v>3.9</v>
      </c>
    </row>
    <row r="24" spans="1:37" x14ac:dyDescent="0.25">
      <c r="A24" t="s">
        <v>65</v>
      </c>
      <c r="B24" s="2" t="s">
        <v>60</v>
      </c>
      <c r="C24" s="2" t="s">
        <v>66</v>
      </c>
      <c r="D24" t="s">
        <v>67</v>
      </c>
      <c r="E24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24" s="4">
        <v>0</v>
      </c>
      <c r="G24" s="7">
        <v>0</v>
      </c>
      <c r="H24" s="7">
        <v>0</v>
      </c>
      <c r="I24" s="4">
        <v>3.9</v>
      </c>
      <c r="J24" s="7">
        <v>8.4</v>
      </c>
      <c r="K24" s="7">
        <v>12.3</v>
      </c>
      <c r="L24" s="4">
        <v>0</v>
      </c>
      <c r="M24" s="7">
        <v>0</v>
      </c>
      <c r="N24" s="7">
        <v>0</v>
      </c>
      <c r="O24" s="4">
        <v>3.9</v>
      </c>
      <c r="P24" s="7">
        <v>8.1999999999999993</v>
      </c>
      <c r="Q24" s="7">
        <v>12.1</v>
      </c>
      <c r="R24" s="4">
        <f>LARGE(CHOOSE({1;2;3;4},F24,I24,L24,O24),1)+LARGE(CHOOSE({1;2;3;4},F24,I24,L24,O24),2)+LARGE(CHOOSE({1;2;3;4},F24,I24,L24,O24),3)</f>
        <v>7.8</v>
      </c>
      <c r="S24" s="7">
        <f>LARGE(CHOOSE({1;2;3;4},G24,J24,M24,P24),1)+LARGE(CHOOSE({1;2;3;4},G24,J24,M24,P24),2)+LARGE(CHOOSE({1;2;3;4},G24,J24,M24,P24),3)</f>
        <v>16.600000000000001</v>
      </c>
      <c r="T24" s="7">
        <f>LARGE(CHOOSE({1;2;3;4},H24,K24,N24,Q24),1)+LARGE(CHOOSE({1;2;3;4},H24,K24,N24,Q24),2)+LARGE(CHOOSE({1;2;3;4},H24,K24,N24,Q24),3)</f>
        <v>24.4</v>
      </c>
      <c r="U24" s="4" cm="1">
        <f t="array" ref="U24">IF(SR[[#This Row],[Number_of_competition]:[Number_of_competition]]&gt;=3,(LARGE(CHOOSE({1;2;3;4},F24,I24,L24,O24),1)+LARGE(CHOOSE({1;2;3;4},F24,I24,L24,O24),2)+LARGE(CHOOSE({1;2;3;4},F24,I24,L24,O24),3))/3,0)</f>
        <v>0</v>
      </c>
      <c r="V24" s="7" cm="1">
        <f t="array" ref="V24">IF(SR[[#This Row],[Number_of_competition]:[Number_of_competition]]&gt;=3,(LARGE(CHOOSE({1;2;3;4},G24,J24,M24,P24),1)+LARGE(CHOOSE({1;2;3;4},G24,J24,M24,P24),2)+LARGE(CHOOSE({1;2;3;4},G24,J24,M24,P24),3))/3,0)</f>
        <v>0</v>
      </c>
      <c r="W24" s="7" cm="1">
        <f t="array" ref="W24">IF(SR[[#This Row],[Number_of_competition]:[Number_of_competition]]&gt;=3,(LARGE(CHOOSE({1;2;3;4},H24,K24,N24,Q24),1)+LARGE(CHOOSE({1;2;3;4},H24,K24,N24,Q24),2)+LARGE(CHOOSE({1;2;3;4},H24,K24,N24,Q24),3))/3,0)</f>
        <v>0</v>
      </c>
      <c r="Y24" s="36" t="s">
        <v>303</v>
      </c>
      <c r="AE24" s="43" t="s">
        <v>63</v>
      </c>
      <c r="AF24" s="43" t="s">
        <v>60</v>
      </c>
      <c r="AG24" s="43" t="s">
        <v>39</v>
      </c>
      <c r="AH24">
        <v>4</v>
      </c>
      <c r="AI24" t="s">
        <v>325</v>
      </c>
      <c r="AJ24" s="43" t="s">
        <v>309</v>
      </c>
      <c r="AK24">
        <v>8.1</v>
      </c>
    </row>
    <row r="25" spans="1:37" x14ac:dyDescent="0.25">
      <c r="A25" t="s">
        <v>127</v>
      </c>
      <c r="B25" s="2" t="s">
        <v>60</v>
      </c>
      <c r="C25" s="2" t="s">
        <v>128</v>
      </c>
      <c r="D25" t="s">
        <v>72</v>
      </c>
      <c r="E25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25" s="4">
        <v>3.8</v>
      </c>
      <c r="G25" s="7">
        <v>8.1999999999999993</v>
      </c>
      <c r="H25" s="7">
        <v>12</v>
      </c>
      <c r="I25" s="4">
        <v>0</v>
      </c>
      <c r="J25" s="7">
        <v>0</v>
      </c>
      <c r="K25" s="7">
        <v>0</v>
      </c>
      <c r="L25" s="4">
        <v>3.8</v>
      </c>
      <c r="M25" s="7">
        <v>8.35</v>
      </c>
      <c r="N25" s="7">
        <v>12.15</v>
      </c>
      <c r="O25" s="4">
        <v>0</v>
      </c>
      <c r="P25" s="7">
        <v>0</v>
      </c>
      <c r="Q25" s="7">
        <v>0</v>
      </c>
      <c r="R25" s="4">
        <f>LARGE(CHOOSE({1;2;3;4},F25,I25,L25,O25),1)+LARGE(CHOOSE({1;2;3;4},F25,I25,L25,O25),2)+LARGE(CHOOSE({1;2;3;4},F25,I25,L25,O25),3)</f>
        <v>7.6</v>
      </c>
      <c r="S25" s="7">
        <f>LARGE(CHOOSE({1;2;3;4},G25,J25,M25,P25),1)+LARGE(CHOOSE({1;2;3;4},G25,J25,M25,P25),2)+LARGE(CHOOSE({1;2;3;4},G25,J25,M25,P25),3)</f>
        <v>16.549999999999997</v>
      </c>
      <c r="T25" s="7">
        <f>LARGE(CHOOSE({1;2;3;4},H25,K25,N25,Q25),1)+LARGE(CHOOSE({1;2;3;4},H25,K25,N25,Q25),2)+LARGE(CHOOSE({1;2;3;4},H25,K25,N25,Q25),3)</f>
        <v>24.15</v>
      </c>
      <c r="U25" s="4" cm="1">
        <f t="array" ref="U25">IF(SR[[#This Row],[Number_of_competition]:[Number_of_competition]]&gt;=3,(LARGE(CHOOSE({1;2;3;4},F25,I25,L25,O25),1)+LARGE(CHOOSE({1;2;3;4},F25,I25,L25,O25),2)+LARGE(CHOOSE({1;2;3;4},F25,I25,L25,O25),3))/3,0)</f>
        <v>0</v>
      </c>
      <c r="V25" s="7" cm="1">
        <f t="array" ref="V25">IF(SR[[#This Row],[Number_of_competition]:[Number_of_competition]]&gt;=3,(LARGE(CHOOSE({1;2;3;4},G25,J25,M25,P25),1)+LARGE(CHOOSE({1;2;3;4},G25,J25,M25,P25),2)+LARGE(CHOOSE({1;2;3;4},G25,J25,M25,P25),3))/3,0)</f>
        <v>0</v>
      </c>
      <c r="W25" s="7" cm="1">
        <f t="array" ref="W25">IF(SR[[#This Row],[Number_of_competition]:[Number_of_competition]]&gt;=3,(LARGE(CHOOSE({1;2;3;4},H25,K25,N25,Q25),1)+LARGE(CHOOSE({1;2;3;4},H25,K25,N25,Q25),2)+LARGE(CHOOSE({1;2;3;4},H25,K25,N25,Q25),3))/3,0)</f>
        <v>0</v>
      </c>
      <c r="AE25" s="43" t="s">
        <v>63</v>
      </c>
      <c r="AF25" s="43" t="s">
        <v>60</v>
      </c>
      <c r="AG25" s="43" t="s">
        <v>39</v>
      </c>
      <c r="AH25">
        <v>4</v>
      </c>
      <c r="AI25" t="s">
        <v>325</v>
      </c>
      <c r="AJ25" s="43" t="s">
        <v>268</v>
      </c>
      <c r="AK25">
        <v>12</v>
      </c>
    </row>
    <row r="26" spans="1:37" ht="21" x14ac:dyDescent="0.35">
      <c r="A26" t="s">
        <v>70</v>
      </c>
      <c r="B26" s="2" t="s">
        <v>60</v>
      </c>
      <c r="C26" s="2" t="s">
        <v>71</v>
      </c>
      <c r="D26" t="s">
        <v>72</v>
      </c>
      <c r="E26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26" s="4">
        <v>0</v>
      </c>
      <c r="G26" s="7">
        <v>0</v>
      </c>
      <c r="H26" s="7">
        <v>0</v>
      </c>
      <c r="I26" s="4">
        <v>4.0999999999999996</v>
      </c>
      <c r="J26" s="7">
        <v>7.6</v>
      </c>
      <c r="K26" s="7">
        <v>11.7</v>
      </c>
      <c r="L26" s="4">
        <v>4.0999999999999996</v>
      </c>
      <c r="M26" s="7">
        <v>7.8</v>
      </c>
      <c r="N26" s="7">
        <v>11.9</v>
      </c>
      <c r="O26" s="4">
        <v>0</v>
      </c>
      <c r="P26" s="7">
        <v>0</v>
      </c>
      <c r="Q26" s="7">
        <v>0</v>
      </c>
      <c r="R26" s="4">
        <f>LARGE(CHOOSE({1;2;3;4},F26,I26,L26,O26),1)+LARGE(CHOOSE({1;2;3;4},F26,I26,L26,O26),2)+LARGE(CHOOSE({1;2;3;4},F26,I26,L26,O26),3)</f>
        <v>8.1999999999999993</v>
      </c>
      <c r="S26" s="7">
        <f>LARGE(CHOOSE({1;2;3;4},G26,J26,M26,P26),1)+LARGE(CHOOSE({1;2;3;4},G26,J26,M26,P26),2)+LARGE(CHOOSE({1;2;3;4},G26,J26,M26,P26),3)</f>
        <v>15.399999999999999</v>
      </c>
      <c r="T26" s="7">
        <f>LARGE(CHOOSE({1;2;3;4},H26,K26,N26,Q26),1)+LARGE(CHOOSE({1;2;3;4},H26,K26,N26,Q26),2)+LARGE(CHOOSE({1;2;3;4},H26,K26,N26,Q26),3)</f>
        <v>23.6</v>
      </c>
      <c r="U26" s="4" cm="1">
        <f t="array" ref="U26">IF(SR[[#This Row],[Number_of_competition]:[Number_of_competition]]&gt;=3,(LARGE(CHOOSE({1;2;3;4},F26,I26,L26,O26),1)+LARGE(CHOOSE({1;2;3;4},F26,I26,L26,O26),2)+LARGE(CHOOSE({1;2;3;4},F26,I26,L26,O26),3))/3,0)</f>
        <v>0</v>
      </c>
      <c r="V26" s="7" cm="1">
        <f t="array" ref="V26">IF(SR[[#This Row],[Number_of_competition]:[Number_of_competition]]&gt;=3,(LARGE(CHOOSE({1;2;3;4},G26,J26,M26,P26),1)+LARGE(CHOOSE({1;2;3;4},G26,J26,M26,P26),2)+LARGE(CHOOSE({1;2;3;4},G26,J26,M26,P26),3))/3,0)</f>
        <v>0</v>
      </c>
      <c r="W26" s="7" cm="1">
        <f t="array" ref="W26">IF(SR[[#This Row],[Number_of_competition]:[Number_of_competition]]&gt;=3,(LARGE(CHOOSE({1;2;3;4},H26,K26,N26,Q26),1)+LARGE(CHOOSE({1;2;3;4},H26,K26,N26,Q26),2)+LARGE(CHOOSE({1;2;3;4},H26,K26,N26,Q26),3))/3,0)</f>
        <v>0</v>
      </c>
      <c r="Z26" s="44" t="s">
        <v>332</v>
      </c>
      <c r="AA26" s="49" t="s">
        <v>2</v>
      </c>
      <c r="AB26" s="45"/>
      <c r="AE26" s="43" t="s">
        <v>63</v>
      </c>
      <c r="AF26" s="43" t="s">
        <v>60</v>
      </c>
      <c r="AG26" s="43" t="s">
        <v>39</v>
      </c>
      <c r="AH26">
        <v>4</v>
      </c>
      <c r="AI26" t="s">
        <v>330</v>
      </c>
      <c r="AJ26" s="43" t="s">
        <v>308</v>
      </c>
      <c r="AK26">
        <v>4.3</v>
      </c>
    </row>
    <row r="27" spans="1:37" ht="21" x14ac:dyDescent="0.35">
      <c r="A27" t="s">
        <v>50</v>
      </c>
      <c r="B27" s="2" t="s">
        <v>26</v>
      </c>
      <c r="C27" s="2" t="s">
        <v>51</v>
      </c>
      <c r="D27" t="s">
        <v>36</v>
      </c>
      <c r="E27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27" s="4">
        <v>0</v>
      </c>
      <c r="G27" s="7">
        <v>0</v>
      </c>
      <c r="H27" s="7">
        <v>0</v>
      </c>
      <c r="I27" s="4">
        <v>3.7</v>
      </c>
      <c r="J27" s="7">
        <v>8.1</v>
      </c>
      <c r="K27" s="7">
        <v>11.8</v>
      </c>
      <c r="L27" s="4">
        <v>3.7</v>
      </c>
      <c r="M27" s="7">
        <v>7.8</v>
      </c>
      <c r="N27" s="7">
        <v>11.5</v>
      </c>
      <c r="O27" s="4">
        <v>0</v>
      </c>
      <c r="P27" s="7">
        <v>0</v>
      </c>
      <c r="Q27" s="7">
        <v>0</v>
      </c>
      <c r="R27" s="4">
        <f>LARGE(CHOOSE({1;2;3;4},F27,I27,L27,O27),1)+LARGE(CHOOSE({1;2;3;4},F27,I27,L27,O27),2)+LARGE(CHOOSE({1;2;3;4},F27,I27,L27,O27),3)</f>
        <v>7.4</v>
      </c>
      <c r="S27" s="7">
        <f>LARGE(CHOOSE({1;2;3;4},G27,J27,M27,P27),1)+LARGE(CHOOSE({1;2;3;4},G27,J27,M27,P27),2)+LARGE(CHOOSE({1;2;3;4},G27,J27,M27,P27),3)</f>
        <v>15.899999999999999</v>
      </c>
      <c r="T27" s="7">
        <f>LARGE(CHOOSE({1;2;3;4},H27,K27,N27,Q27),1)+LARGE(CHOOSE({1;2;3;4},H27,K27,N27,Q27),2)+LARGE(CHOOSE({1;2;3;4},H27,K27,N27,Q27),3)</f>
        <v>23.3</v>
      </c>
      <c r="U27" s="4" cm="1">
        <f t="array" ref="U27">IF(SR[[#This Row],[Number_of_competition]:[Number_of_competition]]&gt;=3,(LARGE(CHOOSE({1;2;3;4},F27,I27,L27,O27),1)+LARGE(CHOOSE({1;2;3;4},F27,I27,L27,O27),2)+LARGE(CHOOSE({1;2;3;4},F27,I27,L27,O27),3))/3,0)</f>
        <v>0</v>
      </c>
      <c r="V27" s="7" cm="1">
        <f t="array" ref="V27">IF(SR[[#This Row],[Number_of_competition]:[Number_of_competition]]&gt;=3,(LARGE(CHOOSE({1;2;3;4},G27,J27,M27,P27),1)+LARGE(CHOOSE({1;2;3;4},G27,J27,M27,P27),2)+LARGE(CHOOSE({1;2;3;4},G27,J27,M27,P27),3))/3,0)</f>
        <v>0</v>
      </c>
      <c r="W27" s="7" cm="1">
        <f t="array" ref="W27">IF(SR[[#This Row],[Number_of_competition]:[Number_of_competition]]&gt;=3,(LARGE(CHOOSE({1;2;3;4},H27,K27,N27,Q27),1)+LARGE(CHOOSE({1;2;3;4},H27,K27,N27,Q27),2)+LARGE(CHOOSE({1;2;3;4},H27,K27,N27,Q27),3))/3,0)</f>
        <v>0</v>
      </c>
      <c r="Z27" s="44" t="s">
        <v>346</v>
      </c>
      <c r="AA27" s="45" t="s">
        <v>26</v>
      </c>
      <c r="AB27" s="45" t="s">
        <v>60</v>
      </c>
      <c r="AE27" s="43" t="s">
        <v>63</v>
      </c>
      <c r="AF27" s="43" t="s">
        <v>60</v>
      </c>
      <c r="AG27" s="43" t="s">
        <v>39</v>
      </c>
      <c r="AH27">
        <v>4</v>
      </c>
      <c r="AI27" t="s">
        <v>330</v>
      </c>
      <c r="AJ27" s="43" t="s">
        <v>309</v>
      </c>
      <c r="AK27">
        <v>7.85</v>
      </c>
    </row>
    <row r="28" spans="1:37" ht="21" x14ac:dyDescent="0.35">
      <c r="A28" t="s">
        <v>75</v>
      </c>
      <c r="B28" s="2" t="s">
        <v>60</v>
      </c>
      <c r="C28" s="2" t="s">
        <v>76</v>
      </c>
      <c r="D28" t="s">
        <v>28</v>
      </c>
      <c r="E28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28" s="4">
        <v>0</v>
      </c>
      <c r="G28" s="7">
        <v>0</v>
      </c>
      <c r="H28" s="7">
        <v>0</v>
      </c>
      <c r="I28" s="4">
        <v>3.8</v>
      </c>
      <c r="J28" s="7">
        <v>7.8</v>
      </c>
      <c r="K28" s="7">
        <v>11.6</v>
      </c>
      <c r="L28" s="4">
        <v>3.4</v>
      </c>
      <c r="M28" s="7">
        <v>7.7</v>
      </c>
      <c r="N28" s="7">
        <v>11.1</v>
      </c>
      <c r="O28" s="4">
        <v>0</v>
      </c>
      <c r="P28" s="7">
        <v>0</v>
      </c>
      <c r="Q28" s="7">
        <v>0</v>
      </c>
      <c r="R28" s="4">
        <f>LARGE(CHOOSE({1;2;3;4},F28,I28,L28,O28),1)+LARGE(CHOOSE({1;2;3;4},F28,I28,L28,O28),2)+LARGE(CHOOSE({1;2;3;4},F28,I28,L28,O28),3)</f>
        <v>7.1999999999999993</v>
      </c>
      <c r="S28" s="7">
        <f>LARGE(CHOOSE({1;2;3;4},G28,J28,M28,P28),1)+LARGE(CHOOSE({1;2;3;4},G28,J28,M28,P28),2)+LARGE(CHOOSE({1;2;3;4},G28,J28,M28,P28),3)</f>
        <v>15.5</v>
      </c>
      <c r="T28" s="7">
        <f>LARGE(CHOOSE({1;2;3;4},H28,K28,N28,Q28),1)+LARGE(CHOOSE({1;2;3;4},H28,K28,N28,Q28),2)+LARGE(CHOOSE({1;2;3;4},H28,K28,N28,Q28),3)</f>
        <v>22.7</v>
      </c>
      <c r="U28" s="4" cm="1">
        <f t="array" ref="U28">IF(SR[[#This Row],[Number_of_competition]:[Number_of_competition]]&gt;=3,(LARGE(CHOOSE({1;2;3;4},F28,I28,L28,O28),1)+LARGE(CHOOSE({1;2;3;4},F28,I28,L28,O28),2)+LARGE(CHOOSE({1;2;3;4},F28,I28,L28,O28),3))/3,0)</f>
        <v>0</v>
      </c>
      <c r="V28" s="7" cm="1">
        <f t="array" ref="V28">IF(SR[[#This Row],[Number_of_competition]:[Number_of_competition]]&gt;=3,(LARGE(CHOOSE({1;2;3;4},G28,J28,M28,P28),1)+LARGE(CHOOSE({1;2;3;4},G28,J28,M28,P28),2)+LARGE(CHOOSE({1;2;3;4},G28,J28,M28,P28),3))/3,0)</f>
        <v>0</v>
      </c>
      <c r="W28" s="7" cm="1">
        <f t="array" ref="W28">IF(SR[[#This Row],[Number_of_competition]:[Number_of_competition]]&gt;=3,(LARGE(CHOOSE({1;2;3;4},H28,K28,N28,Q28),1)+LARGE(CHOOSE({1;2;3;4},H28,K28,N28,Q28),2)+LARGE(CHOOSE({1;2;3;4},H28,K28,N28,Q28),3))/3,0)</f>
        <v>0</v>
      </c>
      <c r="Z28" s="46" t="s">
        <v>308</v>
      </c>
      <c r="AA28" s="47">
        <v>50</v>
      </c>
      <c r="AB28" s="47">
        <v>60</v>
      </c>
      <c r="AE28" s="43" t="s">
        <v>63</v>
      </c>
      <c r="AF28" s="43" t="s">
        <v>60</v>
      </c>
      <c r="AG28" s="43" t="s">
        <v>39</v>
      </c>
      <c r="AH28">
        <v>4</v>
      </c>
      <c r="AI28" t="s">
        <v>330</v>
      </c>
      <c r="AJ28" s="43" t="s">
        <v>268</v>
      </c>
      <c r="AK28">
        <v>12.15</v>
      </c>
    </row>
    <row r="29" spans="1:37" ht="21" x14ac:dyDescent="0.35">
      <c r="A29" t="s">
        <v>112</v>
      </c>
      <c r="B29" s="2" t="s">
        <v>26</v>
      </c>
      <c r="C29" s="2" t="s">
        <v>113</v>
      </c>
      <c r="D29" t="s">
        <v>31</v>
      </c>
      <c r="E29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29" s="4">
        <v>2.9</v>
      </c>
      <c r="G29" s="7">
        <v>8</v>
      </c>
      <c r="H29" s="7">
        <v>10.9</v>
      </c>
      <c r="I29" s="4">
        <v>0</v>
      </c>
      <c r="J29" s="7">
        <v>0</v>
      </c>
      <c r="K29" s="7">
        <v>0</v>
      </c>
      <c r="L29" s="4">
        <v>0</v>
      </c>
      <c r="M29" s="7">
        <v>0</v>
      </c>
      <c r="N29" s="7">
        <v>0</v>
      </c>
      <c r="O29" s="4">
        <v>2.2000000000000002</v>
      </c>
      <c r="P29" s="7">
        <v>7.7</v>
      </c>
      <c r="Q29" s="7">
        <v>9.9</v>
      </c>
      <c r="R29" s="4">
        <f>LARGE(CHOOSE({1;2;3;4},F29,I29,L29,O29),1)+LARGE(CHOOSE({1;2;3;4},F29,I29,L29,O29),2)+LARGE(CHOOSE({1;2;3;4},F29,I29,L29,O29),3)</f>
        <v>5.0999999999999996</v>
      </c>
      <c r="S29" s="7">
        <f>LARGE(CHOOSE({1;2;3;4},G29,J29,M29,P29),1)+LARGE(CHOOSE({1;2;3;4},G29,J29,M29,P29),2)+LARGE(CHOOSE({1;2;3;4},G29,J29,M29,P29),3)</f>
        <v>15.7</v>
      </c>
      <c r="T29" s="7">
        <f>LARGE(CHOOSE({1;2;3;4},H29,K29,N29,Q29),1)+LARGE(CHOOSE({1;2;3;4},H29,K29,N29,Q29),2)+LARGE(CHOOSE({1;2;3;4},H29,K29,N29,Q29),3)</f>
        <v>20.8</v>
      </c>
      <c r="U29" s="4" cm="1">
        <f t="array" ref="U29">IF(SR[[#This Row],[Number_of_competition]:[Number_of_competition]]&gt;=3,(LARGE(CHOOSE({1;2;3;4},F29,I29,L29,O29),1)+LARGE(CHOOSE({1;2;3;4},F29,I29,L29,O29),2)+LARGE(CHOOSE({1;2;3;4},F29,I29,L29,O29),3))/3,0)</f>
        <v>0</v>
      </c>
      <c r="V29" s="7" cm="1">
        <f t="array" ref="V29">IF(SR[[#This Row],[Number_of_competition]:[Number_of_competition]]&gt;=3,(LARGE(CHOOSE({1;2;3;4},G29,J29,M29,P29),1)+LARGE(CHOOSE({1;2;3;4},G29,J29,M29,P29),2)+LARGE(CHOOSE({1;2;3;4},G29,J29,M29,P29),3))/3,0)</f>
        <v>0</v>
      </c>
      <c r="W29" s="7" cm="1">
        <f t="array" ref="W29">IF(SR[[#This Row],[Number_of_competition]:[Number_of_competition]]&gt;=3,(LARGE(CHOOSE({1;2;3;4},H29,K29,N29,Q29),1)+LARGE(CHOOSE({1;2;3;4},H29,K29,N29,Q29),2)+LARGE(CHOOSE({1;2;3;4},H29,K29,N29,Q29),3))/3,0)</f>
        <v>0</v>
      </c>
      <c r="Z29" s="48" t="s">
        <v>315</v>
      </c>
      <c r="AA29" s="47">
        <v>27</v>
      </c>
      <c r="AB29" s="47">
        <v>4</v>
      </c>
      <c r="AE29" s="43" t="s">
        <v>63</v>
      </c>
      <c r="AF29" s="43" t="s">
        <v>60</v>
      </c>
      <c r="AG29" s="43" t="s">
        <v>39</v>
      </c>
      <c r="AH29">
        <v>4</v>
      </c>
      <c r="AI29" t="s">
        <v>331</v>
      </c>
      <c r="AJ29" s="43" t="s">
        <v>308</v>
      </c>
      <c r="AK29">
        <v>4.2</v>
      </c>
    </row>
    <row r="30" spans="1:37" ht="21" x14ac:dyDescent="0.35">
      <c r="A30" t="s">
        <v>90</v>
      </c>
      <c r="B30" s="2" t="s">
        <v>60</v>
      </c>
      <c r="C30" s="2" t="s">
        <v>91</v>
      </c>
      <c r="D30" t="s">
        <v>36</v>
      </c>
      <c r="E30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30" s="4">
        <v>0</v>
      </c>
      <c r="G30" s="7">
        <v>0</v>
      </c>
      <c r="H30" s="7">
        <v>0</v>
      </c>
      <c r="I30" s="4">
        <v>3.8</v>
      </c>
      <c r="J30" s="7">
        <v>7</v>
      </c>
      <c r="K30" s="7">
        <v>10.8</v>
      </c>
      <c r="L30" s="4">
        <v>3</v>
      </c>
      <c r="M30" s="7">
        <v>6.35</v>
      </c>
      <c r="N30" s="7">
        <v>9.35</v>
      </c>
      <c r="O30" s="4">
        <v>0</v>
      </c>
      <c r="P30" s="7">
        <v>0</v>
      </c>
      <c r="Q30" s="7">
        <v>0</v>
      </c>
      <c r="R30" s="4">
        <f>LARGE(CHOOSE({1;2;3;4},F30,I30,L30,O30),1)+LARGE(CHOOSE({1;2;3;4},F30,I30,L30,O30),2)+LARGE(CHOOSE({1;2;3;4},F30,I30,L30,O30),3)</f>
        <v>6.8</v>
      </c>
      <c r="S30" s="7">
        <f>LARGE(CHOOSE({1;2;3;4},G30,J30,M30,P30),1)+LARGE(CHOOSE({1;2;3;4},G30,J30,M30,P30),2)+LARGE(CHOOSE({1;2;3;4},G30,J30,M30,P30),3)</f>
        <v>13.35</v>
      </c>
      <c r="T30" s="7">
        <f>LARGE(CHOOSE({1;2;3;4},H30,K30,N30,Q30),1)+LARGE(CHOOSE({1;2;3;4},H30,K30,N30,Q30),2)+LARGE(CHOOSE({1;2;3;4},H30,K30,N30,Q30),3)</f>
        <v>20.149999999999999</v>
      </c>
      <c r="U30" s="4" cm="1">
        <f t="array" ref="U30">IF(SR[[#This Row],[Number_of_competition]:[Number_of_competition]]&gt;=3,(LARGE(CHOOSE({1;2;3;4},F30,I30,L30,O30),1)+LARGE(CHOOSE({1;2;3;4},F30,I30,L30,O30),2)+LARGE(CHOOSE({1;2;3;4},F30,I30,L30,O30),3))/3,0)</f>
        <v>0</v>
      </c>
      <c r="V30" s="7" cm="1">
        <f t="array" ref="V30">IF(SR[[#This Row],[Number_of_competition]:[Number_of_competition]]&gt;=3,(LARGE(CHOOSE({1;2;3;4},G30,J30,M30,P30),1)+LARGE(CHOOSE({1;2;3;4},G30,J30,M30,P30),2)+LARGE(CHOOSE({1;2;3;4},G30,J30,M30,P30),3))/3,0)</f>
        <v>0</v>
      </c>
      <c r="W30" s="7" cm="1">
        <f t="array" ref="W30">IF(SR[[#This Row],[Number_of_competition]:[Number_of_competition]]&gt;=3,(LARGE(CHOOSE({1;2;3;4},H30,K30,N30,Q30),1)+LARGE(CHOOSE({1;2;3;4},H30,K30,N30,Q30),2)+LARGE(CHOOSE({1;2;3;4},H30,K30,N30,Q30),3))/3,0)</f>
        <v>0</v>
      </c>
      <c r="Z30" s="48" t="s">
        <v>318</v>
      </c>
      <c r="AA30" s="47">
        <v>10</v>
      </c>
      <c r="AB30" s="47">
        <v>13</v>
      </c>
      <c r="AE30" s="43" t="s">
        <v>63</v>
      </c>
      <c r="AF30" s="43" t="s">
        <v>60</v>
      </c>
      <c r="AG30" s="43" t="s">
        <v>39</v>
      </c>
      <c r="AH30">
        <v>4</v>
      </c>
      <c r="AI30" t="s">
        <v>331</v>
      </c>
      <c r="AJ30" s="43" t="s">
        <v>309</v>
      </c>
      <c r="AK30">
        <v>8</v>
      </c>
    </row>
    <row r="31" spans="1:37" ht="21" x14ac:dyDescent="0.35">
      <c r="A31" t="s">
        <v>88</v>
      </c>
      <c r="B31" s="2" t="s">
        <v>60</v>
      </c>
      <c r="C31" s="2" t="s">
        <v>89</v>
      </c>
      <c r="D31" t="s">
        <v>36</v>
      </c>
      <c r="E31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31" s="4">
        <v>0</v>
      </c>
      <c r="G31" s="7">
        <v>0</v>
      </c>
      <c r="H31" s="7">
        <v>0</v>
      </c>
      <c r="I31" s="4">
        <v>2.5</v>
      </c>
      <c r="J31" s="7">
        <v>7.2</v>
      </c>
      <c r="K31" s="7">
        <v>9.6999999999999993</v>
      </c>
      <c r="L31" s="4">
        <v>0</v>
      </c>
      <c r="M31" s="7">
        <v>0</v>
      </c>
      <c r="N31" s="7">
        <v>0</v>
      </c>
      <c r="O31" s="4">
        <v>2.2000000000000002</v>
      </c>
      <c r="P31" s="7">
        <v>7.7</v>
      </c>
      <c r="Q31" s="7">
        <v>9.9</v>
      </c>
      <c r="R31" s="4">
        <f>LARGE(CHOOSE({1;2;3;4},F31,I31,L31,O31),1)+LARGE(CHOOSE({1;2;3;4},F31,I31,L31,O31),2)+LARGE(CHOOSE({1;2;3;4},F31,I31,L31,O31),3)</f>
        <v>4.7</v>
      </c>
      <c r="S31" s="7">
        <f>LARGE(CHOOSE({1;2;3;4},G31,J31,M31,P31),1)+LARGE(CHOOSE({1;2;3;4},G31,J31,M31,P31),2)+LARGE(CHOOSE({1;2;3;4},G31,J31,M31,P31),3)</f>
        <v>14.9</v>
      </c>
      <c r="T31" s="7">
        <f>LARGE(CHOOSE({1;2;3;4},H31,K31,N31,Q31),1)+LARGE(CHOOSE({1;2;3;4},H31,K31,N31,Q31),2)+LARGE(CHOOSE({1;2;3;4},H31,K31,N31,Q31),3)</f>
        <v>19.600000000000001</v>
      </c>
      <c r="U31" s="4" cm="1">
        <f t="array" ref="U31">IF(SR[[#This Row],[Number_of_competition]:[Number_of_competition]]&gt;=3,(LARGE(CHOOSE({1;2;3;4},F31,I31,L31,O31),1)+LARGE(CHOOSE({1;2;3;4},F31,I31,L31,O31),2)+LARGE(CHOOSE({1;2;3;4},F31,I31,L31,O31),3))/3,0)</f>
        <v>0</v>
      </c>
      <c r="V31" s="7" cm="1">
        <f t="array" ref="V31">IF(SR[[#This Row],[Number_of_competition]:[Number_of_competition]]&gt;=3,(LARGE(CHOOSE({1;2;3;4},G31,J31,M31,P31),1)+LARGE(CHOOSE({1;2;3;4},G31,J31,M31,P31),2)+LARGE(CHOOSE({1;2;3;4},G31,J31,M31,P31),3))/3,0)</f>
        <v>0</v>
      </c>
      <c r="W31" s="7" cm="1">
        <f t="array" ref="W31">IF(SR[[#This Row],[Number_of_competition]:[Number_of_competition]]&gt;=3,(LARGE(CHOOSE({1;2;3;4},H31,K31,N31,Q31),1)+LARGE(CHOOSE({1;2;3;4},H31,K31,N31,Q31),2)+LARGE(CHOOSE({1;2;3;4},H31,K31,N31,Q31),3))/3,0)</f>
        <v>0</v>
      </c>
      <c r="Z31" s="48" t="s">
        <v>319</v>
      </c>
      <c r="AA31" s="47">
        <v>8</v>
      </c>
      <c r="AB31" s="47">
        <v>8</v>
      </c>
      <c r="AE31" s="43" t="s">
        <v>63</v>
      </c>
      <c r="AF31" s="43" t="s">
        <v>60</v>
      </c>
      <c r="AG31" s="43" t="s">
        <v>39</v>
      </c>
      <c r="AH31">
        <v>4</v>
      </c>
      <c r="AI31" t="s">
        <v>331</v>
      </c>
      <c r="AJ31" s="43" t="s">
        <v>268</v>
      </c>
      <c r="AK31">
        <v>12.2</v>
      </c>
    </row>
    <row r="32" spans="1:37" ht="21" x14ac:dyDescent="0.35">
      <c r="A32" t="s">
        <v>98</v>
      </c>
      <c r="B32" s="2" t="s">
        <v>60</v>
      </c>
      <c r="C32" s="2" t="s">
        <v>99</v>
      </c>
      <c r="D32" t="s">
        <v>72</v>
      </c>
      <c r="E32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32" s="4">
        <v>0</v>
      </c>
      <c r="G32" s="7">
        <v>0</v>
      </c>
      <c r="H32" s="7">
        <v>0</v>
      </c>
      <c r="I32" s="4">
        <v>2.9</v>
      </c>
      <c r="J32" s="7">
        <v>6.7</v>
      </c>
      <c r="K32" s="7">
        <v>9.6</v>
      </c>
      <c r="L32" s="4">
        <v>2.5</v>
      </c>
      <c r="M32" s="7">
        <v>6.55</v>
      </c>
      <c r="N32" s="7">
        <v>9.0500000000000007</v>
      </c>
      <c r="O32" s="4">
        <v>0</v>
      </c>
      <c r="P32" s="7">
        <v>0</v>
      </c>
      <c r="Q32" s="7">
        <v>0</v>
      </c>
      <c r="R32" s="4">
        <f>LARGE(CHOOSE({1;2;3;4},F32,I32,L32,O32),1)+LARGE(CHOOSE({1;2;3;4},F32,I32,L32,O32),2)+LARGE(CHOOSE({1;2;3;4},F32,I32,L32,O32),3)</f>
        <v>5.4</v>
      </c>
      <c r="S32" s="7">
        <f>LARGE(CHOOSE({1;2;3;4},G32,J32,M32,P32),1)+LARGE(CHOOSE({1;2;3;4},G32,J32,M32,P32),2)+LARGE(CHOOSE({1;2;3;4},G32,J32,M32,P32),3)</f>
        <v>13.25</v>
      </c>
      <c r="T32" s="7">
        <f>LARGE(CHOOSE({1;2;3;4},H32,K32,N32,Q32),1)+LARGE(CHOOSE({1;2;3;4},H32,K32,N32,Q32),2)+LARGE(CHOOSE({1;2;3;4},H32,K32,N32,Q32),3)</f>
        <v>18.649999999999999</v>
      </c>
      <c r="U32" s="4" cm="1">
        <f t="array" ref="U32">IF(SR[[#This Row],[Number_of_competition]:[Number_of_competition]]&gt;=3,(LARGE(CHOOSE({1;2;3;4},F32,I32,L32,O32),1)+LARGE(CHOOSE({1;2;3;4},F32,I32,L32,O32),2)+LARGE(CHOOSE({1;2;3;4},F32,I32,L32,O32),3))/3,0)</f>
        <v>0</v>
      </c>
      <c r="V32" s="7" cm="1">
        <f t="array" ref="V32">IF(SR[[#This Row],[Number_of_competition]:[Number_of_competition]]&gt;=3,(LARGE(CHOOSE({1;2;3;4},G32,J32,M32,P32),1)+LARGE(CHOOSE({1;2;3;4},G32,J32,M32,P32),2)+LARGE(CHOOSE({1;2;3;4},G32,J32,M32,P32),3))/3,0)</f>
        <v>0</v>
      </c>
      <c r="W32" s="7" cm="1">
        <f t="array" ref="W32">IF(SR[[#This Row],[Number_of_competition]:[Number_of_competition]]&gt;=3,(LARGE(CHOOSE({1;2;3;4},H32,K32,N32,Q32),1)+LARGE(CHOOSE({1;2;3;4},H32,K32,N32,Q32),2)+LARGE(CHOOSE({1;2;3;4},H32,K32,N32,Q32),3))/3,0)</f>
        <v>0</v>
      </c>
      <c r="Z32" s="48" t="s">
        <v>320</v>
      </c>
      <c r="AA32" s="47">
        <v>5</v>
      </c>
      <c r="AB32" s="47">
        <v>23</v>
      </c>
      <c r="AE32" s="43" t="s">
        <v>63</v>
      </c>
      <c r="AF32" s="43" t="s">
        <v>60</v>
      </c>
      <c r="AG32" s="43" t="s">
        <v>39</v>
      </c>
      <c r="AH32">
        <v>4</v>
      </c>
      <c r="AI32" t="s">
        <v>341</v>
      </c>
      <c r="AJ32" s="43" t="s">
        <v>308</v>
      </c>
      <c r="AK32">
        <v>13.099999999999998</v>
      </c>
    </row>
    <row r="33" spans="1:37" ht="21" x14ac:dyDescent="0.35">
      <c r="A33" t="s">
        <v>120</v>
      </c>
      <c r="B33" s="2" t="s">
        <v>26</v>
      </c>
      <c r="C33" s="2" t="s">
        <v>121</v>
      </c>
      <c r="D33" t="s">
        <v>39</v>
      </c>
      <c r="E33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33" s="4">
        <v>2.9</v>
      </c>
      <c r="G33" s="7">
        <v>6.7</v>
      </c>
      <c r="H33" s="7">
        <v>9.6</v>
      </c>
      <c r="I33" s="4">
        <v>0</v>
      </c>
      <c r="J33" s="7">
        <v>0</v>
      </c>
      <c r="K33" s="7">
        <v>0</v>
      </c>
      <c r="L33" s="4">
        <v>1.8</v>
      </c>
      <c r="M33" s="7">
        <v>6.8</v>
      </c>
      <c r="N33" s="7">
        <v>8.6</v>
      </c>
      <c r="O33" s="4">
        <v>0</v>
      </c>
      <c r="P33" s="7">
        <v>0</v>
      </c>
      <c r="Q33" s="7">
        <v>0</v>
      </c>
      <c r="R33" s="4">
        <f>LARGE(CHOOSE({1;2;3;4},F33,I33,L33,O33),1)+LARGE(CHOOSE({1;2;3;4},F33,I33,L33,O33),2)+LARGE(CHOOSE({1;2;3;4},F33,I33,L33,O33),3)</f>
        <v>4.7</v>
      </c>
      <c r="S33" s="7">
        <f>LARGE(CHOOSE({1;2;3;4},G33,J33,M33,P33),1)+LARGE(CHOOSE({1;2;3;4},G33,J33,M33,P33),2)+LARGE(CHOOSE({1;2;3;4},G33,J33,M33,P33),3)</f>
        <v>13.5</v>
      </c>
      <c r="T33" s="7">
        <f>LARGE(CHOOSE({1;2;3;4},H33,K33,N33,Q33),1)+LARGE(CHOOSE({1;2;3;4},H33,K33,N33,Q33),2)+LARGE(CHOOSE({1;2;3;4},H33,K33,N33,Q33),3)</f>
        <v>18.2</v>
      </c>
      <c r="U33" s="4" cm="1">
        <f t="array" ref="U33">IF(SR[[#This Row],[Number_of_competition]:[Number_of_competition]]&gt;=3,(LARGE(CHOOSE({1;2;3;4},F33,I33,L33,O33),1)+LARGE(CHOOSE({1;2;3;4},F33,I33,L33,O33),2)+LARGE(CHOOSE({1;2;3;4},F33,I33,L33,O33),3))/3,0)</f>
        <v>0</v>
      </c>
      <c r="V33" s="7" cm="1">
        <f t="array" ref="V33">IF(SR[[#This Row],[Number_of_competition]:[Number_of_competition]]&gt;=3,(LARGE(CHOOSE({1;2;3;4},G33,J33,M33,P33),1)+LARGE(CHOOSE({1;2;3;4},G33,J33,M33,P33),2)+LARGE(CHOOSE({1;2;3;4},G33,J33,M33,P33),3))/3,0)</f>
        <v>0</v>
      </c>
      <c r="W33" s="7" cm="1">
        <f t="array" ref="W33">IF(SR[[#This Row],[Number_of_competition]:[Number_of_competition]]&gt;=3,(LARGE(CHOOSE({1;2;3;4},H33,K33,N33,Q33),1)+LARGE(CHOOSE({1;2;3;4},H33,K33,N33,Q33),2)+LARGE(CHOOSE({1;2;3;4},H33,K33,N33,Q33),3))/3,0)</f>
        <v>0</v>
      </c>
      <c r="Z33" s="48" t="s">
        <v>321</v>
      </c>
      <c r="AA33" s="47"/>
      <c r="AB33" s="47">
        <v>8</v>
      </c>
      <c r="AE33" s="43" t="s">
        <v>63</v>
      </c>
      <c r="AF33" s="43" t="s">
        <v>60</v>
      </c>
      <c r="AG33" s="43" t="s">
        <v>39</v>
      </c>
      <c r="AH33">
        <v>4</v>
      </c>
      <c r="AI33" t="s">
        <v>341</v>
      </c>
      <c r="AJ33" s="43" t="s">
        <v>309</v>
      </c>
      <c r="AK33">
        <v>23.950000000000003</v>
      </c>
    </row>
    <row r="34" spans="1:37" ht="21" x14ac:dyDescent="0.35">
      <c r="A34" t="s">
        <v>108</v>
      </c>
      <c r="B34" s="2" t="s">
        <v>60</v>
      </c>
      <c r="C34" s="2" t="s">
        <v>109</v>
      </c>
      <c r="D34" t="s">
        <v>62</v>
      </c>
      <c r="E34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34" s="4">
        <v>0</v>
      </c>
      <c r="G34" s="7">
        <v>0</v>
      </c>
      <c r="H34" s="7">
        <v>0</v>
      </c>
      <c r="I34" s="4">
        <v>2.6</v>
      </c>
      <c r="J34" s="7">
        <v>1.7</v>
      </c>
      <c r="K34" s="7">
        <v>4.3</v>
      </c>
      <c r="L34" s="4">
        <v>2.9</v>
      </c>
      <c r="M34" s="7">
        <v>5.75</v>
      </c>
      <c r="N34" s="7">
        <v>8.65</v>
      </c>
      <c r="O34" s="4">
        <v>0</v>
      </c>
      <c r="P34" s="7">
        <v>0</v>
      </c>
      <c r="Q34" s="7">
        <v>0</v>
      </c>
      <c r="R34" s="4">
        <f>LARGE(CHOOSE({1;2;3;4},F34,I34,L34,O34),1)+LARGE(CHOOSE({1;2;3;4},F34,I34,L34,O34),2)+LARGE(CHOOSE({1;2;3;4},F34,I34,L34,O34),3)</f>
        <v>5.5</v>
      </c>
      <c r="S34" s="7">
        <f>LARGE(CHOOSE({1;2;3;4},G34,J34,M34,P34),1)+LARGE(CHOOSE({1;2;3;4},G34,J34,M34,P34),2)+LARGE(CHOOSE({1;2;3;4},G34,J34,M34,P34),3)</f>
        <v>7.45</v>
      </c>
      <c r="T34" s="7">
        <f>LARGE(CHOOSE({1;2;3;4},H34,K34,N34,Q34),1)+LARGE(CHOOSE({1;2;3;4},H34,K34,N34,Q34),2)+LARGE(CHOOSE({1;2;3;4},H34,K34,N34,Q34),3)</f>
        <v>12.95</v>
      </c>
      <c r="U34" s="4" cm="1">
        <f t="array" ref="U34">IF(SR[[#This Row],[Number_of_competition]:[Number_of_competition]]&gt;=3,(LARGE(CHOOSE({1;2;3;4},F34,I34,L34,O34),1)+LARGE(CHOOSE({1;2;3;4},F34,I34,L34,O34),2)+LARGE(CHOOSE({1;2;3;4},F34,I34,L34,O34),3))/3,0)</f>
        <v>0</v>
      </c>
      <c r="V34" s="7" cm="1">
        <f t="array" ref="V34">IF(SR[[#This Row],[Number_of_competition]:[Number_of_competition]]&gt;=3,(LARGE(CHOOSE({1;2;3;4},G34,J34,M34,P34),1)+LARGE(CHOOSE({1;2;3;4},G34,J34,M34,P34),2)+LARGE(CHOOSE({1;2;3;4},G34,J34,M34,P34),3))/3,0)</f>
        <v>0</v>
      </c>
      <c r="W34" s="7" cm="1">
        <f t="array" ref="W34">IF(SR[[#This Row],[Number_of_competition]:[Number_of_competition]]&gt;=3,(LARGE(CHOOSE({1;2;3;4},H34,K34,N34,Q34),1)+LARGE(CHOOSE({1;2;3;4},H34,K34,N34,Q34),2)+LARGE(CHOOSE({1;2;3;4},H34,K34,N34,Q34),3))/3,0)</f>
        <v>0</v>
      </c>
      <c r="Z34" s="48" t="s">
        <v>322</v>
      </c>
      <c r="AA34" s="47"/>
      <c r="AB34" s="47">
        <v>3</v>
      </c>
      <c r="AE34" s="43" t="s">
        <v>63</v>
      </c>
      <c r="AF34" s="43" t="s">
        <v>60</v>
      </c>
      <c r="AG34" s="43" t="s">
        <v>39</v>
      </c>
      <c r="AH34">
        <v>4</v>
      </c>
      <c r="AI34" t="s">
        <v>341</v>
      </c>
      <c r="AJ34" s="43" t="s">
        <v>268</v>
      </c>
      <c r="AK34">
        <v>36.35</v>
      </c>
    </row>
    <row r="35" spans="1:37" ht="21" x14ac:dyDescent="0.35">
      <c r="A35" t="s">
        <v>118</v>
      </c>
      <c r="B35" s="2" t="s">
        <v>60</v>
      </c>
      <c r="C35" s="2" t="s">
        <v>119</v>
      </c>
      <c r="D35" t="s">
        <v>31</v>
      </c>
      <c r="E35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35" s="4">
        <v>0</v>
      </c>
      <c r="G35" s="7">
        <v>0</v>
      </c>
      <c r="H35" s="7">
        <v>0</v>
      </c>
      <c r="I35" s="4">
        <v>0</v>
      </c>
      <c r="J35" s="7">
        <v>0</v>
      </c>
      <c r="K35" s="7">
        <v>0</v>
      </c>
      <c r="L35" s="4">
        <v>4</v>
      </c>
      <c r="M35" s="7">
        <v>7.65</v>
      </c>
      <c r="N35" s="7">
        <v>11.65</v>
      </c>
      <c r="O35" s="4">
        <v>0</v>
      </c>
      <c r="P35" s="7">
        <v>0</v>
      </c>
      <c r="Q35" s="7">
        <v>0</v>
      </c>
      <c r="R35" s="4">
        <f>LARGE(CHOOSE({1;2;3;4},F35,I35,L35,O35),1)+LARGE(CHOOSE({1;2;3;4},F35,I35,L35,O35),2)+LARGE(CHOOSE({1;2;3;4},F35,I35,L35,O35),3)</f>
        <v>4</v>
      </c>
      <c r="S35" s="7">
        <f>LARGE(CHOOSE({1;2;3;4},G35,J35,M35,P35),1)+LARGE(CHOOSE({1;2;3;4},G35,J35,M35,P35),2)+LARGE(CHOOSE({1;2;3;4},G35,J35,M35,P35),3)</f>
        <v>7.65</v>
      </c>
      <c r="T35" s="7">
        <f>LARGE(CHOOSE({1;2;3;4},H35,K35,N35,Q35),1)+LARGE(CHOOSE({1;2;3;4},H35,K35,N35,Q35),2)+LARGE(CHOOSE({1;2;3;4},H35,K35,N35,Q35),3)</f>
        <v>11.65</v>
      </c>
      <c r="U35" s="4" cm="1">
        <f t="array" ref="U35">IF(SR[[#This Row],[Number_of_competition]:[Number_of_competition]]&gt;=3,(LARGE(CHOOSE({1;2;3;4},F35,I35,L35,O35),1)+LARGE(CHOOSE({1;2;3;4},F35,I35,L35,O35),2)+LARGE(CHOOSE({1;2;3;4},F35,I35,L35,O35),3))/3,0)</f>
        <v>0</v>
      </c>
      <c r="V35" s="7" cm="1">
        <f t="array" ref="V35">IF(SR[[#This Row],[Number_of_competition]:[Number_of_competition]]&gt;=3,(LARGE(CHOOSE({1;2;3;4},G35,J35,M35,P35),1)+LARGE(CHOOSE({1;2;3;4},G35,J35,M35,P35),2)+LARGE(CHOOSE({1;2;3;4},G35,J35,M35,P35),3))/3,0)</f>
        <v>0</v>
      </c>
      <c r="W35" s="7" cm="1">
        <f t="array" ref="W35">IF(SR[[#This Row],[Number_of_competition]:[Number_of_competition]]&gt;=3,(LARGE(CHOOSE({1;2;3;4},H35,K35,N35,Q35),1)+LARGE(CHOOSE({1;2;3;4},H35,K35,N35,Q35),2)+LARGE(CHOOSE({1;2;3;4},H35,K35,N35,Q35),3))/3,0)</f>
        <v>0</v>
      </c>
      <c r="Z35" s="48" t="s">
        <v>323</v>
      </c>
      <c r="AA35" s="47"/>
      <c r="AB35" s="47">
        <v>1</v>
      </c>
      <c r="AE35" s="43" t="s">
        <v>63</v>
      </c>
      <c r="AF35" s="43" t="s">
        <v>60</v>
      </c>
      <c r="AG35" s="43" t="s">
        <v>39</v>
      </c>
      <c r="AH35">
        <v>4</v>
      </c>
      <c r="AI35" t="s">
        <v>273</v>
      </c>
      <c r="AJ35" s="43" t="s">
        <v>308</v>
      </c>
      <c r="AK35">
        <v>4.3666666666666663</v>
      </c>
    </row>
    <row r="36" spans="1:37" ht="21" x14ac:dyDescent="0.35">
      <c r="A36" t="s">
        <v>57</v>
      </c>
      <c r="B36" s="2" t="s">
        <v>26</v>
      </c>
      <c r="C36" s="2" t="s">
        <v>58</v>
      </c>
      <c r="D36" t="s">
        <v>36</v>
      </c>
      <c r="E36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36" s="4">
        <v>2.8</v>
      </c>
      <c r="G36" s="7">
        <v>8.1</v>
      </c>
      <c r="H36" s="7">
        <v>10.9</v>
      </c>
      <c r="I36" s="4">
        <v>0</v>
      </c>
      <c r="J36" s="7">
        <v>0</v>
      </c>
      <c r="K36" s="7">
        <v>0</v>
      </c>
      <c r="L36" s="4">
        <v>0</v>
      </c>
      <c r="M36" s="7">
        <v>0</v>
      </c>
      <c r="N36" s="7">
        <v>0</v>
      </c>
      <c r="O36" s="4">
        <v>0</v>
      </c>
      <c r="P36" s="7">
        <v>0</v>
      </c>
      <c r="Q36" s="7">
        <v>0</v>
      </c>
      <c r="R36" s="4">
        <f>LARGE(CHOOSE({1;2;3;4},F36,I36,L36,O36),1)+LARGE(CHOOSE({1;2;3;4},F36,I36,L36,O36),2)+LARGE(CHOOSE({1;2;3;4},F36,I36,L36,O36),3)</f>
        <v>2.8</v>
      </c>
      <c r="S36" s="7">
        <f>LARGE(CHOOSE({1;2;3;4},G36,J36,M36,P36),1)+LARGE(CHOOSE({1;2;3;4},G36,J36,M36,P36),2)+LARGE(CHOOSE({1;2;3;4},G36,J36,M36,P36),3)</f>
        <v>8.1</v>
      </c>
      <c r="T36" s="7">
        <f>LARGE(CHOOSE({1;2;3;4},H36,K36,N36,Q36),1)+LARGE(CHOOSE({1;2;3;4},H36,K36,N36,Q36),2)+LARGE(CHOOSE({1;2;3;4},H36,K36,N36,Q36),3)</f>
        <v>10.9</v>
      </c>
      <c r="U36" s="4" cm="1">
        <f t="array" ref="U36">IF(SR[[#This Row],[Number_of_competition]:[Number_of_competition]]&gt;=3,(LARGE(CHOOSE({1;2;3;4},F36,I36,L36,O36),1)+LARGE(CHOOSE({1;2;3;4},F36,I36,L36,O36),2)+LARGE(CHOOSE({1;2;3;4},F36,I36,L36,O36),3))/3,0)</f>
        <v>0</v>
      </c>
      <c r="V36" s="7" cm="1">
        <f t="array" ref="V36">IF(SR[[#This Row],[Number_of_competition]:[Number_of_competition]]&gt;=3,(LARGE(CHOOSE({1;2;3;4},G36,J36,M36,P36),1)+LARGE(CHOOSE({1;2;3;4},G36,J36,M36,P36),2)+LARGE(CHOOSE({1;2;3;4},G36,J36,M36,P36),3))/3,0)</f>
        <v>0</v>
      </c>
      <c r="W36" s="7" cm="1">
        <f t="array" ref="W36">IF(SR[[#This Row],[Number_of_competition]:[Number_of_competition]]&gt;=3,(LARGE(CHOOSE({1;2;3;4},H36,K36,N36,Q36),1)+LARGE(CHOOSE({1;2;3;4},H36,K36,N36,Q36),2)+LARGE(CHOOSE({1;2;3;4},H36,K36,N36,Q36),3))/3,0)</f>
        <v>0</v>
      </c>
      <c r="AE36" s="43" t="s">
        <v>63</v>
      </c>
      <c r="AF36" s="43" t="s">
        <v>60</v>
      </c>
      <c r="AG36" s="43" t="s">
        <v>39</v>
      </c>
      <c r="AH36">
        <v>4</v>
      </c>
      <c r="AI36" t="s">
        <v>273</v>
      </c>
      <c r="AJ36" s="43" t="s">
        <v>309</v>
      </c>
      <c r="AK36">
        <v>7.9833333333333343</v>
      </c>
    </row>
    <row r="37" spans="1:37" ht="21" x14ac:dyDescent="0.35">
      <c r="A37" t="s">
        <v>142</v>
      </c>
      <c r="B37" s="2" t="s">
        <v>60</v>
      </c>
      <c r="C37" s="2" t="s">
        <v>143</v>
      </c>
      <c r="D37" t="s">
        <v>62</v>
      </c>
      <c r="E37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37" s="4">
        <v>2.7</v>
      </c>
      <c r="G37" s="7">
        <v>8</v>
      </c>
      <c r="H37" s="7">
        <v>10.7</v>
      </c>
      <c r="I37" s="4">
        <v>0</v>
      </c>
      <c r="J37" s="7">
        <v>0</v>
      </c>
      <c r="K37" s="7">
        <v>0</v>
      </c>
      <c r="L37" s="4">
        <v>0</v>
      </c>
      <c r="M37" s="7">
        <v>0</v>
      </c>
      <c r="N37" s="7">
        <v>0</v>
      </c>
      <c r="O37" s="4">
        <v>0</v>
      </c>
      <c r="P37" s="7">
        <v>0</v>
      </c>
      <c r="Q37" s="7">
        <v>0</v>
      </c>
      <c r="R37" s="4">
        <f>LARGE(CHOOSE({1;2;3;4},F37,I37,L37,O37),1)+LARGE(CHOOSE({1;2;3;4},F37,I37,L37,O37),2)+LARGE(CHOOSE({1;2;3;4},F37,I37,L37,O37),3)</f>
        <v>2.7</v>
      </c>
      <c r="S37" s="7">
        <f>LARGE(CHOOSE({1;2;3;4},G37,J37,M37,P37),1)+LARGE(CHOOSE({1;2;3;4},G37,J37,M37,P37),2)+LARGE(CHOOSE({1;2;3;4},G37,J37,M37,P37),3)</f>
        <v>8</v>
      </c>
      <c r="T37" s="7">
        <f>LARGE(CHOOSE({1;2;3;4},H37,K37,N37,Q37),1)+LARGE(CHOOSE({1;2;3;4},H37,K37,N37,Q37),2)+LARGE(CHOOSE({1;2;3;4},H37,K37,N37,Q37),3)</f>
        <v>10.7</v>
      </c>
      <c r="U37" s="4" cm="1">
        <f t="array" ref="U37">IF(SR[[#This Row],[Number_of_competition]:[Number_of_competition]]&gt;=3,(LARGE(CHOOSE({1;2;3;4},F37,I37,L37,O37),1)+LARGE(CHOOSE({1;2;3;4},F37,I37,L37,O37),2)+LARGE(CHOOSE({1;2;3;4},F37,I37,L37,O37),3))/3,0)</f>
        <v>0</v>
      </c>
      <c r="V37" s="7" cm="1">
        <f t="array" ref="V37">IF(SR[[#This Row],[Number_of_competition]:[Number_of_competition]]&gt;=3,(LARGE(CHOOSE({1;2;3;4},G37,J37,M37,P37),1)+LARGE(CHOOSE({1;2;3;4},G37,J37,M37,P37),2)+LARGE(CHOOSE({1;2;3;4},G37,J37,M37,P37),3))/3,0)</f>
        <v>0</v>
      </c>
      <c r="W37" s="7" cm="1">
        <f t="array" ref="W37">IF(SR[[#This Row],[Number_of_competition]:[Number_of_competition]]&gt;=3,(LARGE(CHOOSE({1;2;3;4},H37,K37,N37,Q37),1)+LARGE(CHOOSE({1;2;3;4},H37,K37,N37,Q37),2)+LARGE(CHOOSE({1;2;3;4},H37,K37,N37,Q37),3))/3,0)</f>
        <v>0</v>
      </c>
      <c r="AE37" s="43" t="s">
        <v>63</v>
      </c>
      <c r="AF37" s="43" t="s">
        <v>60</v>
      </c>
      <c r="AG37" s="43" t="s">
        <v>39</v>
      </c>
      <c r="AH37">
        <v>4</v>
      </c>
      <c r="AI37" t="s">
        <v>273</v>
      </c>
      <c r="AJ37" s="43" t="s">
        <v>268</v>
      </c>
      <c r="AK37">
        <v>12.116666666666667</v>
      </c>
    </row>
    <row r="38" spans="1:37" ht="21" x14ac:dyDescent="0.35">
      <c r="A38" t="s">
        <v>102</v>
      </c>
      <c r="B38" s="2" t="s">
        <v>60</v>
      </c>
      <c r="C38" s="2" t="s">
        <v>103</v>
      </c>
      <c r="D38" t="s">
        <v>31</v>
      </c>
      <c r="E38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38" s="4">
        <v>0</v>
      </c>
      <c r="G38" s="7">
        <v>0</v>
      </c>
      <c r="H38" s="7">
        <v>0</v>
      </c>
      <c r="I38" s="4">
        <v>3.2</v>
      </c>
      <c r="J38" s="7">
        <v>6.9</v>
      </c>
      <c r="K38" s="7">
        <v>10.1</v>
      </c>
      <c r="L38" s="4">
        <v>0</v>
      </c>
      <c r="M38" s="7">
        <v>0</v>
      </c>
      <c r="N38" s="7">
        <v>0</v>
      </c>
      <c r="O38" s="4">
        <v>0</v>
      </c>
      <c r="P38" s="7">
        <v>0</v>
      </c>
      <c r="Q38" s="7">
        <v>0</v>
      </c>
      <c r="R38" s="4">
        <f>LARGE(CHOOSE({1;2;3;4},F38,I38,L38,O38),1)+LARGE(CHOOSE({1;2;3;4},F38,I38,L38,O38),2)+LARGE(CHOOSE({1;2;3;4},F38,I38,L38,O38),3)</f>
        <v>3.2</v>
      </c>
      <c r="S38" s="7">
        <f>LARGE(CHOOSE({1;2;3;4},G38,J38,M38,P38),1)+LARGE(CHOOSE({1;2;3;4},G38,J38,M38,P38),2)+LARGE(CHOOSE({1;2;3;4},G38,J38,M38,P38),3)</f>
        <v>6.9</v>
      </c>
      <c r="T38" s="7">
        <f>LARGE(CHOOSE({1;2;3;4},H38,K38,N38,Q38),1)+LARGE(CHOOSE({1;2;3;4},H38,K38,N38,Q38),2)+LARGE(CHOOSE({1;2;3;4},H38,K38,N38,Q38),3)</f>
        <v>10.1</v>
      </c>
      <c r="U38" s="4" cm="1">
        <f t="array" ref="U38">IF(SR[[#This Row],[Number_of_competition]:[Number_of_competition]]&gt;=3,(LARGE(CHOOSE({1;2;3;4},F38,I38,L38,O38),1)+LARGE(CHOOSE({1;2;3;4},F38,I38,L38,O38),2)+LARGE(CHOOSE({1;2;3;4},F38,I38,L38,O38),3))/3,0)</f>
        <v>0</v>
      </c>
      <c r="V38" s="7" cm="1">
        <f t="array" ref="V38">IF(SR[[#This Row],[Number_of_competition]:[Number_of_competition]]&gt;=3,(LARGE(CHOOSE({1;2;3;4},G38,J38,M38,P38),1)+LARGE(CHOOSE({1;2;3;4},G38,J38,M38,P38),2)+LARGE(CHOOSE({1;2;3;4},G38,J38,M38,P38),3))/3,0)</f>
        <v>0</v>
      </c>
      <c r="W38" s="7" cm="1">
        <f t="array" ref="W38">IF(SR[[#This Row],[Number_of_competition]:[Number_of_competition]]&gt;=3,(LARGE(CHOOSE({1;2;3;4},H38,K38,N38,Q38),1)+LARGE(CHOOSE({1;2;3;4},H38,K38,N38,Q38),2)+LARGE(CHOOSE({1;2;3;4},H38,K38,N38,Q38),3))/3,0)</f>
        <v>0</v>
      </c>
      <c r="AE38" s="43" t="s">
        <v>94</v>
      </c>
      <c r="AF38" s="43" t="s">
        <v>60</v>
      </c>
      <c r="AG38" s="43" t="s">
        <v>72</v>
      </c>
      <c r="AH38">
        <v>3</v>
      </c>
      <c r="AI38" t="s">
        <v>317</v>
      </c>
      <c r="AJ38" s="43" t="s">
        <v>308</v>
      </c>
      <c r="AK38">
        <v>0</v>
      </c>
    </row>
    <row r="39" spans="1:37" ht="21" x14ac:dyDescent="0.35">
      <c r="A39" t="s">
        <v>100</v>
      </c>
      <c r="B39" s="2" t="s">
        <v>60</v>
      </c>
      <c r="C39" s="2" t="s">
        <v>101</v>
      </c>
      <c r="D39" t="s">
        <v>31</v>
      </c>
      <c r="E39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39" s="4">
        <v>2.9</v>
      </c>
      <c r="G39" s="7">
        <v>7</v>
      </c>
      <c r="H39" s="7">
        <v>9.9</v>
      </c>
      <c r="I39" s="4">
        <v>0</v>
      </c>
      <c r="J39" s="7">
        <v>0</v>
      </c>
      <c r="K39" s="7">
        <v>0</v>
      </c>
      <c r="L39" s="4">
        <v>0</v>
      </c>
      <c r="M39" s="7">
        <v>0</v>
      </c>
      <c r="N39" s="7">
        <v>0</v>
      </c>
      <c r="O39" s="4">
        <v>0</v>
      </c>
      <c r="P39" s="7">
        <v>0</v>
      </c>
      <c r="Q39" s="7">
        <v>0</v>
      </c>
      <c r="R39" s="4">
        <f>LARGE(CHOOSE({1;2;3;4},F39,I39,L39,O39),1)+LARGE(CHOOSE({1;2;3;4},F39,I39,L39,O39),2)+LARGE(CHOOSE({1;2;3;4},F39,I39,L39,O39),3)</f>
        <v>2.9</v>
      </c>
      <c r="S39" s="7">
        <f>LARGE(CHOOSE({1;2;3;4},G39,J39,M39,P39),1)+LARGE(CHOOSE({1;2;3;4},G39,J39,M39,P39),2)+LARGE(CHOOSE({1;2;3;4},G39,J39,M39,P39),3)</f>
        <v>7</v>
      </c>
      <c r="T39" s="7">
        <f>LARGE(CHOOSE({1;2;3;4},H39,K39,N39,Q39),1)+LARGE(CHOOSE({1;2;3;4},H39,K39,N39,Q39),2)+LARGE(CHOOSE({1;2;3;4},H39,K39,N39,Q39),3)</f>
        <v>9.9</v>
      </c>
      <c r="U39" s="4" cm="1">
        <f t="array" ref="U39">IF(SR[[#This Row],[Number_of_competition]:[Number_of_competition]]&gt;=3,(LARGE(CHOOSE({1;2;3;4},F39,I39,L39,O39),1)+LARGE(CHOOSE({1;2;3;4},F39,I39,L39,O39),2)+LARGE(CHOOSE({1;2;3;4},F39,I39,L39,O39),3))/3,0)</f>
        <v>0</v>
      </c>
      <c r="V39" s="7" cm="1">
        <f t="array" ref="V39">IF(SR[[#This Row],[Number_of_competition]:[Number_of_competition]]&gt;=3,(LARGE(CHOOSE({1;2;3;4},G39,J39,M39,P39),1)+LARGE(CHOOSE({1;2;3;4},G39,J39,M39,P39),2)+LARGE(CHOOSE({1;2;3;4},G39,J39,M39,P39),3))/3,0)</f>
        <v>0</v>
      </c>
      <c r="W39" s="7" cm="1">
        <f t="array" ref="W39">IF(SR[[#This Row],[Number_of_competition]:[Number_of_competition]]&gt;=3,(LARGE(CHOOSE({1;2;3;4},H39,K39,N39,Q39),1)+LARGE(CHOOSE({1;2;3;4},H39,K39,N39,Q39),2)+LARGE(CHOOSE({1;2;3;4},H39,K39,N39,Q39),3))/3,0)</f>
        <v>0</v>
      </c>
      <c r="AE39" s="43" t="s">
        <v>94</v>
      </c>
      <c r="AF39" s="43" t="s">
        <v>60</v>
      </c>
      <c r="AG39" s="43" t="s">
        <v>72</v>
      </c>
      <c r="AH39">
        <v>3</v>
      </c>
      <c r="AI39" t="s">
        <v>317</v>
      </c>
      <c r="AJ39" s="43" t="s">
        <v>309</v>
      </c>
      <c r="AK39">
        <v>0</v>
      </c>
    </row>
    <row r="40" spans="1:37" ht="21" x14ac:dyDescent="0.35">
      <c r="A40" t="s">
        <v>114</v>
      </c>
      <c r="B40" s="2" t="s">
        <v>26</v>
      </c>
      <c r="C40" s="2" t="s">
        <v>115</v>
      </c>
      <c r="D40" t="s">
        <v>36</v>
      </c>
      <c r="E40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40" s="4">
        <v>0</v>
      </c>
      <c r="G40" s="7">
        <v>0</v>
      </c>
      <c r="H40" s="7">
        <v>0</v>
      </c>
      <c r="I40" s="4">
        <v>0</v>
      </c>
      <c r="J40" s="7">
        <v>0</v>
      </c>
      <c r="K40" s="7">
        <v>0</v>
      </c>
      <c r="L40" s="4">
        <v>1.7</v>
      </c>
      <c r="M40" s="7">
        <v>7.85</v>
      </c>
      <c r="N40" s="7">
        <v>9.5500000000000007</v>
      </c>
      <c r="O40" s="4">
        <v>0</v>
      </c>
      <c r="P40" s="7">
        <v>0</v>
      </c>
      <c r="Q40" s="7">
        <v>0</v>
      </c>
      <c r="R40" s="4">
        <f>LARGE(CHOOSE({1;2;3;4},F40,I40,L40,O40),1)+LARGE(CHOOSE({1;2;3;4},F40,I40,L40,O40),2)+LARGE(CHOOSE({1;2;3;4},F40,I40,L40,O40),3)</f>
        <v>1.7</v>
      </c>
      <c r="S40" s="7">
        <f>LARGE(CHOOSE({1;2;3;4},G40,J40,M40,P40),1)+LARGE(CHOOSE({1;2;3;4},G40,J40,M40,P40),2)+LARGE(CHOOSE({1;2;3;4},G40,J40,M40,P40),3)</f>
        <v>7.85</v>
      </c>
      <c r="T40" s="7">
        <f>LARGE(CHOOSE({1;2;3;4},H40,K40,N40,Q40),1)+LARGE(CHOOSE({1;2;3;4},H40,K40,N40,Q40),2)+LARGE(CHOOSE({1;2;3;4},H40,K40,N40,Q40),3)</f>
        <v>9.5500000000000007</v>
      </c>
      <c r="U40" s="4" cm="1">
        <f t="array" ref="U40">IF(SR[[#This Row],[Number_of_competition]:[Number_of_competition]]&gt;=3,(LARGE(CHOOSE({1;2;3;4},F40,I40,L40,O40),1)+LARGE(CHOOSE({1;2;3;4},F40,I40,L40,O40),2)+LARGE(CHOOSE({1;2;3;4},F40,I40,L40,O40),3))/3,0)</f>
        <v>0</v>
      </c>
      <c r="V40" s="7" cm="1">
        <f t="array" ref="V40">IF(SR[[#This Row],[Number_of_competition]:[Number_of_competition]]&gt;=3,(LARGE(CHOOSE({1;2;3;4},G40,J40,M40,P40),1)+LARGE(CHOOSE({1;2;3;4},G40,J40,M40,P40),2)+LARGE(CHOOSE({1;2;3;4},G40,J40,M40,P40),3))/3,0)</f>
        <v>0</v>
      </c>
      <c r="W40" s="7" cm="1">
        <f t="array" ref="W40">IF(SR[[#This Row],[Number_of_competition]:[Number_of_competition]]&gt;=3,(LARGE(CHOOSE({1;2;3;4},H40,K40,N40,Q40),1)+LARGE(CHOOSE({1;2;3;4},H40,K40,N40,Q40),2)+LARGE(CHOOSE({1;2;3;4},H40,K40,N40,Q40),3))/3,0)</f>
        <v>0</v>
      </c>
      <c r="AE40" s="43" t="s">
        <v>94</v>
      </c>
      <c r="AF40" s="43" t="s">
        <v>60</v>
      </c>
      <c r="AG40" s="43" t="s">
        <v>72</v>
      </c>
      <c r="AH40">
        <v>3</v>
      </c>
      <c r="AI40" t="s">
        <v>317</v>
      </c>
      <c r="AJ40" s="43" t="s">
        <v>268</v>
      </c>
      <c r="AK40">
        <v>0</v>
      </c>
    </row>
    <row r="41" spans="1:37" ht="21" x14ac:dyDescent="0.35">
      <c r="A41" t="s">
        <v>132</v>
      </c>
      <c r="B41" s="2" t="s">
        <v>26</v>
      </c>
      <c r="C41" s="2" t="s">
        <v>133</v>
      </c>
      <c r="D41" t="s">
        <v>39</v>
      </c>
      <c r="E41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41" s="4">
        <v>2.2999999999999998</v>
      </c>
      <c r="G41" s="7">
        <v>7.15</v>
      </c>
      <c r="H41" s="7">
        <v>9.4499999999999993</v>
      </c>
      <c r="I41" s="4">
        <v>0</v>
      </c>
      <c r="J41" s="7">
        <v>0</v>
      </c>
      <c r="K41" s="7">
        <v>0</v>
      </c>
      <c r="L41" s="4">
        <v>0</v>
      </c>
      <c r="M41" s="7">
        <v>0</v>
      </c>
      <c r="N41" s="7">
        <v>0</v>
      </c>
      <c r="O41" s="4">
        <v>0</v>
      </c>
      <c r="P41" s="7">
        <v>0</v>
      </c>
      <c r="Q41" s="7">
        <v>0</v>
      </c>
      <c r="R41" s="4">
        <f>LARGE(CHOOSE({1;2;3;4},F41,I41,L41,O41),1)+LARGE(CHOOSE({1;2;3;4},F41,I41,L41,O41),2)+LARGE(CHOOSE({1;2;3;4},F41,I41,L41,O41),3)</f>
        <v>2.2999999999999998</v>
      </c>
      <c r="S41" s="7">
        <f>LARGE(CHOOSE({1;2;3;4},G41,J41,M41,P41),1)+LARGE(CHOOSE({1;2;3;4},G41,J41,M41,P41),2)+LARGE(CHOOSE({1;2;3;4},G41,J41,M41,P41),3)</f>
        <v>7.15</v>
      </c>
      <c r="T41" s="7">
        <f>LARGE(CHOOSE({1;2;3;4},H41,K41,N41,Q41),1)+LARGE(CHOOSE({1;2;3;4},H41,K41,N41,Q41),2)+LARGE(CHOOSE({1;2;3;4},H41,K41,N41,Q41),3)</f>
        <v>9.4499999999999993</v>
      </c>
      <c r="U41" s="4" cm="1">
        <f t="array" ref="U41">IF(SR[[#This Row],[Number_of_competition]:[Number_of_competition]]&gt;=3,(LARGE(CHOOSE({1;2;3;4},F41,I41,L41,O41),1)+LARGE(CHOOSE({1;2;3;4},F41,I41,L41,O41),2)+LARGE(CHOOSE({1;2;3;4},F41,I41,L41,O41),3))/3,0)</f>
        <v>0</v>
      </c>
      <c r="V41" s="7" cm="1">
        <f t="array" ref="V41">IF(SR[[#This Row],[Number_of_competition]:[Number_of_competition]]&gt;=3,(LARGE(CHOOSE({1;2;3;4},G41,J41,M41,P41),1)+LARGE(CHOOSE({1;2;3;4},G41,J41,M41,P41),2)+LARGE(CHOOSE({1;2;3;4},G41,J41,M41,P41),3))/3,0)</f>
        <v>0</v>
      </c>
      <c r="W41" s="7" cm="1">
        <f t="array" ref="W41">IF(SR[[#This Row],[Number_of_competition]:[Number_of_competition]]&gt;=3,(LARGE(CHOOSE({1;2;3;4},H41,K41,N41,Q41),1)+LARGE(CHOOSE({1;2;3;4},H41,K41,N41,Q41),2)+LARGE(CHOOSE({1;2;3;4},H41,K41,N41,Q41),3))/3,0)</f>
        <v>0</v>
      </c>
      <c r="AE41" s="43" t="s">
        <v>94</v>
      </c>
      <c r="AF41" s="43" t="s">
        <v>60</v>
      </c>
      <c r="AG41" s="43" t="s">
        <v>72</v>
      </c>
      <c r="AH41">
        <v>3</v>
      </c>
      <c r="AI41" t="s">
        <v>325</v>
      </c>
      <c r="AJ41" s="43" t="s">
        <v>308</v>
      </c>
      <c r="AK41">
        <v>4</v>
      </c>
    </row>
    <row r="42" spans="1:37" ht="21" x14ac:dyDescent="0.35">
      <c r="A42" t="s">
        <v>122</v>
      </c>
      <c r="B42" s="2" t="s">
        <v>26</v>
      </c>
      <c r="C42" s="2" t="s">
        <v>123</v>
      </c>
      <c r="D42" t="s">
        <v>124</v>
      </c>
      <c r="E42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42" s="4">
        <v>0</v>
      </c>
      <c r="G42" s="7">
        <v>0</v>
      </c>
      <c r="H42" s="7">
        <v>0</v>
      </c>
      <c r="I42" s="4">
        <v>0</v>
      </c>
      <c r="J42" s="7">
        <v>0</v>
      </c>
      <c r="K42" s="7">
        <v>0</v>
      </c>
      <c r="L42" s="4">
        <v>2</v>
      </c>
      <c r="M42" s="7">
        <v>7.35</v>
      </c>
      <c r="N42" s="7">
        <v>9.35</v>
      </c>
      <c r="O42" s="4">
        <v>0</v>
      </c>
      <c r="P42" s="7">
        <v>0</v>
      </c>
      <c r="Q42" s="7">
        <v>0</v>
      </c>
      <c r="R42" s="4">
        <f>LARGE(CHOOSE({1;2;3;4},F42,I42,L42,O42),1)+LARGE(CHOOSE({1;2;3;4},F42,I42,L42,O42),2)+LARGE(CHOOSE({1;2;3;4},F42,I42,L42,O42),3)</f>
        <v>2</v>
      </c>
      <c r="S42" s="7">
        <f>LARGE(CHOOSE({1;2;3;4},G42,J42,M42,P42),1)+LARGE(CHOOSE({1;2;3;4},G42,J42,M42,P42),2)+LARGE(CHOOSE({1;2;3;4},G42,J42,M42,P42),3)</f>
        <v>7.35</v>
      </c>
      <c r="T42" s="7">
        <f>LARGE(CHOOSE({1;2;3;4},H42,K42,N42,Q42),1)+LARGE(CHOOSE({1;2;3;4},H42,K42,N42,Q42),2)+LARGE(CHOOSE({1;2;3;4},H42,K42,N42,Q42),3)</f>
        <v>9.35</v>
      </c>
      <c r="U42" s="4" cm="1">
        <f t="array" ref="U42">IF(SR[[#This Row],[Number_of_competition]:[Number_of_competition]]&gt;=3,(LARGE(CHOOSE({1;2;3;4},F42,I42,L42,O42),1)+LARGE(CHOOSE({1;2;3;4},F42,I42,L42,O42),2)+LARGE(CHOOSE({1;2;3;4},F42,I42,L42,O42),3))/3,0)</f>
        <v>0</v>
      </c>
      <c r="V42" s="7" cm="1">
        <f t="array" ref="V42">IF(SR[[#This Row],[Number_of_competition]:[Number_of_competition]]&gt;=3,(LARGE(CHOOSE({1;2;3;4},G42,J42,M42,P42),1)+LARGE(CHOOSE({1;2;3;4},G42,J42,M42,P42),2)+LARGE(CHOOSE({1;2;3;4},G42,J42,M42,P42),3))/3,0)</f>
        <v>0</v>
      </c>
      <c r="W42" s="7" cm="1">
        <f t="array" ref="W42">IF(SR[[#This Row],[Number_of_competition]:[Number_of_competition]]&gt;=3,(LARGE(CHOOSE({1;2;3;4},H42,K42,N42,Q42),1)+LARGE(CHOOSE({1;2;3;4},H42,K42,N42,Q42),2)+LARGE(CHOOSE({1;2;3;4},H42,K42,N42,Q42),3))/3,0)</f>
        <v>0</v>
      </c>
      <c r="AE42" s="43" t="s">
        <v>94</v>
      </c>
      <c r="AF42" s="43" t="s">
        <v>60</v>
      </c>
      <c r="AG42" s="43" t="s">
        <v>72</v>
      </c>
      <c r="AH42">
        <v>3</v>
      </c>
      <c r="AI42" t="s">
        <v>325</v>
      </c>
      <c r="AJ42" s="43" t="s">
        <v>309</v>
      </c>
      <c r="AK42">
        <v>8.4</v>
      </c>
    </row>
    <row r="43" spans="1:37" ht="21" x14ac:dyDescent="0.35">
      <c r="A43" t="s">
        <v>139</v>
      </c>
      <c r="B43" s="2" t="s">
        <v>26</v>
      </c>
      <c r="C43" s="2" t="s">
        <v>140</v>
      </c>
      <c r="D43" t="s">
        <v>124</v>
      </c>
      <c r="E43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43" s="4">
        <v>2.1</v>
      </c>
      <c r="G43" s="7">
        <v>6.5</v>
      </c>
      <c r="H43" s="7">
        <v>8.6</v>
      </c>
      <c r="I43" s="4">
        <v>0</v>
      </c>
      <c r="J43" s="7">
        <v>0</v>
      </c>
      <c r="K43" s="7">
        <v>0</v>
      </c>
      <c r="L43" s="4">
        <v>0</v>
      </c>
      <c r="M43" s="7">
        <v>0</v>
      </c>
      <c r="N43" s="7">
        <v>0</v>
      </c>
      <c r="O43" s="4">
        <v>0</v>
      </c>
      <c r="P43" s="7">
        <v>0</v>
      </c>
      <c r="Q43" s="7">
        <v>0</v>
      </c>
      <c r="R43" s="4">
        <f>LARGE(CHOOSE({1;2;3;4},F43,I43,L43,O43),1)+LARGE(CHOOSE({1;2;3;4},F43,I43,L43,O43),2)+LARGE(CHOOSE({1;2;3;4},F43,I43,L43,O43),3)</f>
        <v>2.1</v>
      </c>
      <c r="S43" s="7">
        <f>LARGE(CHOOSE({1;2;3;4},G43,J43,M43,P43),1)+LARGE(CHOOSE({1;2;3;4},G43,J43,M43,P43),2)+LARGE(CHOOSE({1;2;3;4},G43,J43,M43,P43),3)</f>
        <v>6.5</v>
      </c>
      <c r="T43" s="7">
        <f>LARGE(CHOOSE({1;2;3;4},H43,K43,N43,Q43),1)+LARGE(CHOOSE({1;2;3;4},H43,K43,N43,Q43),2)+LARGE(CHOOSE({1;2;3;4},H43,K43,N43,Q43),3)</f>
        <v>8.6</v>
      </c>
      <c r="U43" s="4" cm="1">
        <f t="array" ref="U43">IF(SR[[#This Row],[Number_of_competition]:[Number_of_competition]]&gt;=3,(LARGE(CHOOSE({1;2;3;4},F43,I43,L43,O43),1)+LARGE(CHOOSE({1;2;3;4},F43,I43,L43,O43),2)+LARGE(CHOOSE({1;2;3;4},F43,I43,L43,O43),3))/3,0)</f>
        <v>0</v>
      </c>
      <c r="V43" s="7" cm="1">
        <f t="array" ref="V43">IF(SR[[#This Row],[Number_of_competition]:[Number_of_competition]]&gt;=3,(LARGE(CHOOSE({1;2;3;4},G43,J43,M43,P43),1)+LARGE(CHOOSE({1;2;3;4},G43,J43,M43,P43),2)+LARGE(CHOOSE({1;2;3;4},G43,J43,M43,P43),3))/3,0)</f>
        <v>0</v>
      </c>
      <c r="W43" s="7" cm="1">
        <f t="array" ref="W43">IF(SR[[#This Row],[Number_of_competition]:[Number_of_competition]]&gt;=3,(LARGE(CHOOSE({1;2;3;4},H43,K43,N43,Q43),1)+LARGE(CHOOSE({1;2;3;4},H43,K43,N43,Q43),2)+LARGE(CHOOSE({1;2;3;4},H43,K43,N43,Q43),3))/3,0)</f>
        <v>0</v>
      </c>
      <c r="AE43" s="43" t="s">
        <v>94</v>
      </c>
      <c r="AF43" s="43" t="s">
        <v>60</v>
      </c>
      <c r="AG43" s="43" t="s">
        <v>72</v>
      </c>
      <c r="AH43">
        <v>3</v>
      </c>
      <c r="AI43" t="s">
        <v>325</v>
      </c>
      <c r="AJ43" s="43" t="s">
        <v>268</v>
      </c>
      <c r="AK43">
        <v>12.4</v>
      </c>
    </row>
    <row r="44" spans="1:37" ht="21" x14ac:dyDescent="0.35">
      <c r="A44" t="s">
        <v>135</v>
      </c>
      <c r="B44" s="2" t="s">
        <v>26</v>
      </c>
      <c r="C44" s="2" t="s">
        <v>136</v>
      </c>
      <c r="D44" t="s">
        <v>124</v>
      </c>
      <c r="E44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44" s="4">
        <v>2.1</v>
      </c>
      <c r="G44" s="7">
        <v>5.2</v>
      </c>
      <c r="H44" s="7">
        <v>7.3</v>
      </c>
      <c r="I44" s="4">
        <v>0</v>
      </c>
      <c r="J44" s="7">
        <v>0</v>
      </c>
      <c r="K44" s="7">
        <v>0</v>
      </c>
      <c r="L44" s="4">
        <v>0</v>
      </c>
      <c r="M44" s="7">
        <v>0</v>
      </c>
      <c r="N44" s="7">
        <v>0</v>
      </c>
      <c r="O44" s="4">
        <v>0</v>
      </c>
      <c r="P44" s="7">
        <v>0</v>
      </c>
      <c r="Q44" s="7">
        <v>0</v>
      </c>
      <c r="R44" s="4">
        <f>LARGE(CHOOSE({1;2;3;4},F44,I44,L44,O44),1)+LARGE(CHOOSE({1;2;3;4},F44,I44,L44,O44),2)+LARGE(CHOOSE({1;2;3;4},F44,I44,L44,O44),3)</f>
        <v>2.1</v>
      </c>
      <c r="S44" s="7">
        <f>LARGE(CHOOSE({1;2;3;4},G44,J44,M44,P44),1)+LARGE(CHOOSE({1;2;3;4},G44,J44,M44,P44),2)+LARGE(CHOOSE({1;2;3;4},G44,J44,M44,P44),3)</f>
        <v>5.2</v>
      </c>
      <c r="T44" s="7">
        <f>LARGE(CHOOSE({1;2;3;4},H44,K44,N44,Q44),1)+LARGE(CHOOSE({1;2;3;4},H44,K44,N44,Q44),2)+LARGE(CHOOSE({1;2;3;4},H44,K44,N44,Q44),3)</f>
        <v>7.3</v>
      </c>
      <c r="U44" s="4" cm="1">
        <f t="array" ref="U44">IF(SR[[#This Row],[Number_of_competition]:[Number_of_competition]]&gt;=3,(LARGE(CHOOSE({1;2;3;4},F44,I44,L44,O44),1)+LARGE(CHOOSE({1;2;3;4},F44,I44,L44,O44),2)+LARGE(CHOOSE({1;2;3;4},F44,I44,L44,O44),3))/3,0)</f>
        <v>0</v>
      </c>
      <c r="V44" s="7" cm="1">
        <f t="array" ref="V44">IF(SR[[#This Row],[Number_of_competition]:[Number_of_competition]]&gt;=3,(LARGE(CHOOSE({1;2;3;4},G44,J44,M44,P44),1)+LARGE(CHOOSE({1;2;3;4},G44,J44,M44,P44),2)+LARGE(CHOOSE({1;2;3;4},G44,J44,M44,P44),3))/3,0)</f>
        <v>0</v>
      </c>
      <c r="W44" s="7" cm="1">
        <f t="array" ref="W44">IF(SR[[#This Row],[Number_of_competition]:[Number_of_competition]]&gt;=3,(LARGE(CHOOSE({1;2;3;4},H44,K44,N44,Q44),1)+LARGE(CHOOSE({1;2;3;4},H44,K44,N44,Q44),2)+LARGE(CHOOSE({1;2;3;4},H44,K44,N44,Q44),3))/3,0)</f>
        <v>0</v>
      </c>
      <c r="AE44" s="43" t="s">
        <v>94</v>
      </c>
      <c r="AF44" s="43" t="s">
        <v>60</v>
      </c>
      <c r="AG44" s="43" t="s">
        <v>72</v>
      </c>
      <c r="AH44">
        <v>3</v>
      </c>
      <c r="AI44" t="s">
        <v>330</v>
      </c>
      <c r="AJ44" s="43" t="s">
        <v>308</v>
      </c>
      <c r="AK44">
        <v>4</v>
      </c>
    </row>
    <row r="45" spans="1:37" ht="21" x14ac:dyDescent="0.35">
      <c r="A45" t="s">
        <v>137</v>
      </c>
      <c r="B45" s="2" t="s">
        <v>26</v>
      </c>
      <c r="C45" s="2" t="s">
        <v>138</v>
      </c>
      <c r="D45" t="s">
        <v>124</v>
      </c>
      <c r="E45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45" s="4">
        <v>1.5</v>
      </c>
      <c r="G45" s="7">
        <v>3.3</v>
      </c>
      <c r="H45" s="7">
        <v>4.8</v>
      </c>
      <c r="I45" s="4">
        <v>0</v>
      </c>
      <c r="J45" s="7">
        <v>0</v>
      </c>
      <c r="K45" s="7">
        <v>0</v>
      </c>
      <c r="L45" s="4">
        <v>0</v>
      </c>
      <c r="M45" s="7">
        <v>0</v>
      </c>
      <c r="N45" s="7">
        <v>0</v>
      </c>
      <c r="O45" s="4">
        <v>0</v>
      </c>
      <c r="P45" s="7">
        <v>0</v>
      </c>
      <c r="Q45" s="7">
        <v>0</v>
      </c>
      <c r="R45" s="4">
        <f>LARGE(CHOOSE({1;2;3;4},F45,I45,L45,O45),1)+LARGE(CHOOSE({1;2;3;4},F45,I45,L45,O45),2)+LARGE(CHOOSE({1;2;3;4},F45,I45,L45,O45),3)</f>
        <v>1.5</v>
      </c>
      <c r="S45" s="7">
        <f>LARGE(CHOOSE({1;2;3;4},G45,J45,M45,P45),1)+LARGE(CHOOSE({1;2;3;4},G45,J45,M45,P45),2)+LARGE(CHOOSE({1;2;3;4},G45,J45,M45,P45),3)</f>
        <v>3.3</v>
      </c>
      <c r="T45" s="7">
        <f>LARGE(CHOOSE({1;2;3;4},H45,K45,N45,Q45),1)+LARGE(CHOOSE({1;2;3;4},H45,K45,N45,Q45),2)+LARGE(CHOOSE({1;2;3;4},H45,K45,N45,Q45),3)</f>
        <v>4.8</v>
      </c>
      <c r="U45" s="4" cm="1">
        <f t="array" ref="U45">IF(SR[[#This Row],[Number_of_competition]:[Number_of_competition]]&gt;=3,(LARGE(CHOOSE({1;2;3;4},F45,I45,L45,O45),1)+LARGE(CHOOSE({1;2;3;4},F45,I45,L45,O45),2)+LARGE(CHOOSE({1;2;3;4},F45,I45,L45,O45),3))/3,0)</f>
        <v>0</v>
      </c>
      <c r="V45" s="7" cm="1">
        <f t="array" ref="V45">IF(SR[[#This Row],[Number_of_competition]:[Number_of_competition]]&gt;=3,(LARGE(CHOOSE({1;2;3;4},G45,J45,M45,P45),1)+LARGE(CHOOSE({1;2;3;4},G45,J45,M45,P45),2)+LARGE(CHOOSE({1;2;3;4},G45,J45,M45,P45),3))/3,0)</f>
        <v>0</v>
      </c>
      <c r="W45" s="7" cm="1">
        <f t="array" ref="W45">IF(SR[[#This Row],[Number_of_competition]:[Number_of_competition]]&gt;=3,(LARGE(CHOOSE({1;2;3;4},H45,K45,N45,Q45),1)+LARGE(CHOOSE({1;2;3;4},H45,K45,N45,Q45),2)+LARGE(CHOOSE({1;2;3;4},H45,K45,N45,Q45),3))/3,0)</f>
        <v>0</v>
      </c>
      <c r="AE45" s="43" t="s">
        <v>94</v>
      </c>
      <c r="AF45" s="43" t="s">
        <v>60</v>
      </c>
      <c r="AG45" s="43" t="s">
        <v>72</v>
      </c>
      <c r="AH45">
        <v>3</v>
      </c>
      <c r="AI45" t="s">
        <v>330</v>
      </c>
      <c r="AJ45" s="43" t="s">
        <v>309</v>
      </c>
      <c r="AK45">
        <v>7.65</v>
      </c>
    </row>
    <row r="46" spans="1:37" ht="21" x14ac:dyDescent="0.35">
      <c r="AE46" s="43" t="s">
        <v>94</v>
      </c>
      <c r="AF46" s="43" t="s">
        <v>60</v>
      </c>
      <c r="AG46" s="43" t="s">
        <v>72</v>
      </c>
      <c r="AH46">
        <v>3</v>
      </c>
      <c r="AI46" t="s">
        <v>330</v>
      </c>
      <c r="AJ46" s="43" t="s">
        <v>268</v>
      </c>
      <c r="AK46">
        <v>11.65</v>
      </c>
    </row>
    <row r="47" spans="1:37" ht="21" x14ac:dyDescent="0.35">
      <c r="AE47" s="43" t="s">
        <v>94</v>
      </c>
      <c r="AF47" s="43" t="s">
        <v>60</v>
      </c>
      <c r="AG47" s="43" t="s">
        <v>72</v>
      </c>
      <c r="AH47">
        <v>3</v>
      </c>
      <c r="AI47" t="s">
        <v>331</v>
      </c>
      <c r="AJ47" s="43" t="s">
        <v>308</v>
      </c>
      <c r="AK47">
        <v>4.3</v>
      </c>
    </row>
    <row r="48" spans="1:37" ht="21" x14ac:dyDescent="0.35">
      <c r="A48" s="16" t="s">
        <v>2</v>
      </c>
      <c r="B48" s="16" t="s">
        <v>266</v>
      </c>
      <c r="C48" s="16" t="s">
        <v>271</v>
      </c>
      <c r="D48" s="17" t="s">
        <v>272</v>
      </c>
      <c r="E48" s="17" t="s">
        <v>270</v>
      </c>
      <c r="F48" s="18" t="s">
        <v>253</v>
      </c>
      <c r="AE48" s="43" t="s">
        <v>94</v>
      </c>
      <c r="AF48" s="43" t="s">
        <v>60</v>
      </c>
      <c r="AG48" s="43" t="s">
        <v>72</v>
      </c>
      <c r="AH48">
        <v>3</v>
      </c>
      <c r="AI48" t="s">
        <v>331</v>
      </c>
      <c r="AJ48" s="43" t="s">
        <v>309</v>
      </c>
      <c r="AK48">
        <v>7.2</v>
      </c>
    </row>
    <row r="49" spans="1:37" ht="21" x14ac:dyDescent="0.35">
      <c r="A49" s="15" t="s">
        <v>60</v>
      </c>
      <c r="B49" s="15" t="s">
        <v>269</v>
      </c>
      <c r="C49" s="4" cm="1">
        <f t="array" ref="C49">SUM(_xlfn._xlws.FILTER(SR[bydgoszcz_SR_Dscore],SR[Category]="senior"),_xlfn._xlws.FILTER(SR[zabrze_SR_Dscore],SR[Category]="senior"),_xlfn._xlws.FILTER(SR[cracow_SR_Dscore],SR[Category]="senior"),_xlfn._xlws.FILTER(SR[gdansk_SR_Dscore],SR[Category]="senior"))/(COUNTIFS(SR[bydgoszcz_SR_Dscore],"&gt;0",SR[Category],"senior")+COUNTIFS(SR[zabrze_SR_Dscore],"&gt;0",SR[Category],"senior")+COUNTIFS(SR[cracow_SR_Dscore],"&gt;0",SR[Category],"senior")+COUNTIFS(SR[gdansk_SR_Dscore],"&gt;0",SR[Category],"senior"))</f>
        <v>3.563333333333333</v>
      </c>
      <c r="D49" s="4" cm="1">
        <f t="array" ref="D49">_xlfn.STDEV.S(_xlfn._xlws.FILTER(SR[bydgoszcz_SR_Dscore],(SR[Category]="senior")*(SR[bydgoszcz_SR_Dscore])&gt;0),_xlfn._xlws.FILTER(SR[zabrze_SR_Dscore],(SR[Category]="senior")*(SR[zabrze_SR_Dscore])&gt;0),_xlfn._xlws.FILTER(SR[cracow_SR_Dscore],(SR[Category]="senior")*(SR[cracow_SR_Dscore])&gt;0),_xlfn._xlws.FILTER(SR[gdansk_SR_Dscore],(SR[Category]="senior")*(SR[gdansk_SR_Dscore])&gt;0))</f>
        <v>0.66586675174050203</v>
      </c>
      <c r="E49" s="4" cm="1">
        <f t="array" ref="E49">MAX(_xlfn._xlws.FILTER(SR[bydgoszcz_SR_Dscore],SR[Category]="senior"),_xlfn._xlws.FILTER(SR[zabrze_SR_Dscore],SR[Category]="senior"),_xlfn._xlws.FILTER(SR[cracow_SR_Dscore],SR[Category]="senior"),_xlfn._xlws.FILTER(SR[gdansk_SR_Dscore],SR[Category]="senior"))</f>
        <v>5.3</v>
      </c>
      <c r="F49" s="2" t="str" cm="1">
        <f t="array" ref="F49">_xlfn.XLOOKUP(E49,_xlfn._xlws.FILTER(SR[bydgoszcz_SR_Dscore],SR[Category]="senior"),_xlfn._xlws.FILTER(SR[Name],SR[Category]="senior"),_xlfn.XLOOKUP(E49,_xlfn._xlws.FILTER(SR[zabrze_SR_Dscore],SR[Category]="senior"),_xlfn._xlws.FILTER(SR[Name],SR[Category]="senior"),_xlfn.XLOOKUP(E49,_xlfn._xlws.FILTER(SR[cracow_SR_Dscore],SR[Category]="senior"),_xlfn._xlws.FILTER(SR[Name],SR[Category]="senior"),_xlfn.XLOOKUP(E49,_xlfn._xlws.FILTER(SR[gdansk_SR_Dscore],SR[Category]="senior"),_xlfn._xlws.FILTER(SR[Name],SR[Category]="senior")))))</f>
        <v>GAWROŃSKI Sebastian</v>
      </c>
      <c r="AE49" s="43" t="s">
        <v>94</v>
      </c>
      <c r="AF49" s="43" t="s">
        <v>60</v>
      </c>
      <c r="AG49" s="43" t="s">
        <v>72</v>
      </c>
      <c r="AH49">
        <v>3</v>
      </c>
      <c r="AI49" t="s">
        <v>331</v>
      </c>
      <c r="AJ49" s="43" t="s">
        <v>268</v>
      </c>
      <c r="AK49">
        <v>11.5</v>
      </c>
    </row>
    <row r="50" spans="1:37" ht="21" x14ac:dyDescent="0.35">
      <c r="A50" s="15" t="s">
        <v>60</v>
      </c>
      <c r="B50" s="15" t="s">
        <v>267</v>
      </c>
      <c r="C50" s="7" cm="1">
        <f t="array" ref="C50">SUM(_xlfn._xlws.FILTER(SR[bydgoszcz_SR_Escore],SR[Category]="senior"),_xlfn._xlws.FILTER(SR[zabrze_SR_Escore],SR[Category]="senior"),_xlfn._xlws.FILTER(SR[cracow_SR_Escore],SR[Category]="senior"),_xlfn._xlws.FILTER(SR[gdansk_SR_Escore],SR[Category]="senior"))/(COUNTIFS(SR[bydgoszcz_SR_Escore],"&gt;0",SR[Category],"senior")+COUNTIFS(SR[zabrze_SR_Escore],"&gt;0",SR[Category],"senior")+COUNTIFS(SR[cracow_SR_Escore],"&gt;0",SR[Category],"senior")+COUNTIFS(SR[gdansk_SR_Escore],"&gt;0",SR[Category],"senior"))</f>
        <v>7.38</v>
      </c>
      <c r="D50" s="7" cm="1">
        <f t="array" ref="D50">_xlfn.STDEV.S(_xlfn._xlws.FILTER(SR[bydgoszcz_SR_Escore],(SR[Category]="senior")*(SR[bydgoszcz_SR_Escore])&gt;0),_xlfn._xlws.FILTER(SR[zabrze_SR_Escore],(SR[Category]="senior")*(SR[zabrze_SR_Escore])&gt;0),_xlfn._xlws.FILTER(SR[cracow_SR_Escore],(SR[Category]="senior")*(SR[cracow_SR_Escore])&gt;0),_xlfn._xlws.FILTER(SR[gdansk_SR_Escore],(SR[Category]="senior")*(SR[gdansk_SR_Escore])&gt;0))</f>
        <v>1.1926753859584667</v>
      </c>
      <c r="E50" s="7" cm="1">
        <f t="array" ref="E50">MAX(_xlfn._xlws.FILTER(SR[bydgoszcz_SR_Escore],SR[Category]="senior"),_xlfn._xlws.FILTER(SR[zabrze_SR_Escore],SR[Category]="senior"),_xlfn._xlws.FILTER(SR[cracow_SR_Escore],SR[Category]="senior"),_xlfn._xlws.FILTER(SR[gdansk_SR_Escore],SR[Category]="senior"))</f>
        <v>9.1999999999999993</v>
      </c>
      <c r="F50" s="2" t="str" cm="1">
        <f t="array" ref="F50">_xlfn.XLOOKUP(E50,_xlfn._xlws.FILTER(SR[bydgoszcz_SR_Escore],SR[Category]="senior"),_xlfn._xlws.FILTER(SR[Name],SR[Category]="senior"),_xlfn.XLOOKUP(E50,_xlfn._xlws.FILTER(SR[zabrze_SR_Escore],SR[Category]="senior"),_xlfn._xlws.FILTER(SR[Name],SR[Category]="senior"),_xlfn.XLOOKUP(E50,_xlfn._xlws.FILTER(SR[cracow_SR_Escore],SR[Category]="senior"),_xlfn._xlws.FILTER(SR[Name],SR[Category]="senior"),_xlfn.XLOOKUP(E50,_xlfn._xlws.FILTER(SR[gdansk_SR_Escore],SR[Category]="senior"),_xlfn._xlws.FILTER(SR[Name],SR[Category]="senior")))))</f>
        <v>GARNCZAREK Kacper</v>
      </c>
      <c r="AE50" s="43" t="s">
        <v>94</v>
      </c>
      <c r="AF50" s="43" t="s">
        <v>60</v>
      </c>
      <c r="AG50" s="43" t="s">
        <v>72</v>
      </c>
      <c r="AH50">
        <v>3</v>
      </c>
      <c r="AI50" t="s">
        <v>341</v>
      </c>
      <c r="AJ50" s="43" t="s">
        <v>308</v>
      </c>
      <c r="AK50">
        <v>12.3</v>
      </c>
    </row>
    <row r="51" spans="1:37" ht="21" x14ac:dyDescent="0.35">
      <c r="A51" s="15" t="s">
        <v>60</v>
      </c>
      <c r="B51" s="15" t="s">
        <v>268</v>
      </c>
      <c r="C51" s="7" cm="1">
        <f t="array" ref="C51">SUM(_xlfn._xlws.FILTER(SR[bydgoszcz_SR_Total_Score],SR[Category]="senior"),_xlfn._xlws.FILTER(SR[zabrze_SR_Total_Score],SR[Category]="senior"),_xlfn._xlws.FILTER(SR[cracow_SR_Total_Score],SR[Category]="senior"),_xlfn._xlws.FILTER(SR[gdansk_SR_Total_Score],SR[Category]="senior"))/(COUNTIFS(SR[bydgoszcz_SR_Total_Score],"&gt;0",SR[Category],"senior")+COUNTIFS(SR[zabrze_SR_Total_Score],"&gt;0",SR[Category],"senior")+COUNTIFS(SR[cracow_SR_Total_Score],"&gt;0",SR[Category],"senior")+COUNTIFS(SR[gdansk_SR_Total_Score],"&gt;0",SR[Category],"senior"))</f>
        <v>10.943333333333335</v>
      </c>
      <c r="D51" s="7" cm="1">
        <f t="array" ref="D51">_xlfn.STDEV.S(_xlfn._xlws.FILTER(SR[bydgoszcz_SR_Total_Score],(SR[Category]="senior")*(SR[bydgoszcz_SR_Total_Score])&gt;0),_xlfn._xlws.FILTER(SR[zabrze_SR_Total_Score],(SR[Category]="senior")*(SR[zabrze_SR_Total_Score])&gt;0),_xlfn._xlws.FILTER(SR[cracow_SR_Total_Score],(SR[Category]="senior")*(SR[cracow_SR_Total_Score])&gt;0),_xlfn._xlws.FILTER(SR[gdansk_SR_Total_Score],(SR[Category]="senior")*(SR[gdansk_SR_Total_Score])&gt;0))</f>
        <v>1.5734951559028219</v>
      </c>
      <c r="E51" s="7" cm="1">
        <f t="array" ref="E51">MAX(_xlfn._xlws.FILTER(SR[bydgoszcz_SR_Total_Score],SR[Category]="senior"),_xlfn._xlws.FILTER(SR[zabrze_SR_Total_Score],SR[Category]="senior"),_xlfn._xlws.FILTER(SR[cracow_SR_Total_Score],SR[Category]="senior"),_xlfn._xlws.FILTER(SR[gdansk_SR_Total_Score],SR[Category]="senior"))</f>
        <v>13.1</v>
      </c>
      <c r="F51" s="2" t="str" cm="1">
        <f t="array" ref="F51">_xlfn.XLOOKUP(E51,_xlfn._xlws.FILTER(SR[bydgoszcz_SR_Total_Score],SR[Category]="senior"),_xlfn._xlws.FILTER(SR[Name],SR[Category]="senior"),_xlfn.XLOOKUP(E51,_xlfn._xlws.FILTER(SR[zabrze_SR_Total_Score],SR[Category]="senior"),_xlfn._xlws.FILTER(SR[Name],SR[Category]="senior"),_xlfn.XLOOKUP(E51,_xlfn._xlws.FILTER(SR[cracow_SR_Total_Score],SR[Category]="senior"),_xlfn._xlws.FILTER(SR[Name],SR[Category]="senior"),_xlfn.XLOOKUP(E51,_xlfn._xlws.FILTER(SR[gdansk_SR_Total_Score],SR[Category]="senior"),_xlfn._xlws.FILTER(SR[Name],SR[Category]="senior")))))</f>
        <v>GAWROŃSKI Sebastian</v>
      </c>
      <c r="AE51" s="43" t="s">
        <v>94</v>
      </c>
      <c r="AF51" s="43" t="s">
        <v>60</v>
      </c>
      <c r="AG51" s="43" t="s">
        <v>72</v>
      </c>
      <c r="AH51">
        <v>3</v>
      </c>
      <c r="AI51" t="s">
        <v>341</v>
      </c>
      <c r="AJ51" s="43" t="s">
        <v>309</v>
      </c>
      <c r="AK51">
        <v>23.25</v>
      </c>
    </row>
    <row r="52" spans="1:37" ht="21" x14ac:dyDescent="0.35">
      <c r="A52" s="15" t="s">
        <v>60</v>
      </c>
      <c r="B52" s="15" t="s">
        <v>275</v>
      </c>
      <c r="C52" s="4" cm="1">
        <f t="array" ref="C52">SUM(_xlfn._xlws.FILTER(SR[Year_Dscore],(SR[Category]="senior")*(SR[Number_of_competition]&gt;=3))/COUNTIFS(SR[Number_of_competition],"&gt;=3",SR[Category],"senior"))</f>
        <v>10.930000000000001</v>
      </c>
      <c r="D52" s="4" cm="1">
        <f t="array" ref="D52">_xlfn.STDEV.S(_xlfn._xlws.FILTER(SR[Year_Dscore],(SR[Category]="senior")*(SR[Number_of_competition]&gt;=3)))</f>
        <v>1.5055822055862096</v>
      </c>
      <c r="E52" s="4" cm="1">
        <f t="array" ref="E52">MAX(_xlfn._xlws.FILTER(SR[Year_Dscore],SR[Category]="senior"))</f>
        <v>13.099999999999998</v>
      </c>
      <c r="F52" s="2" t="str" cm="1">
        <f t="array" ref="F52">_xlfn.XLOOKUP(SR_Calculation[[#This Row],[Top]],_xlfn._xlws.FILTER(SR[Year_Dscore],SR[Category]="senior"),_xlfn._xlws.FILTER(SR[Name],SR[Category]="senior"))</f>
        <v>SASNAL Filip</v>
      </c>
      <c r="AE52" s="43" t="s">
        <v>94</v>
      </c>
      <c r="AF52" s="43" t="s">
        <v>60</v>
      </c>
      <c r="AG52" s="43" t="s">
        <v>72</v>
      </c>
      <c r="AH52">
        <v>3</v>
      </c>
      <c r="AI52" t="s">
        <v>341</v>
      </c>
      <c r="AJ52" s="43" t="s">
        <v>268</v>
      </c>
      <c r="AK52">
        <v>35.549999999999997</v>
      </c>
    </row>
    <row r="53" spans="1:37" ht="21" x14ac:dyDescent="0.35">
      <c r="A53" s="15" t="s">
        <v>60</v>
      </c>
      <c r="B53" s="15" t="s">
        <v>276</v>
      </c>
      <c r="C53" s="7" cm="1">
        <f t="array" ref="C53">SUM(_xlfn._xlws.FILTER(SR[Year_Escore],(SR[Category]="senior")*(SR[Number_of_competition]&gt;=3))/COUNTIFS(SR[Number_of_competition],"&gt;=3",SR[Category],"senior"))</f>
        <v>22.880000000000003</v>
      </c>
      <c r="D53" s="7" cm="1">
        <f t="array" ref="D53">_xlfn.STDEV.S(_xlfn._xlws.FILTER(SR[Year_Escore],(SR[Category]="senior")*(SR[Number_of_competition]&gt;=3)))</f>
        <v>2.6866129026878651</v>
      </c>
      <c r="E53" s="7" cm="1">
        <f t="array" ref="E53">MAX(_xlfn._xlws.FILTER(SR[Year_Escore],SR[Category]="senior"))</f>
        <v>25.65</v>
      </c>
      <c r="F53" s="2" t="str" cm="1">
        <f t="array" ref="F53">_xlfn.XLOOKUP(SR_Calculation[[#This Row],[Top]],_xlfn._xlws.FILTER(SR[Year_Escore],SR[Category]="senior"),_xlfn._xlws.FILTER(SR[Name],SR[Category]="senior"))</f>
        <v>GARNCZAREK Kacper</v>
      </c>
      <c r="AE53" s="43" t="s">
        <v>94</v>
      </c>
      <c r="AF53" s="43" t="s">
        <v>60</v>
      </c>
      <c r="AG53" s="43" t="s">
        <v>72</v>
      </c>
      <c r="AH53">
        <v>3</v>
      </c>
      <c r="AI53" t="s">
        <v>273</v>
      </c>
      <c r="AJ53" s="43" t="s">
        <v>308</v>
      </c>
      <c r="AK53">
        <v>4.1000000000000005</v>
      </c>
    </row>
    <row r="54" spans="1:37" ht="21" x14ac:dyDescent="0.35">
      <c r="A54" s="15" t="s">
        <v>60</v>
      </c>
      <c r="B54" s="15" t="s">
        <v>277</v>
      </c>
      <c r="C54" s="7" cm="1">
        <f t="array" ref="C54">SUM(_xlfn._xlws.FILTER(SR[Year_Total_Score],(SR[Category]="senior")*(SR[Number_of_competition]&gt;=3))/COUNTIFS(SR[Number_of_competition],"&gt;=3",SR[Category],"senior"))</f>
        <v>33.659999999999997</v>
      </c>
      <c r="D54" s="7" cm="1">
        <f t="array" ref="D54">_xlfn.STDEV.S(_xlfn._xlws.FILTER(SR[Year_Total_Score],(SR[Category]="senior")*(SR[Number_of_competition]&gt;=3)))</f>
        <v>3.6583086559532512</v>
      </c>
      <c r="E54" s="7" cm="1">
        <f t="array" ref="E54">MAX(_xlfn._xlws.FILTER(SR[Year_Total_Score],SR[Category]="senior"))</f>
        <v>36.65</v>
      </c>
      <c r="F54" s="2" t="str" cm="1">
        <f t="array" ref="F54">_xlfn.XLOOKUP(SR_Calculation[[#This Row],[Top]],_xlfn._xlws.FILTER(SR[Year_Total_Score],SR[Category]="senior"),_xlfn._xlws.FILTER(SR[Name],SR[Category]="senior"))</f>
        <v>GARNCZAREK Kacper</v>
      </c>
      <c r="AE54" s="43" t="s">
        <v>94</v>
      </c>
      <c r="AF54" s="43" t="s">
        <v>60</v>
      </c>
      <c r="AG54" s="43" t="s">
        <v>72</v>
      </c>
      <c r="AH54">
        <v>3</v>
      </c>
      <c r="AI54" t="s">
        <v>273</v>
      </c>
      <c r="AJ54" s="43" t="s">
        <v>309</v>
      </c>
      <c r="AK54">
        <v>7.75</v>
      </c>
    </row>
    <row r="55" spans="1:37" ht="21" x14ac:dyDescent="0.35">
      <c r="A55" s="14" t="s">
        <v>26</v>
      </c>
      <c r="B55" s="14" t="s">
        <v>269</v>
      </c>
      <c r="C55" s="4" cm="1">
        <f t="array" ref="C55">SUM(_xlfn._xlws.FILTER(SR[bydgoszcz_SR_Dscore],SR[Category]="junior"),_xlfn._xlws.FILTER(SR[zabrze_SR_Dscore],SR[Category]="junior"),_xlfn._xlws.FILTER(SR[cracow_SR_Dscore],SR[Category]="junior"),_xlfn._xlws.FILTER(SR[gdansk_SR_Dscore],SR[Category]="junior"))/(COUNTIFS(SR[bydgoszcz_SR_Dscore],"&gt;0",SR[Category],"junior")+COUNTIFS(SR[zabrze_SR_Dscore],"&gt;0",SR[Category],"junior")+COUNTIFS(SR[cracow_SR_Dscore],"&gt;0",SR[Category],"junior")+COUNTIFS(SR[gdansk_SR_Dscore],"&gt;0",SR[Category],"junior"))</f>
        <v>2.6319999999999997</v>
      </c>
      <c r="D55" s="4" cm="1">
        <f t="array" ref="D55">_xlfn.STDEV.S(_xlfn._xlws.FILTER(SR[bydgoszcz_SR_Dscore],(SR[Category]="junior")*(SR[bydgoszcz_SR_Dscore])&gt;0),_xlfn._xlws.FILTER(SR[zabrze_SR_Dscore],(SR[Category]="junior")*(SR[zabrze_SR_Dscore])&gt;0),_xlfn._xlws.FILTER(SR[cracow_SR_Dscore],(SR[Category]="junior")*(SR[cracow_SR_Dscore])&gt;0),_xlfn._xlws.FILTER(SR[gdansk_SR_Dscore],(SR[Category]="junior")*(SR[gdansk_SR_Dscore])&gt;0))</f>
        <v>0.61393345381587205</v>
      </c>
      <c r="E55" s="4" cm="1">
        <f t="array" ref="E55">MAX(_xlfn._xlws.FILTER(SR[bydgoszcz_SR_Dscore],SR[Category]="junior"),_xlfn._xlws.FILTER(SR[zabrze_SR_Dscore],SR[Category]="junior"),_xlfn._xlws.FILTER(SR[cracow_SR_Dscore],SR[Category]="junior"),_xlfn._xlws.FILTER(SR[gdansk_SR_Dscore],SR[Category]="junior"))</f>
        <v>3.9</v>
      </c>
      <c r="F55" s="2" t="str" cm="1">
        <f t="array" ref="F55">_xlfn.XLOOKUP(E55,_xlfn._xlws.FILTER(SR[bydgoszcz_SR_Dscore],SR[Category]="junior"),_xlfn._xlws.FILTER(SR[Name],SR[Category]="junior"),_xlfn.XLOOKUP(E55,_xlfn._xlws.FILTER(SR[zabrze_SR_Dscore],SR[Category]="junior"),_xlfn._xlws.FILTER(SR[Name],SR[Category]="junior"),_xlfn.XLOOKUP(E55,_xlfn._xlws.FILTER(SR[cracow_SR_Dscore],SR[Category]="junior"),_xlfn._xlws.FILTER(SR[Name],SR[Category]="junior"),_xlfn.XLOOKUP(E55,_xlfn._xlws.FILTER(SR[gdansk_SR_Dscore],SR[Category]="junior"),_xlfn._xlws.FILTER(SR[Name],SR[Category]="junior")))))</f>
        <v>KUZDRA Christian</v>
      </c>
      <c r="AE55" s="43" t="s">
        <v>94</v>
      </c>
      <c r="AF55" s="43" t="s">
        <v>60</v>
      </c>
      <c r="AG55" s="43" t="s">
        <v>72</v>
      </c>
      <c r="AH55">
        <v>3</v>
      </c>
      <c r="AI55" t="s">
        <v>273</v>
      </c>
      <c r="AJ55" s="43" t="s">
        <v>268</v>
      </c>
      <c r="AK55">
        <v>11.85</v>
      </c>
    </row>
    <row r="56" spans="1:37" ht="21" x14ac:dyDescent="0.35">
      <c r="A56" s="14" t="s">
        <v>26</v>
      </c>
      <c r="B56" s="14" t="s">
        <v>267</v>
      </c>
      <c r="C56" s="7" cm="1">
        <f t="array" ref="C56">SUM(_xlfn._xlws.FILTER(SR[bydgoszcz_SR_Escore],SR[Category]="junior"),_xlfn._xlws.FILTER(SR[zabrze_SR_Escore],SR[Category]="junior"),_xlfn._xlws.FILTER(SR[cracow_SR_Escore],SR[Category]="junior"),_xlfn._xlws.FILTER(SR[gdansk_SR_Escore],SR[Category]="junior"))/(COUNTIFS(SR[bydgoszcz_SR_Escore],"&gt;0",SR[Category],"junior")+COUNTIFS(SR[zabrze_SR_Escore],"&gt;0",SR[Category],"junior")+COUNTIFS(SR[cracow_SR_Escore],"&gt;0",SR[Category],"junior")+COUNTIFS(SR[gdansk_SR_Escore],"&gt;0",SR[Category],"junior"))</f>
        <v>7.4880000000000004</v>
      </c>
      <c r="D56" s="7" cm="1">
        <f t="array" ref="D56">_xlfn.STDEV.S(_xlfn._xlws.FILTER(SR[bydgoszcz_SR_Escore],(SR[Category]="junior")*(SR[bydgoszcz_SR_Escore])&gt;0),_xlfn._xlws.FILTER(SR[zabrze_SR_Escore],(SR[Category]="junior")*(SR[zabrze_SR_Escore])&gt;0),_xlfn._xlws.FILTER(SR[cracow_SR_Escore],(SR[Category]="junior")*(SR[cracow_SR_Escore])&gt;0),_xlfn._xlws.FILTER(SR[gdansk_SR_Escore],(SR[Category]="junior")*(SR[gdansk_SR_Escore])&gt;0))</f>
        <v>0.94548119699840694</v>
      </c>
      <c r="E56" s="7" cm="1">
        <f t="array" ref="E56">MAX(_xlfn._xlws.FILTER(SR[bydgoszcz_SR_Escore],SR[Category]="junior"),_xlfn._xlws.FILTER(SR[zabrze_SR_Escore],SR[Category]="junior"),_xlfn._xlws.FILTER(SR[cracow_SR_Escore],SR[Category]="junior"),_xlfn._xlws.FILTER(SR[gdansk_SR_Escore],SR[Category]="junior"))</f>
        <v>9</v>
      </c>
      <c r="F56" s="2" t="str" cm="1">
        <f t="array" ref="F56">_xlfn.XLOOKUP(E56,_xlfn._xlws.FILTER(SR[bydgoszcz_SR_Escore],SR[Category]="junior"),_xlfn._xlws.FILTER(SR[Name],SR[Category]="junior"),_xlfn.XLOOKUP(E56,_xlfn._xlws.FILTER(SR[zabrze_SR_Escore],SR[Category]="junior"),_xlfn._xlws.FILTER(SR[Name],SR[Category]="junior"),_xlfn.XLOOKUP(E56,_xlfn._xlws.FILTER(SR[cracow_SR_Escore],SR[Category]="junior"),_xlfn._xlws.FILTER(SR[Name],SR[Category]="junior"),_xlfn.XLOOKUP(E56,_xlfn._xlws.FILTER(SR[gdansk_SR_Escore],SR[Category]="junior"),_xlfn._xlws.FILTER(SR[Name],SR[Category]="junior")))))</f>
        <v>KWIATKOWSKI Michał</v>
      </c>
      <c r="AE56" s="43" t="s">
        <v>80</v>
      </c>
      <c r="AF56" s="43" t="s">
        <v>60</v>
      </c>
      <c r="AG56" s="43" t="s">
        <v>62</v>
      </c>
      <c r="AH56">
        <v>4</v>
      </c>
      <c r="AI56" t="s">
        <v>317</v>
      </c>
      <c r="AJ56" s="43" t="s">
        <v>308</v>
      </c>
      <c r="AK56">
        <v>3.9</v>
      </c>
    </row>
    <row r="57" spans="1:37" ht="25.5" customHeight="1" x14ac:dyDescent="0.35">
      <c r="A57" s="14" t="s">
        <v>26</v>
      </c>
      <c r="B57" s="14" t="s">
        <v>268</v>
      </c>
      <c r="C57" s="7" cm="1">
        <f t="array" ref="C57">SUM(_xlfn._xlws.FILTER(SR[bydgoszcz_SR_Total_Score],SR[Category]="junior"),_xlfn._xlws.FILTER(SR[zabrze_SR_Total_Score],SR[Category]="junior"),_xlfn._xlws.FILTER(SR[cracow_SR_Total_Score],SR[Category]="junior"),_xlfn._xlws.FILTER(SR[gdansk_SR_Total_Score],SR[Category]="junior"))/(COUNTIFS(SR[bydgoszcz_SR_Total_Score],"&gt;0",SR[Category],"junior")+COUNTIFS(SR[zabrze_SR_Total_Score],"&gt;0",SR[Category],"junior")+COUNTIFS(SR[cracow_SR_Total_Score],"&gt;0",SR[Category],"junior")+COUNTIFS(SR[gdansk_SR_Total_Score],"&gt;0",SR[Category],"junior"))</f>
        <v>10.119999999999999</v>
      </c>
      <c r="D57" s="7" cm="1">
        <f t="array" ref="D57">_xlfn.STDEV.S(_xlfn._xlws.FILTER(SR[bydgoszcz_SR_Total_Score],(SR[Category]="junior")*(SR[bydgoszcz_SR_Total_Score])&gt;0),_xlfn._xlws.FILTER(SR[zabrze_SR_Total_Score],(SR[Category]="junior")*(SR[zabrze_SR_Total_Score])&gt;0),_xlfn._xlws.FILTER(SR[cracow_SR_Total_Score],(SR[Category]="junior")*(SR[cracow_SR_Total_Score])&gt;0),_xlfn._xlws.FILTER(SR[gdansk_SR_Total_Score],(SR[Category]="junior")*(SR[gdansk_SR_Total_Score])&gt;0))</f>
        <v>1.2946514778038192</v>
      </c>
      <c r="E57" s="7" cm="1">
        <f t="array" ref="E57">MAX(_xlfn._xlws.FILTER(SR[bydgoszcz_SR_Total_Score],SR[Category]="junior"),_xlfn._xlws.FILTER(SR[zabrze_SR_Total_Score],SR[Category]="junior"),_xlfn._xlws.FILTER(SR[cracow_SR_Total_Score],SR[Category]="junior"),_xlfn._xlws.FILTER(SR[gdansk_SR_Total_Score],SR[Category]="junior"))</f>
        <v>12.2</v>
      </c>
      <c r="F57" s="2" t="str" cm="1">
        <f t="array" ref="F57">_xlfn.XLOOKUP(E57,_xlfn._xlws.FILTER(SR[bydgoszcz_SR_Total_Score],SR[Category]="junior"),_xlfn._xlws.FILTER(SR[Name],SR[Category]="junior"),_xlfn.XLOOKUP(E57,_xlfn._xlws.FILTER(SR[zabrze_SR_Total_Score],SR[Category]="junior"),_xlfn._xlws.FILTER(SR[Name],SR[Category]="junior"),_xlfn.XLOOKUP(E57,_xlfn._xlws.FILTER(SR[cracow_SR_Total_Score],SR[Category]="junior"),_xlfn._xlws.FILTER(SR[Name],SR[Category]="junior"),_xlfn.XLOOKUP(E57,_xlfn._xlws.FILTER(SR[gdansk_SR_Total_Score],SR[Category]="junior"),_xlfn._xlws.FILTER(SR[Name],SR[Category]="junior")))))</f>
        <v>KWIATKOWSKI Michał</v>
      </c>
      <c r="AE57" s="43" t="s">
        <v>80</v>
      </c>
      <c r="AF57" s="43" t="s">
        <v>60</v>
      </c>
      <c r="AG57" s="43" t="s">
        <v>62</v>
      </c>
      <c r="AH57">
        <v>4</v>
      </c>
      <c r="AI57" t="s">
        <v>317</v>
      </c>
      <c r="AJ57" s="43" t="s">
        <v>309</v>
      </c>
      <c r="AK57">
        <v>6.4</v>
      </c>
    </row>
    <row r="58" spans="1:37" ht="25.5" customHeight="1" x14ac:dyDescent="0.35">
      <c r="A58" s="15" t="s">
        <v>26</v>
      </c>
      <c r="B58" s="15" t="s">
        <v>275</v>
      </c>
      <c r="C58" s="4" cm="1">
        <f t="array" ref="C58">SUM(_xlfn._xlws.FILTER(SR[Year_Dscore],(SR[Category]="junior")*(SR[Number_of_competition]&gt;=3))/COUNTIFS(SR[Number_of_competition],"&gt;=3",SR[Category],"junior"))</f>
        <v>8.2100000000000009</v>
      </c>
      <c r="D58" s="4" cm="1">
        <f t="array" ref="D58">_xlfn.STDEV.S(_xlfn._xlws.FILTER(SR[Year_Dscore],(SR[Category]="junior")*(SR[Number_of_competition]&gt;=3)))</f>
        <v>1.7342625714310571</v>
      </c>
      <c r="E58" s="4" cm="1">
        <f t="array" ref="E58">MAX(_xlfn._xlws.FILTER(SR[Year_Dscore],SR[Category]="junior"))</f>
        <v>11.2</v>
      </c>
      <c r="F58" s="2" t="str" cm="1">
        <f t="array" ref="F58">_xlfn.XLOOKUP(SR_Calculation[[#This Row],[Top]],_xlfn._xlws.FILTER(SR[Year_Dscore],SR[Category]="junior"),_xlfn._xlws.FILTER(SR[Name],SR[Category]="junior"))</f>
        <v>KUZDRA Christian</v>
      </c>
      <c r="AE58" s="43" t="s">
        <v>80</v>
      </c>
      <c r="AF58" s="43" t="s">
        <v>60</v>
      </c>
      <c r="AG58" s="43" t="s">
        <v>62</v>
      </c>
      <c r="AH58">
        <v>4</v>
      </c>
      <c r="AI58" t="s">
        <v>317</v>
      </c>
      <c r="AJ58" s="43" t="s">
        <v>268</v>
      </c>
      <c r="AK58">
        <v>10.3</v>
      </c>
    </row>
    <row r="59" spans="1:37" ht="25.5" customHeight="1" x14ac:dyDescent="0.25">
      <c r="A59" s="15" t="s">
        <v>26</v>
      </c>
      <c r="B59" s="15" t="s">
        <v>276</v>
      </c>
      <c r="C59" s="7" cm="1">
        <f t="array" ref="C59">SUM(_xlfn._xlws.FILTER(SR[Year_Escore],(SR[Category]="junior")*(SR[Number_of_competition]&gt;=3))/COUNTIFS(SR[Number_of_competition],"&gt;=3",SR[Category],"junior"))</f>
        <v>23.279999999999998</v>
      </c>
      <c r="D59" s="7" cm="1">
        <f t="array" ref="D59">_xlfn.STDEV.S(_xlfn._xlws.FILTER(SR[Year_Escore],(SR[Category]="junior")*(SR[Number_of_competition]&gt;=3)))</f>
        <v>1.302390963659616</v>
      </c>
      <c r="E59" s="7" cm="1">
        <f t="array" ref="E59">MAX(_xlfn._xlws.FILTER(SR[Year_Escore],SR[Category]="junior"))</f>
        <v>25.65</v>
      </c>
      <c r="F59" s="2" t="str" cm="1">
        <f t="array" ref="F59">_xlfn.XLOOKUP(SR_Calculation[[#This Row],[Top]],_xlfn._xlws.FILTER(SR[Year_Escore],SR[Category]="junior"),_xlfn._xlws.FILTER(SR[Name],SR[Category]="junior"))</f>
        <v>LEKHAC Tomasz</v>
      </c>
      <c r="AE59" s="43" t="s">
        <v>80</v>
      </c>
      <c r="AF59" s="43" t="s">
        <v>60</v>
      </c>
      <c r="AG59" s="43" t="s">
        <v>62</v>
      </c>
      <c r="AH59">
        <v>4</v>
      </c>
      <c r="AI59" t="s">
        <v>325</v>
      </c>
      <c r="AJ59" s="43" t="s">
        <v>308</v>
      </c>
      <c r="AK59">
        <v>3.7</v>
      </c>
    </row>
    <row r="60" spans="1:37" ht="25.5" customHeight="1" x14ac:dyDescent="0.25">
      <c r="A60" s="23" t="s">
        <v>26</v>
      </c>
      <c r="B60" s="23" t="s">
        <v>277</v>
      </c>
      <c r="C60" s="7" cm="1">
        <f t="array" ref="C60">SUM(_xlfn._xlws.FILTER(SR[Year_Total_Score],(SR[Category]="junior")*(SR[Number_of_competition]&gt;=3))/COUNTIFS(SR[Number_of_competition],"&gt;=3",SR[Category],"junior"))</f>
        <v>31.395</v>
      </c>
      <c r="D60" s="7" cm="1">
        <f t="array" ref="D60">_xlfn.STDEV.S(_xlfn._xlws.FILTER(SR[Year_Total_Score],(SR[Category]="junior")*(SR[Number_of_competition]&gt;=3)))</f>
        <v>2.4399965846970626</v>
      </c>
      <c r="E60" s="7" cm="1">
        <f t="array" ref="E60">MAX(_xlfn._xlws.FILTER(SR[Year_Total_Score],SR[Category]="junior"))</f>
        <v>34.549999999999997</v>
      </c>
      <c r="F60" s="2" t="str" cm="1">
        <f t="array" ref="F60">_xlfn.XLOOKUP(SR_Calculation[[#This Row],[Top]],_xlfn._xlws.FILTER(SR[Year_Total_Score],SR[Category]="junior"),_xlfn._xlws.FILTER(SR[Name],SR[Category]="junior"))</f>
        <v>KUZDRA Christian</v>
      </c>
      <c r="AE60" s="43" t="s">
        <v>80</v>
      </c>
      <c r="AF60" s="43" t="s">
        <v>60</v>
      </c>
      <c r="AG60" s="43" t="s">
        <v>62</v>
      </c>
      <c r="AH60">
        <v>4</v>
      </c>
      <c r="AI60" t="s">
        <v>325</v>
      </c>
      <c r="AJ60" s="43" t="s">
        <v>309</v>
      </c>
      <c r="AK60">
        <v>7.9</v>
      </c>
    </row>
    <row r="61" spans="1:37" x14ac:dyDescent="0.25">
      <c r="AE61" s="43" t="s">
        <v>80</v>
      </c>
      <c r="AF61" s="43" t="s">
        <v>60</v>
      </c>
      <c r="AG61" s="43" t="s">
        <v>62</v>
      </c>
      <c r="AH61">
        <v>4</v>
      </c>
      <c r="AI61" t="s">
        <v>325</v>
      </c>
      <c r="AJ61" s="43" t="s">
        <v>268</v>
      </c>
      <c r="AK61">
        <v>11.6</v>
      </c>
    </row>
    <row r="62" spans="1:37" x14ac:dyDescent="0.25">
      <c r="AE62" s="43" t="s">
        <v>80</v>
      </c>
      <c r="AF62" s="43" t="s">
        <v>60</v>
      </c>
      <c r="AG62" s="43" t="s">
        <v>62</v>
      </c>
      <c r="AH62">
        <v>4</v>
      </c>
      <c r="AI62" t="s">
        <v>330</v>
      </c>
      <c r="AJ62" s="43" t="s">
        <v>308</v>
      </c>
      <c r="AK62">
        <v>3.9</v>
      </c>
    </row>
    <row r="63" spans="1:37" x14ac:dyDescent="0.25">
      <c r="AE63" s="43" t="s">
        <v>80</v>
      </c>
      <c r="AF63" s="43" t="s">
        <v>60</v>
      </c>
      <c r="AG63" s="43" t="s">
        <v>62</v>
      </c>
      <c r="AH63">
        <v>4</v>
      </c>
      <c r="AI63" t="s">
        <v>330</v>
      </c>
      <c r="AJ63" s="43" t="s">
        <v>309</v>
      </c>
      <c r="AK63">
        <v>8.1999999999999993</v>
      </c>
    </row>
    <row r="64" spans="1:37" x14ac:dyDescent="0.25">
      <c r="AE64" s="43" t="s">
        <v>80</v>
      </c>
      <c r="AF64" s="43" t="s">
        <v>60</v>
      </c>
      <c r="AG64" s="43" t="s">
        <v>62</v>
      </c>
      <c r="AH64">
        <v>4</v>
      </c>
      <c r="AI64" t="s">
        <v>330</v>
      </c>
      <c r="AJ64" s="43" t="s">
        <v>268</v>
      </c>
      <c r="AK64">
        <v>12.1</v>
      </c>
    </row>
    <row r="65" spans="31:37" x14ac:dyDescent="0.25">
      <c r="AE65" s="43" t="s">
        <v>80</v>
      </c>
      <c r="AF65" s="43" t="s">
        <v>60</v>
      </c>
      <c r="AG65" s="43" t="s">
        <v>62</v>
      </c>
      <c r="AH65">
        <v>4</v>
      </c>
      <c r="AI65" t="s">
        <v>331</v>
      </c>
      <c r="AJ65" s="43" t="s">
        <v>308</v>
      </c>
      <c r="AK65">
        <v>3.5</v>
      </c>
    </row>
    <row r="66" spans="31:37" x14ac:dyDescent="0.25">
      <c r="AE66" s="43" t="s">
        <v>80</v>
      </c>
      <c r="AF66" s="43" t="s">
        <v>60</v>
      </c>
      <c r="AG66" s="43" t="s">
        <v>62</v>
      </c>
      <c r="AH66">
        <v>4</v>
      </c>
      <c r="AI66" t="s">
        <v>331</v>
      </c>
      <c r="AJ66" s="43" t="s">
        <v>309</v>
      </c>
      <c r="AK66">
        <v>8.3000000000000007</v>
      </c>
    </row>
    <row r="67" spans="31:37" x14ac:dyDescent="0.25">
      <c r="AE67" s="43" t="s">
        <v>80</v>
      </c>
      <c r="AF67" s="43" t="s">
        <v>60</v>
      </c>
      <c r="AG67" s="43" t="s">
        <v>62</v>
      </c>
      <c r="AH67">
        <v>4</v>
      </c>
      <c r="AI67" t="s">
        <v>331</v>
      </c>
      <c r="AJ67" s="43" t="s">
        <v>268</v>
      </c>
      <c r="AK67">
        <v>11.8</v>
      </c>
    </row>
    <row r="68" spans="31:37" x14ac:dyDescent="0.25">
      <c r="AE68" s="43" t="s">
        <v>80</v>
      </c>
      <c r="AF68" s="43" t="s">
        <v>60</v>
      </c>
      <c r="AG68" s="43" t="s">
        <v>62</v>
      </c>
      <c r="AH68">
        <v>4</v>
      </c>
      <c r="AI68" t="s">
        <v>341</v>
      </c>
      <c r="AJ68" s="43" t="s">
        <v>308</v>
      </c>
      <c r="AK68">
        <v>11.5</v>
      </c>
    </row>
    <row r="69" spans="31:37" x14ac:dyDescent="0.25">
      <c r="AE69" s="43" t="s">
        <v>80</v>
      </c>
      <c r="AF69" s="43" t="s">
        <v>60</v>
      </c>
      <c r="AG69" s="43" t="s">
        <v>62</v>
      </c>
      <c r="AH69">
        <v>4</v>
      </c>
      <c r="AI69" t="s">
        <v>341</v>
      </c>
      <c r="AJ69" s="43" t="s">
        <v>309</v>
      </c>
      <c r="AK69">
        <v>24.4</v>
      </c>
    </row>
    <row r="70" spans="31:37" x14ac:dyDescent="0.25">
      <c r="AE70" s="43" t="s">
        <v>80</v>
      </c>
      <c r="AF70" s="43" t="s">
        <v>60</v>
      </c>
      <c r="AG70" s="43" t="s">
        <v>62</v>
      </c>
      <c r="AH70">
        <v>4</v>
      </c>
      <c r="AI70" t="s">
        <v>341</v>
      </c>
      <c r="AJ70" s="43" t="s">
        <v>268</v>
      </c>
      <c r="AK70">
        <v>35.5</v>
      </c>
    </row>
    <row r="71" spans="31:37" x14ac:dyDescent="0.25">
      <c r="AE71" s="43" t="s">
        <v>80</v>
      </c>
      <c r="AF71" s="43" t="s">
        <v>60</v>
      </c>
      <c r="AG71" s="43" t="s">
        <v>62</v>
      </c>
      <c r="AH71">
        <v>4</v>
      </c>
      <c r="AI71" t="s">
        <v>273</v>
      </c>
      <c r="AJ71" s="43" t="s">
        <v>308</v>
      </c>
      <c r="AK71">
        <v>3.8333333333333335</v>
      </c>
    </row>
    <row r="72" spans="31:37" x14ac:dyDescent="0.25">
      <c r="AE72" s="43" t="s">
        <v>80</v>
      </c>
      <c r="AF72" s="43" t="s">
        <v>60</v>
      </c>
      <c r="AG72" s="43" t="s">
        <v>62</v>
      </c>
      <c r="AH72">
        <v>4</v>
      </c>
      <c r="AI72" t="s">
        <v>273</v>
      </c>
      <c r="AJ72" s="43" t="s">
        <v>309</v>
      </c>
      <c r="AK72">
        <v>8.1333333333333329</v>
      </c>
    </row>
    <row r="73" spans="31:37" x14ac:dyDescent="0.25">
      <c r="AE73" s="43" t="s">
        <v>80</v>
      </c>
      <c r="AF73" s="43" t="s">
        <v>60</v>
      </c>
      <c r="AG73" s="43" t="s">
        <v>62</v>
      </c>
      <c r="AH73">
        <v>4</v>
      </c>
      <c r="AI73" t="s">
        <v>273</v>
      </c>
      <c r="AJ73" s="43" t="s">
        <v>268</v>
      </c>
      <c r="AK73">
        <v>11.833333333333334</v>
      </c>
    </row>
    <row r="74" spans="31:37" x14ac:dyDescent="0.25">
      <c r="AE74" s="43" t="s">
        <v>77</v>
      </c>
      <c r="AF74" s="43" t="s">
        <v>60</v>
      </c>
      <c r="AG74" s="43" t="s">
        <v>79</v>
      </c>
      <c r="AH74">
        <v>4</v>
      </c>
      <c r="AI74" t="s">
        <v>317</v>
      </c>
      <c r="AJ74" s="43" t="s">
        <v>308</v>
      </c>
      <c r="AK74">
        <v>4</v>
      </c>
    </row>
    <row r="75" spans="31:37" x14ac:dyDescent="0.25">
      <c r="AE75" s="43" t="s">
        <v>77</v>
      </c>
      <c r="AF75" s="43" t="s">
        <v>60</v>
      </c>
      <c r="AG75" s="43" t="s">
        <v>79</v>
      </c>
      <c r="AH75">
        <v>4</v>
      </c>
      <c r="AI75" t="s">
        <v>317</v>
      </c>
      <c r="AJ75" s="43" t="s">
        <v>309</v>
      </c>
      <c r="AK75">
        <v>7.3</v>
      </c>
    </row>
    <row r="76" spans="31:37" x14ac:dyDescent="0.25">
      <c r="AE76" s="43" t="s">
        <v>77</v>
      </c>
      <c r="AF76" s="43" t="s">
        <v>60</v>
      </c>
      <c r="AG76" s="43" t="s">
        <v>79</v>
      </c>
      <c r="AH76">
        <v>4</v>
      </c>
      <c r="AI76" t="s">
        <v>317</v>
      </c>
      <c r="AJ76" s="43" t="s">
        <v>268</v>
      </c>
      <c r="AK76">
        <v>11.3</v>
      </c>
    </row>
    <row r="77" spans="31:37" x14ac:dyDescent="0.25">
      <c r="AE77" s="43" t="s">
        <v>77</v>
      </c>
      <c r="AF77" s="43" t="s">
        <v>60</v>
      </c>
      <c r="AG77" s="43" t="s">
        <v>79</v>
      </c>
      <c r="AH77">
        <v>4</v>
      </c>
      <c r="AI77" t="s">
        <v>325</v>
      </c>
      <c r="AJ77" s="43" t="s">
        <v>308</v>
      </c>
      <c r="AK77">
        <v>3.8</v>
      </c>
    </row>
    <row r="78" spans="31:37" x14ac:dyDescent="0.25">
      <c r="AE78" s="43" t="s">
        <v>77</v>
      </c>
      <c r="AF78" s="43" t="s">
        <v>60</v>
      </c>
      <c r="AG78" s="43" t="s">
        <v>79</v>
      </c>
      <c r="AH78">
        <v>4</v>
      </c>
      <c r="AI78" t="s">
        <v>325</v>
      </c>
      <c r="AJ78" s="43" t="s">
        <v>309</v>
      </c>
      <c r="AK78">
        <v>8.4</v>
      </c>
    </row>
    <row r="79" spans="31:37" x14ac:dyDescent="0.25">
      <c r="AE79" s="43" t="s">
        <v>77</v>
      </c>
      <c r="AF79" s="43" t="s">
        <v>60</v>
      </c>
      <c r="AG79" s="43" t="s">
        <v>79</v>
      </c>
      <c r="AH79">
        <v>4</v>
      </c>
      <c r="AI79" t="s">
        <v>325</v>
      </c>
      <c r="AJ79" s="43" t="s">
        <v>268</v>
      </c>
      <c r="AK79">
        <v>12.2</v>
      </c>
    </row>
    <row r="80" spans="31:37" x14ac:dyDescent="0.25">
      <c r="AE80" s="43" t="s">
        <v>77</v>
      </c>
      <c r="AF80" s="43" t="s">
        <v>60</v>
      </c>
      <c r="AG80" s="43" t="s">
        <v>79</v>
      </c>
      <c r="AH80">
        <v>4</v>
      </c>
      <c r="AI80" t="s">
        <v>330</v>
      </c>
      <c r="AJ80" s="43" t="s">
        <v>308</v>
      </c>
      <c r="AK80">
        <v>3.8</v>
      </c>
    </row>
    <row r="81" spans="31:37" x14ac:dyDescent="0.25">
      <c r="AE81" s="43" t="s">
        <v>77</v>
      </c>
      <c r="AF81" s="43" t="s">
        <v>60</v>
      </c>
      <c r="AG81" s="43" t="s">
        <v>79</v>
      </c>
      <c r="AH81">
        <v>4</v>
      </c>
      <c r="AI81" t="s">
        <v>330</v>
      </c>
      <c r="AJ81" s="43" t="s">
        <v>309</v>
      </c>
      <c r="AK81">
        <v>8.0500000000000007</v>
      </c>
    </row>
    <row r="82" spans="31:37" x14ac:dyDescent="0.25">
      <c r="AE82" s="43" t="s">
        <v>77</v>
      </c>
      <c r="AF82" s="43" t="s">
        <v>60</v>
      </c>
      <c r="AG82" s="43" t="s">
        <v>79</v>
      </c>
      <c r="AH82">
        <v>4</v>
      </c>
      <c r="AI82" t="s">
        <v>330</v>
      </c>
      <c r="AJ82" s="43" t="s">
        <v>268</v>
      </c>
      <c r="AK82">
        <v>11.85</v>
      </c>
    </row>
    <row r="83" spans="31:37" x14ac:dyDescent="0.25">
      <c r="AE83" s="43" t="s">
        <v>77</v>
      </c>
      <c r="AF83" s="43" t="s">
        <v>60</v>
      </c>
      <c r="AG83" s="43" t="s">
        <v>79</v>
      </c>
      <c r="AH83">
        <v>4</v>
      </c>
      <c r="AI83" t="s">
        <v>331</v>
      </c>
      <c r="AJ83" s="43" t="s">
        <v>308</v>
      </c>
      <c r="AK83">
        <v>3.4</v>
      </c>
    </row>
    <row r="84" spans="31:37" x14ac:dyDescent="0.25">
      <c r="AE84" s="43" t="s">
        <v>77</v>
      </c>
      <c r="AF84" s="43" t="s">
        <v>60</v>
      </c>
      <c r="AG84" s="43" t="s">
        <v>79</v>
      </c>
      <c r="AH84">
        <v>4</v>
      </c>
      <c r="AI84" t="s">
        <v>331</v>
      </c>
      <c r="AJ84" s="43" t="s">
        <v>309</v>
      </c>
      <c r="AK84">
        <v>6</v>
      </c>
    </row>
    <row r="85" spans="31:37" x14ac:dyDescent="0.25">
      <c r="AE85" s="43" t="s">
        <v>77</v>
      </c>
      <c r="AF85" s="43" t="s">
        <v>60</v>
      </c>
      <c r="AG85" s="43" t="s">
        <v>79</v>
      </c>
      <c r="AH85">
        <v>4</v>
      </c>
      <c r="AI85" t="s">
        <v>331</v>
      </c>
      <c r="AJ85" s="43" t="s">
        <v>268</v>
      </c>
      <c r="AK85">
        <v>9.4</v>
      </c>
    </row>
    <row r="86" spans="31:37" x14ac:dyDescent="0.25">
      <c r="AE86" s="43" t="s">
        <v>77</v>
      </c>
      <c r="AF86" s="43" t="s">
        <v>60</v>
      </c>
      <c r="AG86" s="43" t="s">
        <v>79</v>
      </c>
      <c r="AH86">
        <v>4</v>
      </c>
      <c r="AI86" t="s">
        <v>341</v>
      </c>
      <c r="AJ86" s="43" t="s">
        <v>308</v>
      </c>
      <c r="AK86">
        <v>11.6</v>
      </c>
    </row>
    <row r="87" spans="31:37" x14ac:dyDescent="0.25">
      <c r="AE87" s="43" t="s">
        <v>77</v>
      </c>
      <c r="AF87" s="43" t="s">
        <v>60</v>
      </c>
      <c r="AG87" s="43" t="s">
        <v>79</v>
      </c>
      <c r="AH87">
        <v>4</v>
      </c>
      <c r="AI87" t="s">
        <v>341</v>
      </c>
      <c r="AJ87" s="43" t="s">
        <v>309</v>
      </c>
      <c r="AK87">
        <v>23.750000000000004</v>
      </c>
    </row>
    <row r="88" spans="31:37" x14ac:dyDescent="0.25">
      <c r="AE88" s="43" t="s">
        <v>77</v>
      </c>
      <c r="AF88" s="43" t="s">
        <v>60</v>
      </c>
      <c r="AG88" s="43" t="s">
        <v>79</v>
      </c>
      <c r="AH88">
        <v>4</v>
      </c>
      <c r="AI88" t="s">
        <v>341</v>
      </c>
      <c r="AJ88" s="43" t="s">
        <v>268</v>
      </c>
      <c r="AK88">
        <v>35.349999999999994</v>
      </c>
    </row>
    <row r="89" spans="31:37" x14ac:dyDescent="0.25">
      <c r="AE89" s="43" t="s">
        <v>77</v>
      </c>
      <c r="AF89" s="43" t="s">
        <v>60</v>
      </c>
      <c r="AG89" s="43" t="s">
        <v>79</v>
      </c>
      <c r="AH89">
        <v>4</v>
      </c>
      <c r="AI89" t="s">
        <v>273</v>
      </c>
      <c r="AJ89" s="43" t="s">
        <v>308</v>
      </c>
      <c r="AK89">
        <v>3.8666666666666667</v>
      </c>
    </row>
    <row r="90" spans="31:37" x14ac:dyDescent="0.25">
      <c r="AE90" s="43" t="s">
        <v>77</v>
      </c>
      <c r="AF90" s="43" t="s">
        <v>60</v>
      </c>
      <c r="AG90" s="43" t="s">
        <v>79</v>
      </c>
      <c r="AH90">
        <v>4</v>
      </c>
      <c r="AI90" t="s">
        <v>273</v>
      </c>
      <c r="AJ90" s="43" t="s">
        <v>309</v>
      </c>
      <c r="AK90">
        <v>7.9166666666666679</v>
      </c>
    </row>
    <row r="91" spans="31:37" x14ac:dyDescent="0.25">
      <c r="AE91" s="43" t="s">
        <v>77</v>
      </c>
      <c r="AF91" s="43" t="s">
        <v>60</v>
      </c>
      <c r="AG91" s="43" t="s">
        <v>79</v>
      </c>
      <c r="AH91">
        <v>4</v>
      </c>
      <c r="AI91" t="s">
        <v>273</v>
      </c>
      <c r="AJ91" s="43" t="s">
        <v>268</v>
      </c>
      <c r="AK91">
        <v>11.783333333333331</v>
      </c>
    </row>
    <row r="92" spans="31:37" x14ac:dyDescent="0.25">
      <c r="AE92" s="43" t="s">
        <v>68</v>
      </c>
      <c r="AF92" s="43" t="s">
        <v>60</v>
      </c>
      <c r="AG92" s="43" t="s">
        <v>31</v>
      </c>
      <c r="AH92">
        <v>4</v>
      </c>
      <c r="AI92" t="s">
        <v>317</v>
      </c>
      <c r="AJ92" s="43" t="s">
        <v>308</v>
      </c>
      <c r="AK92">
        <v>3.2</v>
      </c>
    </row>
    <row r="93" spans="31:37" x14ac:dyDescent="0.25">
      <c r="AE93" s="43" t="s">
        <v>68</v>
      </c>
      <c r="AF93" s="43" t="s">
        <v>60</v>
      </c>
      <c r="AG93" s="43" t="s">
        <v>31</v>
      </c>
      <c r="AH93">
        <v>4</v>
      </c>
      <c r="AI93" t="s">
        <v>317</v>
      </c>
      <c r="AJ93" s="43" t="s">
        <v>309</v>
      </c>
      <c r="AK93">
        <v>7.4</v>
      </c>
    </row>
    <row r="94" spans="31:37" x14ac:dyDescent="0.25">
      <c r="AE94" s="43" t="s">
        <v>68</v>
      </c>
      <c r="AF94" s="43" t="s">
        <v>60</v>
      </c>
      <c r="AG94" s="43" t="s">
        <v>31</v>
      </c>
      <c r="AH94">
        <v>4</v>
      </c>
      <c r="AI94" t="s">
        <v>317</v>
      </c>
      <c r="AJ94" s="43" t="s">
        <v>268</v>
      </c>
      <c r="AK94">
        <v>10.6</v>
      </c>
    </row>
    <row r="95" spans="31:37" x14ac:dyDescent="0.25">
      <c r="AE95" s="43" t="s">
        <v>68</v>
      </c>
      <c r="AF95" s="43" t="s">
        <v>60</v>
      </c>
      <c r="AG95" s="43" t="s">
        <v>31</v>
      </c>
      <c r="AH95">
        <v>4</v>
      </c>
      <c r="AI95" t="s">
        <v>325</v>
      </c>
      <c r="AJ95" s="43" t="s">
        <v>308</v>
      </c>
      <c r="AK95">
        <v>3.8</v>
      </c>
    </row>
    <row r="96" spans="31:37" x14ac:dyDescent="0.25">
      <c r="AE96" s="43" t="s">
        <v>68</v>
      </c>
      <c r="AF96" s="43" t="s">
        <v>60</v>
      </c>
      <c r="AG96" s="43" t="s">
        <v>31</v>
      </c>
      <c r="AH96">
        <v>4</v>
      </c>
      <c r="AI96" t="s">
        <v>325</v>
      </c>
      <c r="AJ96" s="43" t="s">
        <v>309</v>
      </c>
      <c r="AK96">
        <v>7.7</v>
      </c>
    </row>
    <row r="97" spans="31:37" x14ac:dyDescent="0.25">
      <c r="AE97" s="43" t="s">
        <v>68</v>
      </c>
      <c r="AF97" s="43" t="s">
        <v>60</v>
      </c>
      <c r="AG97" s="43" t="s">
        <v>31</v>
      </c>
      <c r="AH97">
        <v>4</v>
      </c>
      <c r="AI97" t="s">
        <v>325</v>
      </c>
      <c r="AJ97" s="43" t="s">
        <v>268</v>
      </c>
      <c r="AK97">
        <v>11.5</v>
      </c>
    </row>
    <row r="98" spans="31:37" x14ac:dyDescent="0.25">
      <c r="AE98" s="43" t="s">
        <v>68</v>
      </c>
      <c r="AF98" s="43" t="s">
        <v>60</v>
      </c>
      <c r="AG98" s="43" t="s">
        <v>31</v>
      </c>
      <c r="AH98">
        <v>4</v>
      </c>
      <c r="AI98" t="s">
        <v>330</v>
      </c>
      <c r="AJ98" s="43" t="s">
        <v>308</v>
      </c>
      <c r="AK98">
        <v>3.8</v>
      </c>
    </row>
    <row r="99" spans="31:37" x14ac:dyDescent="0.25">
      <c r="AE99" s="43" t="s">
        <v>68</v>
      </c>
      <c r="AF99" s="43" t="s">
        <v>60</v>
      </c>
      <c r="AG99" s="43" t="s">
        <v>31</v>
      </c>
      <c r="AH99">
        <v>4</v>
      </c>
      <c r="AI99" t="s">
        <v>330</v>
      </c>
      <c r="AJ99" s="43" t="s">
        <v>309</v>
      </c>
      <c r="AK99">
        <v>8.5500000000000007</v>
      </c>
    </row>
    <row r="100" spans="31:37" x14ac:dyDescent="0.25">
      <c r="AE100" s="43" t="s">
        <v>68</v>
      </c>
      <c r="AF100" s="43" t="s">
        <v>60</v>
      </c>
      <c r="AG100" s="43" t="s">
        <v>31</v>
      </c>
      <c r="AH100">
        <v>4</v>
      </c>
      <c r="AI100" t="s">
        <v>330</v>
      </c>
      <c r="AJ100" s="43" t="s">
        <v>268</v>
      </c>
      <c r="AK100">
        <v>12.35</v>
      </c>
    </row>
    <row r="101" spans="31:37" x14ac:dyDescent="0.25">
      <c r="AE101" s="43" t="s">
        <v>68</v>
      </c>
      <c r="AF101" s="43" t="s">
        <v>60</v>
      </c>
      <c r="AG101" s="43" t="s">
        <v>31</v>
      </c>
      <c r="AH101">
        <v>4</v>
      </c>
      <c r="AI101" t="s">
        <v>331</v>
      </c>
      <c r="AJ101" s="43" t="s">
        <v>308</v>
      </c>
      <c r="AK101">
        <v>3.7</v>
      </c>
    </row>
    <row r="102" spans="31:37" x14ac:dyDescent="0.25">
      <c r="AE102" s="43" t="s">
        <v>68</v>
      </c>
      <c r="AF102" s="43" t="s">
        <v>60</v>
      </c>
      <c r="AG102" s="43" t="s">
        <v>31</v>
      </c>
      <c r="AH102">
        <v>4</v>
      </c>
      <c r="AI102" t="s">
        <v>331</v>
      </c>
      <c r="AJ102" s="43" t="s">
        <v>309</v>
      </c>
      <c r="AK102">
        <v>7.3</v>
      </c>
    </row>
    <row r="103" spans="31:37" x14ac:dyDescent="0.25">
      <c r="AE103" s="43" t="s">
        <v>68</v>
      </c>
      <c r="AF103" s="43" t="s">
        <v>60</v>
      </c>
      <c r="AG103" s="43" t="s">
        <v>31</v>
      </c>
      <c r="AH103">
        <v>4</v>
      </c>
      <c r="AI103" t="s">
        <v>331</v>
      </c>
      <c r="AJ103" s="43" t="s">
        <v>268</v>
      </c>
      <c r="AK103">
        <v>11</v>
      </c>
    </row>
    <row r="104" spans="31:37" x14ac:dyDescent="0.25">
      <c r="AE104" s="43" t="s">
        <v>68</v>
      </c>
      <c r="AF104" s="43" t="s">
        <v>60</v>
      </c>
      <c r="AG104" s="43" t="s">
        <v>31</v>
      </c>
      <c r="AH104">
        <v>4</v>
      </c>
      <c r="AI104" t="s">
        <v>341</v>
      </c>
      <c r="AJ104" s="43" t="s">
        <v>308</v>
      </c>
      <c r="AK104">
        <v>11.3</v>
      </c>
    </row>
    <row r="105" spans="31:37" x14ac:dyDescent="0.25">
      <c r="AE105" s="43" t="s">
        <v>68</v>
      </c>
      <c r="AF105" s="43" t="s">
        <v>60</v>
      </c>
      <c r="AG105" s="43" t="s">
        <v>31</v>
      </c>
      <c r="AH105">
        <v>4</v>
      </c>
      <c r="AI105" t="s">
        <v>341</v>
      </c>
      <c r="AJ105" s="43" t="s">
        <v>309</v>
      </c>
      <c r="AK105">
        <v>23.65</v>
      </c>
    </row>
    <row r="106" spans="31:37" x14ac:dyDescent="0.25">
      <c r="AE106" s="43" t="s">
        <v>68</v>
      </c>
      <c r="AF106" s="43" t="s">
        <v>60</v>
      </c>
      <c r="AG106" s="43" t="s">
        <v>31</v>
      </c>
      <c r="AH106">
        <v>4</v>
      </c>
      <c r="AI106" t="s">
        <v>341</v>
      </c>
      <c r="AJ106" s="43" t="s">
        <v>268</v>
      </c>
      <c r="AK106">
        <v>34.85</v>
      </c>
    </row>
    <row r="107" spans="31:37" x14ac:dyDescent="0.25">
      <c r="AE107" s="43" t="s">
        <v>68</v>
      </c>
      <c r="AF107" s="43" t="s">
        <v>60</v>
      </c>
      <c r="AG107" s="43" t="s">
        <v>31</v>
      </c>
      <c r="AH107">
        <v>4</v>
      </c>
      <c r="AI107" t="s">
        <v>273</v>
      </c>
      <c r="AJ107" s="43" t="s">
        <v>308</v>
      </c>
      <c r="AK107">
        <v>3.7666666666666671</v>
      </c>
    </row>
    <row r="108" spans="31:37" x14ac:dyDescent="0.25">
      <c r="AE108" s="43" t="s">
        <v>68</v>
      </c>
      <c r="AF108" s="43" t="s">
        <v>60</v>
      </c>
      <c r="AG108" s="43" t="s">
        <v>31</v>
      </c>
      <c r="AH108">
        <v>4</v>
      </c>
      <c r="AI108" t="s">
        <v>273</v>
      </c>
      <c r="AJ108" s="43" t="s">
        <v>309</v>
      </c>
      <c r="AK108">
        <v>7.8833333333333329</v>
      </c>
    </row>
    <row r="109" spans="31:37" x14ac:dyDescent="0.25">
      <c r="AE109" s="43" t="s">
        <v>68</v>
      </c>
      <c r="AF109" s="43" t="s">
        <v>60</v>
      </c>
      <c r="AG109" s="43" t="s">
        <v>31</v>
      </c>
      <c r="AH109">
        <v>4</v>
      </c>
      <c r="AI109" t="s">
        <v>273</v>
      </c>
      <c r="AJ109" s="43" t="s">
        <v>268</v>
      </c>
      <c r="AK109">
        <v>11.616666666666667</v>
      </c>
    </row>
    <row r="110" spans="31:37" x14ac:dyDescent="0.25">
      <c r="AE110" s="43" t="s">
        <v>34</v>
      </c>
      <c r="AF110" s="43" t="s">
        <v>26</v>
      </c>
      <c r="AG110" s="43" t="s">
        <v>36</v>
      </c>
      <c r="AH110">
        <v>4</v>
      </c>
      <c r="AI110" t="s">
        <v>317</v>
      </c>
      <c r="AJ110" s="43" t="s">
        <v>308</v>
      </c>
      <c r="AK110">
        <v>3.6</v>
      </c>
    </row>
    <row r="111" spans="31:37" x14ac:dyDescent="0.25">
      <c r="AE111" s="43" t="s">
        <v>34</v>
      </c>
      <c r="AF111" s="43" t="s">
        <v>26</v>
      </c>
      <c r="AG111" s="43" t="s">
        <v>36</v>
      </c>
      <c r="AH111">
        <v>4</v>
      </c>
      <c r="AI111" t="s">
        <v>317</v>
      </c>
      <c r="AJ111" s="43" t="s">
        <v>309</v>
      </c>
      <c r="AK111">
        <v>7.8</v>
      </c>
    </row>
    <row r="112" spans="31:37" x14ac:dyDescent="0.25">
      <c r="AE112" s="43" t="s">
        <v>34</v>
      </c>
      <c r="AF112" s="43" t="s">
        <v>26</v>
      </c>
      <c r="AG112" s="43" t="s">
        <v>36</v>
      </c>
      <c r="AH112">
        <v>4</v>
      </c>
      <c r="AI112" t="s">
        <v>317</v>
      </c>
      <c r="AJ112" s="43" t="s">
        <v>268</v>
      </c>
      <c r="AK112">
        <v>11.4</v>
      </c>
    </row>
    <row r="113" spans="31:37" x14ac:dyDescent="0.25">
      <c r="AE113" s="43" t="s">
        <v>34</v>
      </c>
      <c r="AF113" s="43" t="s">
        <v>26</v>
      </c>
      <c r="AG113" s="43" t="s">
        <v>36</v>
      </c>
      <c r="AH113">
        <v>4</v>
      </c>
      <c r="AI113" t="s">
        <v>325</v>
      </c>
      <c r="AJ113" s="43" t="s">
        <v>308</v>
      </c>
      <c r="AK113">
        <v>3.9</v>
      </c>
    </row>
    <row r="114" spans="31:37" x14ac:dyDescent="0.25">
      <c r="AE114" s="43" t="s">
        <v>34</v>
      </c>
      <c r="AF114" s="43" t="s">
        <v>26</v>
      </c>
      <c r="AG114" s="43" t="s">
        <v>36</v>
      </c>
      <c r="AH114">
        <v>4</v>
      </c>
      <c r="AI114" t="s">
        <v>325</v>
      </c>
      <c r="AJ114" s="43" t="s">
        <v>309</v>
      </c>
      <c r="AK114">
        <v>8.1</v>
      </c>
    </row>
    <row r="115" spans="31:37" x14ac:dyDescent="0.25">
      <c r="AE115" s="43" t="s">
        <v>34</v>
      </c>
      <c r="AF115" s="43" t="s">
        <v>26</v>
      </c>
      <c r="AG115" s="43" t="s">
        <v>36</v>
      </c>
      <c r="AH115">
        <v>4</v>
      </c>
      <c r="AI115" t="s">
        <v>325</v>
      </c>
      <c r="AJ115" s="43" t="s">
        <v>268</v>
      </c>
      <c r="AK115">
        <v>12</v>
      </c>
    </row>
    <row r="116" spans="31:37" x14ac:dyDescent="0.25">
      <c r="AE116" s="43" t="s">
        <v>34</v>
      </c>
      <c r="AF116" s="43" t="s">
        <v>26</v>
      </c>
      <c r="AG116" s="43" t="s">
        <v>36</v>
      </c>
      <c r="AH116">
        <v>4</v>
      </c>
      <c r="AI116" t="s">
        <v>330</v>
      </c>
      <c r="AJ116" s="43" t="s">
        <v>308</v>
      </c>
      <c r="AK116">
        <v>3.7</v>
      </c>
    </row>
    <row r="117" spans="31:37" x14ac:dyDescent="0.25">
      <c r="AE117" s="43" t="s">
        <v>34</v>
      </c>
      <c r="AF117" s="43" t="s">
        <v>26</v>
      </c>
      <c r="AG117" s="43" t="s">
        <v>36</v>
      </c>
      <c r="AH117">
        <v>4</v>
      </c>
      <c r="AI117" t="s">
        <v>330</v>
      </c>
      <c r="AJ117" s="43" t="s">
        <v>309</v>
      </c>
      <c r="AK117">
        <v>7.45</v>
      </c>
    </row>
    <row r="118" spans="31:37" x14ac:dyDescent="0.25">
      <c r="AE118" s="43" t="s">
        <v>34</v>
      </c>
      <c r="AF118" s="43" t="s">
        <v>26</v>
      </c>
      <c r="AG118" s="43" t="s">
        <v>36</v>
      </c>
      <c r="AH118">
        <v>4</v>
      </c>
      <c r="AI118" t="s">
        <v>330</v>
      </c>
      <c r="AJ118" s="43" t="s">
        <v>268</v>
      </c>
      <c r="AK118">
        <v>11.15</v>
      </c>
    </row>
    <row r="119" spans="31:37" x14ac:dyDescent="0.25">
      <c r="AE119" s="43" t="s">
        <v>34</v>
      </c>
      <c r="AF119" s="43" t="s">
        <v>26</v>
      </c>
      <c r="AG119" s="43" t="s">
        <v>36</v>
      </c>
      <c r="AH119">
        <v>4</v>
      </c>
      <c r="AI119" t="s">
        <v>331</v>
      </c>
      <c r="AJ119" s="43" t="s">
        <v>308</v>
      </c>
      <c r="AK119">
        <v>3.4</v>
      </c>
    </row>
    <row r="120" spans="31:37" x14ac:dyDescent="0.25">
      <c r="AE120" s="43" t="s">
        <v>34</v>
      </c>
      <c r="AF120" s="43" t="s">
        <v>26</v>
      </c>
      <c r="AG120" s="43" t="s">
        <v>36</v>
      </c>
      <c r="AH120">
        <v>4</v>
      </c>
      <c r="AI120" t="s">
        <v>331</v>
      </c>
      <c r="AJ120" s="43" t="s">
        <v>309</v>
      </c>
      <c r="AK120">
        <v>7.7</v>
      </c>
    </row>
    <row r="121" spans="31:37" x14ac:dyDescent="0.25">
      <c r="AE121" s="43" t="s">
        <v>34</v>
      </c>
      <c r="AF121" s="43" t="s">
        <v>26</v>
      </c>
      <c r="AG121" s="43" t="s">
        <v>36</v>
      </c>
      <c r="AH121">
        <v>4</v>
      </c>
      <c r="AI121" t="s">
        <v>331</v>
      </c>
      <c r="AJ121" s="43" t="s">
        <v>268</v>
      </c>
      <c r="AK121">
        <v>11.1</v>
      </c>
    </row>
    <row r="122" spans="31:37" x14ac:dyDescent="0.25">
      <c r="AE122" s="43" t="s">
        <v>34</v>
      </c>
      <c r="AF122" s="43" t="s">
        <v>26</v>
      </c>
      <c r="AG122" s="43" t="s">
        <v>36</v>
      </c>
      <c r="AH122">
        <v>4</v>
      </c>
      <c r="AI122" t="s">
        <v>341</v>
      </c>
      <c r="AJ122" s="43" t="s">
        <v>308</v>
      </c>
      <c r="AK122">
        <v>11.2</v>
      </c>
    </row>
    <row r="123" spans="31:37" x14ac:dyDescent="0.25">
      <c r="AE123" s="43" t="s">
        <v>34</v>
      </c>
      <c r="AF123" s="43" t="s">
        <v>26</v>
      </c>
      <c r="AG123" s="43" t="s">
        <v>36</v>
      </c>
      <c r="AH123">
        <v>4</v>
      </c>
      <c r="AI123" t="s">
        <v>341</v>
      </c>
      <c r="AJ123" s="43" t="s">
        <v>309</v>
      </c>
      <c r="AK123">
        <v>23.599999999999998</v>
      </c>
    </row>
    <row r="124" spans="31:37" x14ac:dyDescent="0.25">
      <c r="AE124" s="43" t="s">
        <v>34</v>
      </c>
      <c r="AF124" s="43" t="s">
        <v>26</v>
      </c>
      <c r="AG124" s="43" t="s">
        <v>36</v>
      </c>
      <c r="AH124">
        <v>4</v>
      </c>
      <c r="AI124" t="s">
        <v>341</v>
      </c>
      <c r="AJ124" s="43" t="s">
        <v>268</v>
      </c>
      <c r="AK124">
        <v>34.549999999999997</v>
      </c>
    </row>
    <row r="125" spans="31:37" x14ac:dyDescent="0.25">
      <c r="AE125" s="43" t="s">
        <v>34</v>
      </c>
      <c r="AF125" s="43" t="s">
        <v>26</v>
      </c>
      <c r="AG125" s="43" t="s">
        <v>36</v>
      </c>
      <c r="AH125">
        <v>4</v>
      </c>
      <c r="AI125" t="s">
        <v>273</v>
      </c>
      <c r="AJ125" s="43" t="s">
        <v>308</v>
      </c>
      <c r="AK125">
        <v>3.7333333333333329</v>
      </c>
    </row>
    <row r="126" spans="31:37" x14ac:dyDescent="0.25">
      <c r="AE126" s="43" t="s">
        <v>34</v>
      </c>
      <c r="AF126" s="43" t="s">
        <v>26</v>
      </c>
      <c r="AG126" s="43" t="s">
        <v>36</v>
      </c>
      <c r="AH126">
        <v>4</v>
      </c>
      <c r="AI126" t="s">
        <v>273</v>
      </c>
      <c r="AJ126" s="43" t="s">
        <v>309</v>
      </c>
      <c r="AK126">
        <v>7.8666666666666663</v>
      </c>
    </row>
    <row r="127" spans="31:37" x14ac:dyDescent="0.25">
      <c r="AE127" s="43" t="s">
        <v>34</v>
      </c>
      <c r="AF127" s="43" t="s">
        <v>26</v>
      </c>
      <c r="AG127" s="43" t="s">
        <v>36</v>
      </c>
      <c r="AH127">
        <v>4</v>
      </c>
      <c r="AI127" t="s">
        <v>273</v>
      </c>
      <c r="AJ127" s="43" t="s">
        <v>268</v>
      </c>
      <c r="AK127">
        <v>11.516666666666666</v>
      </c>
    </row>
    <row r="128" spans="31:37" x14ac:dyDescent="0.25">
      <c r="AE128" s="43" t="s">
        <v>82</v>
      </c>
      <c r="AF128" s="43" t="s">
        <v>60</v>
      </c>
      <c r="AG128" s="43" t="s">
        <v>36</v>
      </c>
      <c r="AH128">
        <v>3</v>
      </c>
      <c r="AI128" t="s">
        <v>317</v>
      </c>
      <c r="AJ128" s="43" t="s">
        <v>308</v>
      </c>
      <c r="AK128">
        <v>0</v>
      </c>
    </row>
    <row r="129" spans="31:37" x14ac:dyDescent="0.25">
      <c r="AE129" s="43" t="s">
        <v>82</v>
      </c>
      <c r="AF129" s="43" t="s">
        <v>60</v>
      </c>
      <c r="AG129" s="43" t="s">
        <v>36</v>
      </c>
      <c r="AH129">
        <v>3</v>
      </c>
      <c r="AI129" t="s">
        <v>317</v>
      </c>
      <c r="AJ129" s="43" t="s">
        <v>309</v>
      </c>
      <c r="AK129">
        <v>0</v>
      </c>
    </row>
    <row r="130" spans="31:37" x14ac:dyDescent="0.25">
      <c r="AE130" s="43" t="s">
        <v>82</v>
      </c>
      <c r="AF130" s="43" t="s">
        <v>60</v>
      </c>
      <c r="AG130" s="43" t="s">
        <v>36</v>
      </c>
      <c r="AH130">
        <v>3</v>
      </c>
      <c r="AI130" t="s">
        <v>317</v>
      </c>
      <c r="AJ130" s="43" t="s">
        <v>268</v>
      </c>
      <c r="AK130">
        <v>0</v>
      </c>
    </row>
    <row r="131" spans="31:37" x14ac:dyDescent="0.25">
      <c r="AE131" s="43" t="s">
        <v>82</v>
      </c>
      <c r="AF131" s="43" t="s">
        <v>60</v>
      </c>
      <c r="AG131" s="43" t="s">
        <v>36</v>
      </c>
      <c r="AH131">
        <v>3</v>
      </c>
      <c r="AI131" t="s">
        <v>325</v>
      </c>
      <c r="AJ131" s="43" t="s">
        <v>308</v>
      </c>
      <c r="AK131">
        <v>3.8</v>
      </c>
    </row>
    <row r="132" spans="31:37" x14ac:dyDescent="0.25">
      <c r="AE132" s="43" t="s">
        <v>82</v>
      </c>
      <c r="AF132" s="43" t="s">
        <v>60</v>
      </c>
      <c r="AG132" s="43" t="s">
        <v>36</v>
      </c>
      <c r="AH132">
        <v>3</v>
      </c>
      <c r="AI132" t="s">
        <v>325</v>
      </c>
      <c r="AJ132" s="43" t="s">
        <v>309</v>
      </c>
      <c r="AK132">
        <v>7.5</v>
      </c>
    </row>
    <row r="133" spans="31:37" x14ac:dyDescent="0.25">
      <c r="AE133" s="43" t="s">
        <v>82</v>
      </c>
      <c r="AF133" s="43" t="s">
        <v>60</v>
      </c>
      <c r="AG133" s="43" t="s">
        <v>36</v>
      </c>
      <c r="AH133">
        <v>3</v>
      </c>
      <c r="AI133" t="s">
        <v>325</v>
      </c>
      <c r="AJ133" s="43" t="s">
        <v>268</v>
      </c>
      <c r="AK133">
        <v>11.3</v>
      </c>
    </row>
    <row r="134" spans="31:37" x14ac:dyDescent="0.25">
      <c r="AE134" s="43" t="s">
        <v>82</v>
      </c>
      <c r="AF134" s="43" t="s">
        <v>60</v>
      </c>
      <c r="AG134" s="43" t="s">
        <v>36</v>
      </c>
      <c r="AH134">
        <v>3</v>
      </c>
      <c r="AI134" t="s">
        <v>330</v>
      </c>
      <c r="AJ134" s="43" t="s">
        <v>308</v>
      </c>
      <c r="AK134">
        <v>3.8</v>
      </c>
    </row>
    <row r="135" spans="31:37" x14ac:dyDescent="0.25">
      <c r="AE135" s="43" t="s">
        <v>82</v>
      </c>
      <c r="AF135" s="43" t="s">
        <v>60</v>
      </c>
      <c r="AG135" s="43" t="s">
        <v>36</v>
      </c>
      <c r="AH135">
        <v>3</v>
      </c>
      <c r="AI135" t="s">
        <v>330</v>
      </c>
      <c r="AJ135" s="43" t="s">
        <v>309</v>
      </c>
      <c r="AK135">
        <v>7.7</v>
      </c>
    </row>
    <row r="136" spans="31:37" x14ac:dyDescent="0.25">
      <c r="AE136" s="43" t="s">
        <v>82</v>
      </c>
      <c r="AF136" s="43" t="s">
        <v>60</v>
      </c>
      <c r="AG136" s="43" t="s">
        <v>36</v>
      </c>
      <c r="AH136">
        <v>3</v>
      </c>
      <c r="AI136" t="s">
        <v>330</v>
      </c>
      <c r="AJ136" s="43" t="s">
        <v>268</v>
      </c>
      <c r="AK136">
        <v>11.5</v>
      </c>
    </row>
    <row r="137" spans="31:37" x14ac:dyDescent="0.25">
      <c r="AE137" s="43" t="s">
        <v>82</v>
      </c>
      <c r="AF137" s="43" t="s">
        <v>60</v>
      </c>
      <c r="AG137" s="43" t="s">
        <v>36</v>
      </c>
      <c r="AH137">
        <v>3</v>
      </c>
      <c r="AI137" t="s">
        <v>331</v>
      </c>
      <c r="AJ137" s="43" t="s">
        <v>308</v>
      </c>
      <c r="AK137">
        <v>3.8</v>
      </c>
    </row>
    <row r="138" spans="31:37" x14ac:dyDescent="0.25">
      <c r="AE138" s="43" t="s">
        <v>82</v>
      </c>
      <c r="AF138" s="43" t="s">
        <v>60</v>
      </c>
      <c r="AG138" s="43" t="s">
        <v>36</v>
      </c>
      <c r="AH138">
        <v>3</v>
      </c>
      <c r="AI138" t="s">
        <v>331</v>
      </c>
      <c r="AJ138" s="43" t="s">
        <v>309</v>
      </c>
      <c r="AK138">
        <v>7.9</v>
      </c>
    </row>
    <row r="139" spans="31:37" x14ac:dyDescent="0.25">
      <c r="AE139" s="43" t="s">
        <v>82</v>
      </c>
      <c r="AF139" s="43" t="s">
        <v>60</v>
      </c>
      <c r="AG139" s="43" t="s">
        <v>36</v>
      </c>
      <c r="AH139">
        <v>3</v>
      </c>
      <c r="AI139" t="s">
        <v>331</v>
      </c>
      <c r="AJ139" s="43" t="s">
        <v>268</v>
      </c>
      <c r="AK139">
        <v>11.7</v>
      </c>
    </row>
    <row r="140" spans="31:37" x14ac:dyDescent="0.25">
      <c r="AE140" s="43" t="s">
        <v>82</v>
      </c>
      <c r="AF140" s="43" t="s">
        <v>60</v>
      </c>
      <c r="AG140" s="43" t="s">
        <v>36</v>
      </c>
      <c r="AH140">
        <v>3</v>
      </c>
      <c r="AI140" t="s">
        <v>341</v>
      </c>
      <c r="AJ140" s="43" t="s">
        <v>308</v>
      </c>
      <c r="AK140">
        <v>11.399999999999999</v>
      </c>
    </row>
    <row r="141" spans="31:37" x14ac:dyDescent="0.25">
      <c r="AE141" s="43" t="s">
        <v>82</v>
      </c>
      <c r="AF141" s="43" t="s">
        <v>60</v>
      </c>
      <c r="AG141" s="43" t="s">
        <v>36</v>
      </c>
      <c r="AH141">
        <v>3</v>
      </c>
      <c r="AI141" t="s">
        <v>341</v>
      </c>
      <c r="AJ141" s="43" t="s">
        <v>309</v>
      </c>
      <c r="AK141">
        <v>23.1</v>
      </c>
    </row>
    <row r="142" spans="31:37" x14ac:dyDescent="0.25">
      <c r="AE142" s="43" t="s">
        <v>82</v>
      </c>
      <c r="AF142" s="43" t="s">
        <v>60</v>
      </c>
      <c r="AG142" s="43" t="s">
        <v>36</v>
      </c>
      <c r="AH142">
        <v>3</v>
      </c>
      <c r="AI142" t="s">
        <v>341</v>
      </c>
      <c r="AJ142" s="43" t="s">
        <v>268</v>
      </c>
      <c r="AK142">
        <v>34.5</v>
      </c>
    </row>
    <row r="143" spans="31:37" x14ac:dyDescent="0.25">
      <c r="AE143" s="43" t="s">
        <v>82</v>
      </c>
      <c r="AF143" s="43" t="s">
        <v>60</v>
      </c>
      <c r="AG143" s="43" t="s">
        <v>36</v>
      </c>
      <c r="AH143">
        <v>3</v>
      </c>
      <c r="AI143" t="s">
        <v>273</v>
      </c>
      <c r="AJ143" s="43" t="s">
        <v>308</v>
      </c>
      <c r="AK143">
        <v>3.7999999999999994</v>
      </c>
    </row>
    <row r="144" spans="31:37" x14ac:dyDescent="0.25">
      <c r="AE144" s="43" t="s">
        <v>82</v>
      </c>
      <c r="AF144" s="43" t="s">
        <v>60</v>
      </c>
      <c r="AG144" s="43" t="s">
        <v>36</v>
      </c>
      <c r="AH144">
        <v>3</v>
      </c>
      <c r="AI144" t="s">
        <v>273</v>
      </c>
      <c r="AJ144" s="43" t="s">
        <v>309</v>
      </c>
      <c r="AK144">
        <v>7.7</v>
      </c>
    </row>
    <row r="145" spans="31:37" x14ac:dyDescent="0.25">
      <c r="AE145" s="43" t="s">
        <v>82</v>
      </c>
      <c r="AF145" s="43" t="s">
        <v>60</v>
      </c>
      <c r="AG145" s="43" t="s">
        <v>36</v>
      </c>
      <c r="AH145">
        <v>3</v>
      </c>
      <c r="AI145" t="s">
        <v>273</v>
      </c>
      <c r="AJ145" s="43" t="s">
        <v>268</v>
      </c>
      <c r="AK145">
        <v>11.5</v>
      </c>
    </row>
    <row r="146" spans="31:37" x14ac:dyDescent="0.25">
      <c r="AE146" s="43" t="s">
        <v>25</v>
      </c>
      <c r="AF146" s="43" t="s">
        <v>26</v>
      </c>
      <c r="AG146" s="43" t="s">
        <v>28</v>
      </c>
      <c r="AH146">
        <v>4</v>
      </c>
      <c r="AI146" t="s">
        <v>317</v>
      </c>
      <c r="AJ146" s="43" t="s">
        <v>308</v>
      </c>
      <c r="AK146">
        <v>2.8</v>
      </c>
    </row>
    <row r="147" spans="31:37" x14ac:dyDescent="0.25">
      <c r="AE147" s="43" t="s">
        <v>25</v>
      </c>
      <c r="AF147" s="43" t="s">
        <v>26</v>
      </c>
      <c r="AG147" s="43" t="s">
        <v>28</v>
      </c>
      <c r="AH147">
        <v>4</v>
      </c>
      <c r="AI147" t="s">
        <v>317</v>
      </c>
      <c r="AJ147" s="43" t="s">
        <v>309</v>
      </c>
      <c r="AK147">
        <v>8.85</v>
      </c>
    </row>
    <row r="148" spans="31:37" x14ac:dyDescent="0.25">
      <c r="AE148" s="43" t="s">
        <v>25</v>
      </c>
      <c r="AF148" s="43" t="s">
        <v>26</v>
      </c>
      <c r="AG148" s="43" t="s">
        <v>28</v>
      </c>
      <c r="AH148">
        <v>4</v>
      </c>
      <c r="AI148" t="s">
        <v>317</v>
      </c>
      <c r="AJ148" s="43" t="s">
        <v>268</v>
      </c>
      <c r="AK148">
        <v>11.65</v>
      </c>
    </row>
    <row r="149" spans="31:37" x14ac:dyDescent="0.25">
      <c r="AE149" s="43" t="s">
        <v>25</v>
      </c>
      <c r="AF149" s="43" t="s">
        <v>26</v>
      </c>
      <c r="AG149" s="43" t="s">
        <v>28</v>
      </c>
      <c r="AH149">
        <v>4</v>
      </c>
      <c r="AI149" t="s">
        <v>325</v>
      </c>
      <c r="AJ149" s="43" t="s">
        <v>308</v>
      </c>
      <c r="AK149">
        <v>2.6</v>
      </c>
    </row>
    <row r="150" spans="31:37" x14ac:dyDescent="0.25">
      <c r="AE150" s="43" t="s">
        <v>25</v>
      </c>
      <c r="AF150" s="43" t="s">
        <v>26</v>
      </c>
      <c r="AG150" s="43" t="s">
        <v>28</v>
      </c>
      <c r="AH150">
        <v>4</v>
      </c>
      <c r="AI150" t="s">
        <v>325</v>
      </c>
      <c r="AJ150" s="43" t="s">
        <v>309</v>
      </c>
      <c r="AK150">
        <v>8.1999999999999993</v>
      </c>
    </row>
    <row r="151" spans="31:37" x14ac:dyDescent="0.25">
      <c r="AE151" s="43" t="s">
        <v>25</v>
      </c>
      <c r="AF151" s="43" t="s">
        <v>26</v>
      </c>
      <c r="AG151" s="43" t="s">
        <v>28</v>
      </c>
      <c r="AH151">
        <v>4</v>
      </c>
      <c r="AI151" t="s">
        <v>325</v>
      </c>
      <c r="AJ151" s="43" t="s">
        <v>268</v>
      </c>
      <c r="AK151">
        <v>10.8</v>
      </c>
    </row>
    <row r="152" spans="31:37" x14ac:dyDescent="0.25">
      <c r="AE152" s="43" t="s">
        <v>25</v>
      </c>
      <c r="AF152" s="43" t="s">
        <v>26</v>
      </c>
      <c r="AG152" s="43" t="s">
        <v>28</v>
      </c>
      <c r="AH152">
        <v>4</v>
      </c>
      <c r="AI152" t="s">
        <v>330</v>
      </c>
      <c r="AJ152" s="43" t="s">
        <v>308</v>
      </c>
      <c r="AK152">
        <v>2.8</v>
      </c>
    </row>
    <row r="153" spans="31:37" x14ac:dyDescent="0.25">
      <c r="AE153" s="43" t="s">
        <v>25</v>
      </c>
      <c r="AF153" s="43" t="s">
        <v>26</v>
      </c>
      <c r="AG153" s="43" t="s">
        <v>28</v>
      </c>
      <c r="AH153">
        <v>4</v>
      </c>
      <c r="AI153" t="s">
        <v>330</v>
      </c>
      <c r="AJ153" s="43" t="s">
        <v>309</v>
      </c>
      <c r="AK153">
        <v>8.4</v>
      </c>
    </row>
    <row r="154" spans="31:37" x14ac:dyDescent="0.25">
      <c r="AE154" s="43" t="s">
        <v>25</v>
      </c>
      <c r="AF154" s="43" t="s">
        <v>26</v>
      </c>
      <c r="AG154" s="43" t="s">
        <v>28</v>
      </c>
      <c r="AH154">
        <v>4</v>
      </c>
      <c r="AI154" t="s">
        <v>330</v>
      </c>
      <c r="AJ154" s="43" t="s">
        <v>268</v>
      </c>
      <c r="AK154">
        <v>11.2</v>
      </c>
    </row>
    <row r="155" spans="31:37" x14ac:dyDescent="0.25">
      <c r="AE155" s="43" t="s">
        <v>25</v>
      </c>
      <c r="AF155" s="43" t="s">
        <v>26</v>
      </c>
      <c r="AG155" s="43" t="s">
        <v>28</v>
      </c>
      <c r="AH155">
        <v>4</v>
      </c>
      <c r="AI155" t="s">
        <v>331</v>
      </c>
      <c r="AJ155" s="43" t="s">
        <v>308</v>
      </c>
      <c r="AK155">
        <v>2.8</v>
      </c>
    </row>
    <row r="156" spans="31:37" x14ac:dyDescent="0.25">
      <c r="AE156" s="43" t="s">
        <v>25</v>
      </c>
      <c r="AF156" s="43" t="s">
        <v>26</v>
      </c>
      <c r="AG156" s="43" t="s">
        <v>28</v>
      </c>
      <c r="AH156">
        <v>4</v>
      </c>
      <c r="AI156" t="s">
        <v>331</v>
      </c>
      <c r="AJ156" s="43" t="s">
        <v>309</v>
      </c>
      <c r="AK156">
        <v>8.4</v>
      </c>
    </row>
    <row r="157" spans="31:37" x14ac:dyDescent="0.25">
      <c r="AE157" s="43" t="s">
        <v>25</v>
      </c>
      <c r="AF157" s="43" t="s">
        <v>26</v>
      </c>
      <c r="AG157" s="43" t="s">
        <v>28</v>
      </c>
      <c r="AH157">
        <v>4</v>
      </c>
      <c r="AI157" t="s">
        <v>331</v>
      </c>
      <c r="AJ157" s="43" t="s">
        <v>268</v>
      </c>
      <c r="AK157">
        <v>11.2</v>
      </c>
    </row>
    <row r="158" spans="31:37" x14ac:dyDescent="0.25">
      <c r="AE158" s="43" t="s">
        <v>25</v>
      </c>
      <c r="AF158" s="43" t="s">
        <v>26</v>
      </c>
      <c r="AG158" s="43" t="s">
        <v>28</v>
      </c>
      <c r="AH158">
        <v>4</v>
      </c>
      <c r="AI158" t="s">
        <v>341</v>
      </c>
      <c r="AJ158" s="43" t="s">
        <v>308</v>
      </c>
      <c r="AK158">
        <v>8.3999999999999986</v>
      </c>
    </row>
    <row r="159" spans="31:37" x14ac:dyDescent="0.25">
      <c r="AE159" s="43" t="s">
        <v>25</v>
      </c>
      <c r="AF159" s="43" t="s">
        <v>26</v>
      </c>
      <c r="AG159" s="43" t="s">
        <v>28</v>
      </c>
      <c r="AH159">
        <v>4</v>
      </c>
      <c r="AI159" t="s">
        <v>341</v>
      </c>
      <c r="AJ159" s="43" t="s">
        <v>309</v>
      </c>
      <c r="AK159">
        <v>25.65</v>
      </c>
    </row>
    <row r="160" spans="31:37" x14ac:dyDescent="0.25">
      <c r="AE160" s="43" t="s">
        <v>25</v>
      </c>
      <c r="AF160" s="43" t="s">
        <v>26</v>
      </c>
      <c r="AG160" s="43" t="s">
        <v>28</v>
      </c>
      <c r="AH160">
        <v>4</v>
      </c>
      <c r="AI160" t="s">
        <v>341</v>
      </c>
      <c r="AJ160" s="43" t="s">
        <v>268</v>
      </c>
      <c r="AK160">
        <v>34.049999999999997</v>
      </c>
    </row>
    <row r="161" spans="31:37" x14ac:dyDescent="0.25">
      <c r="AE161" s="43" t="s">
        <v>25</v>
      </c>
      <c r="AF161" s="43" t="s">
        <v>26</v>
      </c>
      <c r="AG161" s="43" t="s">
        <v>28</v>
      </c>
      <c r="AH161">
        <v>4</v>
      </c>
      <c r="AI161" t="s">
        <v>273</v>
      </c>
      <c r="AJ161" s="43" t="s">
        <v>308</v>
      </c>
      <c r="AK161">
        <v>2.7999999999999994</v>
      </c>
    </row>
    <row r="162" spans="31:37" x14ac:dyDescent="0.25">
      <c r="AE162" s="43" t="s">
        <v>25</v>
      </c>
      <c r="AF162" s="43" t="s">
        <v>26</v>
      </c>
      <c r="AG162" s="43" t="s">
        <v>28</v>
      </c>
      <c r="AH162">
        <v>4</v>
      </c>
      <c r="AI162" t="s">
        <v>273</v>
      </c>
      <c r="AJ162" s="43" t="s">
        <v>309</v>
      </c>
      <c r="AK162">
        <v>8.5499999999999989</v>
      </c>
    </row>
    <row r="163" spans="31:37" x14ac:dyDescent="0.25">
      <c r="AE163" s="43" t="s">
        <v>25</v>
      </c>
      <c r="AF163" s="43" t="s">
        <v>26</v>
      </c>
      <c r="AG163" s="43" t="s">
        <v>28</v>
      </c>
      <c r="AH163">
        <v>4</v>
      </c>
      <c r="AI163" t="s">
        <v>273</v>
      </c>
      <c r="AJ163" s="43" t="s">
        <v>268</v>
      </c>
      <c r="AK163">
        <v>11.35</v>
      </c>
    </row>
    <row r="164" spans="31:37" x14ac:dyDescent="0.25">
      <c r="AE164" s="43" t="s">
        <v>32</v>
      </c>
      <c r="AF164" s="43" t="s">
        <v>26</v>
      </c>
      <c r="AG164" s="43" t="s">
        <v>31</v>
      </c>
      <c r="AH164">
        <v>4</v>
      </c>
      <c r="AI164" t="s">
        <v>317</v>
      </c>
      <c r="AJ164" s="43" t="s">
        <v>308</v>
      </c>
      <c r="AK164">
        <v>3.3</v>
      </c>
    </row>
    <row r="165" spans="31:37" x14ac:dyDescent="0.25">
      <c r="AE165" s="43" t="s">
        <v>32</v>
      </c>
      <c r="AF165" s="43" t="s">
        <v>26</v>
      </c>
      <c r="AG165" s="43" t="s">
        <v>31</v>
      </c>
      <c r="AH165">
        <v>4</v>
      </c>
      <c r="AI165" t="s">
        <v>317</v>
      </c>
      <c r="AJ165" s="43" t="s">
        <v>309</v>
      </c>
      <c r="AK165">
        <v>7.1</v>
      </c>
    </row>
    <row r="166" spans="31:37" x14ac:dyDescent="0.25">
      <c r="AE166" s="43" t="s">
        <v>32</v>
      </c>
      <c r="AF166" s="43" t="s">
        <v>26</v>
      </c>
      <c r="AG166" s="43" t="s">
        <v>31</v>
      </c>
      <c r="AH166">
        <v>4</v>
      </c>
      <c r="AI166" t="s">
        <v>317</v>
      </c>
      <c r="AJ166" s="43" t="s">
        <v>268</v>
      </c>
      <c r="AK166">
        <v>10.4</v>
      </c>
    </row>
    <row r="167" spans="31:37" x14ac:dyDescent="0.25">
      <c r="AE167" s="43" t="s">
        <v>32</v>
      </c>
      <c r="AF167" s="43" t="s">
        <v>26</v>
      </c>
      <c r="AG167" s="43" t="s">
        <v>31</v>
      </c>
      <c r="AH167">
        <v>4</v>
      </c>
      <c r="AI167" t="s">
        <v>325</v>
      </c>
      <c r="AJ167" s="43" t="s">
        <v>308</v>
      </c>
      <c r="AK167">
        <v>3.2</v>
      </c>
    </row>
    <row r="168" spans="31:37" x14ac:dyDescent="0.25">
      <c r="AE168" s="43" t="s">
        <v>32</v>
      </c>
      <c r="AF168" s="43" t="s">
        <v>26</v>
      </c>
      <c r="AG168" s="43" t="s">
        <v>31</v>
      </c>
      <c r="AH168">
        <v>4</v>
      </c>
      <c r="AI168" t="s">
        <v>325</v>
      </c>
      <c r="AJ168" s="43" t="s">
        <v>309</v>
      </c>
      <c r="AK168">
        <v>9</v>
      </c>
    </row>
    <row r="169" spans="31:37" x14ac:dyDescent="0.25">
      <c r="AE169" s="43" t="s">
        <v>32</v>
      </c>
      <c r="AF169" s="43" t="s">
        <v>26</v>
      </c>
      <c r="AG169" s="43" t="s">
        <v>31</v>
      </c>
      <c r="AH169">
        <v>4</v>
      </c>
      <c r="AI169" t="s">
        <v>325</v>
      </c>
      <c r="AJ169" s="43" t="s">
        <v>268</v>
      </c>
      <c r="AK169">
        <v>12.2</v>
      </c>
    </row>
    <row r="170" spans="31:37" x14ac:dyDescent="0.25">
      <c r="AE170" s="43" t="s">
        <v>32</v>
      </c>
      <c r="AF170" s="43" t="s">
        <v>26</v>
      </c>
      <c r="AG170" s="43" t="s">
        <v>31</v>
      </c>
      <c r="AH170">
        <v>4</v>
      </c>
      <c r="AI170" t="s">
        <v>330</v>
      </c>
      <c r="AJ170" s="43" t="s">
        <v>308</v>
      </c>
      <c r="AK170">
        <v>3.3</v>
      </c>
    </row>
    <row r="171" spans="31:37" x14ac:dyDescent="0.25">
      <c r="AE171" s="43" t="s">
        <v>32</v>
      </c>
      <c r="AF171" s="43" t="s">
        <v>26</v>
      </c>
      <c r="AG171" s="43" t="s">
        <v>31</v>
      </c>
      <c r="AH171">
        <v>4</v>
      </c>
      <c r="AI171" t="s">
        <v>330</v>
      </c>
      <c r="AJ171" s="43" t="s">
        <v>309</v>
      </c>
      <c r="AK171">
        <v>6.95</v>
      </c>
    </row>
    <row r="172" spans="31:37" x14ac:dyDescent="0.25">
      <c r="AE172" s="43" t="s">
        <v>32</v>
      </c>
      <c r="AF172" s="43" t="s">
        <v>26</v>
      </c>
      <c r="AG172" s="43" t="s">
        <v>31</v>
      </c>
      <c r="AH172">
        <v>4</v>
      </c>
      <c r="AI172" t="s">
        <v>330</v>
      </c>
      <c r="AJ172" s="43" t="s">
        <v>268</v>
      </c>
      <c r="AK172">
        <v>10.25</v>
      </c>
    </row>
    <row r="173" spans="31:37" x14ac:dyDescent="0.25">
      <c r="AE173" s="43" t="s">
        <v>32</v>
      </c>
      <c r="AF173" s="43" t="s">
        <v>26</v>
      </c>
      <c r="AG173" s="43" t="s">
        <v>31</v>
      </c>
      <c r="AH173">
        <v>4</v>
      </c>
      <c r="AI173" t="s">
        <v>331</v>
      </c>
      <c r="AJ173" s="43" t="s">
        <v>308</v>
      </c>
      <c r="AK173">
        <v>3.3</v>
      </c>
    </row>
    <row r="174" spans="31:37" x14ac:dyDescent="0.25">
      <c r="AE174" s="43" t="s">
        <v>32</v>
      </c>
      <c r="AF174" s="43" t="s">
        <v>26</v>
      </c>
      <c r="AG174" s="43" t="s">
        <v>31</v>
      </c>
      <c r="AH174">
        <v>4</v>
      </c>
      <c r="AI174" t="s">
        <v>331</v>
      </c>
      <c r="AJ174" s="43" t="s">
        <v>309</v>
      </c>
      <c r="AK174">
        <v>7.9</v>
      </c>
    </row>
    <row r="175" spans="31:37" x14ac:dyDescent="0.25">
      <c r="AE175" s="43" t="s">
        <v>32</v>
      </c>
      <c r="AF175" s="43" t="s">
        <v>26</v>
      </c>
      <c r="AG175" s="43" t="s">
        <v>31</v>
      </c>
      <c r="AH175">
        <v>4</v>
      </c>
      <c r="AI175" t="s">
        <v>331</v>
      </c>
      <c r="AJ175" s="43" t="s">
        <v>268</v>
      </c>
      <c r="AK175">
        <v>11.2</v>
      </c>
    </row>
    <row r="176" spans="31:37" x14ac:dyDescent="0.25">
      <c r="AE176" s="43" t="s">
        <v>32</v>
      </c>
      <c r="AF176" s="43" t="s">
        <v>26</v>
      </c>
      <c r="AG176" s="43" t="s">
        <v>31</v>
      </c>
      <c r="AH176">
        <v>4</v>
      </c>
      <c r="AI176" t="s">
        <v>341</v>
      </c>
      <c r="AJ176" s="43" t="s">
        <v>308</v>
      </c>
      <c r="AK176">
        <v>9.8999999999999986</v>
      </c>
    </row>
    <row r="177" spans="31:37" x14ac:dyDescent="0.25">
      <c r="AE177" s="43" t="s">
        <v>32</v>
      </c>
      <c r="AF177" s="43" t="s">
        <v>26</v>
      </c>
      <c r="AG177" s="43" t="s">
        <v>31</v>
      </c>
      <c r="AH177">
        <v>4</v>
      </c>
      <c r="AI177" t="s">
        <v>341</v>
      </c>
      <c r="AJ177" s="43" t="s">
        <v>309</v>
      </c>
      <c r="AK177">
        <v>24</v>
      </c>
    </row>
    <row r="178" spans="31:37" x14ac:dyDescent="0.25">
      <c r="AE178" s="43" t="s">
        <v>32</v>
      </c>
      <c r="AF178" s="43" t="s">
        <v>26</v>
      </c>
      <c r="AG178" s="43" t="s">
        <v>31</v>
      </c>
      <c r="AH178">
        <v>4</v>
      </c>
      <c r="AI178" t="s">
        <v>341</v>
      </c>
      <c r="AJ178" s="43" t="s">
        <v>268</v>
      </c>
      <c r="AK178">
        <v>33.799999999999997</v>
      </c>
    </row>
    <row r="179" spans="31:37" x14ac:dyDescent="0.25">
      <c r="AE179" s="43" t="s">
        <v>32</v>
      </c>
      <c r="AF179" s="43" t="s">
        <v>26</v>
      </c>
      <c r="AG179" s="43" t="s">
        <v>31</v>
      </c>
      <c r="AH179">
        <v>4</v>
      </c>
      <c r="AI179" t="s">
        <v>273</v>
      </c>
      <c r="AJ179" s="43" t="s">
        <v>308</v>
      </c>
      <c r="AK179">
        <v>3.2999999999999994</v>
      </c>
    </row>
    <row r="180" spans="31:37" x14ac:dyDescent="0.25">
      <c r="AE180" s="43" t="s">
        <v>32</v>
      </c>
      <c r="AF180" s="43" t="s">
        <v>26</v>
      </c>
      <c r="AG180" s="43" t="s">
        <v>31</v>
      </c>
      <c r="AH180">
        <v>4</v>
      </c>
      <c r="AI180" t="s">
        <v>273</v>
      </c>
      <c r="AJ180" s="43" t="s">
        <v>309</v>
      </c>
      <c r="AK180">
        <v>8</v>
      </c>
    </row>
    <row r="181" spans="31:37" x14ac:dyDescent="0.25">
      <c r="AE181" s="43" t="s">
        <v>32</v>
      </c>
      <c r="AF181" s="43" t="s">
        <v>26</v>
      </c>
      <c r="AG181" s="43" t="s">
        <v>31</v>
      </c>
      <c r="AH181">
        <v>4</v>
      </c>
      <c r="AI181" t="s">
        <v>273</v>
      </c>
      <c r="AJ181" s="43" t="s">
        <v>268</v>
      </c>
      <c r="AK181">
        <v>11.266666666666666</v>
      </c>
    </row>
    <row r="182" spans="31:37" x14ac:dyDescent="0.25">
      <c r="AE182" s="43" t="s">
        <v>40</v>
      </c>
      <c r="AF182" s="43" t="s">
        <v>26</v>
      </c>
      <c r="AG182" s="43" t="s">
        <v>39</v>
      </c>
      <c r="AH182">
        <v>3</v>
      </c>
      <c r="AI182" t="s">
        <v>317</v>
      </c>
      <c r="AJ182" s="43" t="s">
        <v>308</v>
      </c>
      <c r="AK182">
        <v>0</v>
      </c>
    </row>
    <row r="183" spans="31:37" x14ac:dyDescent="0.25">
      <c r="AE183" s="43" t="s">
        <v>40</v>
      </c>
      <c r="AF183" s="43" t="s">
        <v>26</v>
      </c>
      <c r="AG183" s="43" t="s">
        <v>39</v>
      </c>
      <c r="AH183">
        <v>3</v>
      </c>
      <c r="AI183" t="s">
        <v>317</v>
      </c>
      <c r="AJ183" s="43" t="s">
        <v>309</v>
      </c>
      <c r="AK183">
        <v>0</v>
      </c>
    </row>
    <row r="184" spans="31:37" x14ac:dyDescent="0.25">
      <c r="AE184" s="43" t="s">
        <v>40</v>
      </c>
      <c r="AF184" s="43" t="s">
        <v>26</v>
      </c>
      <c r="AG184" s="43" t="s">
        <v>39</v>
      </c>
      <c r="AH184">
        <v>3</v>
      </c>
      <c r="AI184" t="s">
        <v>317</v>
      </c>
      <c r="AJ184" s="43" t="s">
        <v>268</v>
      </c>
      <c r="AK184">
        <v>0</v>
      </c>
    </row>
    <row r="185" spans="31:37" x14ac:dyDescent="0.25">
      <c r="AE185" s="43" t="s">
        <v>40</v>
      </c>
      <c r="AF185" s="43" t="s">
        <v>26</v>
      </c>
      <c r="AG185" s="43" t="s">
        <v>39</v>
      </c>
      <c r="AH185">
        <v>3</v>
      </c>
      <c r="AI185" t="s">
        <v>325</v>
      </c>
      <c r="AJ185" s="43" t="s">
        <v>308</v>
      </c>
      <c r="AK185">
        <v>3.4</v>
      </c>
    </row>
    <row r="186" spans="31:37" x14ac:dyDescent="0.25">
      <c r="AE186" s="43" t="s">
        <v>40</v>
      </c>
      <c r="AF186" s="43" t="s">
        <v>26</v>
      </c>
      <c r="AG186" s="43" t="s">
        <v>39</v>
      </c>
      <c r="AH186">
        <v>3</v>
      </c>
      <c r="AI186" t="s">
        <v>325</v>
      </c>
      <c r="AJ186" s="43" t="s">
        <v>309</v>
      </c>
      <c r="AK186">
        <v>8.1999999999999993</v>
      </c>
    </row>
    <row r="187" spans="31:37" x14ac:dyDescent="0.25">
      <c r="AE187" s="43" t="s">
        <v>40</v>
      </c>
      <c r="AF187" s="43" t="s">
        <v>26</v>
      </c>
      <c r="AG187" s="43" t="s">
        <v>39</v>
      </c>
      <c r="AH187">
        <v>3</v>
      </c>
      <c r="AI187" t="s">
        <v>325</v>
      </c>
      <c r="AJ187" s="43" t="s">
        <v>268</v>
      </c>
      <c r="AK187">
        <v>11.6</v>
      </c>
    </row>
    <row r="188" spans="31:37" x14ac:dyDescent="0.25">
      <c r="AE188" s="43" t="s">
        <v>40</v>
      </c>
      <c r="AF188" s="43" t="s">
        <v>26</v>
      </c>
      <c r="AG188" s="43" t="s">
        <v>39</v>
      </c>
      <c r="AH188">
        <v>3</v>
      </c>
      <c r="AI188" t="s">
        <v>330</v>
      </c>
      <c r="AJ188" s="43" t="s">
        <v>308</v>
      </c>
      <c r="AK188">
        <v>3.4</v>
      </c>
    </row>
    <row r="189" spans="31:37" x14ac:dyDescent="0.25">
      <c r="AE189" s="43" t="s">
        <v>40</v>
      </c>
      <c r="AF189" s="43" t="s">
        <v>26</v>
      </c>
      <c r="AG189" s="43" t="s">
        <v>39</v>
      </c>
      <c r="AH189">
        <v>3</v>
      </c>
      <c r="AI189" t="s">
        <v>330</v>
      </c>
      <c r="AJ189" s="43" t="s">
        <v>309</v>
      </c>
      <c r="AK189">
        <v>7.9</v>
      </c>
    </row>
    <row r="190" spans="31:37" x14ac:dyDescent="0.25">
      <c r="AE190" s="43" t="s">
        <v>40</v>
      </c>
      <c r="AF190" s="43" t="s">
        <v>26</v>
      </c>
      <c r="AG190" s="43" t="s">
        <v>39</v>
      </c>
      <c r="AH190">
        <v>3</v>
      </c>
      <c r="AI190" t="s">
        <v>330</v>
      </c>
      <c r="AJ190" s="43" t="s">
        <v>268</v>
      </c>
      <c r="AK190">
        <v>11.3</v>
      </c>
    </row>
    <row r="191" spans="31:37" x14ac:dyDescent="0.25">
      <c r="AE191" s="43" t="s">
        <v>40</v>
      </c>
      <c r="AF191" s="43" t="s">
        <v>26</v>
      </c>
      <c r="AG191" s="43" t="s">
        <v>39</v>
      </c>
      <c r="AH191">
        <v>3</v>
      </c>
      <c r="AI191" t="s">
        <v>331</v>
      </c>
      <c r="AJ191" s="43" t="s">
        <v>308</v>
      </c>
      <c r="AK191">
        <v>3.4</v>
      </c>
    </row>
    <row r="192" spans="31:37" x14ac:dyDescent="0.25">
      <c r="AE192" s="43" t="s">
        <v>40</v>
      </c>
      <c r="AF192" s="43" t="s">
        <v>26</v>
      </c>
      <c r="AG192" s="43" t="s">
        <v>39</v>
      </c>
      <c r="AH192">
        <v>3</v>
      </c>
      <c r="AI192" t="s">
        <v>331</v>
      </c>
      <c r="AJ192" s="43" t="s">
        <v>309</v>
      </c>
      <c r="AK192">
        <v>6</v>
      </c>
    </row>
    <row r="193" spans="31:37" x14ac:dyDescent="0.25">
      <c r="AE193" s="43" t="s">
        <v>40</v>
      </c>
      <c r="AF193" s="43" t="s">
        <v>26</v>
      </c>
      <c r="AG193" s="43" t="s">
        <v>39</v>
      </c>
      <c r="AH193">
        <v>3</v>
      </c>
      <c r="AI193" t="s">
        <v>331</v>
      </c>
      <c r="AJ193" s="43" t="s">
        <v>268</v>
      </c>
      <c r="AK193">
        <v>9.4</v>
      </c>
    </row>
    <row r="194" spans="31:37" x14ac:dyDescent="0.25">
      <c r="AE194" s="43" t="s">
        <v>40</v>
      </c>
      <c r="AF194" s="43" t="s">
        <v>26</v>
      </c>
      <c r="AG194" s="43" t="s">
        <v>39</v>
      </c>
      <c r="AH194">
        <v>3</v>
      </c>
      <c r="AI194" t="s">
        <v>341</v>
      </c>
      <c r="AJ194" s="43" t="s">
        <v>308</v>
      </c>
      <c r="AK194">
        <v>10.199999999999999</v>
      </c>
    </row>
    <row r="195" spans="31:37" x14ac:dyDescent="0.25">
      <c r="AE195" s="43" t="s">
        <v>40</v>
      </c>
      <c r="AF195" s="43" t="s">
        <v>26</v>
      </c>
      <c r="AG195" s="43" t="s">
        <v>39</v>
      </c>
      <c r="AH195">
        <v>3</v>
      </c>
      <c r="AI195" t="s">
        <v>341</v>
      </c>
      <c r="AJ195" s="43" t="s">
        <v>309</v>
      </c>
      <c r="AK195">
        <v>22.1</v>
      </c>
    </row>
    <row r="196" spans="31:37" x14ac:dyDescent="0.25">
      <c r="AE196" s="43" t="s">
        <v>40</v>
      </c>
      <c r="AF196" s="43" t="s">
        <v>26</v>
      </c>
      <c r="AG196" s="43" t="s">
        <v>39</v>
      </c>
      <c r="AH196">
        <v>3</v>
      </c>
      <c r="AI196" t="s">
        <v>341</v>
      </c>
      <c r="AJ196" s="43" t="s">
        <v>268</v>
      </c>
      <c r="AK196">
        <v>32.299999999999997</v>
      </c>
    </row>
    <row r="197" spans="31:37" x14ac:dyDescent="0.25">
      <c r="AE197" s="43" t="s">
        <v>40</v>
      </c>
      <c r="AF197" s="43" t="s">
        <v>26</v>
      </c>
      <c r="AG197" s="43" t="s">
        <v>39</v>
      </c>
      <c r="AH197">
        <v>3</v>
      </c>
      <c r="AI197" t="s">
        <v>273</v>
      </c>
      <c r="AJ197" s="43" t="s">
        <v>308</v>
      </c>
      <c r="AK197">
        <v>3.4</v>
      </c>
    </row>
    <row r="198" spans="31:37" x14ac:dyDescent="0.25">
      <c r="AE198" s="43" t="s">
        <v>40</v>
      </c>
      <c r="AF198" s="43" t="s">
        <v>26</v>
      </c>
      <c r="AG198" s="43" t="s">
        <v>39</v>
      </c>
      <c r="AH198">
        <v>3</v>
      </c>
      <c r="AI198" t="s">
        <v>273</v>
      </c>
      <c r="AJ198" s="43" t="s">
        <v>309</v>
      </c>
      <c r="AK198">
        <v>7.3666666666666671</v>
      </c>
    </row>
    <row r="199" spans="31:37" x14ac:dyDescent="0.25">
      <c r="AE199" s="43" t="s">
        <v>40</v>
      </c>
      <c r="AF199" s="43" t="s">
        <v>26</v>
      </c>
      <c r="AG199" s="43" t="s">
        <v>39</v>
      </c>
      <c r="AH199">
        <v>3</v>
      </c>
      <c r="AI199" t="s">
        <v>273</v>
      </c>
      <c r="AJ199" s="43" t="s">
        <v>268</v>
      </c>
      <c r="AK199">
        <v>10.766666666666666</v>
      </c>
    </row>
    <row r="200" spans="31:37" x14ac:dyDescent="0.25">
      <c r="AE200" s="43" t="s">
        <v>84</v>
      </c>
      <c r="AF200" s="43" t="s">
        <v>60</v>
      </c>
      <c r="AG200" s="43" t="s">
        <v>39</v>
      </c>
      <c r="AH200">
        <v>4</v>
      </c>
      <c r="AI200" t="s">
        <v>317</v>
      </c>
      <c r="AJ200" s="43" t="s">
        <v>308</v>
      </c>
      <c r="AK200">
        <v>3.6</v>
      </c>
    </row>
    <row r="201" spans="31:37" x14ac:dyDescent="0.25">
      <c r="AE201" s="43" t="s">
        <v>84</v>
      </c>
      <c r="AF201" s="43" t="s">
        <v>60</v>
      </c>
      <c r="AG201" s="43" t="s">
        <v>39</v>
      </c>
      <c r="AH201">
        <v>4</v>
      </c>
      <c r="AI201" t="s">
        <v>317</v>
      </c>
      <c r="AJ201" s="43" t="s">
        <v>309</v>
      </c>
      <c r="AK201">
        <v>7.5</v>
      </c>
    </row>
    <row r="202" spans="31:37" x14ac:dyDescent="0.25">
      <c r="AE202" s="43" t="s">
        <v>84</v>
      </c>
      <c r="AF202" s="43" t="s">
        <v>60</v>
      </c>
      <c r="AG202" s="43" t="s">
        <v>39</v>
      </c>
      <c r="AH202">
        <v>4</v>
      </c>
      <c r="AI202" t="s">
        <v>317</v>
      </c>
      <c r="AJ202" s="43" t="s">
        <v>268</v>
      </c>
      <c r="AK202">
        <v>11.1</v>
      </c>
    </row>
    <row r="203" spans="31:37" x14ac:dyDescent="0.25">
      <c r="AE203" s="43" t="s">
        <v>84</v>
      </c>
      <c r="AF203" s="43" t="s">
        <v>60</v>
      </c>
      <c r="AG203" s="43" t="s">
        <v>39</v>
      </c>
      <c r="AH203">
        <v>4</v>
      </c>
      <c r="AI203" t="s">
        <v>325</v>
      </c>
      <c r="AJ203" s="43" t="s">
        <v>308</v>
      </c>
      <c r="AK203">
        <v>3.4</v>
      </c>
    </row>
    <row r="204" spans="31:37" x14ac:dyDescent="0.25">
      <c r="AE204" s="43" t="s">
        <v>84</v>
      </c>
      <c r="AF204" s="43" t="s">
        <v>60</v>
      </c>
      <c r="AG204" s="43" t="s">
        <v>39</v>
      </c>
      <c r="AH204">
        <v>4</v>
      </c>
      <c r="AI204" t="s">
        <v>325</v>
      </c>
      <c r="AJ204" s="43" t="s">
        <v>309</v>
      </c>
      <c r="AK204">
        <v>7.3</v>
      </c>
    </row>
    <row r="205" spans="31:37" x14ac:dyDescent="0.25">
      <c r="AE205" s="43" t="s">
        <v>84</v>
      </c>
      <c r="AF205" s="43" t="s">
        <v>60</v>
      </c>
      <c r="AG205" s="43" t="s">
        <v>39</v>
      </c>
      <c r="AH205">
        <v>4</v>
      </c>
      <c r="AI205" t="s">
        <v>325</v>
      </c>
      <c r="AJ205" s="43" t="s">
        <v>268</v>
      </c>
      <c r="AK205">
        <v>10.7</v>
      </c>
    </row>
    <row r="206" spans="31:37" x14ac:dyDescent="0.25">
      <c r="AE206" s="43" t="s">
        <v>84</v>
      </c>
      <c r="AF206" s="43" t="s">
        <v>60</v>
      </c>
      <c r="AG206" s="43" t="s">
        <v>39</v>
      </c>
      <c r="AH206">
        <v>4</v>
      </c>
      <c r="AI206" t="s">
        <v>330</v>
      </c>
      <c r="AJ206" s="43" t="s">
        <v>308</v>
      </c>
      <c r="AK206">
        <v>2.9</v>
      </c>
    </row>
    <row r="207" spans="31:37" x14ac:dyDescent="0.25">
      <c r="AE207" s="43" t="s">
        <v>84</v>
      </c>
      <c r="AF207" s="43" t="s">
        <v>60</v>
      </c>
      <c r="AG207" s="43" t="s">
        <v>39</v>
      </c>
      <c r="AH207">
        <v>4</v>
      </c>
      <c r="AI207" t="s">
        <v>330</v>
      </c>
      <c r="AJ207" s="43" t="s">
        <v>309</v>
      </c>
      <c r="AK207">
        <v>6.15</v>
      </c>
    </row>
    <row r="208" spans="31:37" x14ac:dyDescent="0.25">
      <c r="AE208" s="43" t="s">
        <v>84</v>
      </c>
      <c r="AF208" s="43" t="s">
        <v>60</v>
      </c>
      <c r="AG208" s="43" t="s">
        <v>39</v>
      </c>
      <c r="AH208">
        <v>4</v>
      </c>
      <c r="AI208" t="s">
        <v>330</v>
      </c>
      <c r="AJ208" s="43" t="s">
        <v>268</v>
      </c>
      <c r="AK208">
        <v>9.0500000000000007</v>
      </c>
    </row>
    <row r="209" spans="31:37" x14ac:dyDescent="0.25">
      <c r="AE209" s="43" t="s">
        <v>84</v>
      </c>
      <c r="AF209" s="43" t="s">
        <v>60</v>
      </c>
      <c r="AG209" s="43" t="s">
        <v>39</v>
      </c>
      <c r="AH209">
        <v>4</v>
      </c>
      <c r="AI209" t="s">
        <v>331</v>
      </c>
      <c r="AJ209" s="43" t="s">
        <v>308</v>
      </c>
      <c r="AK209">
        <v>3.1</v>
      </c>
    </row>
    <row r="210" spans="31:37" x14ac:dyDescent="0.25">
      <c r="AE210" s="43" t="s">
        <v>84</v>
      </c>
      <c r="AF210" s="43" t="s">
        <v>60</v>
      </c>
      <c r="AG210" s="43" t="s">
        <v>39</v>
      </c>
      <c r="AH210">
        <v>4</v>
      </c>
      <c r="AI210" t="s">
        <v>331</v>
      </c>
      <c r="AJ210" s="43" t="s">
        <v>309</v>
      </c>
      <c r="AK210">
        <v>7.3</v>
      </c>
    </row>
    <row r="211" spans="31:37" x14ac:dyDescent="0.25">
      <c r="AE211" s="43" t="s">
        <v>84</v>
      </c>
      <c r="AF211" s="43" t="s">
        <v>60</v>
      </c>
      <c r="AG211" s="43" t="s">
        <v>39</v>
      </c>
      <c r="AH211">
        <v>4</v>
      </c>
      <c r="AI211" t="s">
        <v>331</v>
      </c>
      <c r="AJ211" s="43" t="s">
        <v>268</v>
      </c>
      <c r="AK211">
        <v>10.4</v>
      </c>
    </row>
    <row r="212" spans="31:37" x14ac:dyDescent="0.25">
      <c r="AE212" s="43" t="s">
        <v>84</v>
      </c>
      <c r="AF212" s="43" t="s">
        <v>60</v>
      </c>
      <c r="AG212" s="43" t="s">
        <v>39</v>
      </c>
      <c r="AH212">
        <v>4</v>
      </c>
      <c r="AI212" t="s">
        <v>341</v>
      </c>
      <c r="AJ212" s="43" t="s">
        <v>308</v>
      </c>
      <c r="AK212">
        <v>10.1</v>
      </c>
    </row>
    <row r="213" spans="31:37" x14ac:dyDescent="0.25">
      <c r="AE213" s="43" t="s">
        <v>84</v>
      </c>
      <c r="AF213" s="43" t="s">
        <v>60</v>
      </c>
      <c r="AG213" s="43" t="s">
        <v>39</v>
      </c>
      <c r="AH213">
        <v>4</v>
      </c>
      <c r="AI213" t="s">
        <v>341</v>
      </c>
      <c r="AJ213" s="43" t="s">
        <v>309</v>
      </c>
      <c r="AK213">
        <v>22.1</v>
      </c>
    </row>
    <row r="214" spans="31:37" x14ac:dyDescent="0.25">
      <c r="AE214" s="43" t="s">
        <v>84</v>
      </c>
      <c r="AF214" s="43" t="s">
        <v>60</v>
      </c>
      <c r="AG214" s="43" t="s">
        <v>39</v>
      </c>
      <c r="AH214">
        <v>4</v>
      </c>
      <c r="AI214" t="s">
        <v>341</v>
      </c>
      <c r="AJ214" s="43" t="s">
        <v>268</v>
      </c>
      <c r="AK214">
        <v>32.199999999999996</v>
      </c>
    </row>
    <row r="215" spans="31:37" x14ac:dyDescent="0.25">
      <c r="AE215" s="43" t="s">
        <v>84</v>
      </c>
      <c r="AF215" s="43" t="s">
        <v>60</v>
      </c>
      <c r="AG215" s="43" t="s">
        <v>39</v>
      </c>
      <c r="AH215">
        <v>4</v>
      </c>
      <c r="AI215" t="s">
        <v>273</v>
      </c>
      <c r="AJ215" s="43" t="s">
        <v>308</v>
      </c>
      <c r="AK215">
        <v>3.3666666666666667</v>
      </c>
    </row>
    <row r="216" spans="31:37" x14ac:dyDescent="0.25">
      <c r="AE216" s="43" t="s">
        <v>84</v>
      </c>
      <c r="AF216" s="43" t="s">
        <v>60</v>
      </c>
      <c r="AG216" s="43" t="s">
        <v>39</v>
      </c>
      <c r="AH216">
        <v>4</v>
      </c>
      <c r="AI216" t="s">
        <v>273</v>
      </c>
      <c r="AJ216" s="43" t="s">
        <v>309</v>
      </c>
      <c r="AK216">
        <v>7.3666666666666671</v>
      </c>
    </row>
    <row r="217" spans="31:37" x14ac:dyDescent="0.25">
      <c r="AE217" s="43" t="s">
        <v>84</v>
      </c>
      <c r="AF217" s="43" t="s">
        <v>60</v>
      </c>
      <c r="AG217" s="43" t="s">
        <v>39</v>
      </c>
      <c r="AH217">
        <v>4</v>
      </c>
      <c r="AI217" t="s">
        <v>273</v>
      </c>
      <c r="AJ217" s="43" t="s">
        <v>268</v>
      </c>
      <c r="AK217">
        <v>10.733333333333333</v>
      </c>
    </row>
    <row r="218" spans="31:37" x14ac:dyDescent="0.25">
      <c r="AE218" s="43" t="s">
        <v>29</v>
      </c>
      <c r="AF218" s="43" t="s">
        <v>26</v>
      </c>
      <c r="AG218" s="43" t="s">
        <v>31</v>
      </c>
      <c r="AH218">
        <v>3</v>
      </c>
      <c r="AI218" t="s">
        <v>317</v>
      </c>
      <c r="AJ218" s="43" t="s">
        <v>308</v>
      </c>
      <c r="AK218">
        <v>2.6</v>
      </c>
    </row>
    <row r="219" spans="31:37" x14ac:dyDescent="0.25">
      <c r="AE219" s="43" t="s">
        <v>29</v>
      </c>
      <c r="AF219" s="43" t="s">
        <v>26</v>
      </c>
      <c r="AG219" s="43" t="s">
        <v>31</v>
      </c>
      <c r="AH219">
        <v>3</v>
      </c>
      <c r="AI219" t="s">
        <v>317</v>
      </c>
      <c r="AJ219" s="43" t="s">
        <v>309</v>
      </c>
      <c r="AK219">
        <v>6.9</v>
      </c>
    </row>
    <row r="220" spans="31:37" x14ac:dyDescent="0.25">
      <c r="AE220" s="43" t="s">
        <v>29</v>
      </c>
      <c r="AF220" s="43" t="s">
        <v>26</v>
      </c>
      <c r="AG220" s="43" t="s">
        <v>31</v>
      </c>
      <c r="AH220">
        <v>3</v>
      </c>
      <c r="AI220" t="s">
        <v>317</v>
      </c>
      <c r="AJ220" s="43" t="s">
        <v>268</v>
      </c>
      <c r="AK220">
        <v>9.5</v>
      </c>
    </row>
    <row r="221" spans="31:37" x14ac:dyDescent="0.25">
      <c r="AE221" s="43" t="s">
        <v>29</v>
      </c>
      <c r="AF221" s="43" t="s">
        <v>26</v>
      </c>
      <c r="AG221" s="43" t="s">
        <v>31</v>
      </c>
      <c r="AH221">
        <v>3</v>
      </c>
      <c r="AI221" t="s">
        <v>325</v>
      </c>
      <c r="AJ221" s="43" t="s">
        <v>308</v>
      </c>
      <c r="AK221">
        <v>2.9</v>
      </c>
    </row>
    <row r="222" spans="31:37" x14ac:dyDescent="0.25">
      <c r="AE222" s="43" t="s">
        <v>29</v>
      </c>
      <c r="AF222" s="43" t="s">
        <v>26</v>
      </c>
      <c r="AG222" s="43" t="s">
        <v>31</v>
      </c>
      <c r="AH222">
        <v>3</v>
      </c>
      <c r="AI222" t="s">
        <v>325</v>
      </c>
      <c r="AJ222" s="43" t="s">
        <v>309</v>
      </c>
      <c r="AK222">
        <v>8.1</v>
      </c>
    </row>
    <row r="223" spans="31:37" x14ac:dyDescent="0.25">
      <c r="AE223" s="43" t="s">
        <v>29</v>
      </c>
      <c r="AF223" s="43" t="s">
        <v>26</v>
      </c>
      <c r="AG223" s="43" t="s">
        <v>31</v>
      </c>
      <c r="AH223">
        <v>3</v>
      </c>
      <c r="AI223" t="s">
        <v>325</v>
      </c>
      <c r="AJ223" s="43" t="s">
        <v>268</v>
      </c>
      <c r="AK223">
        <v>11</v>
      </c>
    </row>
    <row r="224" spans="31:37" x14ac:dyDescent="0.25">
      <c r="AE224" s="43" t="s">
        <v>29</v>
      </c>
      <c r="AF224" s="43" t="s">
        <v>26</v>
      </c>
      <c r="AG224" s="43" t="s">
        <v>31</v>
      </c>
      <c r="AH224">
        <v>3</v>
      </c>
      <c r="AI224" t="s">
        <v>330</v>
      </c>
      <c r="AJ224" s="43" t="s">
        <v>308</v>
      </c>
      <c r="AK224">
        <v>0</v>
      </c>
    </row>
    <row r="225" spans="31:37" x14ac:dyDescent="0.25">
      <c r="AE225" s="43" t="s">
        <v>29</v>
      </c>
      <c r="AF225" s="43" t="s">
        <v>26</v>
      </c>
      <c r="AG225" s="43" t="s">
        <v>31</v>
      </c>
      <c r="AH225">
        <v>3</v>
      </c>
      <c r="AI225" t="s">
        <v>330</v>
      </c>
      <c r="AJ225" s="43" t="s">
        <v>309</v>
      </c>
      <c r="AK225">
        <v>0</v>
      </c>
    </row>
    <row r="226" spans="31:37" x14ac:dyDescent="0.25">
      <c r="AE226" s="43" t="s">
        <v>29</v>
      </c>
      <c r="AF226" s="43" t="s">
        <v>26</v>
      </c>
      <c r="AG226" s="43" t="s">
        <v>31</v>
      </c>
      <c r="AH226">
        <v>3</v>
      </c>
      <c r="AI226" t="s">
        <v>330</v>
      </c>
      <c r="AJ226" s="43" t="s">
        <v>268</v>
      </c>
      <c r="AK226">
        <v>0</v>
      </c>
    </row>
    <row r="227" spans="31:37" x14ac:dyDescent="0.25">
      <c r="AE227" s="43" t="s">
        <v>29</v>
      </c>
      <c r="AF227" s="43" t="s">
        <v>26</v>
      </c>
      <c r="AG227" s="43" t="s">
        <v>31</v>
      </c>
      <c r="AH227">
        <v>3</v>
      </c>
      <c r="AI227" t="s">
        <v>331</v>
      </c>
      <c r="AJ227" s="43" t="s">
        <v>308</v>
      </c>
      <c r="AK227">
        <v>2.2999999999999998</v>
      </c>
    </row>
    <row r="228" spans="31:37" x14ac:dyDescent="0.25">
      <c r="AE228" s="43" t="s">
        <v>29</v>
      </c>
      <c r="AF228" s="43" t="s">
        <v>26</v>
      </c>
      <c r="AG228" s="43" t="s">
        <v>31</v>
      </c>
      <c r="AH228">
        <v>3</v>
      </c>
      <c r="AI228" t="s">
        <v>331</v>
      </c>
      <c r="AJ228" s="43" t="s">
        <v>309</v>
      </c>
      <c r="AK228">
        <v>8.6</v>
      </c>
    </row>
    <row r="229" spans="31:37" x14ac:dyDescent="0.25">
      <c r="AE229" s="43" t="s">
        <v>29</v>
      </c>
      <c r="AF229" s="43" t="s">
        <v>26</v>
      </c>
      <c r="AG229" s="43" t="s">
        <v>31</v>
      </c>
      <c r="AH229">
        <v>3</v>
      </c>
      <c r="AI229" t="s">
        <v>331</v>
      </c>
      <c r="AJ229" s="43" t="s">
        <v>268</v>
      </c>
      <c r="AK229">
        <v>10.9</v>
      </c>
    </row>
    <row r="230" spans="31:37" x14ac:dyDescent="0.25">
      <c r="AE230" s="43" t="s">
        <v>29</v>
      </c>
      <c r="AF230" s="43" t="s">
        <v>26</v>
      </c>
      <c r="AG230" s="43" t="s">
        <v>31</v>
      </c>
      <c r="AH230">
        <v>3</v>
      </c>
      <c r="AI230" t="s">
        <v>341</v>
      </c>
      <c r="AJ230" s="43" t="s">
        <v>308</v>
      </c>
      <c r="AK230">
        <v>7.8</v>
      </c>
    </row>
    <row r="231" spans="31:37" x14ac:dyDescent="0.25">
      <c r="AE231" s="43" t="s">
        <v>29</v>
      </c>
      <c r="AF231" s="43" t="s">
        <v>26</v>
      </c>
      <c r="AG231" s="43" t="s">
        <v>31</v>
      </c>
      <c r="AH231">
        <v>3</v>
      </c>
      <c r="AI231" t="s">
        <v>341</v>
      </c>
      <c r="AJ231" s="43" t="s">
        <v>309</v>
      </c>
      <c r="AK231">
        <v>23.6</v>
      </c>
    </row>
    <row r="232" spans="31:37" x14ac:dyDescent="0.25">
      <c r="AE232" s="43" t="s">
        <v>29</v>
      </c>
      <c r="AF232" s="43" t="s">
        <v>26</v>
      </c>
      <c r="AG232" s="43" t="s">
        <v>31</v>
      </c>
      <c r="AH232">
        <v>3</v>
      </c>
      <c r="AI232" t="s">
        <v>341</v>
      </c>
      <c r="AJ232" s="43" t="s">
        <v>268</v>
      </c>
      <c r="AK232">
        <v>31.4</v>
      </c>
    </row>
    <row r="233" spans="31:37" x14ac:dyDescent="0.25">
      <c r="AE233" s="43" t="s">
        <v>29</v>
      </c>
      <c r="AF233" s="43" t="s">
        <v>26</v>
      </c>
      <c r="AG233" s="43" t="s">
        <v>31</v>
      </c>
      <c r="AH233">
        <v>3</v>
      </c>
      <c r="AI233" t="s">
        <v>273</v>
      </c>
      <c r="AJ233" s="43" t="s">
        <v>308</v>
      </c>
      <c r="AK233">
        <v>2.6</v>
      </c>
    </row>
    <row r="234" spans="31:37" x14ac:dyDescent="0.25">
      <c r="AE234" s="43" t="s">
        <v>29</v>
      </c>
      <c r="AF234" s="43" t="s">
        <v>26</v>
      </c>
      <c r="AG234" s="43" t="s">
        <v>31</v>
      </c>
      <c r="AH234">
        <v>3</v>
      </c>
      <c r="AI234" t="s">
        <v>273</v>
      </c>
      <c r="AJ234" s="43" t="s">
        <v>309</v>
      </c>
      <c r="AK234">
        <v>7.8666666666666671</v>
      </c>
    </row>
    <row r="235" spans="31:37" x14ac:dyDescent="0.25">
      <c r="AE235" s="43" t="s">
        <v>29</v>
      </c>
      <c r="AF235" s="43" t="s">
        <v>26</v>
      </c>
      <c r="AG235" s="43" t="s">
        <v>31</v>
      </c>
      <c r="AH235">
        <v>3</v>
      </c>
      <c r="AI235" t="s">
        <v>273</v>
      </c>
      <c r="AJ235" s="43" t="s">
        <v>268</v>
      </c>
      <c r="AK235">
        <v>10.466666666666667</v>
      </c>
    </row>
    <row r="236" spans="31:37" x14ac:dyDescent="0.25">
      <c r="AE236" s="43" t="s">
        <v>73</v>
      </c>
      <c r="AF236" s="43" t="s">
        <v>60</v>
      </c>
      <c r="AG236" s="43" t="s">
        <v>62</v>
      </c>
      <c r="AH236">
        <v>4</v>
      </c>
      <c r="AI236" t="s">
        <v>317</v>
      </c>
      <c r="AJ236" s="43" t="s">
        <v>308</v>
      </c>
      <c r="AK236">
        <v>2.7</v>
      </c>
    </row>
    <row r="237" spans="31:37" x14ac:dyDescent="0.25">
      <c r="AE237" s="43" t="s">
        <v>73</v>
      </c>
      <c r="AF237" s="43" t="s">
        <v>60</v>
      </c>
      <c r="AG237" s="43" t="s">
        <v>62</v>
      </c>
      <c r="AH237">
        <v>4</v>
      </c>
      <c r="AI237" t="s">
        <v>317</v>
      </c>
      <c r="AJ237" s="43" t="s">
        <v>309</v>
      </c>
      <c r="AK237">
        <v>7.7</v>
      </c>
    </row>
    <row r="238" spans="31:37" x14ac:dyDescent="0.25">
      <c r="AE238" s="43" t="s">
        <v>73</v>
      </c>
      <c r="AF238" s="43" t="s">
        <v>60</v>
      </c>
      <c r="AG238" s="43" t="s">
        <v>62</v>
      </c>
      <c r="AH238">
        <v>4</v>
      </c>
      <c r="AI238" t="s">
        <v>317</v>
      </c>
      <c r="AJ238" s="43" t="s">
        <v>268</v>
      </c>
      <c r="AK238">
        <v>10.4</v>
      </c>
    </row>
    <row r="239" spans="31:37" x14ac:dyDescent="0.25">
      <c r="AE239" s="43" t="s">
        <v>73</v>
      </c>
      <c r="AF239" s="43" t="s">
        <v>60</v>
      </c>
      <c r="AG239" s="43" t="s">
        <v>62</v>
      </c>
      <c r="AH239">
        <v>4</v>
      </c>
      <c r="AI239" t="s">
        <v>325</v>
      </c>
      <c r="AJ239" s="43" t="s">
        <v>308</v>
      </c>
      <c r="AK239">
        <v>2.5</v>
      </c>
    </row>
    <row r="240" spans="31:37" x14ac:dyDescent="0.25">
      <c r="AE240" s="43" t="s">
        <v>73</v>
      </c>
      <c r="AF240" s="43" t="s">
        <v>60</v>
      </c>
      <c r="AG240" s="43" t="s">
        <v>62</v>
      </c>
      <c r="AH240">
        <v>4</v>
      </c>
      <c r="AI240" t="s">
        <v>325</v>
      </c>
      <c r="AJ240" s="43" t="s">
        <v>309</v>
      </c>
      <c r="AK240">
        <v>8.15</v>
      </c>
    </row>
    <row r="241" spans="31:37" x14ac:dyDescent="0.25">
      <c r="AE241" s="43" t="s">
        <v>73</v>
      </c>
      <c r="AF241" s="43" t="s">
        <v>60</v>
      </c>
      <c r="AG241" s="43" t="s">
        <v>62</v>
      </c>
      <c r="AH241">
        <v>4</v>
      </c>
      <c r="AI241" t="s">
        <v>325</v>
      </c>
      <c r="AJ241" s="43" t="s">
        <v>268</v>
      </c>
      <c r="AK241">
        <v>10.65</v>
      </c>
    </row>
    <row r="242" spans="31:37" x14ac:dyDescent="0.25">
      <c r="AE242" s="43" t="s">
        <v>73</v>
      </c>
      <c r="AF242" s="43" t="s">
        <v>60</v>
      </c>
      <c r="AG242" s="43" t="s">
        <v>62</v>
      </c>
      <c r="AH242">
        <v>4</v>
      </c>
      <c r="AI242" t="s">
        <v>330</v>
      </c>
      <c r="AJ242" s="43" t="s">
        <v>308</v>
      </c>
      <c r="AK242">
        <v>2.8</v>
      </c>
    </row>
    <row r="243" spans="31:37" x14ac:dyDescent="0.25">
      <c r="AE243" s="43" t="s">
        <v>73</v>
      </c>
      <c r="AF243" s="43" t="s">
        <v>60</v>
      </c>
      <c r="AG243" s="43" t="s">
        <v>62</v>
      </c>
      <c r="AH243">
        <v>4</v>
      </c>
      <c r="AI243" t="s">
        <v>330</v>
      </c>
      <c r="AJ243" s="43" t="s">
        <v>309</v>
      </c>
      <c r="AK243">
        <v>7.1</v>
      </c>
    </row>
    <row r="244" spans="31:37" x14ac:dyDescent="0.25">
      <c r="AE244" s="43" t="s">
        <v>73</v>
      </c>
      <c r="AF244" s="43" t="s">
        <v>60</v>
      </c>
      <c r="AG244" s="43" t="s">
        <v>62</v>
      </c>
      <c r="AH244">
        <v>4</v>
      </c>
      <c r="AI244" t="s">
        <v>330</v>
      </c>
      <c r="AJ244" s="43" t="s">
        <v>268</v>
      </c>
      <c r="AK244">
        <v>9.9</v>
      </c>
    </row>
    <row r="245" spans="31:37" x14ac:dyDescent="0.25">
      <c r="AE245" s="43" t="s">
        <v>73</v>
      </c>
      <c r="AF245" s="43" t="s">
        <v>60</v>
      </c>
      <c r="AG245" s="43" t="s">
        <v>62</v>
      </c>
      <c r="AH245">
        <v>4</v>
      </c>
      <c r="AI245" t="s">
        <v>331</v>
      </c>
      <c r="AJ245" s="43" t="s">
        <v>308</v>
      </c>
      <c r="AK245">
        <v>2.7</v>
      </c>
    </row>
    <row r="246" spans="31:37" x14ac:dyDescent="0.25">
      <c r="AE246" s="43" t="s">
        <v>73</v>
      </c>
      <c r="AF246" s="43" t="s">
        <v>60</v>
      </c>
      <c r="AG246" s="43" t="s">
        <v>62</v>
      </c>
      <c r="AH246">
        <v>4</v>
      </c>
      <c r="AI246" t="s">
        <v>331</v>
      </c>
      <c r="AJ246" s="43" t="s">
        <v>309</v>
      </c>
      <c r="AK246">
        <v>7.4</v>
      </c>
    </row>
    <row r="247" spans="31:37" x14ac:dyDescent="0.25">
      <c r="AE247" s="43" t="s">
        <v>73</v>
      </c>
      <c r="AF247" s="43" t="s">
        <v>60</v>
      </c>
      <c r="AG247" s="43" t="s">
        <v>62</v>
      </c>
      <c r="AH247">
        <v>4</v>
      </c>
      <c r="AI247" t="s">
        <v>331</v>
      </c>
      <c r="AJ247" s="43" t="s">
        <v>268</v>
      </c>
      <c r="AK247">
        <v>10.1</v>
      </c>
    </row>
    <row r="248" spans="31:37" x14ac:dyDescent="0.25">
      <c r="AE248" s="43" t="s">
        <v>73</v>
      </c>
      <c r="AF248" s="43" t="s">
        <v>60</v>
      </c>
      <c r="AG248" s="43" t="s">
        <v>62</v>
      </c>
      <c r="AH248">
        <v>4</v>
      </c>
      <c r="AI248" t="s">
        <v>341</v>
      </c>
      <c r="AJ248" s="43" t="s">
        <v>308</v>
      </c>
      <c r="AK248">
        <v>8.1999999999999993</v>
      </c>
    </row>
    <row r="249" spans="31:37" x14ac:dyDescent="0.25">
      <c r="AE249" s="43" t="s">
        <v>73</v>
      </c>
      <c r="AF249" s="43" t="s">
        <v>60</v>
      </c>
      <c r="AG249" s="43" t="s">
        <v>62</v>
      </c>
      <c r="AH249">
        <v>4</v>
      </c>
      <c r="AI249" t="s">
        <v>341</v>
      </c>
      <c r="AJ249" s="43" t="s">
        <v>309</v>
      </c>
      <c r="AK249">
        <v>23.25</v>
      </c>
    </row>
    <row r="250" spans="31:37" x14ac:dyDescent="0.25">
      <c r="AE250" s="43" t="s">
        <v>73</v>
      </c>
      <c r="AF250" s="43" t="s">
        <v>60</v>
      </c>
      <c r="AG250" s="43" t="s">
        <v>62</v>
      </c>
      <c r="AH250">
        <v>4</v>
      </c>
      <c r="AI250" t="s">
        <v>341</v>
      </c>
      <c r="AJ250" s="43" t="s">
        <v>268</v>
      </c>
      <c r="AK250">
        <v>31.15</v>
      </c>
    </row>
    <row r="251" spans="31:37" x14ac:dyDescent="0.25">
      <c r="AE251" s="43" t="s">
        <v>73</v>
      </c>
      <c r="AF251" s="43" t="s">
        <v>60</v>
      </c>
      <c r="AG251" s="43" t="s">
        <v>62</v>
      </c>
      <c r="AH251">
        <v>4</v>
      </c>
      <c r="AI251" t="s">
        <v>273</v>
      </c>
      <c r="AJ251" s="43" t="s">
        <v>308</v>
      </c>
      <c r="AK251">
        <v>2.7333333333333329</v>
      </c>
    </row>
    <row r="252" spans="31:37" x14ac:dyDescent="0.25">
      <c r="AE252" s="43" t="s">
        <v>73</v>
      </c>
      <c r="AF252" s="43" t="s">
        <v>60</v>
      </c>
      <c r="AG252" s="43" t="s">
        <v>62</v>
      </c>
      <c r="AH252">
        <v>4</v>
      </c>
      <c r="AI252" t="s">
        <v>273</v>
      </c>
      <c r="AJ252" s="43" t="s">
        <v>309</v>
      </c>
      <c r="AK252">
        <v>7.75</v>
      </c>
    </row>
    <row r="253" spans="31:37" x14ac:dyDescent="0.25">
      <c r="AE253" s="43" t="s">
        <v>73</v>
      </c>
      <c r="AF253" s="43" t="s">
        <v>60</v>
      </c>
      <c r="AG253" s="43" t="s">
        <v>62</v>
      </c>
      <c r="AH253">
        <v>4</v>
      </c>
      <c r="AI253" t="s">
        <v>273</v>
      </c>
      <c r="AJ253" s="43" t="s">
        <v>268</v>
      </c>
      <c r="AK253">
        <v>10.383333333333333</v>
      </c>
    </row>
    <row r="254" spans="31:37" x14ac:dyDescent="0.25">
      <c r="AE254" s="43" t="s">
        <v>42</v>
      </c>
      <c r="AF254" s="43" t="s">
        <v>26</v>
      </c>
      <c r="AG254" s="43" t="s">
        <v>36</v>
      </c>
      <c r="AH254">
        <v>4</v>
      </c>
      <c r="AI254" t="s">
        <v>317</v>
      </c>
      <c r="AJ254" s="43" t="s">
        <v>308</v>
      </c>
      <c r="AK254">
        <v>2.4</v>
      </c>
    </row>
    <row r="255" spans="31:37" x14ac:dyDescent="0.25">
      <c r="AE255" s="43" t="s">
        <v>42</v>
      </c>
      <c r="AF255" s="43" t="s">
        <v>26</v>
      </c>
      <c r="AG255" s="43" t="s">
        <v>36</v>
      </c>
      <c r="AH255">
        <v>4</v>
      </c>
      <c r="AI255" t="s">
        <v>317</v>
      </c>
      <c r="AJ255" s="43" t="s">
        <v>309</v>
      </c>
      <c r="AK255">
        <v>7.8</v>
      </c>
    </row>
    <row r="256" spans="31:37" x14ac:dyDescent="0.25">
      <c r="AE256" s="43" t="s">
        <v>42</v>
      </c>
      <c r="AF256" s="43" t="s">
        <v>26</v>
      </c>
      <c r="AG256" s="43" t="s">
        <v>36</v>
      </c>
      <c r="AH256">
        <v>4</v>
      </c>
      <c r="AI256" t="s">
        <v>317</v>
      </c>
      <c r="AJ256" s="43" t="s">
        <v>268</v>
      </c>
      <c r="AK256">
        <v>10.199999999999999</v>
      </c>
    </row>
    <row r="257" spans="31:37" x14ac:dyDescent="0.25">
      <c r="AE257" s="43" t="s">
        <v>42</v>
      </c>
      <c r="AF257" s="43" t="s">
        <v>26</v>
      </c>
      <c r="AG257" s="43" t="s">
        <v>36</v>
      </c>
      <c r="AH257">
        <v>4</v>
      </c>
      <c r="AI257" t="s">
        <v>325</v>
      </c>
      <c r="AJ257" s="43" t="s">
        <v>308</v>
      </c>
      <c r="AK257">
        <v>2.4</v>
      </c>
    </row>
    <row r="258" spans="31:37" x14ac:dyDescent="0.25">
      <c r="AE258" s="43" t="s">
        <v>42</v>
      </c>
      <c r="AF258" s="43" t="s">
        <v>26</v>
      </c>
      <c r="AG258" s="43" t="s">
        <v>36</v>
      </c>
      <c r="AH258">
        <v>4</v>
      </c>
      <c r="AI258" t="s">
        <v>325</v>
      </c>
      <c r="AJ258" s="43" t="s">
        <v>309</v>
      </c>
      <c r="AK258">
        <v>7.9</v>
      </c>
    </row>
    <row r="259" spans="31:37" x14ac:dyDescent="0.25">
      <c r="AE259" s="43" t="s">
        <v>42</v>
      </c>
      <c r="AF259" s="43" t="s">
        <v>26</v>
      </c>
      <c r="AG259" s="43" t="s">
        <v>36</v>
      </c>
      <c r="AH259">
        <v>4</v>
      </c>
      <c r="AI259" t="s">
        <v>325</v>
      </c>
      <c r="AJ259" s="43" t="s">
        <v>268</v>
      </c>
      <c r="AK259">
        <v>10.3</v>
      </c>
    </row>
    <row r="260" spans="31:37" x14ac:dyDescent="0.25">
      <c r="AE260" s="43" t="s">
        <v>42</v>
      </c>
      <c r="AF260" s="43" t="s">
        <v>26</v>
      </c>
      <c r="AG260" s="43" t="s">
        <v>36</v>
      </c>
      <c r="AH260">
        <v>4</v>
      </c>
      <c r="AI260" t="s">
        <v>330</v>
      </c>
      <c r="AJ260" s="43" t="s">
        <v>308</v>
      </c>
      <c r="AK260">
        <v>2.4</v>
      </c>
    </row>
    <row r="261" spans="31:37" x14ac:dyDescent="0.25">
      <c r="AE261" s="43" t="s">
        <v>42</v>
      </c>
      <c r="AF261" s="43" t="s">
        <v>26</v>
      </c>
      <c r="AG261" s="43" t="s">
        <v>36</v>
      </c>
      <c r="AH261">
        <v>4</v>
      </c>
      <c r="AI261" t="s">
        <v>330</v>
      </c>
      <c r="AJ261" s="43" t="s">
        <v>309</v>
      </c>
      <c r="AK261">
        <v>8.0500000000000007</v>
      </c>
    </row>
    <row r="262" spans="31:37" x14ac:dyDescent="0.25">
      <c r="AE262" s="43" t="s">
        <v>42</v>
      </c>
      <c r="AF262" s="43" t="s">
        <v>26</v>
      </c>
      <c r="AG262" s="43" t="s">
        <v>36</v>
      </c>
      <c r="AH262">
        <v>4</v>
      </c>
      <c r="AI262" t="s">
        <v>330</v>
      </c>
      <c r="AJ262" s="43" t="s">
        <v>268</v>
      </c>
      <c r="AK262">
        <v>10.45</v>
      </c>
    </row>
    <row r="263" spans="31:37" x14ac:dyDescent="0.25">
      <c r="AE263" s="43" t="s">
        <v>42</v>
      </c>
      <c r="AF263" s="43" t="s">
        <v>26</v>
      </c>
      <c r="AG263" s="43" t="s">
        <v>36</v>
      </c>
      <c r="AH263">
        <v>4</v>
      </c>
      <c r="AI263" t="s">
        <v>331</v>
      </c>
      <c r="AJ263" s="43" t="s">
        <v>308</v>
      </c>
      <c r="AK263">
        <v>2</v>
      </c>
    </row>
    <row r="264" spans="31:37" x14ac:dyDescent="0.25">
      <c r="AE264" s="43" t="s">
        <v>42</v>
      </c>
      <c r="AF264" s="43" t="s">
        <v>26</v>
      </c>
      <c r="AG264" s="43" t="s">
        <v>36</v>
      </c>
      <c r="AH264">
        <v>4</v>
      </c>
      <c r="AI264" t="s">
        <v>331</v>
      </c>
      <c r="AJ264" s="43" t="s">
        <v>309</v>
      </c>
      <c r="AK264">
        <v>7.9</v>
      </c>
    </row>
    <row r="265" spans="31:37" x14ac:dyDescent="0.25">
      <c r="AE265" s="43" t="s">
        <v>42</v>
      </c>
      <c r="AF265" s="43" t="s">
        <v>26</v>
      </c>
      <c r="AG265" s="43" t="s">
        <v>36</v>
      </c>
      <c r="AH265">
        <v>4</v>
      </c>
      <c r="AI265" t="s">
        <v>331</v>
      </c>
      <c r="AJ265" s="43" t="s">
        <v>268</v>
      </c>
      <c r="AK265">
        <v>9.9</v>
      </c>
    </row>
    <row r="266" spans="31:37" x14ac:dyDescent="0.25">
      <c r="AE266" s="43" t="s">
        <v>42</v>
      </c>
      <c r="AF266" s="43" t="s">
        <v>26</v>
      </c>
      <c r="AG266" s="43" t="s">
        <v>36</v>
      </c>
      <c r="AH266">
        <v>4</v>
      </c>
      <c r="AI266" t="s">
        <v>341</v>
      </c>
      <c r="AJ266" s="43" t="s">
        <v>308</v>
      </c>
      <c r="AK266">
        <v>7.1999999999999993</v>
      </c>
    </row>
    <row r="267" spans="31:37" x14ac:dyDescent="0.25">
      <c r="AE267" s="43" t="s">
        <v>42</v>
      </c>
      <c r="AF267" s="43" t="s">
        <v>26</v>
      </c>
      <c r="AG267" s="43" t="s">
        <v>36</v>
      </c>
      <c r="AH267">
        <v>4</v>
      </c>
      <c r="AI267" t="s">
        <v>341</v>
      </c>
      <c r="AJ267" s="43" t="s">
        <v>309</v>
      </c>
      <c r="AK267">
        <v>23.85</v>
      </c>
    </row>
    <row r="268" spans="31:37" x14ac:dyDescent="0.25">
      <c r="AE268" s="43" t="s">
        <v>42</v>
      </c>
      <c r="AF268" s="43" t="s">
        <v>26</v>
      </c>
      <c r="AG268" s="43" t="s">
        <v>36</v>
      </c>
      <c r="AH268">
        <v>4</v>
      </c>
      <c r="AI268" t="s">
        <v>341</v>
      </c>
      <c r="AJ268" s="43" t="s">
        <v>268</v>
      </c>
      <c r="AK268">
        <v>30.95</v>
      </c>
    </row>
    <row r="269" spans="31:37" x14ac:dyDescent="0.25">
      <c r="AE269" s="43" t="s">
        <v>42</v>
      </c>
      <c r="AF269" s="43" t="s">
        <v>26</v>
      </c>
      <c r="AG269" s="43" t="s">
        <v>36</v>
      </c>
      <c r="AH269">
        <v>4</v>
      </c>
      <c r="AI269" t="s">
        <v>273</v>
      </c>
      <c r="AJ269" s="43" t="s">
        <v>308</v>
      </c>
      <c r="AK269">
        <v>2.4</v>
      </c>
    </row>
    <row r="270" spans="31:37" x14ac:dyDescent="0.25">
      <c r="AE270" s="43" t="s">
        <v>42</v>
      </c>
      <c r="AF270" s="43" t="s">
        <v>26</v>
      </c>
      <c r="AG270" s="43" t="s">
        <v>36</v>
      </c>
      <c r="AH270">
        <v>4</v>
      </c>
      <c r="AI270" t="s">
        <v>273</v>
      </c>
      <c r="AJ270" s="43" t="s">
        <v>309</v>
      </c>
      <c r="AK270">
        <v>7.95</v>
      </c>
    </row>
    <row r="271" spans="31:37" x14ac:dyDescent="0.25">
      <c r="AE271" s="43" t="s">
        <v>42</v>
      </c>
      <c r="AF271" s="43" t="s">
        <v>26</v>
      </c>
      <c r="AG271" s="43" t="s">
        <v>36</v>
      </c>
      <c r="AH271">
        <v>4</v>
      </c>
      <c r="AI271" t="s">
        <v>273</v>
      </c>
      <c r="AJ271" s="43" t="s">
        <v>268</v>
      </c>
      <c r="AK271">
        <v>10.316666666666666</v>
      </c>
    </row>
    <row r="272" spans="31:37" x14ac:dyDescent="0.25">
      <c r="AE272" s="43" t="s">
        <v>37</v>
      </c>
      <c r="AF272" s="43" t="s">
        <v>26</v>
      </c>
      <c r="AG272" s="43" t="s">
        <v>39</v>
      </c>
      <c r="AH272">
        <v>4</v>
      </c>
      <c r="AI272" t="s">
        <v>317</v>
      </c>
      <c r="AJ272" s="43" t="s">
        <v>308</v>
      </c>
      <c r="AK272">
        <v>2.2999999999999998</v>
      </c>
    </row>
    <row r="273" spans="31:37" x14ac:dyDescent="0.25">
      <c r="AE273" s="43" t="s">
        <v>37</v>
      </c>
      <c r="AF273" s="43" t="s">
        <v>26</v>
      </c>
      <c r="AG273" s="43" t="s">
        <v>39</v>
      </c>
      <c r="AH273">
        <v>4</v>
      </c>
      <c r="AI273" t="s">
        <v>317</v>
      </c>
      <c r="AJ273" s="43" t="s">
        <v>309</v>
      </c>
      <c r="AK273">
        <v>7.3</v>
      </c>
    </row>
    <row r="274" spans="31:37" x14ac:dyDescent="0.25">
      <c r="AE274" s="43" t="s">
        <v>37</v>
      </c>
      <c r="AF274" s="43" t="s">
        <v>26</v>
      </c>
      <c r="AG274" s="43" t="s">
        <v>39</v>
      </c>
      <c r="AH274">
        <v>4</v>
      </c>
      <c r="AI274" t="s">
        <v>317</v>
      </c>
      <c r="AJ274" s="43" t="s">
        <v>268</v>
      </c>
      <c r="AK274">
        <v>9.6</v>
      </c>
    </row>
    <row r="275" spans="31:37" x14ac:dyDescent="0.25">
      <c r="AE275" s="43" t="s">
        <v>37</v>
      </c>
      <c r="AF275" s="43" t="s">
        <v>26</v>
      </c>
      <c r="AG275" s="43" t="s">
        <v>39</v>
      </c>
      <c r="AH275">
        <v>4</v>
      </c>
      <c r="AI275" t="s">
        <v>325</v>
      </c>
      <c r="AJ275" s="43" t="s">
        <v>308</v>
      </c>
      <c r="AK275">
        <v>3</v>
      </c>
    </row>
    <row r="276" spans="31:37" x14ac:dyDescent="0.25">
      <c r="AE276" s="43" t="s">
        <v>37</v>
      </c>
      <c r="AF276" s="43" t="s">
        <v>26</v>
      </c>
      <c r="AG276" s="43" t="s">
        <v>39</v>
      </c>
      <c r="AH276">
        <v>4</v>
      </c>
      <c r="AI276" t="s">
        <v>325</v>
      </c>
      <c r="AJ276" s="43" t="s">
        <v>309</v>
      </c>
      <c r="AK276">
        <v>8</v>
      </c>
    </row>
    <row r="277" spans="31:37" x14ac:dyDescent="0.25">
      <c r="AE277" s="43" t="s">
        <v>37</v>
      </c>
      <c r="AF277" s="43" t="s">
        <v>26</v>
      </c>
      <c r="AG277" s="43" t="s">
        <v>39</v>
      </c>
      <c r="AH277">
        <v>4</v>
      </c>
      <c r="AI277" t="s">
        <v>325</v>
      </c>
      <c r="AJ277" s="43" t="s">
        <v>268</v>
      </c>
      <c r="AK277">
        <v>11</v>
      </c>
    </row>
    <row r="278" spans="31:37" x14ac:dyDescent="0.25">
      <c r="AE278" s="43" t="s">
        <v>37</v>
      </c>
      <c r="AF278" s="43" t="s">
        <v>26</v>
      </c>
      <c r="AG278" s="43" t="s">
        <v>39</v>
      </c>
      <c r="AH278">
        <v>4</v>
      </c>
      <c r="AI278" t="s">
        <v>330</v>
      </c>
      <c r="AJ278" s="43" t="s">
        <v>308</v>
      </c>
      <c r="AK278">
        <v>2.2999999999999998</v>
      </c>
    </row>
    <row r="279" spans="31:37" x14ac:dyDescent="0.25">
      <c r="AE279" s="43" t="s">
        <v>37</v>
      </c>
      <c r="AF279" s="43" t="s">
        <v>26</v>
      </c>
      <c r="AG279" s="43" t="s">
        <v>39</v>
      </c>
      <c r="AH279">
        <v>4</v>
      </c>
      <c r="AI279" t="s">
        <v>330</v>
      </c>
      <c r="AJ279" s="43" t="s">
        <v>309</v>
      </c>
      <c r="AK279">
        <v>6.85</v>
      </c>
    </row>
    <row r="280" spans="31:37" x14ac:dyDescent="0.25">
      <c r="AE280" s="43" t="s">
        <v>37</v>
      </c>
      <c r="AF280" s="43" t="s">
        <v>26</v>
      </c>
      <c r="AG280" s="43" t="s">
        <v>39</v>
      </c>
      <c r="AH280">
        <v>4</v>
      </c>
      <c r="AI280" t="s">
        <v>330</v>
      </c>
      <c r="AJ280" s="43" t="s">
        <v>268</v>
      </c>
      <c r="AK280">
        <v>9.15</v>
      </c>
    </row>
    <row r="281" spans="31:37" x14ac:dyDescent="0.25">
      <c r="AE281" s="43" t="s">
        <v>37</v>
      </c>
      <c r="AF281" s="43" t="s">
        <v>26</v>
      </c>
      <c r="AG281" s="43" t="s">
        <v>39</v>
      </c>
      <c r="AH281">
        <v>4</v>
      </c>
      <c r="AI281" t="s">
        <v>331</v>
      </c>
      <c r="AJ281" s="43" t="s">
        <v>308</v>
      </c>
      <c r="AK281">
        <v>2.2999999999999998</v>
      </c>
    </row>
    <row r="282" spans="31:37" x14ac:dyDescent="0.25">
      <c r="AE282" s="43" t="s">
        <v>37</v>
      </c>
      <c r="AF282" s="43" t="s">
        <v>26</v>
      </c>
      <c r="AG282" s="43" t="s">
        <v>39</v>
      </c>
      <c r="AH282">
        <v>4</v>
      </c>
      <c r="AI282" t="s">
        <v>331</v>
      </c>
      <c r="AJ282" s="43" t="s">
        <v>309</v>
      </c>
      <c r="AK282">
        <v>7.8</v>
      </c>
    </row>
    <row r="283" spans="31:37" x14ac:dyDescent="0.25">
      <c r="AE283" s="43" t="s">
        <v>37</v>
      </c>
      <c r="AF283" s="43" t="s">
        <v>26</v>
      </c>
      <c r="AG283" s="43" t="s">
        <v>39</v>
      </c>
      <c r="AH283">
        <v>4</v>
      </c>
      <c r="AI283" t="s">
        <v>331</v>
      </c>
      <c r="AJ283" s="43" t="s">
        <v>268</v>
      </c>
      <c r="AK283">
        <v>10.1</v>
      </c>
    </row>
    <row r="284" spans="31:37" x14ac:dyDescent="0.25">
      <c r="AE284" s="43" t="s">
        <v>37</v>
      </c>
      <c r="AF284" s="43" t="s">
        <v>26</v>
      </c>
      <c r="AG284" s="43" t="s">
        <v>39</v>
      </c>
      <c r="AH284">
        <v>4</v>
      </c>
      <c r="AI284" t="s">
        <v>341</v>
      </c>
      <c r="AJ284" s="43" t="s">
        <v>308</v>
      </c>
      <c r="AK284">
        <v>7.6</v>
      </c>
    </row>
    <row r="285" spans="31:37" x14ac:dyDescent="0.25">
      <c r="AE285" s="43" t="s">
        <v>37</v>
      </c>
      <c r="AF285" s="43" t="s">
        <v>26</v>
      </c>
      <c r="AG285" s="43" t="s">
        <v>39</v>
      </c>
      <c r="AH285">
        <v>4</v>
      </c>
      <c r="AI285" t="s">
        <v>341</v>
      </c>
      <c r="AJ285" s="43" t="s">
        <v>309</v>
      </c>
      <c r="AK285">
        <v>23.1</v>
      </c>
    </row>
    <row r="286" spans="31:37" x14ac:dyDescent="0.25">
      <c r="AE286" s="43" t="s">
        <v>37</v>
      </c>
      <c r="AF286" s="43" t="s">
        <v>26</v>
      </c>
      <c r="AG286" s="43" t="s">
        <v>39</v>
      </c>
      <c r="AH286">
        <v>4</v>
      </c>
      <c r="AI286" t="s">
        <v>341</v>
      </c>
      <c r="AJ286" s="43" t="s">
        <v>268</v>
      </c>
      <c r="AK286">
        <v>30.700000000000003</v>
      </c>
    </row>
    <row r="287" spans="31:37" x14ac:dyDescent="0.25">
      <c r="AE287" s="43" t="s">
        <v>37</v>
      </c>
      <c r="AF287" s="43" t="s">
        <v>26</v>
      </c>
      <c r="AG287" s="43" t="s">
        <v>39</v>
      </c>
      <c r="AH287">
        <v>4</v>
      </c>
      <c r="AI287" t="s">
        <v>273</v>
      </c>
      <c r="AJ287" s="43" t="s">
        <v>308</v>
      </c>
      <c r="AK287">
        <v>2.5333333333333332</v>
      </c>
    </row>
    <row r="288" spans="31:37" x14ac:dyDescent="0.25">
      <c r="AE288" s="43" t="s">
        <v>37</v>
      </c>
      <c r="AF288" s="43" t="s">
        <v>26</v>
      </c>
      <c r="AG288" s="43" t="s">
        <v>39</v>
      </c>
      <c r="AH288">
        <v>4</v>
      </c>
      <c r="AI288" t="s">
        <v>273</v>
      </c>
      <c r="AJ288" s="43" t="s">
        <v>309</v>
      </c>
      <c r="AK288">
        <v>7.7</v>
      </c>
    </row>
    <row r="289" spans="31:37" x14ac:dyDescent="0.25">
      <c r="AE289" s="43" t="s">
        <v>37</v>
      </c>
      <c r="AF289" s="43" t="s">
        <v>26</v>
      </c>
      <c r="AG289" s="43" t="s">
        <v>39</v>
      </c>
      <c r="AH289">
        <v>4</v>
      </c>
      <c r="AI289" t="s">
        <v>273</v>
      </c>
      <c r="AJ289" s="43" t="s">
        <v>268</v>
      </c>
      <c r="AK289">
        <v>10.233333333333334</v>
      </c>
    </row>
    <row r="290" spans="31:37" x14ac:dyDescent="0.25">
      <c r="AE290" s="43" t="s">
        <v>44</v>
      </c>
      <c r="AF290" s="43" t="s">
        <v>26</v>
      </c>
      <c r="AG290" s="43" t="s">
        <v>39</v>
      </c>
      <c r="AH290">
        <v>4</v>
      </c>
      <c r="AI290" t="s">
        <v>317</v>
      </c>
      <c r="AJ290" s="43" t="s">
        <v>308</v>
      </c>
      <c r="AK290">
        <v>2.2999999999999998</v>
      </c>
    </row>
    <row r="291" spans="31:37" x14ac:dyDescent="0.25">
      <c r="AE291" s="43" t="s">
        <v>44</v>
      </c>
      <c r="AF291" s="43" t="s">
        <v>26</v>
      </c>
      <c r="AG291" s="43" t="s">
        <v>39</v>
      </c>
      <c r="AH291">
        <v>4</v>
      </c>
      <c r="AI291" t="s">
        <v>317</v>
      </c>
      <c r="AJ291" s="43" t="s">
        <v>309</v>
      </c>
      <c r="AK291">
        <v>7.3</v>
      </c>
    </row>
    <row r="292" spans="31:37" x14ac:dyDescent="0.25">
      <c r="AE292" s="43" t="s">
        <v>44</v>
      </c>
      <c r="AF292" s="43" t="s">
        <v>26</v>
      </c>
      <c r="AG292" s="43" t="s">
        <v>39</v>
      </c>
      <c r="AH292">
        <v>4</v>
      </c>
      <c r="AI292" t="s">
        <v>317</v>
      </c>
      <c r="AJ292" s="43" t="s">
        <v>268</v>
      </c>
      <c r="AK292">
        <v>9.6</v>
      </c>
    </row>
    <row r="293" spans="31:37" x14ac:dyDescent="0.25">
      <c r="AE293" s="43" t="s">
        <v>44</v>
      </c>
      <c r="AF293" s="43" t="s">
        <v>26</v>
      </c>
      <c r="AG293" s="43" t="s">
        <v>39</v>
      </c>
      <c r="AH293">
        <v>4</v>
      </c>
      <c r="AI293" t="s">
        <v>325</v>
      </c>
      <c r="AJ293" s="43" t="s">
        <v>308</v>
      </c>
      <c r="AK293">
        <v>2.1</v>
      </c>
    </row>
    <row r="294" spans="31:37" x14ac:dyDescent="0.25">
      <c r="AE294" s="43" t="s">
        <v>44</v>
      </c>
      <c r="AF294" s="43" t="s">
        <v>26</v>
      </c>
      <c r="AG294" s="43" t="s">
        <v>39</v>
      </c>
      <c r="AH294">
        <v>4</v>
      </c>
      <c r="AI294" t="s">
        <v>325</v>
      </c>
      <c r="AJ294" s="43" t="s">
        <v>309</v>
      </c>
      <c r="AK294">
        <v>8.0500000000000007</v>
      </c>
    </row>
    <row r="295" spans="31:37" x14ac:dyDescent="0.25">
      <c r="AE295" s="43" t="s">
        <v>44</v>
      </c>
      <c r="AF295" s="43" t="s">
        <v>26</v>
      </c>
      <c r="AG295" s="43" t="s">
        <v>39</v>
      </c>
      <c r="AH295">
        <v>4</v>
      </c>
      <c r="AI295" t="s">
        <v>325</v>
      </c>
      <c r="AJ295" s="43" t="s">
        <v>268</v>
      </c>
      <c r="AK295">
        <v>10.15</v>
      </c>
    </row>
    <row r="296" spans="31:37" x14ac:dyDescent="0.25">
      <c r="AE296" s="43" t="s">
        <v>44</v>
      </c>
      <c r="AF296" s="43" t="s">
        <v>26</v>
      </c>
      <c r="AG296" s="43" t="s">
        <v>39</v>
      </c>
      <c r="AH296">
        <v>4</v>
      </c>
      <c r="AI296" t="s">
        <v>330</v>
      </c>
      <c r="AJ296" s="43" t="s">
        <v>308</v>
      </c>
      <c r="AK296">
        <v>2.2999999999999998</v>
      </c>
    </row>
    <row r="297" spans="31:37" x14ac:dyDescent="0.25">
      <c r="AE297" s="43" t="s">
        <v>44</v>
      </c>
      <c r="AF297" s="43" t="s">
        <v>26</v>
      </c>
      <c r="AG297" s="43" t="s">
        <v>39</v>
      </c>
      <c r="AH297">
        <v>4</v>
      </c>
      <c r="AI297" t="s">
        <v>330</v>
      </c>
      <c r="AJ297" s="43" t="s">
        <v>309</v>
      </c>
      <c r="AK297">
        <v>7.9</v>
      </c>
    </row>
    <row r="298" spans="31:37" x14ac:dyDescent="0.25">
      <c r="AE298" s="43" t="s">
        <v>44</v>
      </c>
      <c r="AF298" s="43" t="s">
        <v>26</v>
      </c>
      <c r="AG298" s="43" t="s">
        <v>39</v>
      </c>
      <c r="AH298">
        <v>4</v>
      </c>
      <c r="AI298" t="s">
        <v>330</v>
      </c>
      <c r="AJ298" s="43" t="s">
        <v>268</v>
      </c>
      <c r="AK298">
        <v>10.199999999999999</v>
      </c>
    </row>
    <row r="299" spans="31:37" x14ac:dyDescent="0.25">
      <c r="AE299" s="43" t="s">
        <v>44</v>
      </c>
      <c r="AF299" s="43" t="s">
        <v>26</v>
      </c>
      <c r="AG299" s="43" t="s">
        <v>39</v>
      </c>
      <c r="AH299">
        <v>4</v>
      </c>
      <c r="AI299" t="s">
        <v>331</v>
      </c>
      <c r="AJ299" s="43" t="s">
        <v>308</v>
      </c>
      <c r="AK299">
        <v>2.2999999999999998</v>
      </c>
    </row>
    <row r="300" spans="31:37" x14ac:dyDescent="0.25">
      <c r="AE300" s="43" t="s">
        <v>44</v>
      </c>
      <c r="AF300" s="43" t="s">
        <v>26</v>
      </c>
      <c r="AG300" s="43" t="s">
        <v>39</v>
      </c>
      <c r="AH300">
        <v>4</v>
      </c>
      <c r="AI300" t="s">
        <v>331</v>
      </c>
      <c r="AJ300" s="43" t="s">
        <v>309</v>
      </c>
      <c r="AK300">
        <v>8</v>
      </c>
    </row>
    <row r="301" spans="31:37" x14ac:dyDescent="0.25">
      <c r="AE301" s="43" t="s">
        <v>44</v>
      </c>
      <c r="AF301" s="43" t="s">
        <v>26</v>
      </c>
      <c r="AG301" s="43" t="s">
        <v>39</v>
      </c>
      <c r="AH301">
        <v>4</v>
      </c>
      <c r="AI301" t="s">
        <v>331</v>
      </c>
      <c r="AJ301" s="43" t="s">
        <v>268</v>
      </c>
      <c r="AK301">
        <v>10.3</v>
      </c>
    </row>
    <row r="302" spans="31:37" x14ac:dyDescent="0.25">
      <c r="AE302" s="43" t="s">
        <v>44</v>
      </c>
      <c r="AF302" s="43" t="s">
        <v>26</v>
      </c>
      <c r="AG302" s="43" t="s">
        <v>39</v>
      </c>
      <c r="AH302">
        <v>4</v>
      </c>
      <c r="AI302" t="s">
        <v>341</v>
      </c>
      <c r="AJ302" s="43" t="s">
        <v>308</v>
      </c>
      <c r="AK302">
        <v>6.8999999999999995</v>
      </c>
    </row>
    <row r="303" spans="31:37" x14ac:dyDescent="0.25">
      <c r="AE303" s="43" t="s">
        <v>44</v>
      </c>
      <c r="AF303" s="43" t="s">
        <v>26</v>
      </c>
      <c r="AG303" s="43" t="s">
        <v>39</v>
      </c>
      <c r="AH303">
        <v>4</v>
      </c>
      <c r="AI303" t="s">
        <v>341</v>
      </c>
      <c r="AJ303" s="43" t="s">
        <v>309</v>
      </c>
      <c r="AK303">
        <v>23.950000000000003</v>
      </c>
    </row>
    <row r="304" spans="31:37" x14ac:dyDescent="0.25">
      <c r="AE304" s="43" t="s">
        <v>44</v>
      </c>
      <c r="AF304" s="43" t="s">
        <v>26</v>
      </c>
      <c r="AG304" s="43" t="s">
        <v>39</v>
      </c>
      <c r="AH304">
        <v>4</v>
      </c>
      <c r="AI304" t="s">
        <v>341</v>
      </c>
      <c r="AJ304" s="43" t="s">
        <v>268</v>
      </c>
      <c r="AK304">
        <v>30.65</v>
      </c>
    </row>
    <row r="305" spans="31:37" x14ac:dyDescent="0.25">
      <c r="AE305" s="43" t="s">
        <v>44</v>
      </c>
      <c r="AF305" s="43" t="s">
        <v>26</v>
      </c>
      <c r="AG305" s="43" t="s">
        <v>39</v>
      </c>
      <c r="AH305">
        <v>4</v>
      </c>
      <c r="AI305" t="s">
        <v>273</v>
      </c>
      <c r="AJ305" s="43" t="s">
        <v>308</v>
      </c>
      <c r="AK305">
        <v>2.2999999999999998</v>
      </c>
    </row>
    <row r="306" spans="31:37" x14ac:dyDescent="0.25">
      <c r="AE306" s="43" t="s">
        <v>44</v>
      </c>
      <c r="AF306" s="43" t="s">
        <v>26</v>
      </c>
      <c r="AG306" s="43" t="s">
        <v>39</v>
      </c>
      <c r="AH306">
        <v>4</v>
      </c>
      <c r="AI306" t="s">
        <v>273</v>
      </c>
      <c r="AJ306" s="43" t="s">
        <v>309</v>
      </c>
      <c r="AK306">
        <v>7.9833333333333343</v>
      </c>
    </row>
    <row r="307" spans="31:37" x14ac:dyDescent="0.25">
      <c r="AE307" s="43" t="s">
        <v>44</v>
      </c>
      <c r="AF307" s="43" t="s">
        <v>26</v>
      </c>
      <c r="AG307" s="43" t="s">
        <v>39</v>
      </c>
      <c r="AH307">
        <v>4</v>
      </c>
      <c r="AI307" t="s">
        <v>273</v>
      </c>
      <c r="AJ307" s="43" t="s">
        <v>268</v>
      </c>
      <c r="AK307">
        <v>10.216666666666667</v>
      </c>
    </row>
    <row r="308" spans="31:37" x14ac:dyDescent="0.25">
      <c r="AE308" s="43" t="s">
        <v>48</v>
      </c>
      <c r="AF308" s="43" t="s">
        <v>26</v>
      </c>
      <c r="AG308" s="43" t="s">
        <v>36</v>
      </c>
      <c r="AH308">
        <v>4</v>
      </c>
      <c r="AI308" t="s">
        <v>317</v>
      </c>
      <c r="AJ308" s="43" t="s">
        <v>308</v>
      </c>
      <c r="AK308">
        <v>2.4</v>
      </c>
    </row>
    <row r="309" spans="31:37" x14ac:dyDescent="0.25">
      <c r="AE309" s="43" t="s">
        <v>48</v>
      </c>
      <c r="AF309" s="43" t="s">
        <v>26</v>
      </c>
      <c r="AG309" s="43" t="s">
        <v>36</v>
      </c>
      <c r="AH309">
        <v>4</v>
      </c>
      <c r="AI309" t="s">
        <v>317</v>
      </c>
      <c r="AJ309" s="43" t="s">
        <v>309</v>
      </c>
      <c r="AK309">
        <v>7.55</v>
      </c>
    </row>
    <row r="310" spans="31:37" x14ac:dyDescent="0.25">
      <c r="AE310" s="43" t="s">
        <v>48</v>
      </c>
      <c r="AF310" s="43" t="s">
        <v>26</v>
      </c>
      <c r="AG310" s="43" t="s">
        <v>36</v>
      </c>
      <c r="AH310">
        <v>4</v>
      </c>
      <c r="AI310" t="s">
        <v>317</v>
      </c>
      <c r="AJ310" s="43" t="s">
        <v>268</v>
      </c>
      <c r="AK310">
        <v>9.9499999999999993</v>
      </c>
    </row>
    <row r="311" spans="31:37" x14ac:dyDescent="0.25">
      <c r="AE311" s="43" t="s">
        <v>48</v>
      </c>
      <c r="AF311" s="43" t="s">
        <v>26</v>
      </c>
      <c r="AG311" s="43" t="s">
        <v>36</v>
      </c>
      <c r="AH311">
        <v>4</v>
      </c>
      <c r="AI311" t="s">
        <v>325</v>
      </c>
      <c r="AJ311" s="43" t="s">
        <v>308</v>
      </c>
      <c r="AK311">
        <v>2.5</v>
      </c>
    </row>
    <row r="312" spans="31:37" x14ac:dyDescent="0.25">
      <c r="AE312" s="43" t="s">
        <v>48</v>
      </c>
      <c r="AF312" s="43" t="s">
        <v>26</v>
      </c>
      <c r="AG312" s="43" t="s">
        <v>36</v>
      </c>
      <c r="AH312">
        <v>4</v>
      </c>
      <c r="AI312" t="s">
        <v>325</v>
      </c>
      <c r="AJ312" s="43" t="s">
        <v>309</v>
      </c>
      <c r="AK312">
        <v>6.5</v>
      </c>
    </row>
    <row r="313" spans="31:37" x14ac:dyDescent="0.25">
      <c r="AE313" s="43" t="s">
        <v>48</v>
      </c>
      <c r="AF313" s="43" t="s">
        <v>26</v>
      </c>
      <c r="AG313" s="43" t="s">
        <v>36</v>
      </c>
      <c r="AH313">
        <v>4</v>
      </c>
      <c r="AI313" t="s">
        <v>325</v>
      </c>
      <c r="AJ313" s="43" t="s">
        <v>268</v>
      </c>
      <c r="AK313">
        <v>9</v>
      </c>
    </row>
    <row r="314" spans="31:37" x14ac:dyDescent="0.25">
      <c r="AE314" s="43" t="s">
        <v>48</v>
      </c>
      <c r="AF314" s="43" t="s">
        <v>26</v>
      </c>
      <c r="AG314" s="43" t="s">
        <v>36</v>
      </c>
      <c r="AH314">
        <v>4</v>
      </c>
      <c r="AI314" t="s">
        <v>330</v>
      </c>
      <c r="AJ314" s="43" t="s">
        <v>308</v>
      </c>
      <c r="AK314">
        <v>2.5</v>
      </c>
    </row>
    <row r="315" spans="31:37" x14ac:dyDescent="0.25">
      <c r="AE315" s="43" t="s">
        <v>48</v>
      </c>
      <c r="AF315" s="43" t="s">
        <v>26</v>
      </c>
      <c r="AG315" s="43" t="s">
        <v>36</v>
      </c>
      <c r="AH315">
        <v>4</v>
      </c>
      <c r="AI315" t="s">
        <v>330</v>
      </c>
      <c r="AJ315" s="43" t="s">
        <v>309</v>
      </c>
      <c r="AK315">
        <v>6.65</v>
      </c>
    </row>
    <row r="316" spans="31:37" x14ac:dyDescent="0.25">
      <c r="AE316" s="43" t="s">
        <v>48</v>
      </c>
      <c r="AF316" s="43" t="s">
        <v>26</v>
      </c>
      <c r="AG316" s="43" t="s">
        <v>36</v>
      </c>
      <c r="AH316">
        <v>4</v>
      </c>
      <c r="AI316" t="s">
        <v>330</v>
      </c>
      <c r="AJ316" s="43" t="s">
        <v>268</v>
      </c>
      <c r="AK316">
        <v>9.15</v>
      </c>
    </row>
    <row r="317" spans="31:37" x14ac:dyDescent="0.25">
      <c r="AE317" s="43" t="s">
        <v>48</v>
      </c>
      <c r="AF317" s="43" t="s">
        <v>26</v>
      </c>
      <c r="AG317" s="43" t="s">
        <v>36</v>
      </c>
      <c r="AH317">
        <v>4</v>
      </c>
      <c r="AI317" t="s">
        <v>331</v>
      </c>
      <c r="AJ317" s="43" t="s">
        <v>308</v>
      </c>
      <c r="AK317">
        <v>2.2000000000000002</v>
      </c>
    </row>
    <row r="318" spans="31:37" x14ac:dyDescent="0.25">
      <c r="AE318" s="43" t="s">
        <v>48</v>
      </c>
      <c r="AF318" s="43" t="s">
        <v>26</v>
      </c>
      <c r="AG318" s="43" t="s">
        <v>36</v>
      </c>
      <c r="AH318">
        <v>4</v>
      </c>
      <c r="AI318" t="s">
        <v>331</v>
      </c>
      <c r="AJ318" s="43" t="s">
        <v>309</v>
      </c>
      <c r="AK318">
        <v>7.6</v>
      </c>
    </row>
    <row r="319" spans="31:37" x14ac:dyDescent="0.25">
      <c r="AE319" s="43" t="s">
        <v>48</v>
      </c>
      <c r="AF319" s="43" t="s">
        <v>26</v>
      </c>
      <c r="AG319" s="43" t="s">
        <v>36</v>
      </c>
      <c r="AH319">
        <v>4</v>
      </c>
      <c r="AI319" t="s">
        <v>331</v>
      </c>
      <c r="AJ319" s="43" t="s">
        <v>268</v>
      </c>
      <c r="AK319">
        <v>9.8000000000000007</v>
      </c>
    </row>
    <row r="320" spans="31:37" x14ac:dyDescent="0.25">
      <c r="AE320" s="43" t="s">
        <v>48</v>
      </c>
      <c r="AF320" s="43" t="s">
        <v>26</v>
      </c>
      <c r="AG320" s="43" t="s">
        <v>36</v>
      </c>
      <c r="AH320">
        <v>4</v>
      </c>
      <c r="AI320" t="s">
        <v>341</v>
      </c>
      <c r="AJ320" s="43" t="s">
        <v>308</v>
      </c>
      <c r="AK320">
        <v>7.4</v>
      </c>
    </row>
    <row r="321" spans="31:37" x14ac:dyDescent="0.25">
      <c r="AE321" s="43" t="s">
        <v>48</v>
      </c>
      <c r="AF321" s="43" t="s">
        <v>26</v>
      </c>
      <c r="AG321" s="43" t="s">
        <v>36</v>
      </c>
      <c r="AH321">
        <v>4</v>
      </c>
      <c r="AI321" t="s">
        <v>341</v>
      </c>
      <c r="AJ321" s="43" t="s">
        <v>309</v>
      </c>
      <c r="AK321">
        <v>21.799999999999997</v>
      </c>
    </row>
    <row r="322" spans="31:37" x14ac:dyDescent="0.25">
      <c r="AE322" s="43" t="s">
        <v>48</v>
      </c>
      <c r="AF322" s="43" t="s">
        <v>26</v>
      </c>
      <c r="AG322" s="43" t="s">
        <v>36</v>
      </c>
      <c r="AH322">
        <v>4</v>
      </c>
      <c r="AI322" t="s">
        <v>341</v>
      </c>
      <c r="AJ322" s="43" t="s">
        <v>268</v>
      </c>
      <c r="AK322">
        <v>28.9</v>
      </c>
    </row>
    <row r="323" spans="31:37" x14ac:dyDescent="0.25">
      <c r="AE323" s="43" t="s">
        <v>48</v>
      </c>
      <c r="AF323" s="43" t="s">
        <v>26</v>
      </c>
      <c r="AG323" s="43" t="s">
        <v>36</v>
      </c>
      <c r="AH323">
        <v>4</v>
      </c>
      <c r="AI323" t="s">
        <v>273</v>
      </c>
      <c r="AJ323" s="43" t="s">
        <v>308</v>
      </c>
      <c r="AK323">
        <v>2.4666666666666668</v>
      </c>
    </row>
    <row r="324" spans="31:37" x14ac:dyDescent="0.25">
      <c r="AE324" s="43" t="s">
        <v>48</v>
      </c>
      <c r="AF324" s="43" t="s">
        <v>26</v>
      </c>
      <c r="AG324" s="43" t="s">
        <v>36</v>
      </c>
      <c r="AH324">
        <v>4</v>
      </c>
      <c r="AI324" t="s">
        <v>273</v>
      </c>
      <c r="AJ324" s="43" t="s">
        <v>309</v>
      </c>
      <c r="AK324">
        <v>7.2666666666666657</v>
      </c>
    </row>
    <row r="325" spans="31:37" x14ac:dyDescent="0.25">
      <c r="AE325" s="43" t="s">
        <v>48</v>
      </c>
      <c r="AF325" s="43" t="s">
        <v>26</v>
      </c>
      <c r="AG325" s="43" t="s">
        <v>36</v>
      </c>
      <c r="AH325">
        <v>4</v>
      </c>
      <c r="AI325" t="s">
        <v>273</v>
      </c>
      <c r="AJ325" s="43" t="s">
        <v>268</v>
      </c>
      <c r="AK325">
        <v>9.6333333333333329</v>
      </c>
    </row>
    <row r="326" spans="31:37" x14ac:dyDescent="0.25">
      <c r="AE326" s="43" t="s">
        <v>46</v>
      </c>
      <c r="AF326" s="43" t="s">
        <v>26</v>
      </c>
      <c r="AG326" s="43" t="s">
        <v>36</v>
      </c>
      <c r="AH326">
        <v>3</v>
      </c>
      <c r="AI326" t="s">
        <v>317</v>
      </c>
      <c r="AJ326" s="43" t="s">
        <v>308</v>
      </c>
      <c r="AK326">
        <v>0</v>
      </c>
    </row>
    <row r="327" spans="31:37" x14ac:dyDescent="0.25">
      <c r="AE327" s="43" t="s">
        <v>46</v>
      </c>
      <c r="AF327" s="43" t="s">
        <v>26</v>
      </c>
      <c r="AG327" s="43" t="s">
        <v>36</v>
      </c>
      <c r="AH327">
        <v>3</v>
      </c>
      <c r="AI327" t="s">
        <v>317</v>
      </c>
      <c r="AJ327" s="43" t="s">
        <v>309</v>
      </c>
      <c r="AK327">
        <v>0</v>
      </c>
    </row>
    <row r="328" spans="31:37" x14ac:dyDescent="0.25">
      <c r="AE328" s="43" t="s">
        <v>46</v>
      </c>
      <c r="AF328" s="43" t="s">
        <v>26</v>
      </c>
      <c r="AG328" s="43" t="s">
        <v>36</v>
      </c>
      <c r="AH328">
        <v>3</v>
      </c>
      <c r="AI328" t="s">
        <v>317</v>
      </c>
      <c r="AJ328" s="43" t="s">
        <v>268</v>
      </c>
      <c r="AK328">
        <v>0</v>
      </c>
    </row>
    <row r="329" spans="31:37" x14ac:dyDescent="0.25">
      <c r="AE329" s="43" t="s">
        <v>46</v>
      </c>
      <c r="AF329" s="43" t="s">
        <v>26</v>
      </c>
      <c r="AG329" s="43" t="s">
        <v>36</v>
      </c>
      <c r="AH329">
        <v>3</v>
      </c>
      <c r="AI329" t="s">
        <v>325</v>
      </c>
      <c r="AJ329" s="43" t="s">
        <v>308</v>
      </c>
      <c r="AK329">
        <v>1.7</v>
      </c>
    </row>
    <row r="330" spans="31:37" x14ac:dyDescent="0.25">
      <c r="AE330" s="43" t="s">
        <v>46</v>
      </c>
      <c r="AF330" s="43" t="s">
        <v>26</v>
      </c>
      <c r="AG330" s="43" t="s">
        <v>36</v>
      </c>
      <c r="AH330">
        <v>3</v>
      </c>
      <c r="AI330" t="s">
        <v>325</v>
      </c>
      <c r="AJ330" s="43" t="s">
        <v>309</v>
      </c>
      <c r="AK330">
        <v>6.8</v>
      </c>
    </row>
    <row r="331" spans="31:37" x14ac:dyDescent="0.25">
      <c r="AE331" s="43" t="s">
        <v>46</v>
      </c>
      <c r="AF331" s="43" t="s">
        <v>26</v>
      </c>
      <c r="AG331" s="43" t="s">
        <v>36</v>
      </c>
      <c r="AH331">
        <v>3</v>
      </c>
      <c r="AI331" t="s">
        <v>325</v>
      </c>
      <c r="AJ331" s="43" t="s">
        <v>268</v>
      </c>
      <c r="AK331">
        <v>8.5</v>
      </c>
    </row>
    <row r="332" spans="31:37" x14ac:dyDescent="0.25">
      <c r="AE332" s="43" t="s">
        <v>46</v>
      </c>
      <c r="AF332" s="43" t="s">
        <v>26</v>
      </c>
      <c r="AG332" s="43" t="s">
        <v>36</v>
      </c>
      <c r="AH332">
        <v>3</v>
      </c>
      <c r="AI332" t="s">
        <v>330</v>
      </c>
      <c r="AJ332" s="43" t="s">
        <v>308</v>
      </c>
      <c r="AK332">
        <v>2.1</v>
      </c>
    </row>
    <row r="333" spans="31:37" x14ac:dyDescent="0.25">
      <c r="AE333" s="43" t="s">
        <v>46</v>
      </c>
      <c r="AF333" s="43" t="s">
        <v>26</v>
      </c>
      <c r="AG333" s="43" t="s">
        <v>36</v>
      </c>
      <c r="AH333">
        <v>3</v>
      </c>
      <c r="AI333" t="s">
        <v>330</v>
      </c>
      <c r="AJ333" s="43" t="s">
        <v>309</v>
      </c>
      <c r="AK333">
        <v>6.65</v>
      </c>
    </row>
    <row r="334" spans="31:37" x14ac:dyDescent="0.25">
      <c r="AE334" s="43" t="s">
        <v>46</v>
      </c>
      <c r="AF334" s="43" t="s">
        <v>26</v>
      </c>
      <c r="AG334" s="43" t="s">
        <v>36</v>
      </c>
      <c r="AH334">
        <v>3</v>
      </c>
      <c r="AI334" t="s">
        <v>330</v>
      </c>
      <c r="AJ334" s="43" t="s">
        <v>268</v>
      </c>
      <c r="AK334">
        <v>8.75</v>
      </c>
    </row>
    <row r="335" spans="31:37" x14ac:dyDescent="0.25">
      <c r="AE335" s="43" t="s">
        <v>46</v>
      </c>
      <c r="AF335" s="43" t="s">
        <v>26</v>
      </c>
      <c r="AG335" s="43" t="s">
        <v>36</v>
      </c>
      <c r="AH335">
        <v>3</v>
      </c>
      <c r="AI335" t="s">
        <v>331</v>
      </c>
      <c r="AJ335" s="43" t="s">
        <v>308</v>
      </c>
      <c r="AK335">
        <v>1.7</v>
      </c>
    </row>
    <row r="336" spans="31:37" x14ac:dyDescent="0.25">
      <c r="AE336" s="43" t="s">
        <v>46</v>
      </c>
      <c r="AF336" s="43" t="s">
        <v>26</v>
      </c>
      <c r="AG336" s="43" t="s">
        <v>36</v>
      </c>
      <c r="AH336">
        <v>3</v>
      </c>
      <c r="AI336" t="s">
        <v>331</v>
      </c>
      <c r="AJ336" s="43" t="s">
        <v>309</v>
      </c>
      <c r="AK336">
        <v>7.7</v>
      </c>
    </row>
    <row r="337" spans="31:37" x14ac:dyDescent="0.25">
      <c r="AE337" s="43" t="s">
        <v>46</v>
      </c>
      <c r="AF337" s="43" t="s">
        <v>26</v>
      </c>
      <c r="AG337" s="43" t="s">
        <v>36</v>
      </c>
      <c r="AH337">
        <v>3</v>
      </c>
      <c r="AI337" t="s">
        <v>331</v>
      </c>
      <c r="AJ337" s="43" t="s">
        <v>268</v>
      </c>
      <c r="AK337">
        <v>9.4</v>
      </c>
    </row>
    <row r="338" spans="31:37" x14ac:dyDescent="0.25">
      <c r="AE338" s="43" t="s">
        <v>46</v>
      </c>
      <c r="AF338" s="43" t="s">
        <v>26</v>
      </c>
      <c r="AG338" s="43" t="s">
        <v>36</v>
      </c>
      <c r="AH338">
        <v>3</v>
      </c>
      <c r="AI338" t="s">
        <v>341</v>
      </c>
      <c r="AJ338" s="43" t="s">
        <v>308</v>
      </c>
      <c r="AK338">
        <v>5.5</v>
      </c>
    </row>
    <row r="339" spans="31:37" x14ac:dyDescent="0.25">
      <c r="AE339" s="43" t="s">
        <v>46</v>
      </c>
      <c r="AF339" s="43" t="s">
        <v>26</v>
      </c>
      <c r="AG339" s="43" t="s">
        <v>36</v>
      </c>
      <c r="AH339">
        <v>3</v>
      </c>
      <c r="AI339" t="s">
        <v>341</v>
      </c>
      <c r="AJ339" s="43" t="s">
        <v>309</v>
      </c>
      <c r="AK339">
        <v>21.15</v>
      </c>
    </row>
    <row r="340" spans="31:37" x14ac:dyDescent="0.25">
      <c r="AE340" s="43" t="s">
        <v>46</v>
      </c>
      <c r="AF340" s="43" t="s">
        <v>26</v>
      </c>
      <c r="AG340" s="43" t="s">
        <v>36</v>
      </c>
      <c r="AH340">
        <v>3</v>
      </c>
      <c r="AI340" t="s">
        <v>341</v>
      </c>
      <c r="AJ340" s="43" t="s">
        <v>268</v>
      </c>
      <c r="AK340">
        <v>26.65</v>
      </c>
    </row>
    <row r="341" spans="31:37" x14ac:dyDescent="0.25">
      <c r="AE341" s="43" t="s">
        <v>46</v>
      </c>
      <c r="AF341" s="43" t="s">
        <v>26</v>
      </c>
      <c r="AG341" s="43" t="s">
        <v>36</v>
      </c>
      <c r="AH341">
        <v>3</v>
      </c>
      <c r="AI341" t="s">
        <v>273</v>
      </c>
      <c r="AJ341" s="43" t="s">
        <v>308</v>
      </c>
      <c r="AK341">
        <v>1.8333333333333333</v>
      </c>
    </row>
    <row r="342" spans="31:37" x14ac:dyDescent="0.25">
      <c r="AE342" s="43" t="s">
        <v>46</v>
      </c>
      <c r="AF342" s="43" t="s">
        <v>26</v>
      </c>
      <c r="AG342" s="43" t="s">
        <v>36</v>
      </c>
      <c r="AH342">
        <v>3</v>
      </c>
      <c r="AI342" t="s">
        <v>273</v>
      </c>
      <c r="AJ342" s="43" t="s">
        <v>309</v>
      </c>
      <c r="AK342">
        <v>7.05</v>
      </c>
    </row>
    <row r="343" spans="31:37" x14ac:dyDescent="0.25">
      <c r="AE343" s="43" t="s">
        <v>46</v>
      </c>
      <c r="AF343" s="43" t="s">
        <v>26</v>
      </c>
      <c r="AG343" s="43" t="s">
        <v>36</v>
      </c>
      <c r="AH343">
        <v>3</v>
      </c>
      <c r="AI343" t="s">
        <v>273</v>
      </c>
      <c r="AJ343" s="43" t="s">
        <v>268</v>
      </c>
      <c r="AK343">
        <v>8.8833333333333329</v>
      </c>
    </row>
    <row r="344" spans="31:37" x14ac:dyDescent="0.25">
      <c r="AE344" s="43" t="s">
        <v>96</v>
      </c>
      <c r="AF344" s="43" t="s">
        <v>60</v>
      </c>
      <c r="AG344" s="43" t="s">
        <v>62</v>
      </c>
      <c r="AH344">
        <v>2</v>
      </c>
      <c r="AI344" t="s">
        <v>317</v>
      </c>
      <c r="AJ344" s="43" t="s">
        <v>308</v>
      </c>
      <c r="AK344">
        <v>0</v>
      </c>
    </row>
    <row r="345" spans="31:37" x14ac:dyDescent="0.25">
      <c r="AE345" s="43" t="s">
        <v>96</v>
      </c>
      <c r="AF345" s="43" t="s">
        <v>60</v>
      </c>
      <c r="AG345" s="43" t="s">
        <v>62</v>
      </c>
      <c r="AH345">
        <v>2</v>
      </c>
      <c r="AI345" t="s">
        <v>317</v>
      </c>
      <c r="AJ345" s="43" t="s">
        <v>309</v>
      </c>
      <c r="AK345">
        <v>0</v>
      </c>
    </row>
    <row r="346" spans="31:37" x14ac:dyDescent="0.25">
      <c r="AE346" s="43" t="s">
        <v>96</v>
      </c>
      <c r="AF346" s="43" t="s">
        <v>60</v>
      </c>
      <c r="AG346" s="43" t="s">
        <v>62</v>
      </c>
      <c r="AH346">
        <v>2</v>
      </c>
      <c r="AI346" t="s">
        <v>317</v>
      </c>
      <c r="AJ346" s="43" t="s">
        <v>268</v>
      </c>
      <c r="AK346">
        <v>0</v>
      </c>
    </row>
    <row r="347" spans="31:37" x14ac:dyDescent="0.25">
      <c r="AE347" s="43" t="s">
        <v>96</v>
      </c>
      <c r="AF347" s="43" t="s">
        <v>60</v>
      </c>
      <c r="AG347" s="43" t="s">
        <v>62</v>
      </c>
      <c r="AH347">
        <v>2</v>
      </c>
      <c r="AI347" t="s">
        <v>325</v>
      </c>
      <c r="AJ347" s="43" t="s">
        <v>308</v>
      </c>
      <c r="AK347">
        <v>4.5999999999999996</v>
      </c>
    </row>
    <row r="348" spans="31:37" x14ac:dyDescent="0.25">
      <c r="AE348" s="43" t="s">
        <v>96</v>
      </c>
      <c r="AF348" s="43" t="s">
        <v>60</v>
      </c>
      <c r="AG348" s="43" t="s">
        <v>62</v>
      </c>
      <c r="AH348">
        <v>2</v>
      </c>
      <c r="AI348" t="s">
        <v>325</v>
      </c>
      <c r="AJ348" s="43" t="s">
        <v>309</v>
      </c>
      <c r="AK348">
        <v>8.1</v>
      </c>
    </row>
    <row r="349" spans="31:37" x14ac:dyDescent="0.25">
      <c r="AE349" s="43" t="s">
        <v>96</v>
      </c>
      <c r="AF349" s="43" t="s">
        <v>60</v>
      </c>
      <c r="AG349" s="43" t="s">
        <v>62</v>
      </c>
      <c r="AH349">
        <v>2</v>
      </c>
      <c r="AI349" t="s">
        <v>325</v>
      </c>
      <c r="AJ349" s="43" t="s">
        <v>268</v>
      </c>
      <c r="AK349">
        <v>12.7</v>
      </c>
    </row>
    <row r="350" spans="31:37" x14ac:dyDescent="0.25">
      <c r="AE350" s="43" t="s">
        <v>96</v>
      </c>
      <c r="AF350" s="43" t="s">
        <v>60</v>
      </c>
      <c r="AG350" s="43" t="s">
        <v>62</v>
      </c>
      <c r="AH350">
        <v>2</v>
      </c>
      <c r="AI350" t="s">
        <v>330</v>
      </c>
      <c r="AJ350" s="43" t="s">
        <v>308</v>
      </c>
      <c r="AK350">
        <v>4.2</v>
      </c>
    </row>
    <row r="351" spans="31:37" x14ac:dyDescent="0.25">
      <c r="AE351" s="43" t="s">
        <v>96</v>
      </c>
      <c r="AF351" s="43" t="s">
        <v>60</v>
      </c>
      <c r="AG351" s="43" t="s">
        <v>62</v>
      </c>
      <c r="AH351">
        <v>2</v>
      </c>
      <c r="AI351" t="s">
        <v>330</v>
      </c>
      <c r="AJ351" s="43" t="s">
        <v>309</v>
      </c>
      <c r="AK351">
        <v>8.5</v>
      </c>
    </row>
    <row r="352" spans="31:37" x14ac:dyDescent="0.25">
      <c r="AE352" s="43" t="s">
        <v>96</v>
      </c>
      <c r="AF352" s="43" t="s">
        <v>60</v>
      </c>
      <c r="AG352" s="43" t="s">
        <v>62</v>
      </c>
      <c r="AH352">
        <v>2</v>
      </c>
      <c r="AI352" t="s">
        <v>330</v>
      </c>
      <c r="AJ352" s="43" t="s">
        <v>268</v>
      </c>
      <c r="AK352">
        <v>12.7</v>
      </c>
    </row>
    <row r="353" spans="31:37" x14ac:dyDescent="0.25">
      <c r="AE353" s="43" t="s">
        <v>96</v>
      </c>
      <c r="AF353" s="43" t="s">
        <v>60</v>
      </c>
      <c r="AG353" s="43" t="s">
        <v>62</v>
      </c>
      <c r="AH353">
        <v>2</v>
      </c>
      <c r="AI353" t="s">
        <v>331</v>
      </c>
      <c r="AJ353" s="43" t="s">
        <v>308</v>
      </c>
      <c r="AK353">
        <v>0</v>
      </c>
    </row>
    <row r="354" spans="31:37" x14ac:dyDescent="0.25">
      <c r="AE354" s="43" t="s">
        <v>96</v>
      </c>
      <c r="AF354" s="43" t="s">
        <v>60</v>
      </c>
      <c r="AG354" s="43" t="s">
        <v>62</v>
      </c>
      <c r="AH354">
        <v>2</v>
      </c>
      <c r="AI354" t="s">
        <v>331</v>
      </c>
      <c r="AJ354" s="43" t="s">
        <v>309</v>
      </c>
      <c r="AK354">
        <v>0</v>
      </c>
    </row>
    <row r="355" spans="31:37" x14ac:dyDescent="0.25">
      <c r="AE355" s="43" t="s">
        <v>96</v>
      </c>
      <c r="AF355" s="43" t="s">
        <v>60</v>
      </c>
      <c r="AG355" s="43" t="s">
        <v>62</v>
      </c>
      <c r="AH355">
        <v>2</v>
      </c>
      <c r="AI355" t="s">
        <v>331</v>
      </c>
      <c r="AJ355" s="43" t="s">
        <v>268</v>
      </c>
      <c r="AK355">
        <v>0</v>
      </c>
    </row>
    <row r="356" spans="31:37" x14ac:dyDescent="0.25">
      <c r="AE356" s="43" t="s">
        <v>96</v>
      </c>
      <c r="AF356" s="43" t="s">
        <v>60</v>
      </c>
      <c r="AG356" s="43" t="s">
        <v>62</v>
      </c>
      <c r="AH356">
        <v>2</v>
      </c>
      <c r="AI356" t="s">
        <v>341</v>
      </c>
      <c r="AJ356" s="43" t="s">
        <v>308</v>
      </c>
      <c r="AK356">
        <v>8.8000000000000007</v>
      </c>
    </row>
    <row r="357" spans="31:37" x14ac:dyDescent="0.25">
      <c r="AE357" s="43" t="s">
        <v>96</v>
      </c>
      <c r="AF357" s="43" t="s">
        <v>60</v>
      </c>
      <c r="AG357" s="43" t="s">
        <v>62</v>
      </c>
      <c r="AH357">
        <v>2</v>
      </c>
      <c r="AI357" t="s">
        <v>341</v>
      </c>
      <c r="AJ357" s="43" t="s">
        <v>309</v>
      </c>
      <c r="AK357">
        <v>16.600000000000001</v>
      </c>
    </row>
    <row r="358" spans="31:37" x14ac:dyDescent="0.25">
      <c r="AE358" s="43" t="s">
        <v>96</v>
      </c>
      <c r="AF358" s="43" t="s">
        <v>60</v>
      </c>
      <c r="AG358" s="43" t="s">
        <v>62</v>
      </c>
      <c r="AH358">
        <v>2</v>
      </c>
      <c r="AI358" t="s">
        <v>341</v>
      </c>
      <c r="AJ358" s="43" t="s">
        <v>268</v>
      </c>
      <c r="AK358">
        <v>25.4</v>
      </c>
    </row>
    <row r="359" spans="31:37" x14ac:dyDescent="0.25">
      <c r="AE359" s="43" t="s">
        <v>96</v>
      </c>
      <c r="AF359" s="43" t="s">
        <v>60</v>
      </c>
      <c r="AG359" s="43" t="s">
        <v>62</v>
      </c>
      <c r="AH359">
        <v>2</v>
      </c>
      <c r="AI359" t="s">
        <v>273</v>
      </c>
      <c r="AJ359" s="43" t="s">
        <v>308</v>
      </c>
      <c r="AK359">
        <v>0</v>
      </c>
    </row>
    <row r="360" spans="31:37" x14ac:dyDescent="0.25">
      <c r="AE360" s="43" t="s">
        <v>96</v>
      </c>
      <c r="AF360" s="43" t="s">
        <v>60</v>
      </c>
      <c r="AG360" s="43" t="s">
        <v>62</v>
      </c>
      <c r="AH360">
        <v>2</v>
      </c>
      <c r="AI360" t="s">
        <v>273</v>
      </c>
      <c r="AJ360" s="43" t="s">
        <v>309</v>
      </c>
      <c r="AK360">
        <v>0</v>
      </c>
    </row>
    <row r="361" spans="31:37" x14ac:dyDescent="0.25">
      <c r="AE361" s="43" t="s">
        <v>96</v>
      </c>
      <c r="AF361" s="43" t="s">
        <v>60</v>
      </c>
      <c r="AG361" s="43" t="s">
        <v>62</v>
      </c>
      <c r="AH361">
        <v>2</v>
      </c>
      <c r="AI361" t="s">
        <v>273</v>
      </c>
      <c r="AJ361" s="43" t="s">
        <v>268</v>
      </c>
      <c r="AK361">
        <v>0</v>
      </c>
    </row>
    <row r="362" spans="31:37" x14ac:dyDescent="0.25">
      <c r="AE362" s="43" t="s">
        <v>116</v>
      </c>
      <c r="AF362" s="43" t="s">
        <v>60</v>
      </c>
      <c r="AG362" s="43" t="s">
        <v>62</v>
      </c>
      <c r="AH362">
        <v>2</v>
      </c>
      <c r="AI362" t="s">
        <v>317</v>
      </c>
      <c r="AJ362" s="43" t="s">
        <v>308</v>
      </c>
      <c r="AK362">
        <v>0</v>
      </c>
    </row>
    <row r="363" spans="31:37" x14ac:dyDescent="0.25">
      <c r="AE363" s="43" t="s">
        <v>116</v>
      </c>
      <c r="AF363" s="43" t="s">
        <v>60</v>
      </c>
      <c r="AG363" s="43" t="s">
        <v>62</v>
      </c>
      <c r="AH363">
        <v>2</v>
      </c>
      <c r="AI363" t="s">
        <v>317</v>
      </c>
      <c r="AJ363" s="43" t="s">
        <v>309</v>
      </c>
      <c r="AK363">
        <v>0</v>
      </c>
    </row>
    <row r="364" spans="31:37" x14ac:dyDescent="0.25">
      <c r="AE364" s="43" t="s">
        <v>116</v>
      </c>
      <c r="AF364" s="43" t="s">
        <v>60</v>
      </c>
      <c r="AG364" s="43" t="s">
        <v>62</v>
      </c>
      <c r="AH364">
        <v>2</v>
      </c>
      <c r="AI364" t="s">
        <v>317</v>
      </c>
      <c r="AJ364" s="43" t="s">
        <v>268</v>
      </c>
      <c r="AK364">
        <v>0</v>
      </c>
    </row>
    <row r="365" spans="31:37" x14ac:dyDescent="0.25">
      <c r="AE365" s="43" t="s">
        <v>116</v>
      </c>
      <c r="AF365" s="43" t="s">
        <v>60</v>
      </c>
      <c r="AG365" s="43" t="s">
        <v>62</v>
      </c>
      <c r="AH365">
        <v>2</v>
      </c>
      <c r="AI365" t="s">
        <v>325</v>
      </c>
      <c r="AJ365" s="43" t="s">
        <v>308</v>
      </c>
      <c r="AK365">
        <v>0</v>
      </c>
    </row>
    <row r="366" spans="31:37" x14ac:dyDescent="0.25">
      <c r="AE366" s="43" t="s">
        <v>116</v>
      </c>
      <c r="AF366" s="43" t="s">
        <v>60</v>
      </c>
      <c r="AG366" s="43" t="s">
        <v>62</v>
      </c>
      <c r="AH366">
        <v>2</v>
      </c>
      <c r="AI366" t="s">
        <v>325</v>
      </c>
      <c r="AJ366" s="43" t="s">
        <v>309</v>
      </c>
      <c r="AK366">
        <v>0</v>
      </c>
    </row>
    <row r="367" spans="31:37" x14ac:dyDescent="0.25">
      <c r="AE367" s="43" t="s">
        <v>116</v>
      </c>
      <c r="AF367" s="43" t="s">
        <v>60</v>
      </c>
      <c r="AG367" s="43" t="s">
        <v>62</v>
      </c>
      <c r="AH367">
        <v>2</v>
      </c>
      <c r="AI367" t="s">
        <v>325</v>
      </c>
      <c r="AJ367" s="43" t="s">
        <v>268</v>
      </c>
      <c r="AK367">
        <v>0</v>
      </c>
    </row>
    <row r="368" spans="31:37" x14ac:dyDescent="0.25">
      <c r="AE368" s="43" t="s">
        <v>116</v>
      </c>
      <c r="AF368" s="43" t="s">
        <v>60</v>
      </c>
      <c r="AG368" s="43" t="s">
        <v>62</v>
      </c>
      <c r="AH368">
        <v>2</v>
      </c>
      <c r="AI368" t="s">
        <v>330</v>
      </c>
      <c r="AJ368" s="43" t="s">
        <v>308</v>
      </c>
      <c r="AK368">
        <v>5</v>
      </c>
    </row>
    <row r="369" spans="31:37" x14ac:dyDescent="0.25">
      <c r="AE369" s="43" t="s">
        <v>116</v>
      </c>
      <c r="AF369" s="43" t="s">
        <v>60</v>
      </c>
      <c r="AG369" s="43" t="s">
        <v>62</v>
      </c>
      <c r="AH369">
        <v>2</v>
      </c>
      <c r="AI369" t="s">
        <v>330</v>
      </c>
      <c r="AJ369" s="43" t="s">
        <v>309</v>
      </c>
      <c r="AK369">
        <v>8.1</v>
      </c>
    </row>
    <row r="370" spans="31:37" x14ac:dyDescent="0.25">
      <c r="AE370" s="43" t="s">
        <v>116</v>
      </c>
      <c r="AF370" s="43" t="s">
        <v>60</v>
      </c>
      <c r="AG370" s="43" t="s">
        <v>62</v>
      </c>
      <c r="AH370">
        <v>2</v>
      </c>
      <c r="AI370" t="s">
        <v>330</v>
      </c>
      <c r="AJ370" s="43" t="s">
        <v>268</v>
      </c>
      <c r="AK370">
        <v>13.1</v>
      </c>
    </row>
    <row r="371" spans="31:37" x14ac:dyDescent="0.25">
      <c r="AE371" s="43" t="s">
        <v>116</v>
      </c>
      <c r="AF371" s="43" t="s">
        <v>60</v>
      </c>
      <c r="AG371" s="43" t="s">
        <v>62</v>
      </c>
      <c r="AH371">
        <v>2</v>
      </c>
      <c r="AI371" t="s">
        <v>331</v>
      </c>
      <c r="AJ371" s="43" t="s">
        <v>308</v>
      </c>
      <c r="AK371">
        <v>5.3</v>
      </c>
    </row>
    <row r="372" spans="31:37" x14ac:dyDescent="0.25">
      <c r="AE372" s="43" t="s">
        <v>116</v>
      </c>
      <c r="AF372" s="43" t="s">
        <v>60</v>
      </c>
      <c r="AG372" s="43" t="s">
        <v>62</v>
      </c>
      <c r="AH372">
        <v>2</v>
      </c>
      <c r="AI372" t="s">
        <v>331</v>
      </c>
      <c r="AJ372" s="43" t="s">
        <v>309</v>
      </c>
      <c r="AK372">
        <v>6.6</v>
      </c>
    </row>
    <row r="373" spans="31:37" x14ac:dyDescent="0.25">
      <c r="AE373" s="43" t="s">
        <v>116</v>
      </c>
      <c r="AF373" s="43" t="s">
        <v>60</v>
      </c>
      <c r="AG373" s="43" t="s">
        <v>62</v>
      </c>
      <c r="AH373">
        <v>2</v>
      </c>
      <c r="AI373" t="s">
        <v>331</v>
      </c>
      <c r="AJ373" s="43" t="s">
        <v>268</v>
      </c>
      <c r="AK373">
        <v>11.9</v>
      </c>
    </row>
    <row r="374" spans="31:37" x14ac:dyDescent="0.25">
      <c r="AE374" s="43" t="s">
        <v>116</v>
      </c>
      <c r="AF374" s="43" t="s">
        <v>60</v>
      </c>
      <c r="AG374" s="43" t="s">
        <v>62</v>
      </c>
      <c r="AH374">
        <v>2</v>
      </c>
      <c r="AI374" t="s">
        <v>341</v>
      </c>
      <c r="AJ374" s="43" t="s">
        <v>308</v>
      </c>
      <c r="AK374">
        <v>10.3</v>
      </c>
    </row>
    <row r="375" spans="31:37" x14ac:dyDescent="0.25">
      <c r="AE375" s="43" t="s">
        <v>116</v>
      </c>
      <c r="AF375" s="43" t="s">
        <v>60</v>
      </c>
      <c r="AG375" s="43" t="s">
        <v>62</v>
      </c>
      <c r="AH375">
        <v>2</v>
      </c>
      <c r="AI375" t="s">
        <v>341</v>
      </c>
      <c r="AJ375" s="43" t="s">
        <v>309</v>
      </c>
      <c r="AK375">
        <v>14.7</v>
      </c>
    </row>
    <row r="376" spans="31:37" x14ac:dyDescent="0.25">
      <c r="AE376" s="43" t="s">
        <v>116</v>
      </c>
      <c r="AF376" s="43" t="s">
        <v>60</v>
      </c>
      <c r="AG376" s="43" t="s">
        <v>62</v>
      </c>
      <c r="AH376">
        <v>2</v>
      </c>
      <c r="AI376" t="s">
        <v>341</v>
      </c>
      <c r="AJ376" s="43" t="s">
        <v>268</v>
      </c>
      <c r="AK376">
        <v>25</v>
      </c>
    </row>
    <row r="377" spans="31:37" x14ac:dyDescent="0.25">
      <c r="AE377" s="43" t="s">
        <v>116</v>
      </c>
      <c r="AF377" s="43" t="s">
        <v>60</v>
      </c>
      <c r="AG377" s="43" t="s">
        <v>62</v>
      </c>
      <c r="AH377">
        <v>2</v>
      </c>
      <c r="AI377" t="s">
        <v>273</v>
      </c>
      <c r="AJ377" s="43" t="s">
        <v>308</v>
      </c>
      <c r="AK377">
        <v>0</v>
      </c>
    </row>
    <row r="378" spans="31:37" x14ac:dyDescent="0.25">
      <c r="AE378" s="43" t="s">
        <v>116</v>
      </c>
      <c r="AF378" s="43" t="s">
        <v>60</v>
      </c>
      <c r="AG378" s="43" t="s">
        <v>62</v>
      </c>
      <c r="AH378">
        <v>2</v>
      </c>
      <c r="AI378" t="s">
        <v>273</v>
      </c>
      <c r="AJ378" s="43" t="s">
        <v>309</v>
      </c>
      <c r="AK378">
        <v>0</v>
      </c>
    </row>
    <row r="379" spans="31:37" x14ac:dyDescent="0.25">
      <c r="AE379" s="43" t="s">
        <v>116</v>
      </c>
      <c r="AF379" s="43" t="s">
        <v>60</v>
      </c>
      <c r="AG379" s="43" t="s">
        <v>62</v>
      </c>
      <c r="AH379">
        <v>2</v>
      </c>
      <c r="AI379" t="s">
        <v>273</v>
      </c>
      <c r="AJ379" s="43" t="s">
        <v>268</v>
      </c>
      <c r="AK379">
        <v>0</v>
      </c>
    </row>
    <row r="380" spans="31:37" x14ac:dyDescent="0.25">
      <c r="AE380" s="43" t="s">
        <v>86</v>
      </c>
      <c r="AF380" s="43" t="s">
        <v>60</v>
      </c>
      <c r="AG380" s="43" t="s">
        <v>72</v>
      </c>
      <c r="AH380">
        <v>3</v>
      </c>
      <c r="AI380" t="s">
        <v>317</v>
      </c>
      <c r="AJ380" s="43" t="s">
        <v>308</v>
      </c>
      <c r="AK380">
        <v>3.5</v>
      </c>
    </row>
    <row r="381" spans="31:37" x14ac:dyDescent="0.25">
      <c r="AE381" s="43" t="s">
        <v>86</v>
      </c>
      <c r="AF381" s="43" t="s">
        <v>60</v>
      </c>
      <c r="AG381" s="43" t="s">
        <v>72</v>
      </c>
      <c r="AH381">
        <v>3</v>
      </c>
      <c r="AI381" t="s">
        <v>317</v>
      </c>
      <c r="AJ381" s="43" t="s">
        <v>309</v>
      </c>
      <c r="AK381">
        <v>6.7</v>
      </c>
    </row>
    <row r="382" spans="31:37" x14ac:dyDescent="0.25">
      <c r="AE382" s="43" t="s">
        <v>86</v>
      </c>
      <c r="AF382" s="43" t="s">
        <v>60</v>
      </c>
      <c r="AG382" s="43" t="s">
        <v>72</v>
      </c>
      <c r="AH382">
        <v>3</v>
      </c>
      <c r="AI382" t="s">
        <v>317</v>
      </c>
      <c r="AJ382" s="43" t="s">
        <v>268</v>
      </c>
      <c r="AK382">
        <v>10.199999999999999</v>
      </c>
    </row>
    <row r="383" spans="31:37" x14ac:dyDescent="0.25">
      <c r="AE383" s="43" t="s">
        <v>86</v>
      </c>
      <c r="AF383" s="43" t="s">
        <v>60</v>
      </c>
      <c r="AG383" s="43" t="s">
        <v>72</v>
      </c>
      <c r="AH383">
        <v>3</v>
      </c>
      <c r="AI383" t="s">
        <v>325</v>
      </c>
      <c r="AJ383" s="43" t="s">
        <v>308</v>
      </c>
      <c r="AK383">
        <v>2.6</v>
      </c>
    </row>
    <row r="384" spans="31:37" x14ac:dyDescent="0.25">
      <c r="AE384" s="43" t="s">
        <v>86</v>
      </c>
      <c r="AF384" s="43" t="s">
        <v>60</v>
      </c>
      <c r="AG384" s="43" t="s">
        <v>72</v>
      </c>
      <c r="AH384">
        <v>3</v>
      </c>
      <c r="AI384" t="s">
        <v>325</v>
      </c>
      <c r="AJ384" s="43" t="s">
        <v>309</v>
      </c>
      <c r="AK384">
        <v>3</v>
      </c>
    </row>
    <row r="385" spans="31:37" x14ac:dyDescent="0.25">
      <c r="AE385" s="43" t="s">
        <v>86</v>
      </c>
      <c r="AF385" s="43" t="s">
        <v>60</v>
      </c>
      <c r="AG385" s="43" t="s">
        <v>72</v>
      </c>
      <c r="AH385">
        <v>3</v>
      </c>
      <c r="AI385" t="s">
        <v>325</v>
      </c>
      <c r="AJ385" s="43" t="s">
        <v>268</v>
      </c>
      <c r="AK385">
        <v>5.6</v>
      </c>
    </row>
    <row r="386" spans="31:37" x14ac:dyDescent="0.25">
      <c r="AE386" s="43" t="s">
        <v>86</v>
      </c>
      <c r="AF386" s="43" t="s">
        <v>60</v>
      </c>
      <c r="AG386" s="43" t="s">
        <v>72</v>
      </c>
      <c r="AH386">
        <v>3</v>
      </c>
      <c r="AI386" t="s">
        <v>330</v>
      </c>
      <c r="AJ386" s="43" t="s">
        <v>308</v>
      </c>
      <c r="AK386">
        <v>0</v>
      </c>
    </row>
    <row r="387" spans="31:37" x14ac:dyDescent="0.25">
      <c r="AE387" s="43" t="s">
        <v>86</v>
      </c>
      <c r="AF387" s="43" t="s">
        <v>60</v>
      </c>
      <c r="AG387" s="43" t="s">
        <v>72</v>
      </c>
      <c r="AH387">
        <v>3</v>
      </c>
      <c r="AI387" t="s">
        <v>330</v>
      </c>
      <c r="AJ387" s="43" t="s">
        <v>309</v>
      </c>
      <c r="AK387">
        <v>0</v>
      </c>
    </row>
    <row r="388" spans="31:37" x14ac:dyDescent="0.25">
      <c r="AE388" s="43" t="s">
        <v>86</v>
      </c>
      <c r="AF388" s="43" t="s">
        <v>60</v>
      </c>
      <c r="AG388" s="43" t="s">
        <v>72</v>
      </c>
      <c r="AH388">
        <v>3</v>
      </c>
      <c r="AI388" t="s">
        <v>330</v>
      </c>
      <c r="AJ388" s="43" t="s">
        <v>268</v>
      </c>
      <c r="AK388">
        <v>0</v>
      </c>
    </row>
    <row r="389" spans="31:37" x14ac:dyDescent="0.25">
      <c r="AE389" s="43" t="s">
        <v>86</v>
      </c>
      <c r="AF389" s="43" t="s">
        <v>60</v>
      </c>
      <c r="AG389" s="43" t="s">
        <v>72</v>
      </c>
      <c r="AH389">
        <v>3</v>
      </c>
      <c r="AI389" t="s">
        <v>331</v>
      </c>
      <c r="AJ389" s="43" t="s">
        <v>308</v>
      </c>
      <c r="AK389">
        <v>2.7</v>
      </c>
    </row>
    <row r="390" spans="31:37" x14ac:dyDescent="0.25">
      <c r="AE390" s="43" t="s">
        <v>86</v>
      </c>
      <c r="AF390" s="43" t="s">
        <v>60</v>
      </c>
      <c r="AG390" s="43" t="s">
        <v>72</v>
      </c>
      <c r="AH390">
        <v>3</v>
      </c>
      <c r="AI390" t="s">
        <v>331</v>
      </c>
      <c r="AJ390" s="43" t="s">
        <v>309</v>
      </c>
      <c r="AK390">
        <v>6</v>
      </c>
    </row>
    <row r="391" spans="31:37" x14ac:dyDescent="0.25">
      <c r="AE391" s="43" t="s">
        <v>86</v>
      </c>
      <c r="AF391" s="43" t="s">
        <v>60</v>
      </c>
      <c r="AG391" s="43" t="s">
        <v>72</v>
      </c>
      <c r="AH391">
        <v>3</v>
      </c>
      <c r="AI391" t="s">
        <v>331</v>
      </c>
      <c r="AJ391" s="43" t="s">
        <v>268</v>
      </c>
      <c r="AK391">
        <v>8.6999999999999993</v>
      </c>
    </row>
    <row r="392" spans="31:37" x14ac:dyDescent="0.25">
      <c r="AE392" s="43" t="s">
        <v>86</v>
      </c>
      <c r="AF392" s="43" t="s">
        <v>60</v>
      </c>
      <c r="AG392" s="43" t="s">
        <v>72</v>
      </c>
      <c r="AH392">
        <v>3</v>
      </c>
      <c r="AI392" t="s">
        <v>341</v>
      </c>
      <c r="AJ392" s="43" t="s">
        <v>308</v>
      </c>
      <c r="AK392">
        <v>8.8000000000000007</v>
      </c>
    </row>
    <row r="393" spans="31:37" x14ac:dyDescent="0.25">
      <c r="AE393" s="43" t="s">
        <v>86</v>
      </c>
      <c r="AF393" s="43" t="s">
        <v>60</v>
      </c>
      <c r="AG393" s="43" t="s">
        <v>72</v>
      </c>
      <c r="AH393">
        <v>3</v>
      </c>
      <c r="AI393" t="s">
        <v>341</v>
      </c>
      <c r="AJ393" s="43" t="s">
        <v>309</v>
      </c>
      <c r="AK393">
        <v>15.7</v>
      </c>
    </row>
    <row r="394" spans="31:37" x14ac:dyDescent="0.25">
      <c r="AE394" s="43" t="s">
        <v>86</v>
      </c>
      <c r="AF394" s="43" t="s">
        <v>60</v>
      </c>
      <c r="AG394" s="43" t="s">
        <v>72</v>
      </c>
      <c r="AH394">
        <v>3</v>
      </c>
      <c r="AI394" t="s">
        <v>341</v>
      </c>
      <c r="AJ394" s="43" t="s">
        <v>268</v>
      </c>
      <c r="AK394">
        <v>24.5</v>
      </c>
    </row>
    <row r="395" spans="31:37" x14ac:dyDescent="0.25">
      <c r="AE395" s="43" t="s">
        <v>86</v>
      </c>
      <c r="AF395" s="43" t="s">
        <v>60</v>
      </c>
      <c r="AG395" s="43" t="s">
        <v>72</v>
      </c>
      <c r="AH395">
        <v>3</v>
      </c>
      <c r="AI395" t="s">
        <v>273</v>
      </c>
      <c r="AJ395" s="43" t="s">
        <v>308</v>
      </c>
      <c r="AK395">
        <v>2.9333333333333336</v>
      </c>
    </row>
    <row r="396" spans="31:37" x14ac:dyDescent="0.25">
      <c r="AE396" s="43" t="s">
        <v>86</v>
      </c>
      <c r="AF396" s="43" t="s">
        <v>60</v>
      </c>
      <c r="AG396" s="43" t="s">
        <v>72</v>
      </c>
      <c r="AH396">
        <v>3</v>
      </c>
      <c r="AI396" t="s">
        <v>273</v>
      </c>
      <c r="AJ396" s="43" t="s">
        <v>309</v>
      </c>
      <c r="AK396">
        <v>5.2333333333333334</v>
      </c>
    </row>
    <row r="397" spans="31:37" x14ac:dyDescent="0.25">
      <c r="AE397" s="43" t="s">
        <v>86</v>
      </c>
      <c r="AF397" s="43" t="s">
        <v>60</v>
      </c>
      <c r="AG397" s="43" t="s">
        <v>72</v>
      </c>
      <c r="AH397">
        <v>3</v>
      </c>
      <c r="AI397" t="s">
        <v>273</v>
      </c>
      <c r="AJ397" s="43" t="s">
        <v>268</v>
      </c>
      <c r="AK397">
        <v>8.1666666666666661</v>
      </c>
    </row>
    <row r="398" spans="31:37" x14ac:dyDescent="0.25">
      <c r="AE398" s="43" t="s">
        <v>65</v>
      </c>
      <c r="AF398" s="43" t="s">
        <v>60</v>
      </c>
      <c r="AG398" s="43" t="s">
        <v>67</v>
      </c>
      <c r="AH398">
        <v>2</v>
      </c>
      <c r="AI398" t="s">
        <v>317</v>
      </c>
      <c r="AJ398" s="43" t="s">
        <v>308</v>
      </c>
      <c r="AK398">
        <v>0</v>
      </c>
    </row>
    <row r="399" spans="31:37" x14ac:dyDescent="0.25">
      <c r="AE399" s="43" t="s">
        <v>65</v>
      </c>
      <c r="AF399" s="43" t="s">
        <v>60</v>
      </c>
      <c r="AG399" s="43" t="s">
        <v>67</v>
      </c>
      <c r="AH399">
        <v>2</v>
      </c>
      <c r="AI399" t="s">
        <v>317</v>
      </c>
      <c r="AJ399" s="43" t="s">
        <v>309</v>
      </c>
      <c r="AK399">
        <v>0</v>
      </c>
    </row>
    <row r="400" spans="31:37" x14ac:dyDescent="0.25">
      <c r="AE400" s="43" t="s">
        <v>65</v>
      </c>
      <c r="AF400" s="43" t="s">
        <v>60</v>
      </c>
      <c r="AG400" s="43" t="s">
        <v>67</v>
      </c>
      <c r="AH400">
        <v>2</v>
      </c>
      <c r="AI400" t="s">
        <v>317</v>
      </c>
      <c r="AJ400" s="43" t="s">
        <v>268</v>
      </c>
      <c r="AK400">
        <v>0</v>
      </c>
    </row>
    <row r="401" spans="31:37" x14ac:dyDescent="0.25">
      <c r="AE401" s="43" t="s">
        <v>65</v>
      </c>
      <c r="AF401" s="43" t="s">
        <v>60</v>
      </c>
      <c r="AG401" s="43" t="s">
        <v>67</v>
      </c>
      <c r="AH401">
        <v>2</v>
      </c>
      <c r="AI401" t="s">
        <v>325</v>
      </c>
      <c r="AJ401" s="43" t="s">
        <v>308</v>
      </c>
      <c r="AK401">
        <v>3.9</v>
      </c>
    </row>
    <row r="402" spans="31:37" x14ac:dyDescent="0.25">
      <c r="AE402" s="43" t="s">
        <v>65</v>
      </c>
      <c r="AF402" s="43" t="s">
        <v>60</v>
      </c>
      <c r="AG402" s="43" t="s">
        <v>67</v>
      </c>
      <c r="AH402">
        <v>2</v>
      </c>
      <c r="AI402" t="s">
        <v>325</v>
      </c>
      <c r="AJ402" s="43" t="s">
        <v>309</v>
      </c>
      <c r="AK402">
        <v>8.4</v>
      </c>
    </row>
    <row r="403" spans="31:37" x14ac:dyDescent="0.25">
      <c r="AE403" s="43" t="s">
        <v>65</v>
      </c>
      <c r="AF403" s="43" t="s">
        <v>60</v>
      </c>
      <c r="AG403" s="43" t="s">
        <v>67</v>
      </c>
      <c r="AH403">
        <v>2</v>
      </c>
      <c r="AI403" t="s">
        <v>325</v>
      </c>
      <c r="AJ403" s="43" t="s">
        <v>268</v>
      </c>
      <c r="AK403">
        <v>12.3</v>
      </c>
    </row>
    <row r="404" spans="31:37" x14ac:dyDescent="0.25">
      <c r="AE404" s="43" t="s">
        <v>65</v>
      </c>
      <c r="AF404" s="43" t="s">
        <v>60</v>
      </c>
      <c r="AG404" s="43" t="s">
        <v>67</v>
      </c>
      <c r="AH404">
        <v>2</v>
      </c>
      <c r="AI404" t="s">
        <v>330</v>
      </c>
      <c r="AJ404" s="43" t="s">
        <v>308</v>
      </c>
      <c r="AK404">
        <v>0</v>
      </c>
    </row>
    <row r="405" spans="31:37" x14ac:dyDescent="0.25">
      <c r="AE405" s="43" t="s">
        <v>65</v>
      </c>
      <c r="AF405" s="43" t="s">
        <v>60</v>
      </c>
      <c r="AG405" s="43" t="s">
        <v>67</v>
      </c>
      <c r="AH405">
        <v>2</v>
      </c>
      <c r="AI405" t="s">
        <v>330</v>
      </c>
      <c r="AJ405" s="43" t="s">
        <v>309</v>
      </c>
      <c r="AK405">
        <v>0</v>
      </c>
    </row>
    <row r="406" spans="31:37" x14ac:dyDescent="0.25">
      <c r="AE406" s="43" t="s">
        <v>65</v>
      </c>
      <c r="AF406" s="43" t="s">
        <v>60</v>
      </c>
      <c r="AG406" s="43" t="s">
        <v>67</v>
      </c>
      <c r="AH406">
        <v>2</v>
      </c>
      <c r="AI406" t="s">
        <v>330</v>
      </c>
      <c r="AJ406" s="43" t="s">
        <v>268</v>
      </c>
      <c r="AK406">
        <v>0</v>
      </c>
    </row>
    <row r="407" spans="31:37" x14ac:dyDescent="0.25">
      <c r="AE407" s="43" t="s">
        <v>65</v>
      </c>
      <c r="AF407" s="43" t="s">
        <v>60</v>
      </c>
      <c r="AG407" s="43" t="s">
        <v>67</v>
      </c>
      <c r="AH407">
        <v>2</v>
      </c>
      <c r="AI407" t="s">
        <v>331</v>
      </c>
      <c r="AJ407" s="43" t="s">
        <v>308</v>
      </c>
      <c r="AK407">
        <v>3.9</v>
      </c>
    </row>
    <row r="408" spans="31:37" x14ac:dyDescent="0.25">
      <c r="AE408" s="43" t="s">
        <v>65</v>
      </c>
      <c r="AF408" s="43" t="s">
        <v>60</v>
      </c>
      <c r="AG408" s="43" t="s">
        <v>67</v>
      </c>
      <c r="AH408">
        <v>2</v>
      </c>
      <c r="AI408" t="s">
        <v>331</v>
      </c>
      <c r="AJ408" s="43" t="s">
        <v>309</v>
      </c>
      <c r="AK408">
        <v>8.1999999999999993</v>
      </c>
    </row>
    <row r="409" spans="31:37" x14ac:dyDescent="0.25">
      <c r="AE409" s="43" t="s">
        <v>65</v>
      </c>
      <c r="AF409" s="43" t="s">
        <v>60</v>
      </c>
      <c r="AG409" s="43" t="s">
        <v>67</v>
      </c>
      <c r="AH409">
        <v>2</v>
      </c>
      <c r="AI409" t="s">
        <v>331</v>
      </c>
      <c r="AJ409" s="43" t="s">
        <v>268</v>
      </c>
      <c r="AK409">
        <v>12.1</v>
      </c>
    </row>
    <row r="410" spans="31:37" x14ac:dyDescent="0.25">
      <c r="AE410" s="43" t="s">
        <v>65</v>
      </c>
      <c r="AF410" s="43" t="s">
        <v>60</v>
      </c>
      <c r="AG410" s="43" t="s">
        <v>67</v>
      </c>
      <c r="AH410">
        <v>2</v>
      </c>
      <c r="AI410" t="s">
        <v>341</v>
      </c>
      <c r="AJ410" s="43" t="s">
        <v>308</v>
      </c>
      <c r="AK410">
        <v>7.8</v>
      </c>
    </row>
    <row r="411" spans="31:37" x14ac:dyDescent="0.25">
      <c r="AE411" s="43" t="s">
        <v>65</v>
      </c>
      <c r="AF411" s="43" t="s">
        <v>60</v>
      </c>
      <c r="AG411" s="43" t="s">
        <v>67</v>
      </c>
      <c r="AH411">
        <v>2</v>
      </c>
      <c r="AI411" t="s">
        <v>341</v>
      </c>
      <c r="AJ411" s="43" t="s">
        <v>309</v>
      </c>
      <c r="AK411">
        <v>16.600000000000001</v>
      </c>
    </row>
    <row r="412" spans="31:37" x14ac:dyDescent="0.25">
      <c r="AE412" s="43" t="s">
        <v>65</v>
      </c>
      <c r="AF412" s="43" t="s">
        <v>60</v>
      </c>
      <c r="AG412" s="43" t="s">
        <v>67</v>
      </c>
      <c r="AH412">
        <v>2</v>
      </c>
      <c r="AI412" t="s">
        <v>341</v>
      </c>
      <c r="AJ412" s="43" t="s">
        <v>268</v>
      </c>
      <c r="AK412">
        <v>24.4</v>
      </c>
    </row>
    <row r="413" spans="31:37" x14ac:dyDescent="0.25">
      <c r="AE413" s="43" t="s">
        <v>65</v>
      </c>
      <c r="AF413" s="43" t="s">
        <v>60</v>
      </c>
      <c r="AG413" s="43" t="s">
        <v>67</v>
      </c>
      <c r="AH413">
        <v>2</v>
      </c>
      <c r="AI413" t="s">
        <v>273</v>
      </c>
      <c r="AJ413" s="43" t="s">
        <v>308</v>
      </c>
      <c r="AK413">
        <v>0</v>
      </c>
    </row>
    <row r="414" spans="31:37" x14ac:dyDescent="0.25">
      <c r="AE414" s="43" t="s">
        <v>65</v>
      </c>
      <c r="AF414" s="43" t="s">
        <v>60</v>
      </c>
      <c r="AG414" s="43" t="s">
        <v>67</v>
      </c>
      <c r="AH414">
        <v>2</v>
      </c>
      <c r="AI414" t="s">
        <v>273</v>
      </c>
      <c r="AJ414" s="43" t="s">
        <v>309</v>
      </c>
      <c r="AK414">
        <v>0</v>
      </c>
    </row>
    <row r="415" spans="31:37" x14ac:dyDescent="0.25">
      <c r="AE415" s="43" t="s">
        <v>65</v>
      </c>
      <c r="AF415" s="43" t="s">
        <v>60</v>
      </c>
      <c r="AG415" s="43" t="s">
        <v>67</v>
      </c>
      <c r="AH415">
        <v>2</v>
      </c>
      <c r="AI415" t="s">
        <v>273</v>
      </c>
      <c r="AJ415" s="43" t="s">
        <v>268</v>
      </c>
      <c r="AK415">
        <v>0</v>
      </c>
    </row>
    <row r="416" spans="31:37" x14ac:dyDescent="0.25">
      <c r="AE416" s="43" t="s">
        <v>127</v>
      </c>
      <c r="AF416" s="43" t="s">
        <v>60</v>
      </c>
      <c r="AG416" s="43" t="s">
        <v>72</v>
      </c>
      <c r="AH416">
        <v>2</v>
      </c>
      <c r="AI416" t="s">
        <v>317</v>
      </c>
      <c r="AJ416" s="43" t="s">
        <v>308</v>
      </c>
      <c r="AK416">
        <v>3.8</v>
      </c>
    </row>
    <row r="417" spans="31:37" x14ac:dyDescent="0.25">
      <c r="AE417" s="43" t="s">
        <v>127</v>
      </c>
      <c r="AF417" s="43" t="s">
        <v>60</v>
      </c>
      <c r="AG417" s="43" t="s">
        <v>72</v>
      </c>
      <c r="AH417">
        <v>2</v>
      </c>
      <c r="AI417" t="s">
        <v>317</v>
      </c>
      <c r="AJ417" s="43" t="s">
        <v>309</v>
      </c>
      <c r="AK417">
        <v>8.1999999999999993</v>
      </c>
    </row>
    <row r="418" spans="31:37" x14ac:dyDescent="0.25">
      <c r="AE418" s="43" t="s">
        <v>127</v>
      </c>
      <c r="AF418" s="43" t="s">
        <v>60</v>
      </c>
      <c r="AG418" s="43" t="s">
        <v>72</v>
      </c>
      <c r="AH418">
        <v>2</v>
      </c>
      <c r="AI418" t="s">
        <v>317</v>
      </c>
      <c r="AJ418" s="43" t="s">
        <v>268</v>
      </c>
      <c r="AK418">
        <v>12</v>
      </c>
    </row>
    <row r="419" spans="31:37" x14ac:dyDescent="0.25">
      <c r="AE419" s="43" t="s">
        <v>127</v>
      </c>
      <c r="AF419" s="43" t="s">
        <v>60</v>
      </c>
      <c r="AG419" s="43" t="s">
        <v>72</v>
      </c>
      <c r="AH419">
        <v>2</v>
      </c>
      <c r="AI419" t="s">
        <v>325</v>
      </c>
      <c r="AJ419" s="43" t="s">
        <v>308</v>
      </c>
      <c r="AK419">
        <v>0</v>
      </c>
    </row>
    <row r="420" spans="31:37" x14ac:dyDescent="0.25">
      <c r="AE420" s="43" t="s">
        <v>127</v>
      </c>
      <c r="AF420" s="43" t="s">
        <v>60</v>
      </c>
      <c r="AG420" s="43" t="s">
        <v>72</v>
      </c>
      <c r="AH420">
        <v>2</v>
      </c>
      <c r="AI420" t="s">
        <v>325</v>
      </c>
      <c r="AJ420" s="43" t="s">
        <v>309</v>
      </c>
      <c r="AK420">
        <v>0</v>
      </c>
    </row>
    <row r="421" spans="31:37" x14ac:dyDescent="0.25">
      <c r="AE421" s="43" t="s">
        <v>127</v>
      </c>
      <c r="AF421" s="43" t="s">
        <v>60</v>
      </c>
      <c r="AG421" s="43" t="s">
        <v>72</v>
      </c>
      <c r="AH421">
        <v>2</v>
      </c>
      <c r="AI421" t="s">
        <v>325</v>
      </c>
      <c r="AJ421" s="43" t="s">
        <v>268</v>
      </c>
      <c r="AK421">
        <v>0</v>
      </c>
    </row>
    <row r="422" spans="31:37" x14ac:dyDescent="0.25">
      <c r="AE422" s="43" t="s">
        <v>127</v>
      </c>
      <c r="AF422" s="43" t="s">
        <v>60</v>
      </c>
      <c r="AG422" s="43" t="s">
        <v>72</v>
      </c>
      <c r="AH422">
        <v>2</v>
      </c>
      <c r="AI422" t="s">
        <v>330</v>
      </c>
      <c r="AJ422" s="43" t="s">
        <v>308</v>
      </c>
      <c r="AK422">
        <v>3.8</v>
      </c>
    </row>
    <row r="423" spans="31:37" x14ac:dyDescent="0.25">
      <c r="AE423" s="43" t="s">
        <v>127</v>
      </c>
      <c r="AF423" s="43" t="s">
        <v>60</v>
      </c>
      <c r="AG423" s="43" t="s">
        <v>72</v>
      </c>
      <c r="AH423">
        <v>2</v>
      </c>
      <c r="AI423" t="s">
        <v>330</v>
      </c>
      <c r="AJ423" s="43" t="s">
        <v>309</v>
      </c>
      <c r="AK423">
        <v>8.35</v>
      </c>
    </row>
    <row r="424" spans="31:37" x14ac:dyDescent="0.25">
      <c r="AE424" s="43" t="s">
        <v>127</v>
      </c>
      <c r="AF424" s="43" t="s">
        <v>60</v>
      </c>
      <c r="AG424" s="43" t="s">
        <v>72</v>
      </c>
      <c r="AH424">
        <v>2</v>
      </c>
      <c r="AI424" t="s">
        <v>330</v>
      </c>
      <c r="AJ424" s="43" t="s">
        <v>268</v>
      </c>
      <c r="AK424">
        <v>12.15</v>
      </c>
    </row>
    <row r="425" spans="31:37" x14ac:dyDescent="0.25">
      <c r="AE425" s="43" t="s">
        <v>127</v>
      </c>
      <c r="AF425" s="43" t="s">
        <v>60</v>
      </c>
      <c r="AG425" s="43" t="s">
        <v>72</v>
      </c>
      <c r="AH425">
        <v>2</v>
      </c>
      <c r="AI425" t="s">
        <v>331</v>
      </c>
      <c r="AJ425" s="43" t="s">
        <v>308</v>
      </c>
      <c r="AK425">
        <v>0</v>
      </c>
    </row>
    <row r="426" spans="31:37" x14ac:dyDescent="0.25">
      <c r="AE426" s="43" t="s">
        <v>127</v>
      </c>
      <c r="AF426" s="43" t="s">
        <v>60</v>
      </c>
      <c r="AG426" s="43" t="s">
        <v>72</v>
      </c>
      <c r="AH426">
        <v>2</v>
      </c>
      <c r="AI426" t="s">
        <v>331</v>
      </c>
      <c r="AJ426" s="43" t="s">
        <v>309</v>
      </c>
      <c r="AK426">
        <v>0</v>
      </c>
    </row>
    <row r="427" spans="31:37" x14ac:dyDescent="0.25">
      <c r="AE427" s="43" t="s">
        <v>127</v>
      </c>
      <c r="AF427" s="43" t="s">
        <v>60</v>
      </c>
      <c r="AG427" s="43" t="s">
        <v>72</v>
      </c>
      <c r="AH427">
        <v>2</v>
      </c>
      <c r="AI427" t="s">
        <v>331</v>
      </c>
      <c r="AJ427" s="43" t="s">
        <v>268</v>
      </c>
      <c r="AK427">
        <v>0</v>
      </c>
    </row>
    <row r="428" spans="31:37" x14ac:dyDescent="0.25">
      <c r="AE428" s="43" t="s">
        <v>127</v>
      </c>
      <c r="AF428" s="43" t="s">
        <v>60</v>
      </c>
      <c r="AG428" s="43" t="s">
        <v>72</v>
      </c>
      <c r="AH428">
        <v>2</v>
      </c>
      <c r="AI428" t="s">
        <v>341</v>
      </c>
      <c r="AJ428" s="43" t="s">
        <v>308</v>
      </c>
      <c r="AK428">
        <v>7.6</v>
      </c>
    </row>
    <row r="429" spans="31:37" x14ac:dyDescent="0.25">
      <c r="AE429" s="43" t="s">
        <v>127</v>
      </c>
      <c r="AF429" s="43" t="s">
        <v>60</v>
      </c>
      <c r="AG429" s="43" t="s">
        <v>72</v>
      </c>
      <c r="AH429">
        <v>2</v>
      </c>
      <c r="AI429" t="s">
        <v>341</v>
      </c>
      <c r="AJ429" s="43" t="s">
        <v>309</v>
      </c>
      <c r="AK429">
        <v>16.549999999999997</v>
      </c>
    </row>
    <row r="430" spans="31:37" x14ac:dyDescent="0.25">
      <c r="AE430" s="43" t="s">
        <v>127</v>
      </c>
      <c r="AF430" s="43" t="s">
        <v>60</v>
      </c>
      <c r="AG430" s="43" t="s">
        <v>72</v>
      </c>
      <c r="AH430">
        <v>2</v>
      </c>
      <c r="AI430" t="s">
        <v>341</v>
      </c>
      <c r="AJ430" s="43" t="s">
        <v>268</v>
      </c>
      <c r="AK430">
        <v>24.15</v>
      </c>
    </row>
    <row r="431" spans="31:37" x14ac:dyDescent="0.25">
      <c r="AE431" s="43" t="s">
        <v>127</v>
      </c>
      <c r="AF431" s="43" t="s">
        <v>60</v>
      </c>
      <c r="AG431" s="43" t="s">
        <v>72</v>
      </c>
      <c r="AH431">
        <v>2</v>
      </c>
      <c r="AI431" t="s">
        <v>273</v>
      </c>
      <c r="AJ431" s="43" t="s">
        <v>308</v>
      </c>
      <c r="AK431">
        <v>0</v>
      </c>
    </row>
    <row r="432" spans="31:37" x14ac:dyDescent="0.25">
      <c r="AE432" s="43" t="s">
        <v>127</v>
      </c>
      <c r="AF432" s="43" t="s">
        <v>60</v>
      </c>
      <c r="AG432" s="43" t="s">
        <v>72</v>
      </c>
      <c r="AH432">
        <v>2</v>
      </c>
      <c r="AI432" t="s">
        <v>273</v>
      </c>
      <c r="AJ432" s="43" t="s">
        <v>309</v>
      </c>
      <c r="AK432">
        <v>0</v>
      </c>
    </row>
    <row r="433" spans="31:37" x14ac:dyDescent="0.25">
      <c r="AE433" s="43" t="s">
        <v>127</v>
      </c>
      <c r="AF433" s="43" t="s">
        <v>60</v>
      </c>
      <c r="AG433" s="43" t="s">
        <v>72</v>
      </c>
      <c r="AH433">
        <v>2</v>
      </c>
      <c r="AI433" t="s">
        <v>273</v>
      </c>
      <c r="AJ433" s="43" t="s">
        <v>268</v>
      </c>
      <c r="AK433">
        <v>0</v>
      </c>
    </row>
    <row r="434" spans="31:37" x14ac:dyDescent="0.25">
      <c r="AE434" s="43" t="s">
        <v>70</v>
      </c>
      <c r="AF434" s="43" t="s">
        <v>60</v>
      </c>
      <c r="AG434" s="43" t="s">
        <v>72</v>
      </c>
      <c r="AH434">
        <v>2</v>
      </c>
      <c r="AI434" t="s">
        <v>317</v>
      </c>
      <c r="AJ434" s="43" t="s">
        <v>308</v>
      </c>
      <c r="AK434">
        <v>0</v>
      </c>
    </row>
    <row r="435" spans="31:37" x14ac:dyDescent="0.25">
      <c r="AE435" s="43" t="s">
        <v>70</v>
      </c>
      <c r="AF435" s="43" t="s">
        <v>60</v>
      </c>
      <c r="AG435" s="43" t="s">
        <v>72</v>
      </c>
      <c r="AH435">
        <v>2</v>
      </c>
      <c r="AI435" t="s">
        <v>317</v>
      </c>
      <c r="AJ435" s="43" t="s">
        <v>309</v>
      </c>
      <c r="AK435">
        <v>0</v>
      </c>
    </row>
    <row r="436" spans="31:37" x14ac:dyDescent="0.25">
      <c r="AE436" s="43" t="s">
        <v>70</v>
      </c>
      <c r="AF436" s="43" t="s">
        <v>60</v>
      </c>
      <c r="AG436" s="43" t="s">
        <v>72</v>
      </c>
      <c r="AH436">
        <v>2</v>
      </c>
      <c r="AI436" t="s">
        <v>317</v>
      </c>
      <c r="AJ436" s="43" t="s">
        <v>268</v>
      </c>
      <c r="AK436">
        <v>0</v>
      </c>
    </row>
    <row r="437" spans="31:37" x14ac:dyDescent="0.25">
      <c r="AE437" s="43" t="s">
        <v>70</v>
      </c>
      <c r="AF437" s="43" t="s">
        <v>60</v>
      </c>
      <c r="AG437" s="43" t="s">
        <v>72</v>
      </c>
      <c r="AH437">
        <v>2</v>
      </c>
      <c r="AI437" t="s">
        <v>325</v>
      </c>
      <c r="AJ437" s="43" t="s">
        <v>308</v>
      </c>
      <c r="AK437">
        <v>4.0999999999999996</v>
      </c>
    </row>
    <row r="438" spans="31:37" x14ac:dyDescent="0.25">
      <c r="AE438" s="43" t="s">
        <v>70</v>
      </c>
      <c r="AF438" s="43" t="s">
        <v>60</v>
      </c>
      <c r="AG438" s="43" t="s">
        <v>72</v>
      </c>
      <c r="AH438">
        <v>2</v>
      </c>
      <c r="AI438" t="s">
        <v>325</v>
      </c>
      <c r="AJ438" s="43" t="s">
        <v>309</v>
      </c>
      <c r="AK438">
        <v>7.6</v>
      </c>
    </row>
    <row r="439" spans="31:37" x14ac:dyDescent="0.25">
      <c r="AE439" s="43" t="s">
        <v>70</v>
      </c>
      <c r="AF439" s="43" t="s">
        <v>60</v>
      </c>
      <c r="AG439" s="43" t="s">
        <v>72</v>
      </c>
      <c r="AH439">
        <v>2</v>
      </c>
      <c r="AI439" t="s">
        <v>325</v>
      </c>
      <c r="AJ439" s="43" t="s">
        <v>268</v>
      </c>
      <c r="AK439">
        <v>11.7</v>
      </c>
    </row>
    <row r="440" spans="31:37" x14ac:dyDescent="0.25">
      <c r="AE440" s="43" t="s">
        <v>70</v>
      </c>
      <c r="AF440" s="43" t="s">
        <v>60</v>
      </c>
      <c r="AG440" s="43" t="s">
        <v>72</v>
      </c>
      <c r="AH440">
        <v>2</v>
      </c>
      <c r="AI440" t="s">
        <v>330</v>
      </c>
      <c r="AJ440" s="43" t="s">
        <v>308</v>
      </c>
      <c r="AK440">
        <v>4.0999999999999996</v>
      </c>
    </row>
    <row r="441" spans="31:37" x14ac:dyDescent="0.25">
      <c r="AE441" s="43" t="s">
        <v>70</v>
      </c>
      <c r="AF441" s="43" t="s">
        <v>60</v>
      </c>
      <c r="AG441" s="43" t="s">
        <v>72</v>
      </c>
      <c r="AH441">
        <v>2</v>
      </c>
      <c r="AI441" t="s">
        <v>330</v>
      </c>
      <c r="AJ441" s="43" t="s">
        <v>309</v>
      </c>
      <c r="AK441">
        <v>7.8</v>
      </c>
    </row>
    <row r="442" spans="31:37" x14ac:dyDescent="0.25">
      <c r="AE442" s="43" t="s">
        <v>70</v>
      </c>
      <c r="AF442" s="43" t="s">
        <v>60</v>
      </c>
      <c r="AG442" s="43" t="s">
        <v>72</v>
      </c>
      <c r="AH442">
        <v>2</v>
      </c>
      <c r="AI442" t="s">
        <v>330</v>
      </c>
      <c r="AJ442" s="43" t="s">
        <v>268</v>
      </c>
      <c r="AK442">
        <v>11.9</v>
      </c>
    </row>
    <row r="443" spans="31:37" x14ac:dyDescent="0.25">
      <c r="AE443" s="43" t="s">
        <v>70</v>
      </c>
      <c r="AF443" s="43" t="s">
        <v>60</v>
      </c>
      <c r="AG443" s="43" t="s">
        <v>72</v>
      </c>
      <c r="AH443">
        <v>2</v>
      </c>
      <c r="AI443" t="s">
        <v>331</v>
      </c>
      <c r="AJ443" s="43" t="s">
        <v>308</v>
      </c>
      <c r="AK443">
        <v>0</v>
      </c>
    </row>
    <row r="444" spans="31:37" x14ac:dyDescent="0.25">
      <c r="AE444" s="43" t="s">
        <v>70</v>
      </c>
      <c r="AF444" s="43" t="s">
        <v>60</v>
      </c>
      <c r="AG444" s="43" t="s">
        <v>72</v>
      </c>
      <c r="AH444">
        <v>2</v>
      </c>
      <c r="AI444" t="s">
        <v>331</v>
      </c>
      <c r="AJ444" s="43" t="s">
        <v>309</v>
      </c>
      <c r="AK444">
        <v>0</v>
      </c>
    </row>
    <row r="445" spans="31:37" x14ac:dyDescent="0.25">
      <c r="AE445" s="43" t="s">
        <v>70</v>
      </c>
      <c r="AF445" s="43" t="s">
        <v>60</v>
      </c>
      <c r="AG445" s="43" t="s">
        <v>72</v>
      </c>
      <c r="AH445">
        <v>2</v>
      </c>
      <c r="AI445" t="s">
        <v>331</v>
      </c>
      <c r="AJ445" s="43" t="s">
        <v>268</v>
      </c>
      <c r="AK445">
        <v>0</v>
      </c>
    </row>
    <row r="446" spans="31:37" x14ac:dyDescent="0.25">
      <c r="AE446" s="43" t="s">
        <v>70</v>
      </c>
      <c r="AF446" s="43" t="s">
        <v>60</v>
      </c>
      <c r="AG446" s="43" t="s">
        <v>72</v>
      </c>
      <c r="AH446">
        <v>2</v>
      </c>
      <c r="AI446" t="s">
        <v>341</v>
      </c>
      <c r="AJ446" s="43" t="s">
        <v>308</v>
      </c>
      <c r="AK446">
        <v>8.1999999999999993</v>
      </c>
    </row>
    <row r="447" spans="31:37" x14ac:dyDescent="0.25">
      <c r="AE447" s="43" t="s">
        <v>70</v>
      </c>
      <c r="AF447" s="43" t="s">
        <v>60</v>
      </c>
      <c r="AG447" s="43" t="s">
        <v>72</v>
      </c>
      <c r="AH447">
        <v>2</v>
      </c>
      <c r="AI447" t="s">
        <v>341</v>
      </c>
      <c r="AJ447" s="43" t="s">
        <v>309</v>
      </c>
      <c r="AK447">
        <v>15.399999999999999</v>
      </c>
    </row>
    <row r="448" spans="31:37" x14ac:dyDescent="0.25">
      <c r="AE448" s="43" t="s">
        <v>70</v>
      </c>
      <c r="AF448" s="43" t="s">
        <v>60</v>
      </c>
      <c r="AG448" s="43" t="s">
        <v>72</v>
      </c>
      <c r="AH448">
        <v>2</v>
      </c>
      <c r="AI448" t="s">
        <v>341</v>
      </c>
      <c r="AJ448" s="43" t="s">
        <v>268</v>
      </c>
      <c r="AK448">
        <v>23.6</v>
      </c>
    </row>
    <row r="449" spans="31:37" x14ac:dyDescent="0.25">
      <c r="AE449" s="43" t="s">
        <v>70</v>
      </c>
      <c r="AF449" s="43" t="s">
        <v>60</v>
      </c>
      <c r="AG449" s="43" t="s">
        <v>72</v>
      </c>
      <c r="AH449">
        <v>2</v>
      </c>
      <c r="AI449" t="s">
        <v>273</v>
      </c>
      <c r="AJ449" s="43" t="s">
        <v>308</v>
      </c>
      <c r="AK449">
        <v>0</v>
      </c>
    </row>
    <row r="450" spans="31:37" x14ac:dyDescent="0.25">
      <c r="AE450" s="43" t="s">
        <v>70</v>
      </c>
      <c r="AF450" s="43" t="s">
        <v>60</v>
      </c>
      <c r="AG450" s="43" t="s">
        <v>72</v>
      </c>
      <c r="AH450">
        <v>2</v>
      </c>
      <c r="AI450" t="s">
        <v>273</v>
      </c>
      <c r="AJ450" s="43" t="s">
        <v>309</v>
      </c>
      <c r="AK450">
        <v>0</v>
      </c>
    </row>
    <row r="451" spans="31:37" x14ac:dyDescent="0.25">
      <c r="AE451" s="43" t="s">
        <v>70</v>
      </c>
      <c r="AF451" s="43" t="s">
        <v>60</v>
      </c>
      <c r="AG451" s="43" t="s">
        <v>72</v>
      </c>
      <c r="AH451">
        <v>2</v>
      </c>
      <c r="AI451" t="s">
        <v>273</v>
      </c>
      <c r="AJ451" s="43" t="s">
        <v>268</v>
      </c>
      <c r="AK451">
        <v>0</v>
      </c>
    </row>
    <row r="452" spans="31:37" x14ac:dyDescent="0.25">
      <c r="AE452" s="43" t="s">
        <v>50</v>
      </c>
      <c r="AF452" s="43" t="s">
        <v>26</v>
      </c>
      <c r="AG452" s="43" t="s">
        <v>36</v>
      </c>
      <c r="AH452">
        <v>2</v>
      </c>
      <c r="AI452" t="s">
        <v>317</v>
      </c>
      <c r="AJ452" s="43" t="s">
        <v>308</v>
      </c>
      <c r="AK452">
        <v>0</v>
      </c>
    </row>
    <row r="453" spans="31:37" x14ac:dyDescent="0.25">
      <c r="AE453" s="43" t="s">
        <v>50</v>
      </c>
      <c r="AF453" s="43" t="s">
        <v>26</v>
      </c>
      <c r="AG453" s="43" t="s">
        <v>36</v>
      </c>
      <c r="AH453">
        <v>2</v>
      </c>
      <c r="AI453" t="s">
        <v>317</v>
      </c>
      <c r="AJ453" s="43" t="s">
        <v>309</v>
      </c>
      <c r="AK453">
        <v>0</v>
      </c>
    </row>
    <row r="454" spans="31:37" x14ac:dyDescent="0.25">
      <c r="AE454" s="43" t="s">
        <v>50</v>
      </c>
      <c r="AF454" s="43" t="s">
        <v>26</v>
      </c>
      <c r="AG454" s="43" t="s">
        <v>36</v>
      </c>
      <c r="AH454">
        <v>2</v>
      </c>
      <c r="AI454" t="s">
        <v>317</v>
      </c>
      <c r="AJ454" s="43" t="s">
        <v>268</v>
      </c>
      <c r="AK454">
        <v>0</v>
      </c>
    </row>
    <row r="455" spans="31:37" x14ac:dyDescent="0.25">
      <c r="AE455" s="43" t="s">
        <v>50</v>
      </c>
      <c r="AF455" s="43" t="s">
        <v>26</v>
      </c>
      <c r="AG455" s="43" t="s">
        <v>36</v>
      </c>
      <c r="AH455">
        <v>2</v>
      </c>
      <c r="AI455" t="s">
        <v>325</v>
      </c>
      <c r="AJ455" s="43" t="s">
        <v>308</v>
      </c>
      <c r="AK455">
        <v>3.7</v>
      </c>
    </row>
    <row r="456" spans="31:37" x14ac:dyDescent="0.25">
      <c r="AE456" s="43" t="s">
        <v>50</v>
      </c>
      <c r="AF456" s="43" t="s">
        <v>26</v>
      </c>
      <c r="AG456" s="43" t="s">
        <v>36</v>
      </c>
      <c r="AH456">
        <v>2</v>
      </c>
      <c r="AI456" t="s">
        <v>325</v>
      </c>
      <c r="AJ456" s="43" t="s">
        <v>309</v>
      </c>
      <c r="AK456">
        <v>8.1</v>
      </c>
    </row>
    <row r="457" spans="31:37" x14ac:dyDescent="0.25">
      <c r="AE457" s="43" t="s">
        <v>50</v>
      </c>
      <c r="AF457" s="43" t="s">
        <v>26</v>
      </c>
      <c r="AG457" s="43" t="s">
        <v>36</v>
      </c>
      <c r="AH457">
        <v>2</v>
      </c>
      <c r="AI457" t="s">
        <v>325</v>
      </c>
      <c r="AJ457" s="43" t="s">
        <v>268</v>
      </c>
      <c r="AK457">
        <v>11.8</v>
      </c>
    </row>
    <row r="458" spans="31:37" x14ac:dyDescent="0.25">
      <c r="AE458" s="43" t="s">
        <v>50</v>
      </c>
      <c r="AF458" s="43" t="s">
        <v>26</v>
      </c>
      <c r="AG458" s="43" t="s">
        <v>36</v>
      </c>
      <c r="AH458">
        <v>2</v>
      </c>
      <c r="AI458" t="s">
        <v>330</v>
      </c>
      <c r="AJ458" s="43" t="s">
        <v>308</v>
      </c>
      <c r="AK458">
        <v>3.7</v>
      </c>
    </row>
    <row r="459" spans="31:37" x14ac:dyDescent="0.25">
      <c r="AE459" s="43" t="s">
        <v>50</v>
      </c>
      <c r="AF459" s="43" t="s">
        <v>26</v>
      </c>
      <c r="AG459" s="43" t="s">
        <v>36</v>
      </c>
      <c r="AH459">
        <v>2</v>
      </c>
      <c r="AI459" t="s">
        <v>330</v>
      </c>
      <c r="AJ459" s="43" t="s">
        <v>309</v>
      </c>
      <c r="AK459">
        <v>7.8</v>
      </c>
    </row>
    <row r="460" spans="31:37" x14ac:dyDescent="0.25">
      <c r="AE460" s="43" t="s">
        <v>50</v>
      </c>
      <c r="AF460" s="43" t="s">
        <v>26</v>
      </c>
      <c r="AG460" s="43" t="s">
        <v>36</v>
      </c>
      <c r="AH460">
        <v>2</v>
      </c>
      <c r="AI460" t="s">
        <v>330</v>
      </c>
      <c r="AJ460" s="43" t="s">
        <v>268</v>
      </c>
      <c r="AK460">
        <v>11.5</v>
      </c>
    </row>
    <row r="461" spans="31:37" x14ac:dyDescent="0.25">
      <c r="AE461" s="43" t="s">
        <v>50</v>
      </c>
      <c r="AF461" s="43" t="s">
        <v>26</v>
      </c>
      <c r="AG461" s="43" t="s">
        <v>36</v>
      </c>
      <c r="AH461">
        <v>2</v>
      </c>
      <c r="AI461" t="s">
        <v>331</v>
      </c>
      <c r="AJ461" s="43" t="s">
        <v>308</v>
      </c>
      <c r="AK461">
        <v>0</v>
      </c>
    </row>
    <row r="462" spans="31:37" x14ac:dyDescent="0.25">
      <c r="AE462" s="43" t="s">
        <v>50</v>
      </c>
      <c r="AF462" s="43" t="s">
        <v>26</v>
      </c>
      <c r="AG462" s="43" t="s">
        <v>36</v>
      </c>
      <c r="AH462">
        <v>2</v>
      </c>
      <c r="AI462" t="s">
        <v>331</v>
      </c>
      <c r="AJ462" s="43" t="s">
        <v>309</v>
      </c>
      <c r="AK462">
        <v>0</v>
      </c>
    </row>
    <row r="463" spans="31:37" x14ac:dyDescent="0.25">
      <c r="AE463" s="43" t="s">
        <v>50</v>
      </c>
      <c r="AF463" s="43" t="s">
        <v>26</v>
      </c>
      <c r="AG463" s="43" t="s">
        <v>36</v>
      </c>
      <c r="AH463">
        <v>2</v>
      </c>
      <c r="AI463" t="s">
        <v>331</v>
      </c>
      <c r="AJ463" s="43" t="s">
        <v>268</v>
      </c>
      <c r="AK463">
        <v>0</v>
      </c>
    </row>
    <row r="464" spans="31:37" x14ac:dyDescent="0.25">
      <c r="AE464" s="43" t="s">
        <v>50</v>
      </c>
      <c r="AF464" s="43" t="s">
        <v>26</v>
      </c>
      <c r="AG464" s="43" t="s">
        <v>36</v>
      </c>
      <c r="AH464">
        <v>2</v>
      </c>
      <c r="AI464" t="s">
        <v>341</v>
      </c>
      <c r="AJ464" s="43" t="s">
        <v>308</v>
      </c>
      <c r="AK464">
        <v>7.4</v>
      </c>
    </row>
    <row r="465" spans="31:37" x14ac:dyDescent="0.25">
      <c r="AE465" s="43" t="s">
        <v>50</v>
      </c>
      <c r="AF465" s="43" t="s">
        <v>26</v>
      </c>
      <c r="AG465" s="43" t="s">
        <v>36</v>
      </c>
      <c r="AH465">
        <v>2</v>
      </c>
      <c r="AI465" t="s">
        <v>341</v>
      </c>
      <c r="AJ465" s="43" t="s">
        <v>309</v>
      </c>
      <c r="AK465">
        <v>15.899999999999999</v>
      </c>
    </row>
    <row r="466" spans="31:37" x14ac:dyDescent="0.25">
      <c r="AE466" s="43" t="s">
        <v>50</v>
      </c>
      <c r="AF466" s="43" t="s">
        <v>26</v>
      </c>
      <c r="AG466" s="43" t="s">
        <v>36</v>
      </c>
      <c r="AH466">
        <v>2</v>
      </c>
      <c r="AI466" t="s">
        <v>341</v>
      </c>
      <c r="AJ466" s="43" t="s">
        <v>268</v>
      </c>
      <c r="AK466">
        <v>23.3</v>
      </c>
    </row>
    <row r="467" spans="31:37" x14ac:dyDescent="0.25">
      <c r="AE467" s="43" t="s">
        <v>50</v>
      </c>
      <c r="AF467" s="43" t="s">
        <v>26</v>
      </c>
      <c r="AG467" s="43" t="s">
        <v>36</v>
      </c>
      <c r="AH467">
        <v>2</v>
      </c>
      <c r="AI467" t="s">
        <v>273</v>
      </c>
      <c r="AJ467" s="43" t="s">
        <v>308</v>
      </c>
      <c r="AK467">
        <v>0</v>
      </c>
    </row>
    <row r="468" spans="31:37" x14ac:dyDescent="0.25">
      <c r="AE468" s="43" t="s">
        <v>50</v>
      </c>
      <c r="AF468" s="43" t="s">
        <v>26</v>
      </c>
      <c r="AG468" s="43" t="s">
        <v>36</v>
      </c>
      <c r="AH468">
        <v>2</v>
      </c>
      <c r="AI468" t="s">
        <v>273</v>
      </c>
      <c r="AJ468" s="43" t="s">
        <v>309</v>
      </c>
      <c r="AK468">
        <v>0</v>
      </c>
    </row>
    <row r="469" spans="31:37" x14ac:dyDescent="0.25">
      <c r="AE469" s="43" t="s">
        <v>50</v>
      </c>
      <c r="AF469" s="43" t="s">
        <v>26</v>
      </c>
      <c r="AG469" s="43" t="s">
        <v>36</v>
      </c>
      <c r="AH469">
        <v>2</v>
      </c>
      <c r="AI469" t="s">
        <v>273</v>
      </c>
      <c r="AJ469" s="43" t="s">
        <v>268</v>
      </c>
      <c r="AK469">
        <v>0</v>
      </c>
    </row>
    <row r="470" spans="31:37" x14ac:dyDescent="0.25">
      <c r="AE470" s="43" t="s">
        <v>75</v>
      </c>
      <c r="AF470" s="43" t="s">
        <v>60</v>
      </c>
      <c r="AG470" s="43" t="s">
        <v>28</v>
      </c>
      <c r="AH470">
        <v>2</v>
      </c>
      <c r="AI470" t="s">
        <v>317</v>
      </c>
      <c r="AJ470" s="43" t="s">
        <v>308</v>
      </c>
      <c r="AK470">
        <v>0</v>
      </c>
    </row>
    <row r="471" spans="31:37" x14ac:dyDescent="0.25">
      <c r="AE471" s="43" t="s">
        <v>75</v>
      </c>
      <c r="AF471" s="43" t="s">
        <v>60</v>
      </c>
      <c r="AG471" s="43" t="s">
        <v>28</v>
      </c>
      <c r="AH471">
        <v>2</v>
      </c>
      <c r="AI471" t="s">
        <v>317</v>
      </c>
      <c r="AJ471" s="43" t="s">
        <v>309</v>
      </c>
      <c r="AK471">
        <v>0</v>
      </c>
    </row>
    <row r="472" spans="31:37" x14ac:dyDescent="0.25">
      <c r="AE472" s="43" t="s">
        <v>75</v>
      </c>
      <c r="AF472" s="43" t="s">
        <v>60</v>
      </c>
      <c r="AG472" s="43" t="s">
        <v>28</v>
      </c>
      <c r="AH472">
        <v>2</v>
      </c>
      <c r="AI472" t="s">
        <v>317</v>
      </c>
      <c r="AJ472" s="43" t="s">
        <v>268</v>
      </c>
      <c r="AK472">
        <v>0</v>
      </c>
    </row>
    <row r="473" spans="31:37" x14ac:dyDescent="0.25">
      <c r="AE473" s="43" t="s">
        <v>75</v>
      </c>
      <c r="AF473" s="43" t="s">
        <v>60</v>
      </c>
      <c r="AG473" s="43" t="s">
        <v>28</v>
      </c>
      <c r="AH473">
        <v>2</v>
      </c>
      <c r="AI473" t="s">
        <v>325</v>
      </c>
      <c r="AJ473" s="43" t="s">
        <v>308</v>
      </c>
      <c r="AK473">
        <v>3.8</v>
      </c>
    </row>
    <row r="474" spans="31:37" x14ac:dyDescent="0.25">
      <c r="AE474" s="43" t="s">
        <v>75</v>
      </c>
      <c r="AF474" s="43" t="s">
        <v>60</v>
      </c>
      <c r="AG474" s="43" t="s">
        <v>28</v>
      </c>
      <c r="AH474">
        <v>2</v>
      </c>
      <c r="AI474" t="s">
        <v>325</v>
      </c>
      <c r="AJ474" s="43" t="s">
        <v>309</v>
      </c>
      <c r="AK474">
        <v>7.8</v>
      </c>
    </row>
    <row r="475" spans="31:37" x14ac:dyDescent="0.25">
      <c r="AE475" s="43" t="s">
        <v>75</v>
      </c>
      <c r="AF475" s="43" t="s">
        <v>60</v>
      </c>
      <c r="AG475" s="43" t="s">
        <v>28</v>
      </c>
      <c r="AH475">
        <v>2</v>
      </c>
      <c r="AI475" t="s">
        <v>325</v>
      </c>
      <c r="AJ475" s="43" t="s">
        <v>268</v>
      </c>
      <c r="AK475">
        <v>11.6</v>
      </c>
    </row>
    <row r="476" spans="31:37" x14ac:dyDescent="0.25">
      <c r="AE476" s="43" t="s">
        <v>75</v>
      </c>
      <c r="AF476" s="43" t="s">
        <v>60</v>
      </c>
      <c r="AG476" s="43" t="s">
        <v>28</v>
      </c>
      <c r="AH476">
        <v>2</v>
      </c>
      <c r="AI476" t="s">
        <v>330</v>
      </c>
      <c r="AJ476" s="43" t="s">
        <v>308</v>
      </c>
      <c r="AK476">
        <v>3.4</v>
      </c>
    </row>
    <row r="477" spans="31:37" x14ac:dyDescent="0.25">
      <c r="AE477" s="43" t="s">
        <v>75</v>
      </c>
      <c r="AF477" s="43" t="s">
        <v>60</v>
      </c>
      <c r="AG477" s="43" t="s">
        <v>28</v>
      </c>
      <c r="AH477">
        <v>2</v>
      </c>
      <c r="AI477" t="s">
        <v>330</v>
      </c>
      <c r="AJ477" s="43" t="s">
        <v>309</v>
      </c>
      <c r="AK477">
        <v>7.7</v>
      </c>
    </row>
    <row r="478" spans="31:37" x14ac:dyDescent="0.25">
      <c r="AE478" s="43" t="s">
        <v>75</v>
      </c>
      <c r="AF478" s="43" t="s">
        <v>60</v>
      </c>
      <c r="AG478" s="43" t="s">
        <v>28</v>
      </c>
      <c r="AH478">
        <v>2</v>
      </c>
      <c r="AI478" t="s">
        <v>330</v>
      </c>
      <c r="AJ478" s="43" t="s">
        <v>268</v>
      </c>
      <c r="AK478">
        <v>11.1</v>
      </c>
    </row>
    <row r="479" spans="31:37" x14ac:dyDescent="0.25">
      <c r="AE479" s="43" t="s">
        <v>75</v>
      </c>
      <c r="AF479" s="43" t="s">
        <v>60</v>
      </c>
      <c r="AG479" s="43" t="s">
        <v>28</v>
      </c>
      <c r="AH479">
        <v>2</v>
      </c>
      <c r="AI479" t="s">
        <v>331</v>
      </c>
      <c r="AJ479" s="43" t="s">
        <v>308</v>
      </c>
      <c r="AK479">
        <v>0</v>
      </c>
    </row>
    <row r="480" spans="31:37" x14ac:dyDescent="0.25">
      <c r="AE480" s="43" t="s">
        <v>75</v>
      </c>
      <c r="AF480" s="43" t="s">
        <v>60</v>
      </c>
      <c r="AG480" s="43" t="s">
        <v>28</v>
      </c>
      <c r="AH480">
        <v>2</v>
      </c>
      <c r="AI480" t="s">
        <v>331</v>
      </c>
      <c r="AJ480" s="43" t="s">
        <v>309</v>
      </c>
      <c r="AK480">
        <v>0</v>
      </c>
    </row>
    <row r="481" spans="31:37" x14ac:dyDescent="0.25">
      <c r="AE481" s="43" t="s">
        <v>75</v>
      </c>
      <c r="AF481" s="43" t="s">
        <v>60</v>
      </c>
      <c r="AG481" s="43" t="s">
        <v>28</v>
      </c>
      <c r="AH481">
        <v>2</v>
      </c>
      <c r="AI481" t="s">
        <v>331</v>
      </c>
      <c r="AJ481" s="43" t="s">
        <v>268</v>
      </c>
      <c r="AK481">
        <v>0</v>
      </c>
    </row>
    <row r="482" spans="31:37" x14ac:dyDescent="0.25">
      <c r="AE482" s="43" t="s">
        <v>75</v>
      </c>
      <c r="AF482" s="43" t="s">
        <v>60</v>
      </c>
      <c r="AG482" s="43" t="s">
        <v>28</v>
      </c>
      <c r="AH482">
        <v>2</v>
      </c>
      <c r="AI482" t="s">
        <v>341</v>
      </c>
      <c r="AJ482" s="43" t="s">
        <v>308</v>
      </c>
      <c r="AK482">
        <v>7.1999999999999993</v>
      </c>
    </row>
    <row r="483" spans="31:37" x14ac:dyDescent="0.25">
      <c r="AE483" s="43" t="s">
        <v>75</v>
      </c>
      <c r="AF483" s="43" t="s">
        <v>60</v>
      </c>
      <c r="AG483" s="43" t="s">
        <v>28</v>
      </c>
      <c r="AH483">
        <v>2</v>
      </c>
      <c r="AI483" t="s">
        <v>341</v>
      </c>
      <c r="AJ483" s="43" t="s">
        <v>309</v>
      </c>
      <c r="AK483">
        <v>15.5</v>
      </c>
    </row>
    <row r="484" spans="31:37" x14ac:dyDescent="0.25">
      <c r="AE484" s="43" t="s">
        <v>75</v>
      </c>
      <c r="AF484" s="43" t="s">
        <v>60</v>
      </c>
      <c r="AG484" s="43" t="s">
        <v>28</v>
      </c>
      <c r="AH484">
        <v>2</v>
      </c>
      <c r="AI484" t="s">
        <v>341</v>
      </c>
      <c r="AJ484" s="43" t="s">
        <v>268</v>
      </c>
      <c r="AK484">
        <v>22.7</v>
      </c>
    </row>
    <row r="485" spans="31:37" x14ac:dyDescent="0.25">
      <c r="AE485" s="43" t="s">
        <v>75</v>
      </c>
      <c r="AF485" s="43" t="s">
        <v>60</v>
      </c>
      <c r="AG485" s="43" t="s">
        <v>28</v>
      </c>
      <c r="AH485">
        <v>2</v>
      </c>
      <c r="AI485" t="s">
        <v>273</v>
      </c>
      <c r="AJ485" s="43" t="s">
        <v>308</v>
      </c>
      <c r="AK485">
        <v>0</v>
      </c>
    </row>
    <row r="486" spans="31:37" x14ac:dyDescent="0.25">
      <c r="AE486" s="43" t="s">
        <v>75</v>
      </c>
      <c r="AF486" s="43" t="s">
        <v>60</v>
      </c>
      <c r="AG486" s="43" t="s">
        <v>28</v>
      </c>
      <c r="AH486">
        <v>2</v>
      </c>
      <c r="AI486" t="s">
        <v>273</v>
      </c>
      <c r="AJ486" s="43" t="s">
        <v>309</v>
      </c>
      <c r="AK486">
        <v>0</v>
      </c>
    </row>
    <row r="487" spans="31:37" x14ac:dyDescent="0.25">
      <c r="AE487" s="43" t="s">
        <v>75</v>
      </c>
      <c r="AF487" s="43" t="s">
        <v>60</v>
      </c>
      <c r="AG487" s="43" t="s">
        <v>28</v>
      </c>
      <c r="AH487">
        <v>2</v>
      </c>
      <c r="AI487" t="s">
        <v>273</v>
      </c>
      <c r="AJ487" s="43" t="s">
        <v>268</v>
      </c>
      <c r="AK487">
        <v>0</v>
      </c>
    </row>
    <row r="488" spans="31:37" x14ac:dyDescent="0.25">
      <c r="AE488" s="43" t="s">
        <v>112</v>
      </c>
      <c r="AF488" s="43" t="s">
        <v>26</v>
      </c>
      <c r="AG488" s="43" t="s">
        <v>31</v>
      </c>
      <c r="AH488">
        <v>2</v>
      </c>
      <c r="AI488" t="s">
        <v>317</v>
      </c>
      <c r="AJ488" s="43" t="s">
        <v>308</v>
      </c>
      <c r="AK488">
        <v>2.9</v>
      </c>
    </row>
    <row r="489" spans="31:37" x14ac:dyDescent="0.25">
      <c r="AE489" s="43" t="s">
        <v>112</v>
      </c>
      <c r="AF489" s="43" t="s">
        <v>26</v>
      </c>
      <c r="AG489" s="43" t="s">
        <v>31</v>
      </c>
      <c r="AH489">
        <v>2</v>
      </c>
      <c r="AI489" t="s">
        <v>317</v>
      </c>
      <c r="AJ489" s="43" t="s">
        <v>309</v>
      </c>
      <c r="AK489">
        <v>8</v>
      </c>
    </row>
    <row r="490" spans="31:37" x14ac:dyDescent="0.25">
      <c r="AE490" s="43" t="s">
        <v>112</v>
      </c>
      <c r="AF490" s="43" t="s">
        <v>26</v>
      </c>
      <c r="AG490" s="43" t="s">
        <v>31</v>
      </c>
      <c r="AH490">
        <v>2</v>
      </c>
      <c r="AI490" t="s">
        <v>317</v>
      </c>
      <c r="AJ490" s="43" t="s">
        <v>268</v>
      </c>
      <c r="AK490">
        <v>10.9</v>
      </c>
    </row>
    <row r="491" spans="31:37" x14ac:dyDescent="0.25">
      <c r="AE491" s="43" t="s">
        <v>112</v>
      </c>
      <c r="AF491" s="43" t="s">
        <v>26</v>
      </c>
      <c r="AG491" s="43" t="s">
        <v>31</v>
      </c>
      <c r="AH491">
        <v>2</v>
      </c>
      <c r="AI491" t="s">
        <v>325</v>
      </c>
      <c r="AJ491" s="43" t="s">
        <v>308</v>
      </c>
      <c r="AK491">
        <v>0</v>
      </c>
    </row>
    <row r="492" spans="31:37" x14ac:dyDescent="0.25">
      <c r="AE492" s="43" t="s">
        <v>112</v>
      </c>
      <c r="AF492" s="43" t="s">
        <v>26</v>
      </c>
      <c r="AG492" s="43" t="s">
        <v>31</v>
      </c>
      <c r="AH492">
        <v>2</v>
      </c>
      <c r="AI492" t="s">
        <v>325</v>
      </c>
      <c r="AJ492" s="43" t="s">
        <v>309</v>
      </c>
      <c r="AK492">
        <v>0</v>
      </c>
    </row>
    <row r="493" spans="31:37" x14ac:dyDescent="0.25">
      <c r="AE493" s="43" t="s">
        <v>112</v>
      </c>
      <c r="AF493" s="43" t="s">
        <v>26</v>
      </c>
      <c r="AG493" s="43" t="s">
        <v>31</v>
      </c>
      <c r="AH493">
        <v>2</v>
      </c>
      <c r="AI493" t="s">
        <v>325</v>
      </c>
      <c r="AJ493" s="43" t="s">
        <v>268</v>
      </c>
      <c r="AK493">
        <v>0</v>
      </c>
    </row>
    <row r="494" spans="31:37" x14ac:dyDescent="0.25">
      <c r="AE494" s="43" t="s">
        <v>112</v>
      </c>
      <c r="AF494" s="43" t="s">
        <v>26</v>
      </c>
      <c r="AG494" s="43" t="s">
        <v>31</v>
      </c>
      <c r="AH494">
        <v>2</v>
      </c>
      <c r="AI494" t="s">
        <v>330</v>
      </c>
      <c r="AJ494" s="43" t="s">
        <v>308</v>
      </c>
      <c r="AK494">
        <v>0</v>
      </c>
    </row>
    <row r="495" spans="31:37" x14ac:dyDescent="0.25">
      <c r="AE495" s="43" t="s">
        <v>112</v>
      </c>
      <c r="AF495" s="43" t="s">
        <v>26</v>
      </c>
      <c r="AG495" s="43" t="s">
        <v>31</v>
      </c>
      <c r="AH495">
        <v>2</v>
      </c>
      <c r="AI495" t="s">
        <v>330</v>
      </c>
      <c r="AJ495" s="43" t="s">
        <v>309</v>
      </c>
      <c r="AK495">
        <v>0</v>
      </c>
    </row>
    <row r="496" spans="31:37" x14ac:dyDescent="0.25">
      <c r="AE496" s="43" t="s">
        <v>112</v>
      </c>
      <c r="AF496" s="43" t="s">
        <v>26</v>
      </c>
      <c r="AG496" s="43" t="s">
        <v>31</v>
      </c>
      <c r="AH496">
        <v>2</v>
      </c>
      <c r="AI496" t="s">
        <v>330</v>
      </c>
      <c r="AJ496" s="43" t="s">
        <v>268</v>
      </c>
      <c r="AK496">
        <v>0</v>
      </c>
    </row>
    <row r="497" spans="31:37" x14ac:dyDescent="0.25">
      <c r="AE497" s="43" t="s">
        <v>112</v>
      </c>
      <c r="AF497" s="43" t="s">
        <v>26</v>
      </c>
      <c r="AG497" s="43" t="s">
        <v>31</v>
      </c>
      <c r="AH497">
        <v>2</v>
      </c>
      <c r="AI497" t="s">
        <v>331</v>
      </c>
      <c r="AJ497" s="43" t="s">
        <v>308</v>
      </c>
      <c r="AK497">
        <v>2.2000000000000002</v>
      </c>
    </row>
    <row r="498" spans="31:37" x14ac:dyDescent="0.25">
      <c r="AE498" s="43" t="s">
        <v>112</v>
      </c>
      <c r="AF498" s="43" t="s">
        <v>26</v>
      </c>
      <c r="AG498" s="43" t="s">
        <v>31</v>
      </c>
      <c r="AH498">
        <v>2</v>
      </c>
      <c r="AI498" t="s">
        <v>331</v>
      </c>
      <c r="AJ498" s="43" t="s">
        <v>309</v>
      </c>
      <c r="AK498">
        <v>7.7</v>
      </c>
    </row>
    <row r="499" spans="31:37" x14ac:dyDescent="0.25">
      <c r="AE499" s="43" t="s">
        <v>112</v>
      </c>
      <c r="AF499" s="43" t="s">
        <v>26</v>
      </c>
      <c r="AG499" s="43" t="s">
        <v>31</v>
      </c>
      <c r="AH499">
        <v>2</v>
      </c>
      <c r="AI499" t="s">
        <v>331</v>
      </c>
      <c r="AJ499" s="43" t="s">
        <v>268</v>
      </c>
      <c r="AK499">
        <v>9.9</v>
      </c>
    </row>
    <row r="500" spans="31:37" x14ac:dyDescent="0.25">
      <c r="AE500" s="43" t="s">
        <v>112</v>
      </c>
      <c r="AF500" s="43" t="s">
        <v>26</v>
      </c>
      <c r="AG500" s="43" t="s">
        <v>31</v>
      </c>
      <c r="AH500">
        <v>2</v>
      </c>
      <c r="AI500" t="s">
        <v>341</v>
      </c>
      <c r="AJ500" s="43" t="s">
        <v>308</v>
      </c>
      <c r="AK500">
        <v>5.0999999999999996</v>
      </c>
    </row>
    <row r="501" spans="31:37" x14ac:dyDescent="0.25">
      <c r="AE501" s="43" t="s">
        <v>112</v>
      </c>
      <c r="AF501" s="43" t="s">
        <v>26</v>
      </c>
      <c r="AG501" s="43" t="s">
        <v>31</v>
      </c>
      <c r="AH501">
        <v>2</v>
      </c>
      <c r="AI501" t="s">
        <v>341</v>
      </c>
      <c r="AJ501" s="43" t="s">
        <v>309</v>
      </c>
      <c r="AK501">
        <v>15.7</v>
      </c>
    </row>
    <row r="502" spans="31:37" x14ac:dyDescent="0.25">
      <c r="AE502" s="43" t="s">
        <v>112</v>
      </c>
      <c r="AF502" s="43" t="s">
        <v>26</v>
      </c>
      <c r="AG502" s="43" t="s">
        <v>31</v>
      </c>
      <c r="AH502">
        <v>2</v>
      </c>
      <c r="AI502" t="s">
        <v>341</v>
      </c>
      <c r="AJ502" s="43" t="s">
        <v>268</v>
      </c>
      <c r="AK502">
        <v>20.8</v>
      </c>
    </row>
    <row r="503" spans="31:37" x14ac:dyDescent="0.25">
      <c r="AE503" s="43" t="s">
        <v>112</v>
      </c>
      <c r="AF503" s="43" t="s">
        <v>26</v>
      </c>
      <c r="AG503" s="43" t="s">
        <v>31</v>
      </c>
      <c r="AH503">
        <v>2</v>
      </c>
      <c r="AI503" t="s">
        <v>273</v>
      </c>
      <c r="AJ503" s="43" t="s">
        <v>308</v>
      </c>
      <c r="AK503">
        <v>0</v>
      </c>
    </row>
    <row r="504" spans="31:37" x14ac:dyDescent="0.25">
      <c r="AE504" s="43" t="s">
        <v>112</v>
      </c>
      <c r="AF504" s="43" t="s">
        <v>26</v>
      </c>
      <c r="AG504" s="43" t="s">
        <v>31</v>
      </c>
      <c r="AH504">
        <v>2</v>
      </c>
      <c r="AI504" t="s">
        <v>273</v>
      </c>
      <c r="AJ504" s="43" t="s">
        <v>309</v>
      </c>
      <c r="AK504">
        <v>0</v>
      </c>
    </row>
    <row r="505" spans="31:37" x14ac:dyDescent="0.25">
      <c r="AE505" s="43" t="s">
        <v>112</v>
      </c>
      <c r="AF505" s="43" t="s">
        <v>26</v>
      </c>
      <c r="AG505" s="43" t="s">
        <v>31</v>
      </c>
      <c r="AH505">
        <v>2</v>
      </c>
      <c r="AI505" t="s">
        <v>273</v>
      </c>
      <c r="AJ505" s="43" t="s">
        <v>268</v>
      </c>
      <c r="AK505">
        <v>0</v>
      </c>
    </row>
    <row r="506" spans="31:37" x14ac:dyDescent="0.25">
      <c r="AE506" s="43" t="s">
        <v>90</v>
      </c>
      <c r="AF506" s="43" t="s">
        <v>60</v>
      </c>
      <c r="AG506" s="43" t="s">
        <v>36</v>
      </c>
      <c r="AH506">
        <v>2</v>
      </c>
      <c r="AI506" t="s">
        <v>317</v>
      </c>
      <c r="AJ506" s="43" t="s">
        <v>308</v>
      </c>
      <c r="AK506">
        <v>0</v>
      </c>
    </row>
    <row r="507" spans="31:37" x14ac:dyDescent="0.25">
      <c r="AE507" s="43" t="s">
        <v>90</v>
      </c>
      <c r="AF507" s="43" t="s">
        <v>60</v>
      </c>
      <c r="AG507" s="43" t="s">
        <v>36</v>
      </c>
      <c r="AH507">
        <v>2</v>
      </c>
      <c r="AI507" t="s">
        <v>317</v>
      </c>
      <c r="AJ507" s="43" t="s">
        <v>309</v>
      </c>
      <c r="AK507">
        <v>0</v>
      </c>
    </row>
    <row r="508" spans="31:37" x14ac:dyDescent="0.25">
      <c r="AE508" s="43" t="s">
        <v>90</v>
      </c>
      <c r="AF508" s="43" t="s">
        <v>60</v>
      </c>
      <c r="AG508" s="43" t="s">
        <v>36</v>
      </c>
      <c r="AH508">
        <v>2</v>
      </c>
      <c r="AI508" t="s">
        <v>317</v>
      </c>
      <c r="AJ508" s="43" t="s">
        <v>268</v>
      </c>
      <c r="AK508">
        <v>0</v>
      </c>
    </row>
    <row r="509" spans="31:37" x14ac:dyDescent="0.25">
      <c r="AE509" s="43" t="s">
        <v>90</v>
      </c>
      <c r="AF509" s="43" t="s">
        <v>60</v>
      </c>
      <c r="AG509" s="43" t="s">
        <v>36</v>
      </c>
      <c r="AH509">
        <v>2</v>
      </c>
      <c r="AI509" t="s">
        <v>325</v>
      </c>
      <c r="AJ509" s="43" t="s">
        <v>308</v>
      </c>
      <c r="AK509">
        <v>3.8</v>
      </c>
    </row>
    <row r="510" spans="31:37" x14ac:dyDescent="0.25">
      <c r="AE510" s="43" t="s">
        <v>90</v>
      </c>
      <c r="AF510" s="43" t="s">
        <v>60</v>
      </c>
      <c r="AG510" s="43" t="s">
        <v>36</v>
      </c>
      <c r="AH510">
        <v>2</v>
      </c>
      <c r="AI510" t="s">
        <v>325</v>
      </c>
      <c r="AJ510" s="43" t="s">
        <v>309</v>
      </c>
      <c r="AK510">
        <v>7</v>
      </c>
    </row>
    <row r="511" spans="31:37" x14ac:dyDescent="0.25">
      <c r="AE511" s="43" t="s">
        <v>90</v>
      </c>
      <c r="AF511" s="43" t="s">
        <v>60</v>
      </c>
      <c r="AG511" s="43" t="s">
        <v>36</v>
      </c>
      <c r="AH511">
        <v>2</v>
      </c>
      <c r="AI511" t="s">
        <v>325</v>
      </c>
      <c r="AJ511" s="43" t="s">
        <v>268</v>
      </c>
      <c r="AK511">
        <v>10.8</v>
      </c>
    </row>
    <row r="512" spans="31:37" x14ac:dyDescent="0.25">
      <c r="AE512" s="43" t="s">
        <v>90</v>
      </c>
      <c r="AF512" s="43" t="s">
        <v>60</v>
      </c>
      <c r="AG512" s="43" t="s">
        <v>36</v>
      </c>
      <c r="AH512">
        <v>2</v>
      </c>
      <c r="AI512" t="s">
        <v>330</v>
      </c>
      <c r="AJ512" s="43" t="s">
        <v>308</v>
      </c>
      <c r="AK512">
        <v>3</v>
      </c>
    </row>
    <row r="513" spans="31:37" x14ac:dyDescent="0.25">
      <c r="AE513" s="43" t="s">
        <v>90</v>
      </c>
      <c r="AF513" s="43" t="s">
        <v>60</v>
      </c>
      <c r="AG513" s="43" t="s">
        <v>36</v>
      </c>
      <c r="AH513">
        <v>2</v>
      </c>
      <c r="AI513" t="s">
        <v>330</v>
      </c>
      <c r="AJ513" s="43" t="s">
        <v>309</v>
      </c>
      <c r="AK513">
        <v>6.35</v>
      </c>
    </row>
    <row r="514" spans="31:37" x14ac:dyDescent="0.25">
      <c r="AE514" s="43" t="s">
        <v>90</v>
      </c>
      <c r="AF514" s="43" t="s">
        <v>60</v>
      </c>
      <c r="AG514" s="43" t="s">
        <v>36</v>
      </c>
      <c r="AH514">
        <v>2</v>
      </c>
      <c r="AI514" t="s">
        <v>330</v>
      </c>
      <c r="AJ514" s="43" t="s">
        <v>268</v>
      </c>
      <c r="AK514">
        <v>9.35</v>
      </c>
    </row>
    <row r="515" spans="31:37" x14ac:dyDescent="0.25">
      <c r="AE515" s="43" t="s">
        <v>90</v>
      </c>
      <c r="AF515" s="43" t="s">
        <v>60</v>
      </c>
      <c r="AG515" s="43" t="s">
        <v>36</v>
      </c>
      <c r="AH515">
        <v>2</v>
      </c>
      <c r="AI515" t="s">
        <v>331</v>
      </c>
      <c r="AJ515" s="43" t="s">
        <v>308</v>
      </c>
      <c r="AK515">
        <v>0</v>
      </c>
    </row>
    <row r="516" spans="31:37" x14ac:dyDescent="0.25">
      <c r="AE516" s="43" t="s">
        <v>90</v>
      </c>
      <c r="AF516" s="43" t="s">
        <v>60</v>
      </c>
      <c r="AG516" s="43" t="s">
        <v>36</v>
      </c>
      <c r="AH516">
        <v>2</v>
      </c>
      <c r="AI516" t="s">
        <v>331</v>
      </c>
      <c r="AJ516" s="43" t="s">
        <v>309</v>
      </c>
      <c r="AK516">
        <v>0</v>
      </c>
    </row>
    <row r="517" spans="31:37" x14ac:dyDescent="0.25">
      <c r="AE517" s="43" t="s">
        <v>90</v>
      </c>
      <c r="AF517" s="43" t="s">
        <v>60</v>
      </c>
      <c r="AG517" s="43" t="s">
        <v>36</v>
      </c>
      <c r="AH517">
        <v>2</v>
      </c>
      <c r="AI517" t="s">
        <v>331</v>
      </c>
      <c r="AJ517" s="43" t="s">
        <v>268</v>
      </c>
      <c r="AK517">
        <v>0</v>
      </c>
    </row>
    <row r="518" spans="31:37" x14ac:dyDescent="0.25">
      <c r="AE518" s="43" t="s">
        <v>90</v>
      </c>
      <c r="AF518" s="43" t="s">
        <v>60</v>
      </c>
      <c r="AG518" s="43" t="s">
        <v>36</v>
      </c>
      <c r="AH518">
        <v>2</v>
      </c>
      <c r="AI518" t="s">
        <v>341</v>
      </c>
      <c r="AJ518" s="43" t="s">
        <v>308</v>
      </c>
      <c r="AK518">
        <v>6.8</v>
      </c>
    </row>
    <row r="519" spans="31:37" x14ac:dyDescent="0.25">
      <c r="AE519" s="43" t="s">
        <v>90</v>
      </c>
      <c r="AF519" s="43" t="s">
        <v>60</v>
      </c>
      <c r="AG519" s="43" t="s">
        <v>36</v>
      </c>
      <c r="AH519">
        <v>2</v>
      </c>
      <c r="AI519" t="s">
        <v>341</v>
      </c>
      <c r="AJ519" s="43" t="s">
        <v>309</v>
      </c>
      <c r="AK519">
        <v>13.35</v>
      </c>
    </row>
    <row r="520" spans="31:37" x14ac:dyDescent="0.25">
      <c r="AE520" s="43" t="s">
        <v>90</v>
      </c>
      <c r="AF520" s="43" t="s">
        <v>60</v>
      </c>
      <c r="AG520" s="43" t="s">
        <v>36</v>
      </c>
      <c r="AH520">
        <v>2</v>
      </c>
      <c r="AI520" t="s">
        <v>341</v>
      </c>
      <c r="AJ520" s="43" t="s">
        <v>268</v>
      </c>
      <c r="AK520">
        <v>20.149999999999999</v>
      </c>
    </row>
    <row r="521" spans="31:37" x14ac:dyDescent="0.25">
      <c r="AE521" s="43" t="s">
        <v>90</v>
      </c>
      <c r="AF521" s="43" t="s">
        <v>60</v>
      </c>
      <c r="AG521" s="43" t="s">
        <v>36</v>
      </c>
      <c r="AH521">
        <v>2</v>
      </c>
      <c r="AI521" t="s">
        <v>273</v>
      </c>
      <c r="AJ521" s="43" t="s">
        <v>308</v>
      </c>
      <c r="AK521">
        <v>0</v>
      </c>
    </row>
    <row r="522" spans="31:37" x14ac:dyDescent="0.25">
      <c r="AE522" s="43" t="s">
        <v>90</v>
      </c>
      <c r="AF522" s="43" t="s">
        <v>60</v>
      </c>
      <c r="AG522" s="43" t="s">
        <v>36</v>
      </c>
      <c r="AH522">
        <v>2</v>
      </c>
      <c r="AI522" t="s">
        <v>273</v>
      </c>
      <c r="AJ522" s="43" t="s">
        <v>309</v>
      </c>
      <c r="AK522">
        <v>0</v>
      </c>
    </row>
    <row r="523" spans="31:37" x14ac:dyDescent="0.25">
      <c r="AE523" s="43" t="s">
        <v>90</v>
      </c>
      <c r="AF523" s="43" t="s">
        <v>60</v>
      </c>
      <c r="AG523" s="43" t="s">
        <v>36</v>
      </c>
      <c r="AH523">
        <v>2</v>
      </c>
      <c r="AI523" t="s">
        <v>273</v>
      </c>
      <c r="AJ523" s="43" t="s">
        <v>268</v>
      </c>
      <c r="AK523">
        <v>0</v>
      </c>
    </row>
    <row r="524" spans="31:37" x14ac:dyDescent="0.25">
      <c r="AE524" s="43" t="s">
        <v>88</v>
      </c>
      <c r="AF524" s="43" t="s">
        <v>60</v>
      </c>
      <c r="AG524" s="43" t="s">
        <v>36</v>
      </c>
      <c r="AH524">
        <v>2</v>
      </c>
      <c r="AI524" t="s">
        <v>317</v>
      </c>
      <c r="AJ524" s="43" t="s">
        <v>308</v>
      </c>
      <c r="AK524">
        <v>0</v>
      </c>
    </row>
    <row r="525" spans="31:37" x14ac:dyDescent="0.25">
      <c r="AE525" s="43" t="s">
        <v>88</v>
      </c>
      <c r="AF525" s="43" t="s">
        <v>60</v>
      </c>
      <c r="AG525" s="43" t="s">
        <v>36</v>
      </c>
      <c r="AH525">
        <v>2</v>
      </c>
      <c r="AI525" t="s">
        <v>317</v>
      </c>
      <c r="AJ525" s="43" t="s">
        <v>309</v>
      </c>
      <c r="AK525">
        <v>0</v>
      </c>
    </row>
    <row r="526" spans="31:37" x14ac:dyDescent="0.25">
      <c r="AE526" s="43" t="s">
        <v>88</v>
      </c>
      <c r="AF526" s="43" t="s">
        <v>60</v>
      </c>
      <c r="AG526" s="43" t="s">
        <v>36</v>
      </c>
      <c r="AH526">
        <v>2</v>
      </c>
      <c r="AI526" t="s">
        <v>317</v>
      </c>
      <c r="AJ526" s="43" t="s">
        <v>268</v>
      </c>
      <c r="AK526">
        <v>0</v>
      </c>
    </row>
    <row r="527" spans="31:37" x14ac:dyDescent="0.25">
      <c r="AE527" s="43" t="s">
        <v>88</v>
      </c>
      <c r="AF527" s="43" t="s">
        <v>60</v>
      </c>
      <c r="AG527" s="43" t="s">
        <v>36</v>
      </c>
      <c r="AH527">
        <v>2</v>
      </c>
      <c r="AI527" t="s">
        <v>325</v>
      </c>
      <c r="AJ527" s="43" t="s">
        <v>308</v>
      </c>
      <c r="AK527">
        <v>2.5</v>
      </c>
    </row>
    <row r="528" spans="31:37" x14ac:dyDescent="0.25">
      <c r="AE528" s="43" t="s">
        <v>88</v>
      </c>
      <c r="AF528" s="43" t="s">
        <v>60</v>
      </c>
      <c r="AG528" s="43" t="s">
        <v>36</v>
      </c>
      <c r="AH528">
        <v>2</v>
      </c>
      <c r="AI528" t="s">
        <v>325</v>
      </c>
      <c r="AJ528" s="43" t="s">
        <v>309</v>
      </c>
      <c r="AK528">
        <v>7.2</v>
      </c>
    </row>
    <row r="529" spans="31:37" x14ac:dyDescent="0.25">
      <c r="AE529" s="43" t="s">
        <v>88</v>
      </c>
      <c r="AF529" s="43" t="s">
        <v>60</v>
      </c>
      <c r="AG529" s="43" t="s">
        <v>36</v>
      </c>
      <c r="AH529">
        <v>2</v>
      </c>
      <c r="AI529" t="s">
        <v>325</v>
      </c>
      <c r="AJ529" s="43" t="s">
        <v>268</v>
      </c>
      <c r="AK529">
        <v>9.6999999999999993</v>
      </c>
    </row>
    <row r="530" spans="31:37" x14ac:dyDescent="0.25">
      <c r="AE530" s="43" t="s">
        <v>88</v>
      </c>
      <c r="AF530" s="43" t="s">
        <v>60</v>
      </c>
      <c r="AG530" s="43" t="s">
        <v>36</v>
      </c>
      <c r="AH530">
        <v>2</v>
      </c>
      <c r="AI530" t="s">
        <v>330</v>
      </c>
      <c r="AJ530" s="43" t="s">
        <v>308</v>
      </c>
      <c r="AK530">
        <v>0</v>
      </c>
    </row>
    <row r="531" spans="31:37" x14ac:dyDescent="0.25">
      <c r="AE531" s="43" t="s">
        <v>88</v>
      </c>
      <c r="AF531" s="43" t="s">
        <v>60</v>
      </c>
      <c r="AG531" s="43" t="s">
        <v>36</v>
      </c>
      <c r="AH531">
        <v>2</v>
      </c>
      <c r="AI531" t="s">
        <v>330</v>
      </c>
      <c r="AJ531" s="43" t="s">
        <v>309</v>
      </c>
      <c r="AK531">
        <v>0</v>
      </c>
    </row>
    <row r="532" spans="31:37" x14ac:dyDescent="0.25">
      <c r="AE532" s="43" t="s">
        <v>88</v>
      </c>
      <c r="AF532" s="43" t="s">
        <v>60</v>
      </c>
      <c r="AG532" s="43" t="s">
        <v>36</v>
      </c>
      <c r="AH532">
        <v>2</v>
      </c>
      <c r="AI532" t="s">
        <v>330</v>
      </c>
      <c r="AJ532" s="43" t="s">
        <v>268</v>
      </c>
      <c r="AK532">
        <v>0</v>
      </c>
    </row>
    <row r="533" spans="31:37" x14ac:dyDescent="0.25">
      <c r="AE533" s="43" t="s">
        <v>88</v>
      </c>
      <c r="AF533" s="43" t="s">
        <v>60</v>
      </c>
      <c r="AG533" s="43" t="s">
        <v>36</v>
      </c>
      <c r="AH533">
        <v>2</v>
      </c>
      <c r="AI533" t="s">
        <v>331</v>
      </c>
      <c r="AJ533" s="43" t="s">
        <v>308</v>
      </c>
      <c r="AK533">
        <v>2.2000000000000002</v>
      </c>
    </row>
    <row r="534" spans="31:37" x14ac:dyDescent="0.25">
      <c r="AE534" s="43" t="s">
        <v>88</v>
      </c>
      <c r="AF534" s="43" t="s">
        <v>60</v>
      </c>
      <c r="AG534" s="43" t="s">
        <v>36</v>
      </c>
      <c r="AH534">
        <v>2</v>
      </c>
      <c r="AI534" t="s">
        <v>331</v>
      </c>
      <c r="AJ534" s="43" t="s">
        <v>309</v>
      </c>
      <c r="AK534">
        <v>7.7</v>
      </c>
    </row>
    <row r="535" spans="31:37" x14ac:dyDescent="0.25">
      <c r="AE535" s="43" t="s">
        <v>88</v>
      </c>
      <c r="AF535" s="43" t="s">
        <v>60</v>
      </c>
      <c r="AG535" s="43" t="s">
        <v>36</v>
      </c>
      <c r="AH535">
        <v>2</v>
      </c>
      <c r="AI535" t="s">
        <v>331</v>
      </c>
      <c r="AJ535" s="43" t="s">
        <v>268</v>
      </c>
      <c r="AK535">
        <v>9.9</v>
      </c>
    </row>
    <row r="536" spans="31:37" x14ac:dyDescent="0.25">
      <c r="AE536" s="43" t="s">
        <v>88</v>
      </c>
      <c r="AF536" s="43" t="s">
        <v>60</v>
      </c>
      <c r="AG536" s="43" t="s">
        <v>36</v>
      </c>
      <c r="AH536">
        <v>2</v>
      </c>
      <c r="AI536" t="s">
        <v>341</v>
      </c>
      <c r="AJ536" s="43" t="s">
        <v>308</v>
      </c>
      <c r="AK536">
        <v>4.7</v>
      </c>
    </row>
    <row r="537" spans="31:37" x14ac:dyDescent="0.25">
      <c r="AE537" s="43" t="s">
        <v>88</v>
      </c>
      <c r="AF537" s="43" t="s">
        <v>60</v>
      </c>
      <c r="AG537" s="43" t="s">
        <v>36</v>
      </c>
      <c r="AH537">
        <v>2</v>
      </c>
      <c r="AI537" t="s">
        <v>341</v>
      </c>
      <c r="AJ537" s="43" t="s">
        <v>309</v>
      </c>
      <c r="AK537">
        <v>14.9</v>
      </c>
    </row>
    <row r="538" spans="31:37" x14ac:dyDescent="0.25">
      <c r="AE538" s="43" t="s">
        <v>88</v>
      </c>
      <c r="AF538" s="43" t="s">
        <v>60</v>
      </c>
      <c r="AG538" s="43" t="s">
        <v>36</v>
      </c>
      <c r="AH538">
        <v>2</v>
      </c>
      <c r="AI538" t="s">
        <v>341</v>
      </c>
      <c r="AJ538" s="43" t="s">
        <v>268</v>
      </c>
      <c r="AK538">
        <v>19.600000000000001</v>
      </c>
    </row>
    <row r="539" spans="31:37" x14ac:dyDescent="0.25">
      <c r="AE539" s="43" t="s">
        <v>88</v>
      </c>
      <c r="AF539" s="43" t="s">
        <v>60</v>
      </c>
      <c r="AG539" s="43" t="s">
        <v>36</v>
      </c>
      <c r="AH539">
        <v>2</v>
      </c>
      <c r="AI539" t="s">
        <v>273</v>
      </c>
      <c r="AJ539" s="43" t="s">
        <v>308</v>
      </c>
      <c r="AK539">
        <v>0</v>
      </c>
    </row>
    <row r="540" spans="31:37" x14ac:dyDescent="0.25">
      <c r="AE540" s="43" t="s">
        <v>88</v>
      </c>
      <c r="AF540" s="43" t="s">
        <v>60</v>
      </c>
      <c r="AG540" s="43" t="s">
        <v>36</v>
      </c>
      <c r="AH540">
        <v>2</v>
      </c>
      <c r="AI540" t="s">
        <v>273</v>
      </c>
      <c r="AJ540" s="43" t="s">
        <v>309</v>
      </c>
      <c r="AK540">
        <v>0</v>
      </c>
    </row>
    <row r="541" spans="31:37" x14ac:dyDescent="0.25">
      <c r="AE541" s="43" t="s">
        <v>88</v>
      </c>
      <c r="AF541" s="43" t="s">
        <v>60</v>
      </c>
      <c r="AG541" s="43" t="s">
        <v>36</v>
      </c>
      <c r="AH541">
        <v>2</v>
      </c>
      <c r="AI541" t="s">
        <v>273</v>
      </c>
      <c r="AJ541" s="43" t="s">
        <v>268</v>
      </c>
      <c r="AK541">
        <v>0</v>
      </c>
    </row>
    <row r="542" spans="31:37" x14ac:dyDescent="0.25">
      <c r="AE542" s="43" t="s">
        <v>98</v>
      </c>
      <c r="AF542" s="43" t="s">
        <v>60</v>
      </c>
      <c r="AG542" s="43" t="s">
        <v>72</v>
      </c>
      <c r="AH542">
        <v>2</v>
      </c>
      <c r="AI542" t="s">
        <v>317</v>
      </c>
      <c r="AJ542" s="43" t="s">
        <v>308</v>
      </c>
      <c r="AK542">
        <v>0</v>
      </c>
    </row>
    <row r="543" spans="31:37" x14ac:dyDescent="0.25">
      <c r="AE543" s="43" t="s">
        <v>98</v>
      </c>
      <c r="AF543" s="43" t="s">
        <v>60</v>
      </c>
      <c r="AG543" s="43" t="s">
        <v>72</v>
      </c>
      <c r="AH543">
        <v>2</v>
      </c>
      <c r="AI543" t="s">
        <v>317</v>
      </c>
      <c r="AJ543" s="43" t="s">
        <v>309</v>
      </c>
      <c r="AK543">
        <v>0</v>
      </c>
    </row>
    <row r="544" spans="31:37" x14ac:dyDescent="0.25">
      <c r="AE544" s="43" t="s">
        <v>98</v>
      </c>
      <c r="AF544" s="43" t="s">
        <v>60</v>
      </c>
      <c r="AG544" s="43" t="s">
        <v>72</v>
      </c>
      <c r="AH544">
        <v>2</v>
      </c>
      <c r="AI544" t="s">
        <v>317</v>
      </c>
      <c r="AJ544" s="43" t="s">
        <v>268</v>
      </c>
      <c r="AK544">
        <v>0</v>
      </c>
    </row>
    <row r="545" spans="31:37" x14ac:dyDescent="0.25">
      <c r="AE545" s="43" t="s">
        <v>98</v>
      </c>
      <c r="AF545" s="43" t="s">
        <v>60</v>
      </c>
      <c r="AG545" s="43" t="s">
        <v>72</v>
      </c>
      <c r="AH545">
        <v>2</v>
      </c>
      <c r="AI545" t="s">
        <v>325</v>
      </c>
      <c r="AJ545" s="43" t="s">
        <v>308</v>
      </c>
      <c r="AK545">
        <v>2.9</v>
      </c>
    </row>
    <row r="546" spans="31:37" x14ac:dyDescent="0.25">
      <c r="AE546" s="43" t="s">
        <v>98</v>
      </c>
      <c r="AF546" s="43" t="s">
        <v>60</v>
      </c>
      <c r="AG546" s="43" t="s">
        <v>72</v>
      </c>
      <c r="AH546">
        <v>2</v>
      </c>
      <c r="AI546" t="s">
        <v>325</v>
      </c>
      <c r="AJ546" s="43" t="s">
        <v>309</v>
      </c>
      <c r="AK546">
        <v>6.7</v>
      </c>
    </row>
    <row r="547" spans="31:37" x14ac:dyDescent="0.25">
      <c r="AE547" s="43" t="s">
        <v>98</v>
      </c>
      <c r="AF547" s="43" t="s">
        <v>60</v>
      </c>
      <c r="AG547" s="43" t="s">
        <v>72</v>
      </c>
      <c r="AH547">
        <v>2</v>
      </c>
      <c r="AI547" t="s">
        <v>325</v>
      </c>
      <c r="AJ547" s="43" t="s">
        <v>268</v>
      </c>
      <c r="AK547">
        <v>9.6</v>
      </c>
    </row>
    <row r="548" spans="31:37" x14ac:dyDescent="0.25">
      <c r="AE548" s="43" t="s">
        <v>98</v>
      </c>
      <c r="AF548" s="43" t="s">
        <v>60</v>
      </c>
      <c r="AG548" s="43" t="s">
        <v>72</v>
      </c>
      <c r="AH548">
        <v>2</v>
      </c>
      <c r="AI548" t="s">
        <v>330</v>
      </c>
      <c r="AJ548" s="43" t="s">
        <v>308</v>
      </c>
      <c r="AK548">
        <v>2.5</v>
      </c>
    </row>
    <row r="549" spans="31:37" x14ac:dyDescent="0.25">
      <c r="AE549" s="43" t="s">
        <v>98</v>
      </c>
      <c r="AF549" s="43" t="s">
        <v>60</v>
      </c>
      <c r="AG549" s="43" t="s">
        <v>72</v>
      </c>
      <c r="AH549">
        <v>2</v>
      </c>
      <c r="AI549" t="s">
        <v>330</v>
      </c>
      <c r="AJ549" s="43" t="s">
        <v>309</v>
      </c>
      <c r="AK549">
        <v>6.55</v>
      </c>
    </row>
    <row r="550" spans="31:37" x14ac:dyDescent="0.25">
      <c r="AE550" s="43" t="s">
        <v>98</v>
      </c>
      <c r="AF550" s="43" t="s">
        <v>60</v>
      </c>
      <c r="AG550" s="43" t="s">
        <v>72</v>
      </c>
      <c r="AH550">
        <v>2</v>
      </c>
      <c r="AI550" t="s">
        <v>330</v>
      </c>
      <c r="AJ550" s="43" t="s">
        <v>268</v>
      </c>
      <c r="AK550">
        <v>9.0500000000000007</v>
      </c>
    </row>
    <row r="551" spans="31:37" x14ac:dyDescent="0.25">
      <c r="AE551" s="43" t="s">
        <v>98</v>
      </c>
      <c r="AF551" s="43" t="s">
        <v>60</v>
      </c>
      <c r="AG551" s="43" t="s">
        <v>72</v>
      </c>
      <c r="AH551">
        <v>2</v>
      </c>
      <c r="AI551" t="s">
        <v>331</v>
      </c>
      <c r="AJ551" s="43" t="s">
        <v>308</v>
      </c>
      <c r="AK551">
        <v>0</v>
      </c>
    </row>
    <row r="552" spans="31:37" x14ac:dyDescent="0.25">
      <c r="AE552" s="43" t="s">
        <v>98</v>
      </c>
      <c r="AF552" s="43" t="s">
        <v>60</v>
      </c>
      <c r="AG552" s="43" t="s">
        <v>72</v>
      </c>
      <c r="AH552">
        <v>2</v>
      </c>
      <c r="AI552" t="s">
        <v>331</v>
      </c>
      <c r="AJ552" s="43" t="s">
        <v>309</v>
      </c>
      <c r="AK552">
        <v>0</v>
      </c>
    </row>
    <row r="553" spans="31:37" x14ac:dyDescent="0.25">
      <c r="AE553" s="43" t="s">
        <v>98</v>
      </c>
      <c r="AF553" s="43" t="s">
        <v>60</v>
      </c>
      <c r="AG553" s="43" t="s">
        <v>72</v>
      </c>
      <c r="AH553">
        <v>2</v>
      </c>
      <c r="AI553" t="s">
        <v>331</v>
      </c>
      <c r="AJ553" s="43" t="s">
        <v>268</v>
      </c>
      <c r="AK553">
        <v>0</v>
      </c>
    </row>
    <row r="554" spans="31:37" x14ac:dyDescent="0.25">
      <c r="AE554" s="43" t="s">
        <v>98</v>
      </c>
      <c r="AF554" s="43" t="s">
        <v>60</v>
      </c>
      <c r="AG554" s="43" t="s">
        <v>72</v>
      </c>
      <c r="AH554">
        <v>2</v>
      </c>
      <c r="AI554" t="s">
        <v>341</v>
      </c>
      <c r="AJ554" s="43" t="s">
        <v>308</v>
      </c>
      <c r="AK554">
        <v>5.4</v>
      </c>
    </row>
    <row r="555" spans="31:37" x14ac:dyDescent="0.25">
      <c r="AE555" s="43" t="s">
        <v>98</v>
      </c>
      <c r="AF555" s="43" t="s">
        <v>60</v>
      </c>
      <c r="AG555" s="43" t="s">
        <v>72</v>
      </c>
      <c r="AH555">
        <v>2</v>
      </c>
      <c r="AI555" t="s">
        <v>341</v>
      </c>
      <c r="AJ555" s="43" t="s">
        <v>309</v>
      </c>
      <c r="AK555">
        <v>13.25</v>
      </c>
    </row>
    <row r="556" spans="31:37" x14ac:dyDescent="0.25">
      <c r="AE556" s="43" t="s">
        <v>98</v>
      </c>
      <c r="AF556" s="43" t="s">
        <v>60</v>
      </c>
      <c r="AG556" s="43" t="s">
        <v>72</v>
      </c>
      <c r="AH556">
        <v>2</v>
      </c>
      <c r="AI556" t="s">
        <v>341</v>
      </c>
      <c r="AJ556" s="43" t="s">
        <v>268</v>
      </c>
      <c r="AK556">
        <v>18.649999999999999</v>
      </c>
    </row>
    <row r="557" spans="31:37" x14ac:dyDescent="0.25">
      <c r="AE557" s="43" t="s">
        <v>98</v>
      </c>
      <c r="AF557" s="43" t="s">
        <v>60</v>
      </c>
      <c r="AG557" s="43" t="s">
        <v>72</v>
      </c>
      <c r="AH557">
        <v>2</v>
      </c>
      <c r="AI557" t="s">
        <v>273</v>
      </c>
      <c r="AJ557" s="43" t="s">
        <v>308</v>
      </c>
      <c r="AK557">
        <v>0</v>
      </c>
    </row>
    <row r="558" spans="31:37" x14ac:dyDescent="0.25">
      <c r="AE558" s="43" t="s">
        <v>98</v>
      </c>
      <c r="AF558" s="43" t="s">
        <v>60</v>
      </c>
      <c r="AG558" s="43" t="s">
        <v>72</v>
      </c>
      <c r="AH558">
        <v>2</v>
      </c>
      <c r="AI558" t="s">
        <v>273</v>
      </c>
      <c r="AJ558" s="43" t="s">
        <v>309</v>
      </c>
      <c r="AK558">
        <v>0</v>
      </c>
    </row>
    <row r="559" spans="31:37" x14ac:dyDescent="0.25">
      <c r="AE559" s="43" t="s">
        <v>98</v>
      </c>
      <c r="AF559" s="43" t="s">
        <v>60</v>
      </c>
      <c r="AG559" s="43" t="s">
        <v>72</v>
      </c>
      <c r="AH559">
        <v>2</v>
      </c>
      <c r="AI559" t="s">
        <v>273</v>
      </c>
      <c r="AJ559" s="43" t="s">
        <v>268</v>
      </c>
      <c r="AK559">
        <v>0</v>
      </c>
    </row>
    <row r="560" spans="31:37" x14ac:dyDescent="0.25">
      <c r="AE560" s="43" t="s">
        <v>120</v>
      </c>
      <c r="AF560" s="43" t="s">
        <v>26</v>
      </c>
      <c r="AG560" s="43" t="s">
        <v>39</v>
      </c>
      <c r="AH560">
        <v>2</v>
      </c>
      <c r="AI560" t="s">
        <v>317</v>
      </c>
      <c r="AJ560" s="43" t="s">
        <v>308</v>
      </c>
      <c r="AK560">
        <v>2.9</v>
      </c>
    </row>
    <row r="561" spans="31:37" x14ac:dyDescent="0.25">
      <c r="AE561" s="43" t="s">
        <v>120</v>
      </c>
      <c r="AF561" s="43" t="s">
        <v>26</v>
      </c>
      <c r="AG561" s="43" t="s">
        <v>39</v>
      </c>
      <c r="AH561">
        <v>2</v>
      </c>
      <c r="AI561" t="s">
        <v>317</v>
      </c>
      <c r="AJ561" s="43" t="s">
        <v>309</v>
      </c>
      <c r="AK561">
        <v>6.7</v>
      </c>
    </row>
    <row r="562" spans="31:37" x14ac:dyDescent="0.25">
      <c r="AE562" s="43" t="s">
        <v>120</v>
      </c>
      <c r="AF562" s="43" t="s">
        <v>26</v>
      </c>
      <c r="AG562" s="43" t="s">
        <v>39</v>
      </c>
      <c r="AH562">
        <v>2</v>
      </c>
      <c r="AI562" t="s">
        <v>317</v>
      </c>
      <c r="AJ562" s="43" t="s">
        <v>268</v>
      </c>
      <c r="AK562">
        <v>9.6</v>
      </c>
    </row>
    <row r="563" spans="31:37" x14ac:dyDescent="0.25">
      <c r="AE563" s="43" t="s">
        <v>120</v>
      </c>
      <c r="AF563" s="43" t="s">
        <v>26</v>
      </c>
      <c r="AG563" s="43" t="s">
        <v>39</v>
      </c>
      <c r="AH563">
        <v>2</v>
      </c>
      <c r="AI563" t="s">
        <v>325</v>
      </c>
      <c r="AJ563" s="43" t="s">
        <v>308</v>
      </c>
      <c r="AK563">
        <v>0</v>
      </c>
    </row>
    <row r="564" spans="31:37" x14ac:dyDescent="0.25">
      <c r="AE564" s="43" t="s">
        <v>120</v>
      </c>
      <c r="AF564" s="43" t="s">
        <v>26</v>
      </c>
      <c r="AG564" s="43" t="s">
        <v>39</v>
      </c>
      <c r="AH564">
        <v>2</v>
      </c>
      <c r="AI564" t="s">
        <v>325</v>
      </c>
      <c r="AJ564" s="43" t="s">
        <v>309</v>
      </c>
      <c r="AK564">
        <v>0</v>
      </c>
    </row>
    <row r="565" spans="31:37" x14ac:dyDescent="0.25">
      <c r="AE565" s="43" t="s">
        <v>120</v>
      </c>
      <c r="AF565" s="43" t="s">
        <v>26</v>
      </c>
      <c r="AG565" s="43" t="s">
        <v>39</v>
      </c>
      <c r="AH565">
        <v>2</v>
      </c>
      <c r="AI565" t="s">
        <v>325</v>
      </c>
      <c r="AJ565" s="43" t="s">
        <v>268</v>
      </c>
      <c r="AK565">
        <v>0</v>
      </c>
    </row>
    <row r="566" spans="31:37" x14ac:dyDescent="0.25">
      <c r="AE566" s="43" t="s">
        <v>120</v>
      </c>
      <c r="AF566" s="43" t="s">
        <v>26</v>
      </c>
      <c r="AG566" s="43" t="s">
        <v>39</v>
      </c>
      <c r="AH566">
        <v>2</v>
      </c>
      <c r="AI566" t="s">
        <v>330</v>
      </c>
      <c r="AJ566" s="43" t="s">
        <v>308</v>
      </c>
      <c r="AK566">
        <v>1.8</v>
      </c>
    </row>
    <row r="567" spans="31:37" x14ac:dyDescent="0.25">
      <c r="AE567" s="43" t="s">
        <v>120</v>
      </c>
      <c r="AF567" s="43" t="s">
        <v>26</v>
      </c>
      <c r="AG567" s="43" t="s">
        <v>39</v>
      </c>
      <c r="AH567">
        <v>2</v>
      </c>
      <c r="AI567" t="s">
        <v>330</v>
      </c>
      <c r="AJ567" s="43" t="s">
        <v>309</v>
      </c>
      <c r="AK567">
        <v>6.8</v>
      </c>
    </row>
    <row r="568" spans="31:37" x14ac:dyDescent="0.25">
      <c r="AE568" s="43" t="s">
        <v>120</v>
      </c>
      <c r="AF568" s="43" t="s">
        <v>26</v>
      </c>
      <c r="AG568" s="43" t="s">
        <v>39</v>
      </c>
      <c r="AH568">
        <v>2</v>
      </c>
      <c r="AI568" t="s">
        <v>330</v>
      </c>
      <c r="AJ568" s="43" t="s">
        <v>268</v>
      </c>
      <c r="AK568">
        <v>8.6</v>
      </c>
    </row>
    <row r="569" spans="31:37" x14ac:dyDescent="0.25">
      <c r="AE569" s="43" t="s">
        <v>120</v>
      </c>
      <c r="AF569" s="43" t="s">
        <v>26</v>
      </c>
      <c r="AG569" s="43" t="s">
        <v>39</v>
      </c>
      <c r="AH569">
        <v>2</v>
      </c>
      <c r="AI569" t="s">
        <v>331</v>
      </c>
      <c r="AJ569" s="43" t="s">
        <v>308</v>
      </c>
      <c r="AK569">
        <v>0</v>
      </c>
    </row>
    <row r="570" spans="31:37" x14ac:dyDescent="0.25">
      <c r="AE570" s="43" t="s">
        <v>120</v>
      </c>
      <c r="AF570" s="43" t="s">
        <v>26</v>
      </c>
      <c r="AG570" s="43" t="s">
        <v>39</v>
      </c>
      <c r="AH570">
        <v>2</v>
      </c>
      <c r="AI570" t="s">
        <v>331</v>
      </c>
      <c r="AJ570" s="43" t="s">
        <v>309</v>
      </c>
      <c r="AK570">
        <v>0</v>
      </c>
    </row>
    <row r="571" spans="31:37" x14ac:dyDescent="0.25">
      <c r="AE571" s="43" t="s">
        <v>120</v>
      </c>
      <c r="AF571" s="43" t="s">
        <v>26</v>
      </c>
      <c r="AG571" s="43" t="s">
        <v>39</v>
      </c>
      <c r="AH571">
        <v>2</v>
      </c>
      <c r="AI571" t="s">
        <v>331</v>
      </c>
      <c r="AJ571" s="43" t="s">
        <v>268</v>
      </c>
      <c r="AK571">
        <v>0</v>
      </c>
    </row>
    <row r="572" spans="31:37" x14ac:dyDescent="0.25">
      <c r="AE572" s="43" t="s">
        <v>120</v>
      </c>
      <c r="AF572" s="43" t="s">
        <v>26</v>
      </c>
      <c r="AG572" s="43" t="s">
        <v>39</v>
      </c>
      <c r="AH572">
        <v>2</v>
      </c>
      <c r="AI572" t="s">
        <v>341</v>
      </c>
      <c r="AJ572" s="43" t="s">
        <v>308</v>
      </c>
      <c r="AK572">
        <v>4.7</v>
      </c>
    </row>
    <row r="573" spans="31:37" x14ac:dyDescent="0.25">
      <c r="AE573" s="43" t="s">
        <v>120</v>
      </c>
      <c r="AF573" s="43" t="s">
        <v>26</v>
      </c>
      <c r="AG573" s="43" t="s">
        <v>39</v>
      </c>
      <c r="AH573">
        <v>2</v>
      </c>
      <c r="AI573" t="s">
        <v>341</v>
      </c>
      <c r="AJ573" s="43" t="s">
        <v>309</v>
      </c>
      <c r="AK573">
        <v>13.5</v>
      </c>
    </row>
    <row r="574" spans="31:37" x14ac:dyDescent="0.25">
      <c r="AE574" s="43" t="s">
        <v>120</v>
      </c>
      <c r="AF574" s="43" t="s">
        <v>26</v>
      </c>
      <c r="AG574" s="43" t="s">
        <v>39</v>
      </c>
      <c r="AH574">
        <v>2</v>
      </c>
      <c r="AI574" t="s">
        <v>341</v>
      </c>
      <c r="AJ574" s="43" t="s">
        <v>268</v>
      </c>
      <c r="AK574">
        <v>18.2</v>
      </c>
    </row>
    <row r="575" spans="31:37" x14ac:dyDescent="0.25">
      <c r="AE575" s="43" t="s">
        <v>120</v>
      </c>
      <c r="AF575" s="43" t="s">
        <v>26</v>
      </c>
      <c r="AG575" s="43" t="s">
        <v>39</v>
      </c>
      <c r="AH575">
        <v>2</v>
      </c>
      <c r="AI575" t="s">
        <v>273</v>
      </c>
      <c r="AJ575" s="43" t="s">
        <v>308</v>
      </c>
      <c r="AK575">
        <v>0</v>
      </c>
    </row>
    <row r="576" spans="31:37" x14ac:dyDescent="0.25">
      <c r="AE576" s="43" t="s">
        <v>120</v>
      </c>
      <c r="AF576" s="43" t="s">
        <v>26</v>
      </c>
      <c r="AG576" s="43" t="s">
        <v>39</v>
      </c>
      <c r="AH576">
        <v>2</v>
      </c>
      <c r="AI576" t="s">
        <v>273</v>
      </c>
      <c r="AJ576" s="43" t="s">
        <v>309</v>
      </c>
      <c r="AK576">
        <v>0</v>
      </c>
    </row>
    <row r="577" spans="31:37" x14ac:dyDescent="0.25">
      <c r="AE577" s="43" t="s">
        <v>120</v>
      </c>
      <c r="AF577" s="43" t="s">
        <v>26</v>
      </c>
      <c r="AG577" s="43" t="s">
        <v>39</v>
      </c>
      <c r="AH577">
        <v>2</v>
      </c>
      <c r="AI577" t="s">
        <v>273</v>
      </c>
      <c r="AJ577" s="43" t="s">
        <v>268</v>
      </c>
      <c r="AK577">
        <v>0</v>
      </c>
    </row>
    <row r="578" spans="31:37" x14ac:dyDescent="0.25">
      <c r="AE578" s="43" t="s">
        <v>108</v>
      </c>
      <c r="AF578" s="43" t="s">
        <v>60</v>
      </c>
      <c r="AG578" s="43" t="s">
        <v>62</v>
      </c>
      <c r="AH578">
        <v>2</v>
      </c>
      <c r="AI578" t="s">
        <v>317</v>
      </c>
      <c r="AJ578" s="43" t="s">
        <v>308</v>
      </c>
      <c r="AK578">
        <v>0</v>
      </c>
    </row>
    <row r="579" spans="31:37" x14ac:dyDescent="0.25">
      <c r="AE579" s="43" t="s">
        <v>108</v>
      </c>
      <c r="AF579" s="43" t="s">
        <v>60</v>
      </c>
      <c r="AG579" s="43" t="s">
        <v>62</v>
      </c>
      <c r="AH579">
        <v>2</v>
      </c>
      <c r="AI579" t="s">
        <v>317</v>
      </c>
      <c r="AJ579" s="43" t="s">
        <v>309</v>
      </c>
      <c r="AK579">
        <v>0</v>
      </c>
    </row>
    <row r="580" spans="31:37" x14ac:dyDescent="0.25">
      <c r="AE580" s="43" t="s">
        <v>108</v>
      </c>
      <c r="AF580" s="43" t="s">
        <v>60</v>
      </c>
      <c r="AG580" s="43" t="s">
        <v>62</v>
      </c>
      <c r="AH580">
        <v>2</v>
      </c>
      <c r="AI580" t="s">
        <v>317</v>
      </c>
      <c r="AJ580" s="43" t="s">
        <v>268</v>
      </c>
      <c r="AK580">
        <v>0</v>
      </c>
    </row>
    <row r="581" spans="31:37" x14ac:dyDescent="0.25">
      <c r="AE581" s="43" t="s">
        <v>108</v>
      </c>
      <c r="AF581" s="43" t="s">
        <v>60</v>
      </c>
      <c r="AG581" s="43" t="s">
        <v>62</v>
      </c>
      <c r="AH581">
        <v>2</v>
      </c>
      <c r="AI581" t="s">
        <v>325</v>
      </c>
      <c r="AJ581" s="43" t="s">
        <v>308</v>
      </c>
      <c r="AK581">
        <v>2.6</v>
      </c>
    </row>
    <row r="582" spans="31:37" x14ac:dyDescent="0.25">
      <c r="AE582" s="43" t="s">
        <v>108</v>
      </c>
      <c r="AF582" s="43" t="s">
        <v>60</v>
      </c>
      <c r="AG582" s="43" t="s">
        <v>62</v>
      </c>
      <c r="AH582">
        <v>2</v>
      </c>
      <c r="AI582" t="s">
        <v>325</v>
      </c>
      <c r="AJ582" s="43" t="s">
        <v>309</v>
      </c>
      <c r="AK582">
        <v>1.7</v>
      </c>
    </row>
    <row r="583" spans="31:37" x14ac:dyDescent="0.25">
      <c r="AE583" s="43" t="s">
        <v>108</v>
      </c>
      <c r="AF583" s="43" t="s">
        <v>60</v>
      </c>
      <c r="AG583" s="43" t="s">
        <v>62</v>
      </c>
      <c r="AH583">
        <v>2</v>
      </c>
      <c r="AI583" t="s">
        <v>325</v>
      </c>
      <c r="AJ583" s="43" t="s">
        <v>268</v>
      </c>
      <c r="AK583">
        <v>4.3</v>
      </c>
    </row>
    <row r="584" spans="31:37" x14ac:dyDescent="0.25">
      <c r="AE584" s="43" t="s">
        <v>108</v>
      </c>
      <c r="AF584" s="43" t="s">
        <v>60</v>
      </c>
      <c r="AG584" s="43" t="s">
        <v>62</v>
      </c>
      <c r="AH584">
        <v>2</v>
      </c>
      <c r="AI584" t="s">
        <v>330</v>
      </c>
      <c r="AJ584" s="43" t="s">
        <v>308</v>
      </c>
      <c r="AK584">
        <v>2.9</v>
      </c>
    </row>
    <row r="585" spans="31:37" x14ac:dyDescent="0.25">
      <c r="AE585" s="43" t="s">
        <v>108</v>
      </c>
      <c r="AF585" s="43" t="s">
        <v>60</v>
      </c>
      <c r="AG585" s="43" t="s">
        <v>62</v>
      </c>
      <c r="AH585">
        <v>2</v>
      </c>
      <c r="AI585" t="s">
        <v>330</v>
      </c>
      <c r="AJ585" s="43" t="s">
        <v>309</v>
      </c>
      <c r="AK585">
        <v>5.75</v>
      </c>
    </row>
    <row r="586" spans="31:37" x14ac:dyDescent="0.25">
      <c r="AE586" s="43" t="s">
        <v>108</v>
      </c>
      <c r="AF586" s="43" t="s">
        <v>60</v>
      </c>
      <c r="AG586" s="43" t="s">
        <v>62</v>
      </c>
      <c r="AH586">
        <v>2</v>
      </c>
      <c r="AI586" t="s">
        <v>330</v>
      </c>
      <c r="AJ586" s="43" t="s">
        <v>268</v>
      </c>
      <c r="AK586">
        <v>8.65</v>
      </c>
    </row>
    <row r="587" spans="31:37" x14ac:dyDescent="0.25">
      <c r="AE587" s="43" t="s">
        <v>108</v>
      </c>
      <c r="AF587" s="43" t="s">
        <v>60</v>
      </c>
      <c r="AG587" s="43" t="s">
        <v>62</v>
      </c>
      <c r="AH587">
        <v>2</v>
      </c>
      <c r="AI587" t="s">
        <v>331</v>
      </c>
      <c r="AJ587" s="43" t="s">
        <v>308</v>
      </c>
      <c r="AK587">
        <v>0</v>
      </c>
    </row>
    <row r="588" spans="31:37" x14ac:dyDescent="0.25">
      <c r="AE588" s="43" t="s">
        <v>108</v>
      </c>
      <c r="AF588" s="43" t="s">
        <v>60</v>
      </c>
      <c r="AG588" s="43" t="s">
        <v>62</v>
      </c>
      <c r="AH588">
        <v>2</v>
      </c>
      <c r="AI588" t="s">
        <v>331</v>
      </c>
      <c r="AJ588" s="43" t="s">
        <v>309</v>
      </c>
      <c r="AK588">
        <v>0</v>
      </c>
    </row>
    <row r="589" spans="31:37" x14ac:dyDescent="0.25">
      <c r="AE589" s="43" t="s">
        <v>108</v>
      </c>
      <c r="AF589" s="43" t="s">
        <v>60</v>
      </c>
      <c r="AG589" s="43" t="s">
        <v>62</v>
      </c>
      <c r="AH589">
        <v>2</v>
      </c>
      <c r="AI589" t="s">
        <v>331</v>
      </c>
      <c r="AJ589" s="43" t="s">
        <v>268</v>
      </c>
      <c r="AK589">
        <v>0</v>
      </c>
    </row>
    <row r="590" spans="31:37" x14ac:dyDescent="0.25">
      <c r="AE590" s="43" t="s">
        <v>108</v>
      </c>
      <c r="AF590" s="43" t="s">
        <v>60</v>
      </c>
      <c r="AG590" s="43" t="s">
        <v>62</v>
      </c>
      <c r="AH590">
        <v>2</v>
      </c>
      <c r="AI590" t="s">
        <v>341</v>
      </c>
      <c r="AJ590" s="43" t="s">
        <v>308</v>
      </c>
      <c r="AK590">
        <v>5.5</v>
      </c>
    </row>
    <row r="591" spans="31:37" x14ac:dyDescent="0.25">
      <c r="AE591" s="43" t="s">
        <v>108</v>
      </c>
      <c r="AF591" s="43" t="s">
        <v>60</v>
      </c>
      <c r="AG591" s="43" t="s">
        <v>62</v>
      </c>
      <c r="AH591">
        <v>2</v>
      </c>
      <c r="AI591" t="s">
        <v>341</v>
      </c>
      <c r="AJ591" s="43" t="s">
        <v>309</v>
      </c>
      <c r="AK591">
        <v>7.45</v>
      </c>
    </row>
    <row r="592" spans="31:37" x14ac:dyDescent="0.25">
      <c r="AE592" s="43" t="s">
        <v>108</v>
      </c>
      <c r="AF592" s="43" t="s">
        <v>60</v>
      </c>
      <c r="AG592" s="43" t="s">
        <v>62</v>
      </c>
      <c r="AH592">
        <v>2</v>
      </c>
      <c r="AI592" t="s">
        <v>341</v>
      </c>
      <c r="AJ592" s="43" t="s">
        <v>268</v>
      </c>
      <c r="AK592">
        <v>12.95</v>
      </c>
    </row>
    <row r="593" spans="31:37" x14ac:dyDescent="0.25">
      <c r="AE593" s="43" t="s">
        <v>108</v>
      </c>
      <c r="AF593" s="43" t="s">
        <v>60</v>
      </c>
      <c r="AG593" s="43" t="s">
        <v>62</v>
      </c>
      <c r="AH593">
        <v>2</v>
      </c>
      <c r="AI593" t="s">
        <v>273</v>
      </c>
      <c r="AJ593" s="43" t="s">
        <v>308</v>
      </c>
      <c r="AK593">
        <v>0</v>
      </c>
    </row>
    <row r="594" spans="31:37" x14ac:dyDescent="0.25">
      <c r="AE594" s="43" t="s">
        <v>108</v>
      </c>
      <c r="AF594" s="43" t="s">
        <v>60</v>
      </c>
      <c r="AG594" s="43" t="s">
        <v>62</v>
      </c>
      <c r="AH594">
        <v>2</v>
      </c>
      <c r="AI594" t="s">
        <v>273</v>
      </c>
      <c r="AJ594" s="43" t="s">
        <v>309</v>
      </c>
      <c r="AK594">
        <v>0</v>
      </c>
    </row>
    <row r="595" spans="31:37" x14ac:dyDescent="0.25">
      <c r="AE595" s="43" t="s">
        <v>108</v>
      </c>
      <c r="AF595" s="43" t="s">
        <v>60</v>
      </c>
      <c r="AG595" s="43" t="s">
        <v>62</v>
      </c>
      <c r="AH595">
        <v>2</v>
      </c>
      <c r="AI595" t="s">
        <v>273</v>
      </c>
      <c r="AJ595" s="43" t="s">
        <v>268</v>
      </c>
      <c r="AK595">
        <v>0</v>
      </c>
    </row>
    <row r="596" spans="31:37" x14ac:dyDescent="0.25">
      <c r="AE596" s="43" t="s">
        <v>118</v>
      </c>
      <c r="AF596" s="43" t="s">
        <v>60</v>
      </c>
      <c r="AG596" s="43" t="s">
        <v>31</v>
      </c>
      <c r="AH596">
        <v>1</v>
      </c>
      <c r="AI596" t="s">
        <v>317</v>
      </c>
      <c r="AJ596" s="43" t="s">
        <v>308</v>
      </c>
      <c r="AK596">
        <v>0</v>
      </c>
    </row>
    <row r="597" spans="31:37" x14ac:dyDescent="0.25">
      <c r="AE597" s="43" t="s">
        <v>118</v>
      </c>
      <c r="AF597" s="43" t="s">
        <v>60</v>
      </c>
      <c r="AG597" s="43" t="s">
        <v>31</v>
      </c>
      <c r="AH597">
        <v>1</v>
      </c>
      <c r="AI597" t="s">
        <v>317</v>
      </c>
      <c r="AJ597" s="43" t="s">
        <v>309</v>
      </c>
      <c r="AK597">
        <v>0</v>
      </c>
    </row>
    <row r="598" spans="31:37" x14ac:dyDescent="0.25">
      <c r="AE598" s="43" t="s">
        <v>118</v>
      </c>
      <c r="AF598" s="43" t="s">
        <v>60</v>
      </c>
      <c r="AG598" s="43" t="s">
        <v>31</v>
      </c>
      <c r="AH598">
        <v>1</v>
      </c>
      <c r="AI598" t="s">
        <v>317</v>
      </c>
      <c r="AJ598" s="43" t="s">
        <v>268</v>
      </c>
      <c r="AK598">
        <v>0</v>
      </c>
    </row>
    <row r="599" spans="31:37" x14ac:dyDescent="0.25">
      <c r="AE599" s="43" t="s">
        <v>118</v>
      </c>
      <c r="AF599" s="43" t="s">
        <v>60</v>
      </c>
      <c r="AG599" s="43" t="s">
        <v>31</v>
      </c>
      <c r="AH599">
        <v>1</v>
      </c>
      <c r="AI599" t="s">
        <v>325</v>
      </c>
      <c r="AJ599" s="43" t="s">
        <v>308</v>
      </c>
      <c r="AK599">
        <v>0</v>
      </c>
    </row>
    <row r="600" spans="31:37" x14ac:dyDescent="0.25">
      <c r="AE600" s="43" t="s">
        <v>118</v>
      </c>
      <c r="AF600" s="43" t="s">
        <v>60</v>
      </c>
      <c r="AG600" s="43" t="s">
        <v>31</v>
      </c>
      <c r="AH600">
        <v>1</v>
      </c>
      <c r="AI600" t="s">
        <v>325</v>
      </c>
      <c r="AJ600" s="43" t="s">
        <v>309</v>
      </c>
      <c r="AK600">
        <v>0</v>
      </c>
    </row>
    <row r="601" spans="31:37" x14ac:dyDescent="0.25">
      <c r="AE601" s="43" t="s">
        <v>118</v>
      </c>
      <c r="AF601" s="43" t="s">
        <v>60</v>
      </c>
      <c r="AG601" s="43" t="s">
        <v>31</v>
      </c>
      <c r="AH601">
        <v>1</v>
      </c>
      <c r="AI601" t="s">
        <v>325</v>
      </c>
      <c r="AJ601" s="43" t="s">
        <v>268</v>
      </c>
      <c r="AK601">
        <v>0</v>
      </c>
    </row>
    <row r="602" spans="31:37" x14ac:dyDescent="0.25">
      <c r="AE602" s="43" t="s">
        <v>118</v>
      </c>
      <c r="AF602" s="43" t="s">
        <v>60</v>
      </c>
      <c r="AG602" s="43" t="s">
        <v>31</v>
      </c>
      <c r="AH602">
        <v>1</v>
      </c>
      <c r="AI602" t="s">
        <v>330</v>
      </c>
      <c r="AJ602" s="43" t="s">
        <v>308</v>
      </c>
      <c r="AK602">
        <v>4</v>
      </c>
    </row>
    <row r="603" spans="31:37" x14ac:dyDescent="0.25">
      <c r="AE603" s="43" t="s">
        <v>118</v>
      </c>
      <c r="AF603" s="43" t="s">
        <v>60</v>
      </c>
      <c r="AG603" s="43" t="s">
        <v>31</v>
      </c>
      <c r="AH603">
        <v>1</v>
      </c>
      <c r="AI603" t="s">
        <v>330</v>
      </c>
      <c r="AJ603" s="43" t="s">
        <v>309</v>
      </c>
      <c r="AK603">
        <v>7.65</v>
      </c>
    </row>
    <row r="604" spans="31:37" x14ac:dyDescent="0.25">
      <c r="AE604" s="43" t="s">
        <v>118</v>
      </c>
      <c r="AF604" s="43" t="s">
        <v>60</v>
      </c>
      <c r="AG604" s="43" t="s">
        <v>31</v>
      </c>
      <c r="AH604">
        <v>1</v>
      </c>
      <c r="AI604" t="s">
        <v>330</v>
      </c>
      <c r="AJ604" s="43" t="s">
        <v>268</v>
      </c>
      <c r="AK604">
        <v>11.65</v>
      </c>
    </row>
    <row r="605" spans="31:37" x14ac:dyDescent="0.25">
      <c r="AE605" s="43" t="s">
        <v>118</v>
      </c>
      <c r="AF605" s="43" t="s">
        <v>60</v>
      </c>
      <c r="AG605" s="43" t="s">
        <v>31</v>
      </c>
      <c r="AH605">
        <v>1</v>
      </c>
      <c r="AI605" t="s">
        <v>331</v>
      </c>
      <c r="AJ605" s="43" t="s">
        <v>308</v>
      </c>
      <c r="AK605">
        <v>0</v>
      </c>
    </row>
    <row r="606" spans="31:37" x14ac:dyDescent="0.25">
      <c r="AE606" s="43" t="s">
        <v>118</v>
      </c>
      <c r="AF606" s="43" t="s">
        <v>60</v>
      </c>
      <c r="AG606" s="43" t="s">
        <v>31</v>
      </c>
      <c r="AH606">
        <v>1</v>
      </c>
      <c r="AI606" t="s">
        <v>331</v>
      </c>
      <c r="AJ606" s="43" t="s">
        <v>309</v>
      </c>
      <c r="AK606">
        <v>0</v>
      </c>
    </row>
    <row r="607" spans="31:37" x14ac:dyDescent="0.25">
      <c r="AE607" s="43" t="s">
        <v>118</v>
      </c>
      <c r="AF607" s="43" t="s">
        <v>60</v>
      </c>
      <c r="AG607" s="43" t="s">
        <v>31</v>
      </c>
      <c r="AH607">
        <v>1</v>
      </c>
      <c r="AI607" t="s">
        <v>331</v>
      </c>
      <c r="AJ607" s="43" t="s">
        <v>268</v>
      </c>
      <c r="AK607">
        <v>0</v>
      </c>
    </row>
    <row r="608" spans="31:37" x14ac:dyDescent="0.25">
      <c r="AE608" s="43" t="s">
        <v>118</v>
      </c>
      <c r="AF608" s="43" t="s">
        <v>60</v>
      </c>
      <c r="AG608" s="43" t="s">
        <v>31</v>
      </c>
      <c r="AH608">
        <v>1</v>
      </c>
      <c r="AI608" t="s">
        <v>341</v>
      </c>
      <c r="AJ608" s="43" t="s">
        <v>308</v>
      </c>
      <c r="AK608">
        <v>4</v>
      </c>
    </row>
    <row r="609" spans="31:37" x14ac:dyDescent="0.25">
      <c r="AE609" s="43" t="s">
        <v>118</v>
      </c>
      <c r="AF609" s="43" t="s">
        <v>60</v>
      </c>
      <c r="AG609" s="43" t="s">
        <v>31</v>
      </c>
      <c r="AH609">
        <v>1</v>
      </c>
      <c r="AI609" t="s">
        <v>341</v>
      </c>
      <c r="AJ609" s="43" t="s">
        <v>309</v>
      </c>
      <c r="AK609">
        <v>7.65</v>
      </c>
    </row>
    <row r="610" spans="31:37" x14ac:dyDescent="0.25">
      <c r="AE610" s="43" t="s">
        <v>118</v>
      </c>
      <c r="AF610" s="43" t="s">
        <v>60</v>
      </c>
      <c r="AG610" s="43" t="s">
        <v>31</v>
      </c>
      <c r="AH610">
        <v>1</v>
      </c>
      <c r="AI610" t="s">
        <v>341</v>
      </c>
      <c r="AJ610" s="43" t="s">
        <v>268</v>
      </c>
      <c r="AK610">
        <v>11.65</v>
      </c>
    </row>
    <row r="611" spans="31:37" x14ac:dyDescent="0.25">
      <c r="AE611" s="43" t="s">
        <v>118</v>
      </c>
      <c r="AF611" s="43" t="s">
        <v>60</v>
      </c>
      <c r="AG611" s="43" t="s">
        <v>31</v>
      </c>
      <c r="AH611">
        <v>1</v>
      </c>
      <c r="AI611" t="s">
        <v>273</v>
      </c>
      <c r="AJ611" s="43" t="s">
        <v>308</v>
      </c>
      <c r="AK611">
        <v>0</v>
      </c>
    </row>
    <row r="612" spans="31:37" x14ac:dyDescent="0.25">
      <c r="AE612" s="43" t="s">
        <v>118</v>
      </c>
      <c r="AF612" s="43" t="s">
        <v>60</v>
      </c>
      <c r="AG612" s="43" t="s">
        <v>31</v>
      </c>
      <c r="AH612">
        <v>1</v>
      </c>
      <c r="AI612" t="s">
        <v>273</v>
      </c>
      <c r="AJ612" s="43" t="s">
        <v>309</v>
      </c>
      <c r="AK612">
        <v>0</v>
      </c>
    </row>
    <row r="613" spans="31:37" x14ac:dyDescent="0.25">
      <c r="AE613" s="43" t="s">
        <v>118</v>
      </c>
      <c r="AF613" s="43" t="s">
        <v>60</v>
      </c>
      <c r="AG613" s="43" t="s">
        <v>31</v>
      </c>
      <c r="AH613">
        <v>1</v>
      </c>
      <c r="AI613" t="s">
        <v>273</v>
      </c>
      <c r="AJ613" s="43" t="s">
        <v>268</v>
      </c>
      <c r="AK613">
        <v>0</v>
      </c>
    </row>
    <row r="614" spans="31:37" x14ac:dyDescent="0.25">
      <c r="AE614" s="43" t="s">
        <v>57</v>
      </c>
      <c r="AF614" s="43" t="s">
        <v>26</v>
      </c>
      <c r="AG614" s="43" t="s">
        <v>36</v>
      </c>
      <c r="AH614">
        <v>1</v>
      </c>
      <c r="AI614" t="s">
        <v>317</v>
      </c>
      <c r="AJ614" s="43" t="s">
        <v>308</v>
      </c>
      <c r="AK614">
        <v>2.8</v>
      </c>
    </row>
    <row r="615" spans="31:37" x14ac:dyDescent="0.25">
      <c r="AE615" s="43" t="s">
        <v>57</v>
      </c>
      <c r="AF615" s="43" t="s">
        <v>26</v>
      </c>
      <c r="AG615" s="43" t="s">
        <v>36</v>
      </c>
      <c r="AH615">
        <v>1</v>
      </c>
      <c r="AI615" t="s">
        <v>317</v>
      </c>
      <c r="AJ615" s="43" t="s">
        <v>309</v>
      </c>
      <c r="AK615">
        <v>8.1</v>
      </c>
    </row>
    <row r="616" spans="31:37" x14ac:dyDescent="0.25">
      <c r="AE616" s="43" t="s">
        <v>57</v>
      </c>
      <c r="AF616" s="43" t="s">
        <v>26</v>
      </c>
      <c r="AG616" s="43" t="s">
        <v>36</v>
      </c>
      <c r="AH616">
        <v>1</v>
      </c>
      <c r="AI616" t="s">
        <v>317</v>
      </c>
      <c r="AJ616" s="43" t="s">
        <v>268</v>
      </c>
      <c r="AK616">
        <v>10.9</v>
      </c>
    </row>
    <row r="617" spans="31:37" x14ac:dyDescent="0.25">
      <c r="AE617" s="43" t="s">
        <v>57</v>
      </c>
      <c r="AF617" s="43" t="s">
        <v>26</v>
      </c>
      <c r="AG617" s="43" t="s">
        <v>36</v>
      </c>
      <c r="AH617">
        <v>1</v>
      </c>
      <c r="AI617" t="s">
        <v>325</v>
      </c>
      <c r="AJ617" s="43" t="s">
        <v>308</v>
      </c>
      <c r="AK617">
        <v>0</v>
      </c>
    </row>
    <row r="618" spans="31:37" x14ac:dyDescent="0.25">
      <c r="AE618" s="43" t="s">
        <v>57</v>
      </c>
      <c r="AF618" s="43" t="s">
        <v>26</v>
      </c>
      <c r="AG618" s="43" t="s">
        <v>36</v>
      </c>
      <c r="AH618">
        <v>1</v>
      </c>
      <c r="AI618" t="s">
        <v>325</v>
      </c>
      <c r="AJ618" s="43" t="s">
        <v>309</v>
      </c>
      <c r="AK618">
        <v>0</v>
      </c>
    </row>
    <row r="619" spans="31:37" x14ac:dyDescent="0.25">
      <c r="AE619" s="43" t="s">
        <v>57</v>
      </c>
      <c r="AF619" s="43" t="s">
        <v>26</v>
      </c>
      <c r="AG619" s="43" t="s">
        <v>36</v>
      </c>
      <c r="AH619">
        <v>1</v>
      </c>
      <c r="AI619" t="s">
        <v>325</v>
      </c>
      <c r="AJ619" s="43" t="s">
        <v>268</v>
      </c>
      <c r="AK619">
        <v>0</v>
      </c>
    </row>
    <row r="620" spans="31:37" x14ac:dyDescent="0.25">
      <c r="AE620" s="43" t="s">
        <v>57</v>
      </c>
      <c r="AF620" s="43" t="s">
        <v>26</v>
      </c>
      <c r="AG620" s="43" t="s">
        <v>36</v>
      </c>
      <c r="AH620">
        <v>1</v>
      </c>
      <c r="AI620" t="s">
        <v>330</v>
      </c>
      <c r="AJ620" s="43" t="s">
        <v>308</v>
      </c>
      <c r="AK620">
        <v>0</v>
      </c>
    </row>
    <row r="621" spans="31:37" x14ac:dyDescent="0.25">
      <c r="AE621" s="43" t="s">
        <v>57</v>
      </c>
      <c r="AF621" s="43" t="s">
        <v>26</v>
      </c>
      <c r="AG621" s="43" t="s">
        <v>36</v>
      </c>
      <c r="AH621">
        <v>1</v>
      </c>
      <c r="AI621" t="s">
        <v>330</v>
      </c>
      <c r="AJ621" s="43" t="s">
        <v>309</v>
      </c>
      <c r="AK621">
        <v>0</v>
      </c>
    </row>
    <row r="622" spans="31:37" x14ac:dyDescent="0.25">
      <c r="AE622" s="43" t="s">
        <v>57</v>
      </c>
      <c r="AF622" s="43" t="s">
        <v>26</v>
      </c>
      <c r="AG622" s="43" t="s">
        <v>36</v>
      </c>
      <c r="AH622">
        <v>1</v>
      </c>
      <c r="AI622" t="s">
        <v>330</v>
      </c>
      <c r="AJ622" s="43" t="s">
        <v>268</v>
      </c>
      <c r="AK622">
        <v>0</v>
      </c>
    </row>
    <row r="623" spans="31:37" x14ac:dyDescent="0.25">
      <c r="AE623" s="43" t="s">
        <v>57</v>
      </c>
      <c r="AF623" s="43" t="s">
        <v>26</v>
      </c>
      <c r="AG623" s="43" t="s">
        <v>36</v>
      </c>
      <c r="AH623">
        <v>1</v>
      </c>
      <c r="AI623" t="s">
        <v>331</v>
      </c>
      <c r="AJ623" s="43" t="s">
        <v>308</v>
      </c>
      <c r="AK623">
        <v>0</v>
      </c>
    </row>
    <row r="624" spans="31:37" x14ac:dyDescent="0.25">
      <c r="AE624" s="43" t="s">
        <v>57</v>
      </c>
      <c r="AF624" s="43" t="s">
        <v>26</v>
      </c>
      <c r="AG624" s="43" t="s">
        <v>36</v>
      </c>
      <c r="AH624">
        <v>1</v>
      </c>
      <c r="AI624" t="s">
        <v>331</v>
      </c>
      <c r="AJ624" s="43" t="s">
        <v>309</v>
      </c>
      <c r="AK624">
        <v>0</v>
      </c>
    </row>
    <row r="625" spans="31:37" x14ac:dyDescent="0.25">
      <c r="AE625" s="43" t="s">
        <v>57</v>
      </c>
      <c r="AF625" s="43" t="s">
        <v>26</v>
      </c>
      <c r="AG625" s="43" t="s">
        <v>36</v>
      </c>
      <c r="AH625">
        <v>1</v>
      </c>
      <c r="AI625" t="s">
        <v>331</v>
      </c>
      <c r="AJ625" s="43" t="s">
        <v>268</v>
      </c>
      <c r="AK625">
        <v>0</v>
      </c>
    </row>
    <row r="626" spans="31:37" x14ac:dyDescent="0.25">
      <c r="AE626" s="43" t="s">
        <v>57</v>
      </c>
      <c r="AF626" s="43" t="s">
        <v>26</v>
      </c>
      <c r="AG626" s="43" t="s">
        <v>36</v>
      </c>
      <c r="AH626">
        <v>1</v>
      </c>
      <c r="AI626" t="s">
        <v>341</v>
      </c>
      <c r="AJ626" s="43" t="s">
        <v>308</v>
      </c>
      <c r="AK626">
        <v>2.8</v>
      </c>
    </row>
    <row r="627" spans="31:37" x14ac:dyDescent="0.25">
      <c r="AE627" s="43" t="s">
        <v>57</v>
      </c>
      <c r="AF627" s="43" t="s">
        <v>26</v>
      </c>
      <c r="AG627" s="43" t="s">
        <v>36</v>
      </c>
      <c r="AH627">
        <v>1</v>
      </c>
      <c r="AI627" t="s">
        <v>341</v>
      </c>
      <c r="AJ627" s="43" t="s">
        <v>309</v>
      </c>
      <c r="AK627">
        <v>8.1</v>
      </c>
    </row>
    <row r="628" spans="31:37" x14ac:dyDescent="0.25">
      <c r="AE628" s="43" t="s">
        <v>57</v>
      </c>
      <c r="AF628" s="43" t="s">
        <v>26</v>
      </c>
      <c r="AG628" s="43" t="s">
        <v>36</v>
      </c>
      <c r="AH628">
        <v>1</v>
      </c>
      <c r="AI628" t="s">
        <v>341</v>
      </c>
      <c r="AJ628" s="43" t="s">
        <v>268</v>
      </c>
      <c r="AK628">
        <v>10.9</v>
      </c>
    </row>
    <row r="629" spans="31:37" x14ac:dyDescent="0.25">
      <c r="AE629" s="43" t="s">
        <v>57</v>
      </c>
      <c r="AF629" s="43" t="s">
        <v>26</v>
      </c>
      <c r="AG629" s="43" t="s">
        <v>36</v>
      </c>
      <c r="AH629">
        <v>1</v>
      </c>
      <c r="AI629" t="s">
        <v>273</v>
      </c>
      <c r="AJ629" s="43" t="s">
        <v>308</v>
      </c>
      <c r="AK629">
        <v>0</v>
      </c>
    </row>
    <row r="630" spans="31:37" x14ac:dyDescent="0.25">
      <c r="AE630" s="43" t="s">
        <v>57</v>
      </c>
      <c r="AF630" s="43" t="s">
        <v>26</v>
      </c>
      <c r="AG630" s="43" t="s">
        <v>36</v>
      </c>
      <c r="AH630">
        <v>1</v>
      </c>
      <c r="AI630" t="s">
        <v>273</v>
      </c>
      <c r="AJ630" s="43" t="s">
        <v>309</v>
      </c>
      <c r="AK630">
        <v>0</v>
      </c>
    </row>
    <row r="631" spans="31:37" x14ac:dyDescent="0.25">
      <c r="AE631" s="43" t="s">
        <v>57</v>
      </c>
      <c r="AF631" s="43" t="s">
        <v>26</v>
      </c>
      <c r="AG631" s="43" t="s">
        <v>36</v>
      </c>
      <c r="AH631">
        <v>1</v>
      </c>
      <c r="AI631" t="s">
        <v>273</v>
      </c>
      <c r="AJ631" s="43" t="s">
        <v>268</v>
      </c>
      <c r="AK631">
        <v>0</v>
      </c>
    </row>
    <row r="632" spans="31:37" x14ac:dyDescent="0.25">
      <c r="AE632" s="43" t="s">
        <v>142</v>
      </c>
      <c r="AF632" s="43" t="s">
        <v>60</v>
      </c>
      <c r="AG632" s="43" t="s">
        <v>62</v>
      </c>
      <c r="AH632">
        <v>1</v>
      </c>
      <c r="AI632" t="s">
        <v>317</v>
      </c>
      <c r="AJ632" s="43" t="s">
        <v>308</v>
      </c>
      <c r="AK632">
        <v>2.7</v>
      </c>
    </row>
    <row r="633" spans="31:37" x14ac:dyDescent="0.25">
      <c r="AE633" s="43" t="s">
        <v>142</v>
      </c>
      <c r="AF633" s="43" t="s">
        <v>60</v>
      </c>
      <c r="AG633" s="43" t="s">
        <v>62</v>
      </c>
      <c r="AH633">
        <v>1</v>
      </c>
      <c r="AI633" t="s">
        <v>317</v>
      </c>
      <c r="AJ633" s="43" t="s">
        <v>309</v>
      </c>
      <c r="AK633">
        <v>8</v>
      </c>
    </row>
    <row r="634" spans="31:37" x14ac:dyDescent="0.25">
      <c r="AE634" s="43" t="s">
        <v>142</v>
      </c>
      <c r="AF634" s="43" t="s">
        <v>60</v>
      </c>
      <c r="AG634" s="43" t="s">
        <v>62</v>
      </c>
      <c r="AH634">
        <v>1</v>
      </c>
      <c r="AI634" t="s">
        <v>317</v>
      </c>
      <c r="AJ634" s="43" t="s">
        <v>268</v>
      </c>
      <c r="AK634">
        <v>10.7</v>
      </c>
    </row>
    <row r="635" spans="31:37" x14ac:dyDescent="0.25">
      <c r="AE635" s="43" t="s">
        <v>142</v>
      </c>
      <c r="AF635" s="43" t="s">
        <v>60</v>
      </c>
      <c r="AG635" s="43" t="s">
        <v>62</v>
      </c>
      <c r="AH635">
        <v>1</v>
      </c>
      <c r="AI635" t="s">
        <v>325</v>
      </c>
      <c r="AJ635" s="43" t="s">
        <v>308</v>
      </c>
      <c r="AK635">
        <v>0</v>
      </c>
    </row>
    <row r="636" spans="31:37" x14ac:dyDescent="0.25">
      <c r="AE636" s="43" t="s">
        <v>142</v>
      </c>
      <c r="AF636" s="43" t="s">
        <v>60</v>
      </c>
      <c r="AG636" s="43" t="s">
        <v>62</v>
      </c>
      <c r="AH636">
        <v>1</v>
      </c>
      <c r="AI636" t="s">
        <v>325</v>
      </c>
      <c r="AJ636" s="43" t="s">
        <v>309</v>
      </c>
      <c r="AK636">
        <v>0</v>
      </c>
    </row>
    <row r="637" spans="31:37" x14ac:dyDescent="0.25">
      <c r="AE637" s="43" t="s">
        <v>142</v>
      </c>
      <c r="AF637" s="43" t="s">
        <v>60</v>
      </c>
      <c r="AG637" s="43" t="s">
        <v>62</v>
      </c>
      <c r="AH637">
        <v>1</v>
      </c>
      <c r="AI637" t="s">
        <v>325</v>
      </c>
      <c r="AJ637" s="43" t="s">
        <v>268</v>
      </c>
      <c r="AK637">
        <v>0</v>
      </c>
    </row>
    <row r="638" spans="31:37" x14ac:dyDescent="0.25">
      <c r="AE638" s="43" t="s">
        <v>142</v>
      </c>
      <c r="AF638" s="43" t="s">
        <v>60</v>
      </c>
      <c r="AG638" s="43" t="s">
        <v>62</v>
      </c>
      <c r="AH638">
        <v>1</v>
      </c>
      <c r="AI638" t="s">
        <v>330</v>
      </c>
      <c r="AJ638" s="43" t="s">
        <v>308</v>
      </c>
      <c r="AK638">
        <v>0</v>
      </c>
    </row>
    <row r="639" spans="31:37" x14ac:dyDescent="0.25">
      <c r="AE639" s="43" t="s">
        <v>142</v>
      </c>
      <c r="AF639" s="43" t="s">
        <v>60</v>
      </c>
      <c r="AG639" s="43" t="s">
        <v>62</v>
      </c>
      <c r="AH639">
        <v>1</v>
      </c>
      <c r="AI639" t="s">
        <v>330</v>
      </c>
      <c r="AJ639" s="43" t="s">
        <v>309</v>
      </c>
      <c r="AK639">
        <v>0</v>
      </c>
    </row>
    <row r="640" spans="31:37" x14ac:dyDescent="0.25">
      <c r="AE640" s="43" t="s">
        <v>142</v>
      </c>
      <c r="AF640" s="43" t="s">
        <v>60</v>
      </c>
      <c r="AG640" s="43" t="s">
        <v>62</v>
      </c>
      <c r="AH640">
        <v>1</v>
      </c>
      <c r="AI640" t="s">
        <v>330</v>
      </c>
      <c r="AJ640" s="43" t="s">
        <v>268</v>
      </c>
      <c r="AK640">
        <v>0</v>
      </c>
    </row>
    <row r="641" spans="31:37" x14ac:dyDescent="0.25">
      <c r="AE641" s="43" t="s">
        <v>142</v>
      </c>
      <c r="AF641" s="43" t="s">
        <v>60</v>
      </c>
      <c r="AG641" s="43" t="s">
        <v>62</v>
      </c>
      <c r="AH641">
        <v>1</v>
      </c>
      <c r="AI641" t="s">
        <v>331</v>
      </c>
      <c r="AJ641" s="43" t="s">
        <v>308</v>
      </c>
      <c r="AK641">
        <v>0</v>
      </c>
    </row>
    <row r="642" spans="31:37" x14ac:dyDescent="0.25">
      <c r="AE642" s="43" t="s">
        <v>142</v>
      </c>
      <c r="AF642" s="43" t="s">
        <v>60</v>
      </c>
      <c r="AG642" s="43" t="s">
        <v>62</v>
      </c>
      <c r="AH642">
        <v>1</v>
      </c>
      <c r="AI642" t="s">
        <v>331</v>
      </c>
      <c r="AJ642" s="43" t="s">
        <v>309</v>
      </c>
      <c r="AK642">
        <v>0</v>
      </c>
    </row>
    <row r="643" spans="31:37" x14ac:dyDescent="0.25">
      <c r="AE643" s="43" t="s">
        <v>142</v>
      </c>
      <c r="AF643" s="43" t="s">
        <v>60</v>
      </c>
      <c r="AG643" s="43" t="s">
        <v>62</v>
      </c>
      <c r="AH643">
        <v>1</v>
      </c>
      <c r="AI643" t="s">
        <v>331</v>
      </c>
      <c r="AJ643" s="43" t="s">
        <v>268</v>
      </c>
      <c r="AK643">
        <v>0</v>
      </c>
    </row>
    <row r="644" spans="31:37" x14ac:dyDescent="0.25">
      <c r="AE644" s="43" t="s">
        <v>142</v>
      </c>
      <c r="AF644" s="43" t="s">
        <v>60</v>
      </c>
      <c r="AG644" s="43" t="s">
        <v>62</v>
      </c>
      <c r="AH644">
        <v>1</v>
      </c>
      <c r="AI644" t="s">
        <v>341</v>
      </c>
      <c r="AJ644" s="43" t="s">
        <v>308</v>
      </c>
      <c r="AK644">
        <v>2.7</v>
      </c>
    </row>
    <row r="645" spans="31:37" x14ac:dyDescent="0.25">
      <c r="AE645" s="43" t="s">
        <v>142</v>
      </c>
      <c r="AF645" s="43" t="s">
        <v>60</v>
      </c>
      <c r="AG645" s="43" t="s">
        <v>62</v>
      </c>
      <c r="AH645">
        <v>1</v>
      </c>
      <c r="AI645" t="s">
        <v>341</v>
      </c>
      <c r="AJ645" s="43" t="s">
        <v>309</v>
      </c>
      <c r="AK645">
        <v>8</v>
      </c>
    </row>
    <row r="646" spans="31:37" x14ac:dyDescent="0.25">
      <c r="AE646" s="43" t="s">
        <v>142</v>
      </c>
      <c r="AF646" s="43" t="s">
        <v>60</v>
      </c>
      <c r="AG646" s="43" t="s">
        <v>62</v>
      </c>
      <c r="AH646">
        <v>1</v>
      </c>
      <c r="AI646" t="s">
        <v>341</v>
      </c>
      <c r="AJ646" s="43" t="s">
        <v>268</v>
      </c>
      <c r="AK646">
        <v>10.7</v>
      </c>
    </row>
    <row r="647" spans="31:37" x14ac:dyDescent="0.25">
      <c r="AE647" s="43" t="s">
        <v>142</v>
      </c>
      <c r="AF647" s="43" t="s">
        <v>60</v>
      </c>
      <c r="AG647" s="43" t="s">
        <v>62</v>
      </c>
      <c r="AH647">
        <v>1</v>
      </c>
      <c r="AI647" t="s">
        <v>273</v>
      </c>
      <c r="AJ647" s="43" t="s">
        <v>308</v>
      </c>
      <c r="AK647">
        <v>0</v>
      </c>
    </row>
    <row r="648" spans="31:37" x14ac:dyDescent="0.25">
      <c r="AE648" s="43" t="s">
        <v>142</v>
      </c>
      <c r="AF648" s="43" t="s">
        <v>60</v>
      </c>
      <c r="AG648" s="43" t="s">
        <v>62</v>
      </c>
      <c r="AH648">
        <v>1</v>
      </c>
      <c r="AI648" t="s">
        <v>273</v>
      </c>
      <c r="AJ648" s="43" t="s">
        <v>309</v>
      </c>
      <c r="AK648">
        <v>0</v>
      </c>
    </row>
    <row r="649" spans="31:37" x14ac:dyDescent="0.25">
      <c r="AE649" s="43" t="s">
        <v>142</v>
      </c>
      <c r="AF649" s="43" t="s">
        <v>60</v>
      </c>
      <c r="AG649" s="43" t="s">
        <v>62</v>
      </c>
      <c r="AH649">
        <v>1</v>
      </c>
      <c r="AI649" t="s">
        <v>273</v>
      </c>
      <c r="AJ649" s="43" t="s">
        <v>268</v>
      </c>
      <c r="AK649">
        <v>0</v>
      </c>
    </row>
    <row r="650" spans="31:37" x14ac:dyDescent="0.25">
      <c r="AE650" s="43" t="s">
        <v>102</v>
      </c>
      <c r="AF650" s="43" t="s">
        <v>60</v>
      </c>
      <c r="AG650" s="43" t="s">
        <v>31</v>
      </c>
      <c r="AH650">
        <v>1</v>
      </c>
      <c r="AI650" t="s">
        <v>317</v>
      </c>
      <c r="AJ650" s="43" t="s">
        <v>308</v>
      </c>
      <c r="AK650">
        <v>0</v>
      </c>
    </row>
    <row r="651" spans="31:37" x14ac:dyDescent="0.25">
      <c r="AE651" s="43" t="s">
        <v>102</v>
      </c>
      <c r="AF651" s="43" t="s">
        <v>60</v>
      </c>
      <c r="AG651" s="43" t="s">
        <v>31</v>
      </c>
      <c r="AH651">
        <v>1</v>
      </c>
      <c r="AI651" t="s">
        <v>317</v>
      </c>
      <c r="AJ651" s="43" t="s">
        <v>309</v>
      </c>
      <c r="AK651">
        <v>0</v>
      </c>
    </row>
    <row r="652" spans="31:37" x14ac:dyDescent="0.25">
      <c r="AE652" s="43" t="s">
        <v>102</v>
      </c>
      <c r="AF652" s="43" t="s">
        <v>60</v>
      </c>
      <c r="AG652" s="43" t="s">
        <v>31</v>
      </c>
      <c r="AH652">
        <v>1</v>
      </c>
      <c r="AI652" t="s">
        <v>317</v>
      </c>
      <c r="AJ652" s="43" t="s">
        <v>268</v>
      </c>
      <c r="AK652">
        <v>0</v>
      </c>
    </row>
    <row r="653" spans="31:37" x14ac:dyDescent="0.25">
      <c r="AE653" s="43" t="s">
        <v>102</v>
      </c>
      <c r="AF653" s="43" t="s">
        <v>60</v>
      </c>
      <c r="AG653" s="43" t="s">
        <v>31</v>
      </c>
      <c r="AH653">
        <v>1</v>
      </c>
      <c r="AI653" t="s">
        <v>325</v>
      </c>
      <c r="AJ653" s="43" t="s">
        <v>308</v>
      </c>
      <c r="AK653">
        <v>3.2</v>
      </c>
    </row>
    <row r="654" spans="31:37" x14ac:dyDescent="0.25">
      <c r="AE654" s="43" t="s">
        <v>102</v>
      </c>
      <c r="AF654" s="43" t="s">
        <v>60</v>
      </c>
      <c r="AG654" s="43" t="s">
        <v>31</v>
      </c>
      <c r="AH654">
        <v>1</v>
      </c>
      <c r="AI654" t="s">
        <v>325</v>
      </c>
      <c r="AJ654" s="43" t="s">
        <v>309</v>
      </c>
      <c r="AK654">
        <v>6.9</v>
      </c>
    </row>
    <row r="655" spans="31:37" x14ac:dyDescent="0.25">
      <c r="AE655" s="43" t="s">
        <v>102</v>
      </c>
      <c r="AF655" s="43" t="s">
        <v>60</v>
      </c>
      <c r="AG655" s="43" t="s">
        <v>31</v>
      </c>
      <c r="AH655">
        <v>1</v>
      </c>
      <c r="AI655" t="s">
        <v>325</v>
      </c>
      <c r="AJ655" s="43" t="s">
        <v>268</v>
      </c>
      <c r="AK655">
        <v>10.1</v>
      </c>
    </row>
    <row r="656" spans="31:37" x14ac:dyDescent="0.25">
      <c r="AE656" s="43" t="s">
        <v>102</v>
      </c>
      <c r="AF656" s="43" t="s">
        <v>60</v>
      </c>
      <c r="AG656" s="43" t="s">
        <v>31</v>
      </c>
      <c r="AH656">
        <v>1</v>
      </c>
      <c r="AI656" t="s">
        <v>330</v>
      </c>
      <c r="AJ656" s="43" t="s">
        <v>308</v>
      </c>
      <c r="AK656">
        <v>0</v>
      </c>
    </row>
    <row r="657" spans="31:37" x14ac:dyDescent="0.25">
      <c r="AE657" s="43" t="s">
        <v>102</v>
      </c>
      <c r="AF657" s="43" t="s">
        <v>60</v>
      </c>
      <c r="AG657" s="43" t="s">
        <v>31</v>
      </c>
      <c r="AH657">
        <v>1</v>
      </c>
      <c r="AI657" t="s">
        <v>330</v>
      </c>
      <c r="AJ657" s="43" t="s">
        <v>309</v>
      </c>
      <c r="AK657">
        <v>0</v>
      </c>
    </row>
    <row r="658" spans="31:37" x14ac:dyDescent="0.25">
      <c r="AE658" s="43" t="s">
        <v>102</v>
      </c>
      <c r="AF658" s="43" t="s">
        <v>60</v>
      </c>
      <c r="AG658" s="43" t="s">
        <v>31</v>
      </c>
      <c r="AH658">
        <v>1</v>
      </c>
      <c r="AI658" t="s">
        <v>330</v>
      </c>
      <c r="AJ658" s="43" t="s">
        <v>268</v>
      </c>
      <c r="AK658">
        <v>0</v>
      </c>
    </row>
    <row r="659" spans="31:37" x14ac:dyDescent="0.25">
      <c r="AE659" s="43" t="s">
        <v>102</v>
      </c>
      <c r="AF659" s="43" t="s">
        <v>60</v>
      </c>
      <c r="AG659" s="43" t="s">
        <v>31</v>
      </c>
      <c r="AH659">
        <v>1</v>
      </c>
      <c r="AI659" t="s">
        <v>331</v>
      </c>
      <c r="AJ659" s="43" t="s">
        <v>308</v>
      </c>
      <c r="AK659">
        <v>0</v>
      </c>
    </row>
    <row r="660" spans="31:37" x14ac:dyDescent="0.25">
      <c r="AE660" s="43" t="s">
        <v>102</v>
      </c>
      <c r="AF660" s="43" t="s">
        <v>60</v>
      </c>
      <c r="AG660" s="43" t="s">
        <v>31</v>
      </c>
      <c r="AH660">
        <v>1</v>
      </c>
      <c r="AI660" t="s">
        <v>331</v>
      </c>
      <c r="AJ660" s="43" t="s">
        <v>309</v>
      </c>
      <c r="AK660">
        <v>0</v>
      </c>
    </row>
    <row r="661" spans="31:37" x14ac:dyDescent="0.25">
      <c r="AE661" s="43" t="s">
        <v>102</v>
      </c>
      <c r="AF661" s="43" t="s">
        <v>60</v>
      </c>
      <c r="AG661" s="43" t="s">
        <v>31</v>
      </c>
      <c r="AH661">
        <v>1</v>
      </c>
      <c r="AI661" t="s">
        <v>331</v>
      </c>
      <c r="AJ661" s="43" t="s">
        <v>268</v>
      </c>
      <c r="AK661">
        <v>0</v>
      </c>
    </row>
    <row r="662" spans="31:37" x14ac:dyDescent="0.25">
      <c r="AE662" s="43" t="s">
        <v>102</v>
      </c>
      <c r="AF662" s="43" t="s">
        <v>60</v>
      </c>
      <c r="AG662" s="43" t="s">
        <v>31</v>
      </c>
      <c r="AH662">
        <v>1</v>
      </c>
      <c r="AI662" t="s">
        <v>341</v>
      </c>
      <c r="AJ662" s="43" t="s">
        <v>308</v>
      </c>
      <c r="AK662">
        <v>3.2</v>
      </c>
    </row>
    <row r="663" spans="31:37" x14ac:dyDescent="0.25">
      <c r="AE663" s="43" t="s">
        <v>102</v>
      </c>
      <c r="AF663" s="43" t="s">
        <v>60</v>
      </c>
      <c r="AG663" s="43" t="s">
        <v>31</v>
      </c>
      <c r="AH663">
        <v>1</v>
      </c>
      <c r="AI663" t="s">
        <v>341</v>
      </c>
      <c r="AJ663" s="43" t="s">
        <v>309</v>
      </c>
      <c r="AK663">
        <v>6.9</v>
      </c>
    </row>
    <row r="664" spans="31:37" x14ac:dyDescent="0.25">
      <c r="AE664" s="43" t="s">
        <v>102</v>
      </c>
      <c r="AF664" s="43" t="s">
        <v>60</v>
      </c>
      <c r="AG664" s="43" t="s">
        <v>31</v>
      </c>
      <c r="AH664">
        <v>1</v>
      </c>
      <c r="AI664" t="s">
        <v>341</v>
      </c>
      <c r="AJ664" s="43" t="s">
        <v>268</v>
      </c>
      <c r="AK664">
        <v>10.1</v>
      </c>
    </row>
    <row r="665" spans="31:37" x14ac:dyDescent="0.25">
      <c r="AE665" s="43" t="s">
        <v>102</v>
      </c>
      <c r="AF665" s="43" t="s">
        <v>60</v>
      </c>
      <c r="AG665" s="43" t="s">
        <v>31</v>
      </c>
      <c r="AH665">
        <v>1</v>
      </c>
      <c r="AI665" t="s">
        <v>273</v>
      </c>
      <c r="AJ665" s="43" t="s">
        <v>308</v>
      </c>
      <c r="AK665">
        <v>0</v>
      </c>
    </row>
    <row r="666" spans="31:37" x14ac:dyDescent="0.25">
      <c r="AE666" s="43" t="s">
        <v>102</v>
      </c>
      <c r="AF666" s="43" t="s">
        <v>60</v>
      </c>
      <c r="AG666" s="43" t="s">
        <v>31</v>
      </c>
      <c r="AH666">
        <v>1</v>
      </c>
      <c r="AI666" t="s">
        <v>273</v>
      </c>
      <c r="AJ666" s="43" t="s">
        <v>309</v>
      </c>
      <c r="AK666">
        <v>0</v>
      </c>
    </row>
    <row r="667" spans="31:37" x14ac:dyDescent="0.25">
      <c r="AE667" s="43" t="s">
        <v>102</v>
      </c>
      <c r="AF667" s="43" t="s">
        <v>60</v>
      </c>
      <c r="AG667" s="43" t="s">
        <v>31</v>
      </c>
      <c r="AH667">
        <v>1</v>
      </c>
      <c r="AI667" t="s">
        <v>273</v>
      </c>
      <c r="AJ667" s="43" t="s">
        <v>268</v>
      </c>
      <c r="AK667">
        <v>0</v>
      </c>
    </row>
    <row r="668" spans="31:37" x14ac:dyDescent="0.25">
      <c r="AE668" s="43" t="s">
        <v>100</v>
      </c>
      <c r="AF668" s="43" t="s">
        <v>60</v>
      </c>
      <c r="AG668" s="43" t="s">
        <v>31</v>
      </c>
      <c r="AH668">
        <v>1</v>
      </c>
      <c r="AI668" t="s">
        <v>317</v>
      </c>
      <c r="AJ668" s="43" t="s">
        <v>308</v>
      </c>
      <c r="AK668">
        <v>2.9</v>
      </c>
    </row>
    <row r="669" spans="31:37" x14ac:dyDescent="0.25">
      <c r="AE669" s="43" t="s">
        <v>100</v>
      </c>
      <c r="AF669" s="43" t="s">
        <v>60</v>
      </c>
      <c r="AG669" s="43" t="s">
        <v>31</v>
      </c>
      <c r="AH669">
        <v>1</v>
      </c>
      <c r="AI669" t="s">
        <v>317</v>
      </c>
      <c r="AJ669" s="43" t="s">
        <v>309</v>
      </c>
      <c r="AK669">
        <v>7</v>
      </c>
    </row>
    <row r="670" spans="31:37" x14ac:dyDescent="0.25">
      <c r="AE670" s="43" t="s">
        <v>100</v>
      </c>
      <c r="AF670" s="43" t="s">
        <v>60</v>
      </c>
      <c r="AG670" s="43" t="s">
        <v>31</v>
      </c>
      <c r="AH670">
        <v>1</v>
      </c>
      <c r="AI670" t="s">
        <v>317</v>
      </c>
      <c r="AJ670" s="43" t="s">
        <v>268</v>
      </c>
      <c r="AK670">
        <v>9.9</v>
      </c>
    </row>
    <row r="671" spans="31:37" x14ac:dyDescent="0.25">
      <c r="AE671" s="43" t="s">
        <v>100</v>
      </c>
      <c r="AF671" s="43" t="s">
        <v>60</v>
      </c>
      <c r="AG671" s="43" t="s">
        <v>31</v>
      </c>
      <c r="AH671">
        <v>1</v>
      </c>
      <c r="AI671" t="s">
        <v>325</v>
      </c>
      <c r="AJ671" s="43" t="s">
        <v>308</v>
      </c>
      <c r="AK671">
        <v>0</v>
      </c>
    </row>
    <row r="672" spans="31:37" x14ac:dyDescent="0.25">
      <c r="AE672" s="43" t="s">
        <v>100</v>
      </c>
      <c r="AF672" s="43" t="s">
        <v>60</v>
      </c>
      <c r="AG672" s="43" t="s">
        <v>31</v>
      </c>
      <c r="AH672">
        <v>1</v>
      </c>
      <c r="AI672" t="s">
        <v>325</v>
      </c>
      <c r="AJ672" s="43" t="s">
        <v>309</v>
      </c>
      <c r="AK672">
        <v>0</v>
      </c>
    </row>
    <row r="673" spans="31:37" x14ac:dyDescent="0.25">
      <c r="AE673" s="43" t="s">
        <v>100</v>
      </c>
      <c r="AF673" s="43" t="s">
        <v>60</v>
      </c>
      <c r="AG673" s="43" t="s">
        <v>31</v>
      </c>
      <c r="AH673">
        <v>1</v>
      </c>
      <c r="AI673" t="s">
        <v>325</v>
      </c>
      <c r="AJ673" s="43" t="s">
        <v>268</v>
      </c>
      <c r="AK673">
        <v>0</v>
      </c>
    </row>
    <row r="674" spans="31:37" x14ac:dyDescent="0.25">
      <c r="AE674" s="43" t="s">
        <v>100</v>
      </c>
      <c r="AF674" s="43" t="s">
        <v>60</v>
      </c>
      <c r="AG674" s="43" t="s">
        <v>31</v>
      </c>
      <c r="AH674">
        <v>1</v>
      </c>
      <c r="AI674" t="s">
        <v>330</v>
      </c>
      <c r="AJ674" s="43" t="s">
        <v>308</v>
      </c>
      <c r="AK674">
        <v>0</v>
      </c>
    </row>
    <row r="675" spans="31:37" x14ac:dyDescent="0.25">
      <c r="AE675" s="43" t="s">
        <v>100</v>
      </c>
      <c r="AF675" s="43" t="s">
        <v>60</v>
      </c>
      <c r="AG675" s="43" t="s">
        <v>31</v>
      </c>
      <c r="AH675">
        <v>1</v>
      </c>
      <c r="AI675" t="s">
        <v>330</v>
      </c>
      <c r="AJ675" s="43" t="s">
        <v>309</v>
      </c>
      <c r="AK675">
        <v>0</v>
      </c>
    </row>
    <row r="676" spans="31:37" x14ac:dyDescent="0.25">
      <c r="AE676" s="43" t="s">
        <v>100</v>
      </c>
      <c r="AF676" s="43" t="s">
        <v>60</v>
      </c>
      <c r="AG676" s="43" t="s">
        <v>31</v>
      </c>
      <c r="AH676">
        <v>1</v>
      </c>
      <c r="AI676" t="s">
        <v>330</v>
      </c>
      <c r="AJ676" s="43" t="s">
        <v>268</v>
      </c>
      <c r="AK676">
        <v>0</v>
      </c>
    </row>
    <row r="677" spans="31:37" x14ac:dyDescent="0.25">
      <c r="AE677" s="43" t="s">
        <v>100</v>
      </c>
      <c r="AF677" s="43" t="s">
        <v>60</v>
      </c>
      <c r="AG677" s="43" t="s">
        <v>31</v>
      </c>
      <c r="AH677">
        <v>1</v>
      </c>
      <c r="AI677" t="s">
        <v>331</v>
      </c>
      <c r="AJ677" s="43" t="s">
        <v>308</v>
      </c>
      <c r="AK677">
        <v>0</v>
      </c>
    </row>
    <row r="678" spans="31:37" x14ac:dyDescent="0.25">
      <c r="AE678" s="43" t="s">
        <v>100</v>
      </c>
      <c r="AF678" s="43" t="s">
        <v>60</v>
      </c>
      <c r="AG678" s="43" t="s">
        <v>31</v>
      </c>
      <c r="AH678">
        <v>1</v>
      </c>
      <c r="AI678" t="s">
        <v>331</v>
      </c>
      <c r="AJ678" s="43" t="s">
        <v>309</v>
      </c>
      <c r="AK678">
        <v>0</v>
      </c>
    </row>
    <row r="679" spans="31:37" x14ac:dyDescent="0.25">
      <c r="AE679" s="43" t="s">
        <v>100</v>
      </c>
      <c r="AF679" s="43" t="s">
        <v>60</v>
      </c>
      <c r="AG679" s="43" t="s">
        <v>31</v>
      </c>
      <c r="AH679">
        <v>1</v>
      </c>
      <c r="AI679" t="s">
        <v>331</v>
      </c>
      <c r="AJ679" s="43" t="s">
        <v>268</v>
      </c>
      <c r="AK679">
        <v>0</v>
      </c>
    </row>
    <row r="680" spans="31:37" x14ac:dyDescent="0.25">
      <c r="AE680" s="43" t="s">
        <v>100</v>
      </c>
      <c r="AF680" s="43" t="s">
        <v>60</v>
      </c>
      <c r="AG680" s="43" t="s">
        <v>31</v>
      </c>
      <c r="AH680">
        <v>1</v>
      </c>
      <c r="AI680" t="s">
        <v>341</v>
      </c>
      <c r="AJ680" s="43" t="s">
        <v>308</v>
      </c>
      <c r="AK680">
        <v>2.9</v>
      </c>
    </row>
    <row r="681" spans="31:37" x14ac:dyDescent="0.25">
      <c r="AE681" s="43" t="s">
        <v>100</v>
      </c>
      <c r="AF681" s="43" t="s">
        <v>60</v>
      </c>
      <c r="AG681" s="43" t="s">
        <v>31</v>
      </c>
      <c r="AH681">
        <v>1</v>
      </c>
      <c r="AI681" t="s">
        <v>341</v>
      </c>
      <c r="AJ681" s="43" t="s">
        <v>309</v>
      </c>
      <c r="AK681">
        <v>7</v>
      </c>
    </row>
    <row r="682" spans="31:37" x14ac:dyDescent="0.25">
      <c r="AE682" s="43" t="s">
        <v>100</v>
      </c>
      <c r="AF682" s="43" t="s">
        <v>60</v>
      </c>
      <c r="AG682" s="43" t="s">
        <v>31</v>
      </c>
      <c r="AH682">
        <v>1</v>
      </c>
      <c r="AI682" t="s">
        <v>341</v>
      </c>
      <c r="AJ682" s="43" t="s">
        <v>268</v>
      </c>
      <c r="AK682">
        <v>9.9</v>
      </c>
    </row>
    <row r="683" spans="31:37" x14ac:dyDescent="0.25">
      <c r="AE683" s="43" t="s">
        <v>100</v>
      </c>
      <c r="AF683" s="43" t="s">
        <v>60</v>
      </c>
      <c r="AG683" s="43" t="s">
        <v>31</v>
      </c>
      <c r="AH683">
        <v>1</v>
      </c>
      <c r="AI683" t="s">
        <v>273</v>
      </c>
      <c r="AJ683" s="43" t="s">
        <v>308</v>
      </c>
      <c r="AK683">
        <v>0</v>
      </c>
    </row>
    <row r="684" spans="31:37" x14ac:dyDescent="0.25">
      <c r="AE684" s="43" t="s">
        <v>100</v>
      </c>
      <c r="AF684" s="43" t="s">
        <v>60</v>
      </c>
      <c r="AG684" s="43" t="s">
        <v>31</v>
      </c>
      <c r="AH684">
        <v>1</v>
      </c>
      <c r="AI684" t="s">
        <v>273</v>
      </c>
      <c r="AJ684" s="43" t="s">
        <v>309</v>
      </c>
      <c r="AK684">
        <v>0</v>
      </c>
    </row>
    <row r="685" spans="31:37" x14ac:dyDescent="0.25">
      <c r="AE685" s="43" t="s">
        <v>100</v>
      </c>
      <c r="AF685" s="43" t="s">
        <v>60</v>
      </c>
      <c r="AG685" s="43" t="s">
        <v>31</v>
      </c>
      <c r="AH685">
        <v>1</v>
      </c>
      <c r="AI685" t="s">
        <v>273</v>
      </c>
      <c r="AJ685" s="43" t="s">
        <v>268</v>
      </c>
      <c r="AK685">
        <v>0</v>
      </c>
    </row>
    <row r="686" spans="31:37" x14ac:dyDescent="0.25">
      <c r="AE686" s="43" t="s">
        <v>114</v>
      </c>
      <c r="AF686" s="43" t="s">
        <v>26</v>
      </c>
      <c r="AG686" s="43" t="s">
        <v>36</v>
      </c>
      <c r="AH686">
        <v>1</v>
      </c>
      <c r="AI686" t="s">
        <v>317</v>
      </c>
      <c r="AJ686" s="43" t="s">
        <v>308</v>
      </c>
      <c r="AK686">
        <v>0</v>
      </c>
    </row>
    <row r="687" spans="31:37" x14ac:dyDescent="0.25">
      <c r="AE687" s="43" t="s">
        <v>114</v>
      </c>
      <c r="AF687" s="43" t="s">
        <v>26</v>
      </c>
      <c r="AG687" s="43" t="s">
        <v>36</v>
      </c>
      <c r="AH687">
        <v>1</v>
      </c>
      <c r="AI687" t="s">
        <v>317</v>
      </c>
      <c r="AJ687" s="43" t="s">
        <v>309</v>
      </c>
      <c r="AK687">
        <v>0</v>
      </c>
    </row>
    <row r="688" spans="31:37" x14ac:dyDescent="0.25">
      <c r="AE688" s="43" t="s">
        <v>114</v>
      </c>
      <c r="AF688" s="43" t="s">
        <v>26</v>
      </c>
      <c r="AG688" s="43" t="s">
        <v>36</v>
      </c>
      <c r="AH688">
        <v>1</v>
      </c>
      <c r="AI688" t="s">
        <v>317</v>
      </c>
      <c r="AJ688" s="43" t="s">
        <v>268</v>
      </c>
      <c r="AK688">
        <v>0</v>
      </c>
    </row>
    <row r="689" spans="31:37" x14ac:dyDescent="0.25">
      <c r="AE689" s="43" t="s">
        <v>114</v>
      </c>
      <c r="AF689" s="43" t="s">
        <v>26</v>
      </c>
      <c r="AG689" s="43" t="s">
        <v>36</v>
      </c>
      <c r="AH689">
        <v>1</v>
      </c>
      <c r="AI689" t="s">
        <v>325</v>
      </c>
      <c r="AJ689" s="43" t="s">
        <v>308</v>
      </c>
      <c r="AK689">
        <v>0</v>
      </c>
    </row>
    <row r="690" spans="31:37" x14ac:dyDescent="0.25">
      <c r="AE690" s="43" t="s">
        <v>114</v>
      </c>
      <c r="AF690" s="43" t="s">
        <v>26</v>
      </c>
      <c r="AG690" s="43" t="s">
        <v>36</v>
      </c>
      <c r="AH690">
        <v>1</v>
      </c>
      <c r="AI690" t="s">
        <v>325</v>
      </c>
      <c r="AJ690" s="43" t="s">
        <v>309</v>
      </c>
      <c r="AK690">
        <v>0</v>
      </c>
    </row>
    <row r="691" spans="31:37" x14ac:dyDescent="0.25">
      <c r="AE691" s="43" t="s">
        <v>114</v>
      </c>
      <c r="AF691" s="43" t="s">
        <v>26</v>
      </c>
      <c r="AG691" s="43" t="s">
        <v>36</v>
      </c>
      <c r="AH691">
        <v>1</v>
      </c>
      <c r="AI691" t="s">
        <v>325</v>
      </c>
      <c r="AJ691" s="43" t="s">
        <v>268</v>
      </c>
      <c r="AK691">
        <v>0</v>
      </c>
    </row>
    <row r="692" spans="31:37" x14ac:dyDescent="0.25">
      <c r="AE692" s="43" t="s">
        <v>114</v>
      </c>
      <c r="AF692" s="43" t="s">
        <v>26</v>
      </c>
      <c r="AG692" s="43" t="s">
        <v>36</v>
      </c>
      <c r="AH692">
        <v>1</v>
      </c>
      <c r="AI692" t="s">
        <v>330</v>
      </c>
      <c r="AJ692" s="43" t="s">
        <v>308</v>
      </c>
      <c r="AK692">
        <v>1.7</v>
      </c>
    </row>
    <row r="693" spans="31:37" x14ac:dyDescent="0.25">
      <c r="AE693" s="43" t="s">
        <v>114</v>
      </c>
      <c r="AF693" s="43" t="s">
        <v>26</v>
      </c>
      <c r="AG693" s="43" t="s">
        <v>36</v>
      </c>
      <c r="AH693">
        <v>1</v>
      </c>
      <c r="AI693" t="s">
        <v>330</v>
      </c>
      <c r="AJ693" s="43" t="s">
        <v>309</v>
      </c>
      <c r="AK693">
        <v>7.85</v>
      </c>
    </row>
    <row r="694" spans="31:37" x14ac:dyDescent="0.25">
      <c r="AE694" s="43" t="s">
        <v>114</v>
      </c>
      <c r="AF694" s="43" t="s">
        <v>26</v>
      </c>
      <c r="AG694" s="43" t="s">
        <v>36</v>
      </c>
      <c r="AH694">
        <v>1</v>
      </c>
      <c r="AI694" t="s">
        <v>330</v>
      </c>
      <c r="AJ694" s="43" t="s">
        <v>268</v>
      </c>
      <c r="AK694">
        <v>9.5500000000000007</v>
      </c>
    </row>
    <row r="695" spans="31:37" x14ac:dyDescent="0.25">
      <c r="AE695" s="43" t="s">
        <v>114</v>
      </c>
      <c r="AF695" s="43" t="s">
        <v>26</v>
      </c>
      <c r="AG695" s="43" t="s">
        <v>36</v>
      </c>
      <c r="AH695">
        <v>1</v>
      </c>
      <c r="AI695" t="s">
        <v>331</v>
      </c>
      <c r="AJ695" s="43" t="s">
        <v>308</v>
      </c>
      <c r="AK695">
        <v>0</v>
      </c>
    </row>
    <row r="696" spans="31:37" x14ac:dyDescent="0.25">
      <c r="AE696" s="43" t="s">
        <v>114</v>
      </c>
      <c r="AF696" s="43" t="s">
        <v>26</v>
      </c>
      <c r="AG696" s="43" t="s">
        <v>36</v>
      </c>
      <c r="AH696">
        <v>1</v>
      </c>
      <c r="AI696" t="s">
        <v>331</v>
      </c>
      <c r="AJ696" s="43" t="s">
        <v>309</v>
      </c>
      <c r="AK696">
        <v>0</v>
      </c>
    </row>
    <row r="697" spans="31:37" x14ac:dyDescent="0.25">
      <c r="AE697" s="43" t="s">
        <v>114</v>
      </c>
      <c r="AF697" s="43" t="s">
        <v>26</v>
      </c>
      <c r="AG697" s="43" t="s">
        <v>36</v>
      </c>
      <c r="AH697">
        <v>1</v>
      </c>
      <c r="AI697" t="s">
        <v>331</v>
      </c>
      <c r="AJ697" s="43" t="s">
        <v>268</v>
      </c>
      <c r="AK697">
        <v>0</v>
      </c>
    </row>
    <row r="698" spans="31:37" x14ac:dyDescent="0.25">
      <c r="AE698" s="43" t="s">
        <v>114</v>
      </c>
      <c r="AF698" s="43" t="s">
        <v>26</v>
      </c>
      <c r="AG698" s="43" t="s">
        <v>36</v>
      </c>
      <c r="AH698">
        <v>1</v>
      </c>
      <c r="AI698" t="s">
        <v>341</v>
      </c>
      <c r="AJ698" s="43" t="s">
        <v>308</v>
      </c>
      <c r="AK698">
        <v>1.7</v>
      </c>
    </row>
    <row r="699" spans="31:37" x14ac:dyDescent="0.25">
      <c r="AE699" s="43" t="s">
        <v>114</v>
      </c>
      <c r="AF699" s="43" t="s">
        <v>26</v>
      </c>
      <c r="AG699" s="43" t="s">
        <v>36</v>
      </c>
      <c r="AH699">
        <v>1</v>
      </c>
      <c r="AI699" t="s">
        <v>341</v>
      </c>
      <c r="AJ699" s="43" t="s">
        <v>309</v>
      </c>
      <c r="AK699">
        <v>7.85</v>
      </c>
    </row>
    <row r="700" spans="31:37" x14ac:dyDescent="0.25">
      <c r="AE700" s="43" t="s">
        <v>114</v>
      </c>
      <c r="AF700" s="43" t="s">
        <v>26</v>
      </c>
      <c r="AG700" s="43" t="s">
        <v>36</v>
      </c>
      <c r="AH700">
        <v>1</v>
      </c>
      <c r="AI700" t="s">
        <v>341</v>
      </c>
      <c r="AJ700" s="43" t="s">
        <v>268</v>
      </c>
      <c r="AK700">
        <v>9.5500000000000007</v>
      </c>
    </row>
    <row r="701" spans="31:37" x14ac:dyDescent="0.25">
      <c r="AE701" s="43" t="s">
        <v>114</v>
      </c>
      <c r="AF701" s="43" t="s">
        <v>26</v>
      </c>
      <c r="AG701" s="43" t="s">
        <v>36</v>
      </c>
      <c r="AH701">
        <v>1</v>
      </c>
      <c r="AI701" t="s">
        <v>273</v>
      </c>
      <c r="AJ701" s="43" t="s">
        <v>308</v>
      </c>
      <c r="AK701">
        <v>0</v>
      </c>
    </row>
    <row r="702" spans="31:37" x14ac:dyDescent="0.25">
      <c r="AE702" s="43" t="s">
        <v>114</v>
      </c>
      <c r="AF702" s="43" t="s">
        <v>26</v>
      </c>
      <c r="AG702" s="43" t="s">
        <v>36</v>
      </c>
      <c r="AH702">
        <v>1</v>
      </c>
      <c r="AI702" t="s">
        <v>273</v>
      </c>
      <c r="AJ702" s="43" t="s">
        <v>309</v>
      </c>
      <c r="AK702">
        <v>0</v>
      </c>
    </row>
    <row r="703" spans="31:37" x14ac:dyDescent="0.25">
      <c r="AE703" s="43" t="s">
        <v>114</v>
      </c>
      <c r="AF703" s="43" t="s">
        <v>26</v>
      </c>
      <c r="AG703" s="43" t="s">
        <v>36</v>
      </c>
      <c r="AH703">
        <v>1</v>
      </c>
      <c r="AI703" t="s">
        <v>273</v>
      </c>
      <c r="AJ703" s="43" t="s">
        <v>268</v>
      </c>
      <c r="AK703">
        <v>0</v>
      </c>
    </row>
    <row r="704" spans="31:37" x14ac:dyDescent="0.25">
      <c r="AE704" s="43" t="s">
        <v>132</v>
      </c>
      <c r="AF704" s="43" t="s">
        <v>26</v>
      </c>
      <c r="AG704" s="43" t="s">
        <v>39</v>
      </c>
      <c r="AH704">
        <v>1</v>
      </c>
      <c r="AI704" t="s">
        <v>317</v>
      </c>
      <c r="AJ704" s="43" t="s">
        <v>308</v>
      </c>
      <c r="AK704">
        <v>2.2999999999999998</v>
      </c>
    </row>
    <row r="705" spans="31:37" x14ac:dyDescent="0.25">
      <c r="AE705" s="43" t="s">
        <v>132</v>
      </c>
      <c r="AF705" s="43" t="s">
        <v>26</v>
      </c>
      <c r="AG705" s="43" t="s">
        <v>39</v>
      </c>
      <c r="AH705">
        <v>1</v>
      </c>
      <c r="AI705" t="s">
        <v>317</v>
      </c>
      <c r="AJ705" s="43" t="s">
        <v>309</v>
      </c>
      <c r="AK705">
        <v>7.15</v>
      </c>
    </row>
    <row r="706" spans="31:37" x14ac:dyDescent="0.25">
      <c r="AE706" s="43" t="s">
        <v>132</v>
      </c>
      <c r="AF706" s="43" t="s">
        <v>26</v>
      </c>
      <c r="AG706" s="43" t="s">
        <v>39</v>
      </c>
      <c r="AH706">
        <v>1</v>
      </c>
      <c r="AI706" t="s">
        <v>317</v>
      </c>
      <c r="AJ706" s="43" t="s">
        <v>268</v>
      </c>
      <c r="AK706">
        <v>9.4499999999999993</v>
      </c>
    </row>
    <row r="707" spans="31:37" x14ac:dyDescent="0.25">
      <c r="AE707" s="43" t="s">
        <v>132</v>
      </c>
      <c r="AF707" s="43" t="s">
        <v>26</v>
      </c>
      <c r="AG707" s="43" t="s">
        <v>39</v>
      </c>
      <c r="AH707">
        <v>1</v>
      </c>
      <c r="AI707" t="s">
        <v>325</v>
      </c>
      <c r="AJ707" s="43" t="s">
        <v>308</v>
      </c>
      <c r="AK707">
        <v>0</v>
      </c>
    </row>
    <row r="708" spans="31:37" x14ac:dyDescent="0.25">
      <c r="AE708" s="43" t="s">
        <v>132</v>
      </c>
      <c r="AF708" s="43" t="s">
        <v>26</v>
      </c>
      <c r="AG708" s="43" t="s">
        <v>39</v>
      </c>
      <c r="AH708">
        <v>1</v>
      </c>
      <c r="AI708" t="s">
        <v>325</v>
      </c>
      <c r="AJ708" s="43" t="s">
        <v>309</v>
      </c>
      <c r="AK708">
        <v>0</v>
      </c>
    </row>
    <row r="709" spans="31:37" x14ac:dyDescent="0.25">
      <c r="AE709" s="43" t="s">
        <v>132</v>
      </c>
      <c r="AF709" s="43" t="s">
        <v>26</v>
      </c>
      <c r="AG709" s="43" t="s">
        <v>39</v>
      </c>
      <c r="AH709">
        <v>1</v>
      </c>
      <c r="AI709" t="s">
        <v>325</v>
      </c>
      <c r="AJ709" s="43" t="s">
        <v>268</v>
      </c>
      <c r="AK709">
        <v>0</v>
      </c>
    </row>
    <row r="710" spans="31:37" x14ac:dyDescent="0.25">
      <c r="AE710" s="43" t="s">
        <v>132</v>
      </c>
      <c r="AF710" s="43" t="s">
        <v>26</v>
      </c>
      <c r="AG710" s="43" t="s">
        <v>39</v>
      </c>
      <c r="AH710">
        <v>1</v>
      </c>
      <c r="AI710" t="s">
        <v>330</v>
      </c>
      <c r="AJ710" s="43" t="s">
        <v>308</v>
      </c>
      <c r="AK710">
        <v>0</v>
      </c>
    </row>
    <row r="711" spans="31:37" x14ac:dyDescent="0.25">
      <c r="AE711" s="43" t="s">
        <v>132</v>
      </c>
      <c r="AF711" s="43" t="s">
        <v>26</v>
      </c>
      <c r="AG711" s="43" t="s">
        <v>39</v>
      </c>
      <c r="AH711">
        <v>1</v>
      </c>
      <c r="AI711" t="s">
        <v>330</v>
      </c>
      <c r="AJ711" s="43" t="s">
        <v>309</v>
      </c>
      <c r="AK711">
        <v>0</v>
      </c>
    </row>
    <row r="712" spans="31:37" x14ac:dyDescent="0.25">
      <c r="AE712" s="43" t="s">
        <v>132</v>
      </c>
      <c r="AF712" s="43" t="s">
        <v>26</v>
      </c>
      <c r="AG712" s="43" t="s">
        <v>39</v>
      </c>
      <c r="AH712">
        <v>1</v>
      </c>
      <c r="AI712" t="s">
        <v>330</v>
      </c>
      <c r="AJ712" s="43" t="s">
        <v>268</v>
      </c>
      <c r="AK712">
        <v>0</v>
      </c>
    </row>
    <row r="713" spans="31:37" x14ac:dyDescent="0.25">
      <c r="AE713" s="43" t="s">
        <v>132</v>
      </c>
      <c r="AF713" s="43" t="s">
        <v>26</v>
      </c>
      <c r="AG713" s="43" t="s">
        <v>39</v>
      </c>
      <c r="AH713">
        <v>1</v>
      </c>
      <c r="AI713" t="s">
        <v>331</v>
      </c>
      <c r="AJ713" s="43" t="s">
        <v>308</v>
      </c>
      <c r="AK713">
        <v>0</v>
      </c>
    </row>
    <row r="714" spans="31:37" x14ac:dyDescent="0.25">
      <c r="AE714" s="43" t="s">
        <v>132</v>
      </c>
      <c r="AF714" s="43" t="s">
        <v>26</v>
      </c>
      <c r="AG714" s="43" t="s">
        <v>39</v>
      </c>
      <c r="AH714">
        <v>1</v>
      </c>
      <c r="AI714" t="s">
        <v>331</v>
      </c>
      <c r="AJ714" s="43" t="s">
        <v>309</v>
      </c>
      <c r="AK714">
        <v>0</v>
      </c>
    </row>
    <row r="715" spans="31:37" x14ac:dyDescent="0.25">
      <c r="AE715" s="43" t="s">
        <v>132</v>
      </c>
      <c r="AF715" s="43" t="s">
        <v>26</v>
      </c>
      <c r="AG715" s="43" t="s">
        <v>39</v>
      </c>
      <c r="AH715">
        <v>1</v>
      </c>
      <c r="AI715" t="s">
        <v>331</v>
      </c>
      <c r="AJ715" s="43" t="s">
        <v>268</v>
      </c>
      <c r="AK715">
        <v>0</v>
      </c>
    </row>
    <row r="716" spans="31:37" x14ac:dyDescent="0.25">
      <c r="AE716" s="43" t="s">
        <v>132</v>
      </c>
      <c r="AF716" s="43" t="s">
        <v>26</v>
      </c>
      <c r="AG716" s="43" t="s">
        <v>39</v>
      </c>
      <c r="AH716">
        <v>1</v>
      </c>
      <c r="AI716" t="s">
        <v>341</v>
      </c>
      <c r="AJ716" s="43" t="s">
        <v>308</v>
      </c>
      <c r="AK716">
        <v>2.2999999999999998</v>
      </c>
    </row>
    <row r="717" spans="31:37" x14ac:dyDescent="0.25">
      <c r="AE717" s="43" t="s">
        <v>132</v>
      </c>
      <c r="AF717" s="43" t="s">
        <v>26</v>
      </c>
      <c r="AG717" s="43" t="s">
        <v>39</v>
      </c>
      <c r="AH717">
        <v>1</v>
      </c>
      <c r="AI717" t="s">
        <v>341</v>
      </c>
      <c r="AJ717" s="43" t="s">
        <v>309</v>
      </c>
      <c r="AK717">
        <v>7.15</v>
      </c>
    </row>
    <row r="718" spans="31:37" x14ac:dyDescent="0.25">
      <c r="AE718" s="43" t="s">
        <v>132</v>
      </c>
      <c r="AF718" s="43" t="s">
        <v>26</v>
      </c>
      <c r="AG718" s="43" t="s">
        <v>39</v>
      </c>
      <c r="AH718">
        <v>1</v>
      </c>
      <c r="AI718" t="s">
        <v>341</v>
      </c>
      <c r="AJ718" s="43" t="s">
        <v>268</v>
      </c>
      <c r="AK718">
        <v>9.4499999999999993</v>
      </c>
    </row>
    <row r="719" spans="31:37" x14ac:dyDescent="0.25">
      <c r="AE719" s="43" t="s">
        <v>132</v>
      </c>
      <c r="AF719" s="43" t="s">
        <v>26</v>
      </c>
      <c r="AG719" s="43" t="s">
        <v>39</v>
      </c>
      <c r="AH719">
        <v>1</v>
      </c>
      <c r="AI719" t="s">
        <v>273</v>
      </c>
      <c r="AJ719" s="43" t="s">
        <v>308</v>
      </c>
      <c r="AK719">
        <v>0</v>
      </c>
    </row>
    <row r="720" spans="31:37" x14ac:dyDescent="0.25">
      <c r="AE720" s="43" t="s">
        <v>132</v>
      </c>
      <c r="AF720" s="43" t="s">
        <v>26</v>
      </c>
      <c r="AG720" s="43" t="s">
        <v>39</v>
      </c>
      <c r="AH720">
        <v>1</v>
      </c>
      <c r="AI720" t="s">
        <v>273</v>
      </c>
      <c r="AJ720" s="43" t="s">
        <v>309</v>
      </c>
      <c r="AK720">
        <v>0</v>
      </c>
    </row>
    <row r="721" spans="31:37" x14ac:dyDescent="0.25">
      <c r="AE721" s="43" t="s">
        <v>132</v>
      </c>
      <c r="AF721" s="43" t="s">
        <v>26</v>
      </c>
      <c r="AG721" s="43" t="s">
        <v>39</v>
      </c>
      <c r="AH721">
        <v>1</v>
      </c>
      <c r="AI721" t="s">
        <v>273</v>
      </c>
      <c r="AJ721" s="43" t="s">
        <v>268</v>
      </c>
      <c r="AK721">
        <v>0</v>
      </c>
    </row>
    <row r="722" spans="31:37" x14ac:dyDescent="0.25">
      <c r="AE722" s="43" t="s">
        <v>122</v>
      </c>
      <c r="AF722" s="43" t="s">
        <v>26</v>
      </c>
      <c r="AG722" s="43" t="s">
        <v>124</v>
      </c>
      <c r="AH722">
        <v>1</v>
      </c>
      <c r="AI722" t="s">
        <v>317</v>
      </c>
      <c r="AJ722" s="43" t="s">
        <v>308</v>
      </c>
      <c r="AK722">
        <v>0</v>
      </c>
    </row>
    <row r="723" spans="31:37" x14ac:dyDescent="0.25">
      <c r="AE723" s="43" t="s">
        <v>122</v>
      </c>
      <c r="AF723" s="43" t="s">
        <v>26</v>
      </c>
      <c r="AG723" s="43" t="s">
        <v>124</v>
      </c>
      <c r="AH723">
        <v>1</v>
      </c>
      <c r="AI723" t="s">
        <v>317</v>
      </c>
      <c r="AJ723" s="43" t="s">
        <v>309</v>
      </c>
      <c r="AK723">
        <v>0</v>
      </c>
    </row>
    <row r="724" spans="31:37" x14ac:dyDescent="0.25">
      <c r="AE724" s="43" t="s">
        <v>122</v>
      </c>
      <c r="AF724" s="43" t="s">
        <v>26</v>
      </c>
      <c r="AG724" s="43" t="s">
        <v>124</v>
      </c>
      <c r="AH724">
        <v>1</v>
      </c>
      <c r="AI724" t="s">
        <v>317</v>
      </c>
      <c r="AJ724" s="43" t="s">
        <v>268</v>
      </c>
      <c r="AK724">
        <v>0</v>
      </c>
    </row>
    <row r="725" spans="31:37" x14ac:dyDescent="0.25">
      <c r="AE725" s="43" t="s">
        <v>122</v>
      </c>
      <c r="AF725" s="43" t="s">
        <v>26</v>
      </c>
      <c r="AG725" s="43" t="s">
        <v>124</v>
      </c>
      <c r="AH725">
        <v>1</v>
      </c>
      <c r="AI725" t="s">
        <v>325</v>
      </c>
      <c r="AJ725" s="43" t="s">
        <v>308</v>
      </c>
      <c r="AK725">
        <v>0</v>
      </c>
    </row>
    <row r="726" spans="31:37" x14ac:dyDescent="0.25">
      <c r="AE726" s="43" t="s">
        <v>122</v>
      </c>
      <c r="AF726" s="43" t="s">
        <v>26</v>
      </c>
      <c r="AG726" s="43" t="s">
        <v>124</v>
      </c>
      <c r="AH726">
        <v>1</v>
      </c>
      <c r="AI726" t="s">
        <v>325</v>
      </c>
      <c r="AJ726" s="43" t="s">
        <v>309</v>
      </c>
      <c r="AK726">
        <v>0</v>
      </c>
    </row>
    <row r="727" spans="31:37" x14ac:dyDescent="0.25">
      <c r="AE727" s="43" t="s">
        <v>122</v>
      </c>
      <c r="AF727" s="43" t="s">
        <v>26</v>
      </c>
      <c r="AG727" s="43" t="s">
        <v>124</v>
      </c>
      <c r="AH727">
        <v>1</v>
      </c>
      <c r="AI727" t="s">
        <v>325</v>
      </c>
      <c r="AJ727" s="43" t="s">
        <v>268</v>
      </c>
      <c r="AK727">
        <v>0</v>
      </c>
    </row>
    <row r="728" spans="31:37" x14ac:dyDescent="0.25">
      <c r="AE728" s="43" t="s">
        <v>122</v>
      </c>
      <c r="AF728" s="43" t="s">
        <v>26</v>
      </c>
      <c r="AG728" s="43" t="s">
        <v>124</v>
      </c>
      <c r="AH728">
        <v>1</v>
      </c>
      <c r="AI728" t="s">
        <v>330</v>
      </c>
      <c r="AJ728" s="43" t="s">
        <v>308</v>
      </c>
      <c r="AK728">
        <v>2</v>
      </c>
    </row>
    <row r="729" spans="31:37" x14ac:dyDescent="0.25">
      <c r="AE729" s="43" t="s">
        <v>122</v>
      </c>
      <c r="AF729" s="43" t="s">
        <v>26</v>
      </c>
      <c r="AG729" s="43" t="s">
        <v>124</v>
      </c>
      <c r="AH729">
        <v>1</v>
      </c>
      <c r="AI729" t="s">
        <v>330</v>
      </c>
      <c r="AJ729" s="43" t="s">
        <v>309</v>
      </c>
      <c r="AK729">
        <v>7.35</v>
      </c>
    </row>
    <row r="730" spans="31:37" x14ac:dyDescent="0.25">
      <c r="AE730" s="43" t="s">
        <v>122</v>
      </c>
      <c r="AF730" s="43" t="s">
        <v>26</v>
      </c>
      <c r="AG730" s="43" t="s">
        <v>124</v>
      </c>
      <c r="AH730">
        <v>1</v>
      </c>
      <c r="AI730" t="s">
        <v>330</v>
      </c>
      <c r="AJ730" s="43" t="s">
        <v>268</v>
      </c>
      <c r="AK730">
        <v>9.35</v>
      </c>
    </row>
    <row r="731" spans="31:37" x14ac:dyDescent="0.25">
      <c r="AE731" s="43" t="s">
        <v>122</v>
      </c>
      <c r="AF731" s="43" t="s">
        <v>26</v>
      </c>
      <c r="AG731" s="43" t="s">
        <v>124</v>
      </c>
      <c r="AH731">
        <v>1</v>
      </c>
      <c r="AI731" t="s">
        <v>331</v>
      </c>
      <c r="AJ731" s="43" t="s">
        <v>308</v>
      </c>
      <c r="AK731">
        <v>0</v>
      </c>
    </row>
    <row r="732" spans="31:37" x14ac:dyDescent="0.25">
      <c r="AE732" s="43" t="s">
        <v>122</v>
      </c>
      <c r="AF732" s="43" t="s">
        <v>26</v>
      </c>
      <c r="AG732" s="43" t="s">
        <v>124</v>
      </c>
      <c r="AH732">
        <v>1</v>
      </c>
      <c r="AI732" t="s">
        <v>331</v>
      </c>
      <c r="AJ732" s="43" t="s">
        <v>309</v>
      </c>
      <c r="AK732">
        <v>0</v>
      </c>
    </row>
    <row r="733" spans="31:37" x14ac:dyDescent="0.25">
      <c r="AE733" s="43" t="s">
        <v>122</v>
      </c>
      <c r="AF733" s="43" t="s">
        <v>26</v>
      </c>
      <c r="AG733" s="43" t="s">
        <v>124</v>
      </c>
      <c r="AH733">
        <v>1</v>
      </c>
      <c r="AI733" t="s">
        <v>331</v>
      </c>
      <c r="AJ733" s="43" t="s">
        <v>268</v>
      </c>
      <c r="AK733">
        <v>0</v>
      </c>
    </row>
    <row r="734" spans="31:37" x14ac:dyDescent="0.25">
      <c r="AE734" s="43" t="s">
        <v>122</v>
      </c>
      <c r="AF734" s="43" t="s">
        <v>26</v>
      </c>
      <c r="AG734" s="43" t="s">
        <v>124</v>
      </c>
      <c r="AH734">
        <v>1</v>
      </c>
      <c r="AI734" t="s">
        <v>341</v>
      </c>
      <c r="AJ734" s="43" t="s">
        <v>308</v>
      </c>
      <c r="AK734">
        <v>2</v>
      </c>
    </row>
    <row r="735" spans="31:37" x14ac:dyDescent="0.25">
      <c r="AE735" s="43" t="s">
        <v>122</v>
      </c>
      <c r="AF735" s="43" t="s">
        <v>26</v>
      </c>
      <c r="AG735" s="43" t="s">
        <v>124</v>
      </c>
      <c r="AH735">
        <v>1</v>
      </c>
      <c r="AI735" t="s">
        <v>341</v>
      </c>
      <c r="AJ735" s="43" t="s">
        <v>309</v>
      </c>
      <c r="AK735">
        <v>7.35</v>
      </c>
    </row>
    <row r="736" spans="31:37" x14ac:dyDescent="0.25">
      <c r="AE736" s="43" t="s">
        <v>122</v>
      </c>
      <c r="AF736" s="43" t="s">
        <v>26</v>
      </c>
      <c r="AG736" s="43" t="s">
        <v>124</v>
      </c>
      <c r="AH736">
        <v>1</v>
      </c>
      <c r="AI736" t="s">
        <v>341</v>
      </c>
      <c r="AJ736" s="43" t="s">
        <v>268</v>
      </c>
      <c r="AK736">
        <v>9.35</v>
      </c>
    </row>
    <row r="737" spans="31:37" x14ac:dyDescent="0.25">
      <c r="AE737" s="43" t="s">
        <v>122</v>
      </c>
      <c r="AF737" s="43" t="s">
        <v>26</v>
      </c>
      <c r="AG737" s="43" t="s">
        <v>124</v>
      </c>
      <c r="AH737">
        <v>1</v>
      </c>
      <c r="AI737" t="s">
        <v>273</v>
      </c>
      <c r="AJ737" s="43" t="s">
        <v>308</v>
      </c>
      <c r="AK737">
        <v>0</v>
      </c>
    </row>
    <row r="738" spans="31:37" x14ac:dyDescent="0.25">
      <c r="AE738" s="43" t="s">
        <v>122</v>
      </c>
      <c r="AF738" s="43" t="s">
        <v>26</v>
      </c>
      <c r="AG738" s="43" t="s">
        <v>124</v>
      </c>
      <c r="AH738">
        <v>1</v>
      </c>
      <c r="AI738" t="s">
        <v>273</v>
      </c>
      <c r="AJ738" s="43" t="s">
        <v>309</v>
      </c>
      <c r="AK738">
        <v>0</v>
      </c>
    </row>
    <row r="739" spans="31:37" x14ac:dyDescent="0.25">
      <c r="AE739" s="43" t="s">
        <v>122</v>
      </c>
      <c r="AF739" s="43" t="s">
        <v>26</v>
      </c>
      <c r="AG739" s="43" t="s">
        <v>124</v>
      </c>
      <c r="AH739">
        <v>1</v>
      </c>
      <c r="AI739" t="s">
        <v>273</v>
      </c>
      <c r="AJ739" s="43" t="s">
        <v>268</v>
      </c>
      <c r="AK739">
        <v>0</v>
      </c>
    </row>
    <row r="740" spans="31:37" x14ac:dyDescent="0.25">
      <c r="AE740" s="43" t="s">
        <v>139</v>
      </c>
      <c r="AF740" s="43" t="s">
        <v>26</v>
      </c>
      <c r="AG740" s="43" t="s">
        <v>124</v>
      </c>
      <c r="AH740">
        <v>1</v>
      </c>
      <c r="AI740" t="s">
        <v>317</v>
      </c>
      <c r="AJ740" s="43" t="s">
        <v>308</v>
      </c>
      <c r="AK740">
        <v>2.1</v>
      </c>
    </row>
    <row r="741" spans="31:37" x14ac:dyDescent="0.25">
      <c r="AE741" s="43" t="s">
        <v>139</v>
      </c>
      <c r="AF741" s="43" t="s">
        <v>26</v>
      </c>
      <c r="AG741" s="43" t="s">
        <v>124</v>
      </c>
      <c r="AH741">
        <v>1</v>
      </c>
      <c r="AI741" t="s">
        <v>317</v>
      </c>
      <c r="AJ741" s="43" t="s">
        <v>309</v>
      </c>
      <c r="AK741">
        <v>6.5</v>
      </c>
    </row>
    <row r="742" spans="31:37" x14ac:dyDescent="0.25">
      <c r="AE742" s="43" t="s">
        <v>139</v>
      </c>
      <c r="AF742" s="43" t="s">
        <v>26</v>
      </c>
      <c r="AG742" s="43" t="s">
        <v>124</v>
      </c>
      <c r="AH742">
        <v>1</v>
      </c>
      <c r="AI742" t="s">
        <v>317</v>
      </c>
      <c r="AJ742" s="43" t="s">
        <v>268</v>
      </c>
      <c r="AK742">
        <v>8.6</v>
      </c>
    </row>
    <row r="743" spans="31:37" x14ac:dyDescent="0.25">
      <c r="AE743" s="43" t="s">
        <v>139</v>
      </c>
      <c r="AF743" s="43" t="s">
        <v>26</v>
      </c>
      <c r="AG743" s="43" t="s">
        <v>124</v>
      </c>
      <c r="AH743">
        <v>1</v>
      </c>
      <c r="AI743" t="s">
        <v>325</v>
      </c>
      <c r="AJ743" s="43" t="s">
        <v>308</v>
      </c>
      <c r="AK743">
        <v>0</v>
      </c>
    </row>
    <row r="744" spans="31:37" x14ac:dyDescent="0.25">
      <c r="AE744" s="43" t="s">
        <v>139</v>
      </c>
      <c r="AF744" s="43" t="s">
        <v>26</v>
      </c>
      <c r="AG744" s="43" t="s">
        <v>124</v>
      </c>
      <c r="AH744">
        <v>1</v>
      </c>
      <c r="AI744" t="s">
        <v>325</v>
      </c>
      <c r="AJ744" s="43" t="s">
        <v>309</v>
      </c>
      <c r="AK744">
        <v>0</v>
      </c>
    </row>
    <row r="745" spans="31:37" x14ac:dyDescent="0.25">
      <c r="AE745" s="43" t="s">
        <v>139</v>
      </c>
      <c r="AF745" s="43" t="s">
        <v>26</v>
      </c>
      <c r="AG745" s="43" t="s">
        <v>124</v>
      </c>
      <c r="AH745">
        <v>1</v>
      </c>
      <c r="AI745" t="s">
        <v>325</v>
      </c>
      <c r="AJ745" s="43" t="s">
        <v>268</v>
      </c>
      <c r="AK745">
        <v>0</v>
      </c>
    </row>
    <row r="746" spans="31:37" x14ac:dyDescent="0.25">
      <c r="AE746" s="43" t="s">
        <v>139</v>
      </c>
      <c r="AF746" s="43" t="s">
        <v>26</v>
      </c>
      <c r="AG746" s="43" t="s">
        <v>124</v>
      </c>
      <c r="AH746">
        <v>1</v>
      </c>
      <c r="AI746" t="s">
        <v>330</v>
      </c>
      <c r="AJ746" s="43" t="s">
        <v>308</v>
      </c>
      <c r="AK746">
        <v>0</v>
      </c>
    </row>
    <row r="747" spans="31:37" x14ac:dyDescent="0.25">
      <c r="AE747" s="43" t="s">
        <v>139</v>
      </c>
      <c r="AF747" s="43" t="s">
        <v>26</v>
      </c>
      <c r="AG747" s="43" t="s">
        <v>124</v>
      </c>
      <c r="AH747">
        <v>1</v>
      </c>
      <c r="AI747" t="s">
        <v>330</v>
      </c>
      <c r="AJ747" s="43" t="s">
        <v>309</v>
      </c>
      <c r="AK747">
        <v>0</v>
      </c>
    </row>
    <row r="748" spans="31:37" x14ac:dyDescent="0.25">
      <c r="AE748" s="43" t="s">
        <v>139</v>
      </c>
      <c r="AF748" s="43" t="s">
        <v>26</v>
      </c>
      <c r="AG748" s="43" t="s">
        <v>124</v>
      </c>
      <c r="AH748">
        <v>1</v>
      </c>
      <c r="AI748" t="s">
        <v>330</v>
      </c>
      <c r="AJ748" s="43" t="s">
        <v>268</v>
      </c>
      <c r="AK748">
        <v>0</v>
      </c>
    </row>
    <row r="749" spans="31:37" x14ac:dyDescent="0.25">
      <c r="AE749" s="43" t="s">
        <v>139</v>
      </c>
      <c r="AF749" s="43" t="s">
        <v>26</v>
      </c>
      <c r="AG749" s="43" t="s">
        <v>124</v>
      </c>
      <c r="AH749">
        <v>1</v>
      </c>
      <c r="AI749" t="s">
        <v>331</v>
      </c>
      <c r="AJ749" s="43" t="s">
        <v>308</v>
      </c>
      <c r="AK749">
        <v>0</v>
      </c>
    </row>
    <row r="750" spans="31:37" x14ac:dyDescent="0.25">
      <c r="AE750" s="43" t="s">
        <v>139</v>
      </c>
      <c r="AF750" s="43" t="s">
        <v>26</v>
      </c>
      <c r="AG750" s="43" t="s">
        <v>124</v>
      </c>
      <c r="AH750">
        <v>1</v>
      </c>
      <c r="AI750" t="s">
        <v>331</v>
      </c>
      <c r="AJ750" s="43" t="s">
        <v>309</v>
      </c>
      <c r="AK750">
        <v>0</v>
      </c>
    </row>
    <row r="751" spans="31:37" x14ac:dyDescent="0.25">
      <c r="AE751" s="43" t="s">
        <v>139</v>
      </c>
      <c r="AF751" s="43" t="s">
        <v>26</v>
      </c>
      <c r="AG751" s="43" t="s">
        <v>124</v>
      </c>
      <c r="AH751">
        <v>1</v>
      </c>
      <c r="AI751" t="s">
        <v>331</v>
      </c>
      <c r="AJ751" s="43" t="s">
        <v>268</v>
      </c>
      <c r="AK751">
        <v>0</v>
      </c>
    </row>
    <row r="752" spans="31:37" x14ac:dyDescent="0.25">
      <c r="AE752" s="43" t="s">
        <v>139</v>
      </c>
      <c r="AF752" s="43" t="s">
        <v>26</v>
      </c>
      <c r="AG752" s="43" t="s">
        <v>124</v>
      </c>
      <c r="AH752">
        <v>1</v>
      </c>
      <c r="AI752" t="s">
        <v>341</v>
      </c>
      <c r="AJ752" s="43" t="s">
        <v>308</v>
      </c>
      <c r="AK752">
        <v>2.1</v>
      </c>
    </row>
    <row r="753" spans="31:37" x14ac:dyDescent="0.25">
      <c r="AE753" s="43" t="s">
        <v>139</v>
      </c>
      <c r="AF753" s="43" t="s">
        <v>26</v>
      </c>
      <c r="AG753" s="43" t="s">
        <v>124</v>
      </c>
      <c r="AH753">
        <v>1</v>
      </c>
      <c r="AI753" t="s">
        <v>341</v>
      </c>
      <c r="AJ753" s="43" t="s">
        <v>309</v>
      </c>
      <c r="AK753">
        <v>6.5</v>
      </c>
    </row>
    <row r="754" spans="31:37" x14ac:dyDescent="0.25">
      <c r="AE754" s="43" t="s">
        <v>139</v>
      </c>
      <c r="AF754" s="43" t="s">
        <v>26</v>
      </c>
      <c r="AG754" s="43" t="s">
        <v>124</v>
      </c>
      <c r="AH754">
        <v>1</v>
      </c>
      <c r="AI754" t="s">
        <v>341</v>
      </c>
      <c r="AJ754" s="43" t="s">
        <v>268</v>
      </c>
      <c r="AK754">
        <v>8.6</v>
      </c>
    </row>
    <row r="755" spans="31:37" x14ac:dyDescent="0.25">
      <c r="AE755" s="43" t="s">
        <v>139</v>
      </c>
      <c r="AF755" s="43" t="s">
        <v>26</v>
      </c>
      <c r="AG755" s="43" t="s">
        <v>124</v>
      </c>
      <c r="AH755">
        <v>1</v>
      </c>
      <c r="AI755" t="s">
        <v>273</v>
      </c>
      <c r="AJ755" s="43" t="s">
        <v>308</v>
      </c>
      <c r="AK755">
        <v>0</v>
      </c>
    </row>
    <row r="756" spans="31:37" x14ac:dyDescent="0.25">
      <c r="AE756" s="43" t="s">
        <v>139</v>
      </c>
      <c r="AF756" s="43" t="s">
        <v>26</v>
      </c>
      <c r="AG756" s="43" t="s">
        <v>124</v>
      </c>
      <c r="AH756">
        <v>1</v>
      </c>
      <c r="AI756" t="s">
        <v>273</v>
      </c>
      <c r="AJ756" s="43" t="s">
        <v>309</v>
      </c>
      <c r="AK756">
        <v>0</v>
      </c>
    </row>
    <row r="757" spans="31:37" x14ac:dyDescent="0.25">
      <c r="AE757" s="43" t="s">
        <v>139</v>
      </c>
      <c r="AF757" s="43" t="s">
        <v>26</v>
      </c>
      <c r="AG757" s="43" t="s">
        <v>124</v>
      </c>
      <c r="AH757">
        <v>1</v>
      </c>
      <c r="AI757" t="s">
        <v>273</v>
      </c>
      <c r="AJ757" s="43" t="s">
        <v>268</v>
      </c>
      <c r="AK757">
        <v>0</v>
      </c>
    </row>
    <row r="758" spans="31:37" x14ac:dyDescent="0.25">
      <c r="AE758" s="43" t="s">
        <v>135</v>
      </c>
      <c r="AF758" s="43" t="s">
        <v>26</v>
      </c>
      <c r="AG758" s="43" t="s">
        <v>124</v>
      </c>
      <c r="AH758">
        <v>1</v>
      </c>
      <c r="AI758" t="s">
        <v>317</v>
      </c>
      <c r="AJ758" s="43" t="s">
        <v>308</v>
      </c>
      <c r="AK758">
        <v>2.1</v>
      </c>
    </row>
    <row r="759" spans="31:37" x14ac:dyDescent="0.25">
      <c r="AE759" s="43" t="s">
        <v>135</v>
      </c>
      <c r="AF759" s="43" t="s">
        <v>26</v>
      </c>
      <c r="AG759" s="43" t="s">
        <v>124</v>
      </c>
      <c r="AH759">
        <v>1</v>
      </c>
      <c r="AI759" t="s">
        <v>317</v>
      </c>
      <c r="AJ759" s="43" t="s">
        <v>309</v>
      </c>
      <c r="AK759">
        <v>5.2</v>
      </c>
    </row>
    <row r="760" spans="31:37" x14ac:dyDescent="0.25">
      <c r="AE760" s="43" t="s">
        <v>135</v>
      </c>
      <c r="AF760" s="43" t="s">
        <v>26</v>
      </c>
      <c r="AG760" s="43" t="s">
        <v>124</v>
      </c>
      <c r="AH760">
        <v>1</v>
      </c>
      <c r="AI760" t="s">
        <v>317</v>
      </c>
      <c r="AJ760" s="43" t="s">
        <v>268</v>
      </c>
      <c r="AK760">
        <v>7.3</v>
      </c>
    </row>
    <row r="761" spans="31:37" x14ac:dyDescent="0.25">
      <c r="AE761" s="43" t="s">
        <v>135</v>
      </c>
      <c r="AF761" s="43" t="s">
        <v>26</v>
      </c>
      <c r="AG761" s="43" t="s">
        <v>124</v>
      </c>
      <c r="AH761">
        <v>1</v>
      </c>
      <c r="AI761" t="s">
        <v>325</v>
      </c>
      <c r="AJ761" s="43" t="s">
        <v>308</v>
      </c>
      <c r="AK761">
        <v>0</v>
      </c>
    </row>
    <row r="762" spans="31:37" x14ac:dyDescent="0.25">
      <c r="AE762" s="43" t="s">
        <v>135</v>
      </c>
      <c r="AF762" s="43" t="s">
        <v>26</v>
      </c>
      <c r="AG762" s="43" t="s">
        <v>124</v>
      </c>
      <c r="AH762">
        <v>1</v>
      </c>
      <c r="AI762" t="s">
        <v>325</v>
      </c>
      <c r="AJ762" s="43" t="s">
        <v>309</v>
      </c>
      <c r="AK762">
        <v>0</v>
      </c>
    </row>
    <row r="763" spans="31:37" x14ac:dyDescent="0.25">
      <c r="AE763" s="43" t="s">
        <v>135</v>
      </c>
      <c r="AF763" s="43" t="s">
        <v>26</v>
      </c>
      <c r="AG763" s="43" t="s">
        <v>124</v>
      </c>
      <c r="AH763">
        <v>1</v>
      </c>
      <c r="AI763" t="s">
        <v>325</v>
      </c>
      <c r="AJ763" s="43" t="s">
        <v>268</v>
      </c>
      <c r="AK763">
        <v>0</v>
      </c>
    </row>
    <row r="764" spans="31:37" x14ac:dyDescent="0.25">
      <c r="AE764" s="43" t="s">
        <v>135</v>
      </c>
      <c r="AF764" s="43" t="s">
        <v>26</v>
      </c>
      <c r="AG764" s="43" t="s">
        <v>124</v>
      </c>
      <c r="AH764">
        <v>1</v>
      </c>
      <c r="AI764" t="s">
        <v>330</v>
      </c>
      <c r="AJ764" s="43" t="s">
        <v>308</v>
      </c>
      <c r="AK764">
        <v>0</v>
      </c>
    </row>
    <row r="765" spans="31:37" x14ac:dyDescent="0.25">
      <c r="AE765" s="43" t="s">
        <v>135</v>
      </c>
      <c r="AF765" s="43" t="s">
        <v>26</v>
      </c>
      <c r="AG765" s="43" t="s">
        <v>124</v>
      </c>
      <c r="AH765">
        <v>1</v>
      </c>
      <c r="AI765" t="s">
        <v>330</v>
      </c>
      <c r="AJ765" s="43" t="s">
        <v>309</v>
      </c>
      <c r="AK765">
        <v>0</v>
      </c>
    </row>
    <row r="766" spans="31:37" x14ac:dyDescent="0.25">
      <c r="AE766" s="43" t="s">
        <v>135</v>
      </c>
      <c r="AF766" s="43" t="s">
        <v>26</v>
      </c>
      <c r="AG766" s="43" t="s">
        <v>124</v>
      </c>
      <c r="AH766">
        <v>1</v>
      </c>
      <c r="AI766" t="s">
        <v>330</v>
      </c>
      <c r="AJ766" s="43" t="s">
        <v>268</v>
      </c>
      <c r="AK766">
        <v>0</v>
      </c>
    </row>
    <row r="767" spans="31:37" x14ac:dyDescent="0.25">
      <c r="AE767" s="43" t="s">
        <v>135</v>
      </c>
      <c r="AF767" s="43" t="s">
        <v>26</v>
      </c>
      <c r="AG767" s="43" t="s">
        <v>124</v>
      </c>
      <c r="AH767">
        <v>1</v>
      </c>
      <c r="AI767" t="s">
        <v>331</v>
      </c>
      <c r="AJ767" s="43" t="s">
        <v>308</v>
      </c>
      <c r="AK767">
        <v>0</v>
      </c>
    </row>
    <row r="768" spans="31:37" x14ac:dyDescent="0.25">
      <c r="AE768" s="43" t="s">
        <v>135</v>
      </c>
      <c r="AF768" s="43" t="s">
        <v>26</v>
      </c>
      <c r="AG768" s="43" t="s">
        <v>124</v>
      </c>
      <c r="AH768">
        <v>1</v>
      </c>
      <c r="AI768" t="s">
        <v>331</v>
      </c>
      <c r="AJ768" s="43" t="s">
        <v>309</v>
      </c>
      <c r="AK768">
        <v>0</v>
      </c>
    </row>
    <row r="769" spans="31:37" x14ac:dyDescent="0.25">
      <c r="AE769" s="43" t="s">
        <v>135</v>
      </c>
      <c r="AF769" s="43" t="s">
        <v>26</v>
      </c>
      <c r="AG769" s="43" t="s">
        <v>124</v>
      </c>
      <c r="AH769">
        <v>1</v>
      </c>
      <c r="AI769" t="s">
        <v>331</v>
      </c>
      <c r="AJ769" s="43" t="s">
        <v>268</v>
      </c>
      <c r="AK769">
        <v>0</v>
      </c>
    </row>
    <row r="770" spans="31:37" x14ac:dyDescent="0.25">
      <c r="AE770" s="43" t="s">
        <v>135</v>
      </c>
      <c r="AF770" s="43" t="s">
        <v>26</v>
      </c>
      <c r="AG770" s="43" t="s">
        <v>124</v>
      </c>
      <c r="AH770">
        <v>1</v>
      </c>
      <c r="AI770" t="s">
        <v>341</v>
      </c>
      <c r="AJ770" s="43" t="s">
        <v>308</v>
      </c>
      <c r="AK770">
        <v>2.1</v>
      </c>
    </row>
    <row r="771" spans="31:37" x14ac:dyDescent="0.25">
      <c r="AE771" s="43" t="s">
        <v>135</v>
      </c>
      <c r="AF771" s="43" t="s">
        <v>26</v>
      </c>
      <c r="AG771" s="43" t="s">
        <v>124</v>
      </c>
      <c r="AH771">
        <v>1</v>
      </c>
      <c r="AI771" t="s">
        <v>341</v>
      </c>
      <c r="AJ771" s="43" t="s">
        <v>309</v>
      </c>
      <c r="AK771">
        <v>5.2</v>
      </c>
    </row>
    <row r="772" spans="31:37" x14ac:dyDescent="0.25">
      <c r="AE772" s="43" t="s">
        <v>135</v>
      </c>
      <c r="AF772" s="43" t="s">
        <v>26</v>
      </c>
      <c r="AG772" s="43" t="s">
        <v>124</v>
      </c>
      <c r="AH772">
        <v>1</v>
      </c>
      <c r="AI772" t="s">
        <v>341</v>
      </c>
      <c r="AJ772" s="43" t="s">
        <v>268</v>
      </c>
      <c r="AK772">
        <v>7.3</v>
      </c>
    </row>
    <row r="773" spans="31:37" x14ac:dyDescent="0.25">
      <c r="AE773" s="43" t="s">
        <v>135</v>
      </c>
      <c r="AF773" s="43" t="s">
        <v>26</v>
      </c>
      <c r="AG773" s="43" t="s">
        <v>124</v>
      </c>
      <c r="AH773">
        <v>1</v>
      </c>
      <c r="AI773" t="s">
        <v>273</v>
      </c>
      <c r="AJ773" s="43" t="s">
        <v>308</v>
      </c>
      <c r="AK773">
        <v>0</v>
      </c>
    </row>
    <row r="774" spans="31:37" x14ac:dyDescent="0.25">
      <c r="AE774" s="43" t="s">
        <v>135</v>
      </c>
      <c r="AF774" s="43" t="s">
        <v>26</v>
      </c>
      <c r="AG774" s="43" t="s">
        <v>124</v>
      </c>
      <c r="AH774">
        <v>1</v>
      </c>
      <c r="AI774" t="s">
        <v>273</v>
      </c>
      <c r="AJ774" s="43" t="s">
        <v>309</v>
      </c>
      <c r="AK774">
        <v>0</v>
      </c>
    </row>
    <row r="775" spans="31:37" x14ac:dyDescent="0.25">
      <c r="AE775" s="43" t="s">
        <v>135</v>
      </c>
      <c r="AF775" s="43" t="s">
        <v>26</v>
      </c>
      <c r="AG775" s="43" t="s">
        <v>124</v>
      </c>
      <c r="AH775">
        <v>1</v>
      </c>
      <c r="AI775" t="s">
        <v>273</v>
      </c>
      <c r="AJ775" s="43" t="s">
        <v>268</v>
      </c>
      <c r="AK775">
        <v>0</v>
      </c>
    </row>
    <row r="776" spans="31:37" x14ac:dyDescent="0.25">
      <c r="AE776" s="43" t="s">
        <v>137</v>
      </c>
      <c r="AF776" s="43" t="s">
        <v>26</v>
      </c>
      <c r="AG776" s="43" t="s">
        <v>124</v>
      </c>
      <c r="AH776">
        <v>1</v>
      </c>
      <c r="AI776" t="s">
        <v>317</v>
      </c>
      <c r="AJ776" s="43" t="s">
        <v>308</v>
      </c>
      <c r="AK776">
        <v>1.5</v>
      </c>
    </row>
    <row r="777" spans="31:37" x14ac:dyDescent="0.25">
      <c r="AE777" s="43" t="s">
        <v>137</v>
      </c>
      <c r="AF777" s="43" t="s">
        <v>26</v>
      </c>
      <c r="AG777" s="43" t="s">
        <v>124</v>
      </c>
      <c r="AH777">
        <v>1</v>
      </c>
      <c r="AI777" t="s">
        <v>317</v>
      </c>
      <c r="AJ777" s="43" t="s">
        <v>309</v>
      </c>
      <c r="AK777">
        <v>3.3</v>
      </c>
    </row>
    <row r="778" spans="31:37" x14ac:dyDescent="0.25">
      <c r="AE778" s="43" t="s">
        <v>137</v>
      </c>
      <c r="AF778" s="43" t="s">
        <v>26</v>
      </c>
      <c r="AG778" s="43" t="s">
        <v>124</v>
      </c>
      <c r="AH778">
        <v>1</v>
      </c>
      <c r="AI778" t="s">
        <v>317</v>
      </c>
      <c r="AJ778" s="43" t="s">
        <v>268</v>
      </c>
      <c r="AK778">
        <v>4.8</v>
      </c>
    </row>
    <row r="779" spans="31:37" x14ac:dyDescent="0.25">
      <c r="AE779" s="43" t="s">
        <v>137</v>
      </c>
      <c r="AF779" s="43" t="s">
        <v>26</v>
      </c>
      <c r="AG779" s="43" t="s">
        <v>124</v>
      </c>
      <c r="AH779">
        <v>1</v>
      </c>
      <c r="AI779" t="s">
        <v>325</v>
      </c>
      <c r="AJ779" s="43" t="s">
        <v>308</v>
      </c>
      <c r="AK779">
        <v>0</v>
      </c>
    </row>
    <row r="780" spans="31:37" x14ac:dyDescent="0.25">
      <c r="AE780" s="43" t="s">
        <v>137</v>
      </c>
      <c r="AF780" s="43" t="s">
        <v>26</v>
      </c>
      <c r="AG780" s="43" t="s">
        <v>124</v>
      </c>
      <c r="AH780">
        <v>1</v>
      </c>
      <c r="AI780" t="s">
        <v>325</v>
      </c>
      <c r="AJ780" s="43" t="s">
        <v>309</v>
      </c>
      <c r="AK780">
        <v>0</v>
      </c>
    </row>
    <row r="781" spans="31:37" x14ac:dyDescent="0.25">
      <c r="AE781" s="43" t="s">
        <v>137</v>
      </c>
      <c r="AF781" s="43" t="s">
        <v>26</v>
      </c>
      <c r="AG781" s="43" t="s">
        <v>124</v>
      </c>
      <c r="AH781">
        <v>1</v>
      </c>
      <c r="AI781" t="s">
        <v>325</v>
      </c>
      <c r="AJ781" s="43" t="s">
        <v>268</v>
      </c>
      <c r="AK781">
        <v>0</v>
      </c>
    </row>
    <row r="782" spans="31:37" x14ac:dyDescent="0.25">
      <c r="AE782" s="43" t="s">
        <v>137</v>
      </c>
      <c r="AF782" s="43" t="s">
        <v>26</v>
      </c>
      <c r="AG782" s="43" t="s">
        <v>124</v>
      </c>
      <c r="AH782">
        <v>1</v>
      </c>
      <c r="AI782" t="s">
        <v>330</v>
      </c>
      <c r="AJ782" s="43" t="s">
        <v>308</v>
      </c>
      <c r="AK782">
        <v>0</v>
      </c>
    </row>
    <row r="783" spans="31:37" x14ac:dyDescent="0.25">
      <c r="AE783" s="43" t="s">
        <v>137</v>
      </c>
      <c r="AF783" s="43" t="s">
        <v>26</v>
      </c>
      <c r="AG783" s="43" t="s">
        <v>124</v>
      </c>
      <c r="AH783">
        <v>1</v>
      </c>
      <c r="AI783" t="s">
        <v>330</v>
      </c>
      <c r="AJ783" s="43" t="s">
        <v>309</v>
      </c>
      <c r="AK783">
        <v>0</v>
      </c>
    </row>
    <row r="784" spans="31:37" x14ac:dyDescent="0.25">
      <c r="AE784" s="43" t="s">
        <v>137</v>
      </c>
      <c r="AF784" s="43" t="s">
        <v>26</v>
      </c>
      <c r="AG784" s="43" t="s">
        <v>124</v>
      </c>
      <c r="AH784">
        <v>1</v>
      </c>
      <c r="AI784" t="s">
        <v>330</v>
      </c>
      <c r="AJ784" s="43" t="s">
        <v>268</v>
      </c>
      <c r="AK784">
        <v>0</v>
      </c>
    </row>
    <row r="785" spans="31:37" x14ac:dyDescent="0.25">
      <c r="AE785" s="43" t="s">
        <v>137</v>
      </c>
      <c r="AF785" s="43" t="s">
        <v>26</v>
      </c>
      <c r="AG785" s="43" t="s">
        <v>124</v>
      </c>
      <c r="AH785">
        <v>1</v>
      </c>
      <c r="AI785" t="s">
        <v>331</v>
      </c>
      <c r="AJ785" s="43" t="s">
        <v>308</v>
      </c>
      <c r="AK785">
        <v>0</v>
      </c>
    </row>
    <row r="786" spans="31:37" x14ac:dyDescent="0.25">
      <c r="AE786" s="43" t="s">
        <v>137</v>
      </c>
      <c r="AF786" s="43" t="s">
        <v>26</v>
      </c>
      <c r="AG786" s="43" t="s">
        <v>124</v>
      </c>
      <c r="AH786">
        <v>1</v>
      </c>
      <c r="AI786" t="s">
        <v>331</v>
      </c>
      <c r="AJ786" s="43" t="s">
        <v>309</v>
      </c>
      <c r="AK786">
        <v>0</v>
      </c>
    </row>
    <row r="787" spans="31:37" x14ac:dyDescent="0.25">
      <c r="AE787" s="43" t="s">
        <v>137</v>
      </c>
      <c r="AF787" s="43" t="s">
        <v>26</v>
      </c>
      <c r="AG787" s="43" t="s">
        <v>124</v>
      </c>
      <c r="AH787">
        <v>1</v>
      </c>
      <c r="AI787" t="s">
        <v>331</v>
      </c>
      <c r="AJ787" s="43" t="s">
        <v>268</v>
      </c>
      <c r="AK787">
        <v>0</v>
      </c>
    </row>
    <row r="788" spans="31:37" x14ac:dyDescent="0.25">
      <c r="AE788" s="43" t="s">
        <v>137</v>
      </c>
      <c r="AF788" s="43" t="s">
        <v>26</v>
      </c>
      <c r="AG788" s="43" t="s">
        <v>124</v>
      </c>
      <c r="AH788">
        <v>1</v>
      </c>
      <c r="AI788" t="s">
        <v>341</v>
      </c>
      <c r="AJ788" s="43" t="s">
        <v>308</v>
      </c>
      <c r="AK788">
        <v>1.5</v>
      </c>
    </row>
    <row r="789" spans="31:37" x14ac:dyDescent="0.25">
      <c r="AE789" s="43" t="s">
        <v>137</v>
      </c>
      <c r="AF789" s="43" t="s">
        <v>26</v>
      </c>
      <c r="AG789" s="43" t="s">
        <v>124</v>
      </c>
      <c r="AH789">
        <v>1</v>
      </c>
      <c r="AI789" t="s">
        <v>341</v>
      </c>
      <c r="AJ789" s="43" t="s">
        <v>309</v>
      </c>
      <c r="AK789">
        <v>3.3</v>
      </c>
    </row>
    <row r="790" spans="31:37" x14ac:dyDescent="0.25">
      <c r="AE790" s="43" t="s">
        <v>137</v>
      </c>
      <c r="AF790" s="43" t="s">
        <v>26</v>
      </c>
      <c r="AG790" s="43" t="s">
        <v>124</v>
      </c>
      <c r="AH790">
        <v>1</v>
      </c>
      <c r="AI790" t="s">
        <v>341</v>
      </c>
      <c r="AJ790" s="43" t="s">
        <v>268</v>
      </c>
      <c r="AK790">
        <v>4.8</v>
      </c>
    </row>
    <row r="791" spans="31:37" x14ac:dyDescent="0.25">
      <c r="AE791" s="43" t="s">
        <v>137</v>
      </c>
      <c r="AF791" s="43" t="s">
        <v>26</v>
      </c>
      <c r="AG791" s="43" t="s">
        <v>124</v>
      </c>
      <c r="AH791">
        <v>1</v>
      </c>
      <c r="AI791" t="s">
        <v>273</v>
      </c>
      <c r="AJ791" s="43" t="s">
        <v>308</v>
      </c>
      <c r="AK791">
        <v>0</v>
      </c>
    </row>
    <row r="792" spans="31:37" x14ac:dyDescent="0.25">
      <c r="AE792" s="43" t="s">
        <v>137</v>
      </c>
      <c r="AF792" s="43" t="s">
        <v>26</v>
      </c>
      <c r="AG792" s="43" t="s">
        <v>124</v>
      </c>
      <c r="AH792">
        <v>1</v>
      </c>
      <c r="AI792" t="s">
        <v>273</v>
      </c>
      <c r="AJ792" s="43" t="s">
        <v>309</v>
      </c>
      <c r="AK792">
        <v>0</v>
      </c>
    </row>
    <row r="793" spans="31:37" x14ac:dyDescent="0.25">
      <c r="AE793" s="43" t="s">
        <v>137</v>
      </c>
      <c r="AF793" s="43" t="s">
        <v>26</v>
      </c>
      <c r="AG793" s="43" t="s">
        <v>124</v>
      </c>
      <c r="AH793">
        <v>1</v>
      </c>
      <c r="AI793" t="s">
        <v>273</v>
      </c>
      <c r="AJ793" s="43" t="s">
        <v>268</v>
      </c>
      <c r="AK793">
        <v>0</v>
      </c>
    </row>
  </sheetData>
  <mergeCells count="2">
    <mergeCell ref="Y2:Y7"/>
    <mergeCell ref="Y8:Y13"/>
  </mergeCells>
  <conditionalFormatting sqref="A2:A45">
    <cfRule type="expression" dxfId="562" priority="172">
      <formula>IF($B2="junior",$T2=MAX(_xlfn._xlws.FILTER($T$2:$T$46,$B$2:$B$46="junior")),$T2=MAX(_xlfn._xlws.FILTER($T$2:$T$46,$B$2:$B$46="senior")))</formula>
    </cfRule>
    <cfRule type="expression" dxfId="561" priority="173">
      <formula>IF($B2="junior",$T2=LARGE(_xlfn._xlws.FILTER($T$2:$T$46,$B$2:$B$46="junior"),2),$T2=LARGE(_xlfn._xlws.FILTER($T$2:$T$46,$B$2:$B$46="senior"),2))</formula>
    </cfRule>
    <cfRule type="expression" dxfId="560" priority="174">
      <formula>IF($B2="junior",$T2=LARGE(_xlfn._xlws.FILTER($T$2:$T$46,$B$2:$B$46="junior"),3),$T2=LARGE(_xlfn._xlws.FILTER($T$2:$T$46,$B$2:$B$46="senior"),3))</formula>
    </cfRule>
    <cfRule type="expression" dxfId="559" priority="175">
      <formula>IF($B2="junior",$R2=MAX(_xlfn._xlws.FILTER($R$2:$R$46,$B$2:$B$46="junior")),$R2=MAX(_xlfn._xlws.FILTER($R$2:$R$46,$B$2:$B$46="senior")))</formula>
    </cfRule>
    <cfRule type="expression" dxfId="558" priority="176">
      <formula>IF($B2="junior",$S2=MAX(_xlfn._xlws.FILTER($S$2:$S$46,$B$2:$B$46="junior")),$S2=MAX(_xlfn._xlws.FILTER($S$2:$S$46,$B$2:$B$46="senior")))</formula>
    </cfRule>
  </conditionalFormatting>
  <conditionalFormatting sqref="F2:F45 I2:I45 L2:L45 O2:O45 U2:U45">
    <cfRule type="expression" dxfId="557" priority="10">
      <formula>IF($B2="junior",F2&gt;=($AA$8+$AB$8),F2&gt;=($AA$2+$AB$2))</formula>
    </cfRule>
  </conditionalFormatting>
  <conditionalFormatting sqref="F2:F45 I2:I45 L2:L45 O2:O45">
    <cfRule type="expression" dxfId="556" priority="14">
      <formula>AND(AND($B2="junior",F2&lt;2.6),F2&gt;0)</formula>
    </cfRule>
    <cfRule type="expression" dxfId="555" priority="15">
      <formula>AND(AND($B2="senior",F2&lt;2.9),F2&gt;0)</formula>
    </cfRule>
  </conditionalFormatting>
  <conditionalFormatting sqref="F2:W45">
    <cfRule type="cellIs" dxfId="554" priority="16" operator="equal">
      <formula>0</formula>
    </cfRule>
  </conditionalFormatting>
  <conditionalFormatting sqref="H2:H45 K2:K45 N2:N45 Q2:Q45 W2:W45">
    <cfRule type="expression" dxfId="553" priority="11">
      <formula>IF($B2="junior",H2&gt;=($AA$10+$AB$10),H2&gt;=($AA$4+$AB$4))</formula>
    </cfRule>
  </conditionalFormatting>
  <conditionalFormatting sqref="H2:H45 K2:K45 N2:N45 Q2:Q45">
    <cfRule type="expression" dxfId="552" priority="8">
      <formula>IF($B2="junior",H2&gt;=$AC$10,H2&gt;=$AC$4)</formula>
    </cfRule>
  </conditionalFormatting>
  <conditionalFormatting sqref="R2:R45">
    <cfRule type="expression" dxfId="551" priority="9">
      <formula>IF($B2="junior",R2&gt;=($AA$11+$AB$11),R2&gt;=($AA$5+$AB$5))</formula>
    </cfRule>
  </conditionalFormatting>
  <conditionalFormatting sqref="S2:S45">
    <cfRule type="expression" dxfId="550" priority="13">
      <formula>IF($B2="junior",S2&gt;=$AA$12+$AB$12,S2&gt;=$AA$6+$AB$6)</formula>
    </cfRule>
  </conditionalFormatting>
  <conditionalFormatting sqref="T2:T45">
    <cfRule type="expression" dxfId="549" priority="7">
      <formula>IF($B2="junior",T2&gt;=$AC$13,T2&gt;=$AC$7)</formula>
    </cfRule>
    <cfRule type="expression" dxfId="548" priority="12">
      <formula>IF($B2="junior",T2&gt;=($AA$13+$AB$13),T2&gt;=($AA$7+$AB$7))</formula>
    </cfRule>
  </conditionalFormatting>
  <conditionalFormatting sqref="V2:V45">
    <cfRule type="expression" dxfId="547" priority="6">
      <formula>IF($B2="junior",V2&gt;=$AA$9+$AB$9,V2&gt;=$AA$3+$AB$3)</formula>
    </cfRule>
  </conditionalFormatting>
  <pageMargins left="0.7" right="0.7" top="0.75" bottom="0.75" header="0.3" footer="0.3"/>
  <drawing r:id="rId2"/>
  <tableParts count="3">
    <tablePart r:id="rId3"/>
    <tablePart r:id="rId4"/>
    <tablePart r:id="rId5"/>
  </tablePart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65170-45AD-BD40-AEE9-ABCDD4A565AD}">
  <sheetPr codeName="Arkusz9">
    <tabColor theme="5" tint="0.39997558519241921"/>
  </sheetPr>
  <dimension ref="A1:AK830"/>
  <sheetViews>
    <sheetView topLeftCell="L16" zoomScale="75" zoomScaleNormal="75" workbookViewId="0">
      <selection activeCell="Z34" sqref="Z29:Z35"/>
      <pivotSelection pane="bottomRight" showHeader="1" axis="axisRow" dimension="1" activeRow="33" activeCol="25" previousRow="33" previousCol="25" click="1" r:id="rId1">
        <pivotArea dataOnly="0" labelOnly="1" fieldPosition="0">
          <references count="1">
            <reference field="6" count="0"/>
          </references>
        </pivotArea>
      </pivotSelection>
    </sheetView>
  </sheetViews>
  <sheetFormatPr defaultColWidth="11" defaultRowHeight="15.75" x14ac:dyDescent="0.25"/>
  <cols>
    <col min="1" max="1" width="21.125" bestFit="1" customWidth="1"/>
    <col min="2" max="2" width="18.5" style="2" bestFit="1" customWidth="1"/>
    <col min="3" max="3" width="17" style="2" bestFit="1" customWidth="1"/>
    <col min="4" max="4" width="25.125" bestFit="1" customWidth="1"/>
    <col min="5" max="5" width="14.125" style="2" customWidth="1"/>
    <col min="6" max="6" width="25" style="4" bestFit="1" customWidth="1"/>
    <col min="7" max="8" width="7.875" style="7" customWidth="1"/>
    <col min="9" max="9" width="7.875" style="4" customWidth="1"/>
    <col min="10" max="10" width="7.875" style="7" customWidth="1"/>
    <col min="11" max="11" width="26" style="7" bestFit="1" customWidth="1"/>
    <col min="12" max="12" width="22.25" style="4" bestFit="1" customWidth="1"/>
    <col min="13" max="13" width="22" style="7" bestFit="1" customWidth="1"/>
    <col min="14" max="14" width="26.5" style="7" bestFit="1" customWidth="1"/>
    <col min="15" max="15" width="7.875" style="4" customWidth="1"/>
    <col min="16" max="17" width="7.875" style="7" customWidth="1"/>
    <col min="18" max="23" width="7.875" style="2" customWidth="1"/>
    <col min="25" max="25" width="18.5" bestFit="1" customWidth="1"/>
    <col min="26" max="26" width="17.125" bestFit="1" customWidth="1"/>
    <col min="27" max="27" width="22.75" bestFit="1" customWidth="1"/>
    <col min="28" max="28" width="8.125" bestFit="1" customWidth="1"/>
    <col min="29" max="29" width="14" bestFit="1" customWidth="1"/>
  </cols>
  <sheetData>
    <row r="1" spans="1:37" s="2" customFormat="1" x14ac:dyDescent="0.25">
      <c r="A1" s="4" t="s">
        <v>1</v>
      </c>
      <c r="B1" s="2" t="s">
        <v>2</v>
      </c>
      <c r="C1" s="2" t="s">
        <v>4</v>
      </c>
      <c r="D1" s="2" t="s">
        <v>5</v>
      </c>
      <c r="E1" s="2" t="s">
        <v>227</v>
      </c>
      <c r="F1" s="2" t="s">
        <v>181</v>
      </c>
      <c r="G1" s="2" t="s">
        <v>182</v>
      </c>
      <c r="H1" s="2" t="s">
        <v>183</v>
      </c>
      <c r="I1" s="2" t="s">
        <v>184</v>
      </c>
      <c r="J1" s="2" t="s">
        <v>185</v>
      </c>
      <c r="K1" s="2" t="s">
        <v>186</v>
      </c>
      <c r="L1" s="2" t="s">
        <v>187</v>
      </c>
      <c r="M1" s="2" t="s">
        <v>188</v>
      </c>
      <c r="N1" s="2" t="s">
        <v>189</v>
      </c>
      <c r="O1" s="2" t="s">
        <v>190</v>
      </c>
      <c r="P1" s="2" t="s">
        <v>191</v>
      </c>
      <c r="Q1" s="2" t="s">
        <v>192</v>
      </c>
      <c r="R1" s="2" t="s">
        <v>219</v>
      </c>
      <c r="S1" s="2" t="s">
        <v>220</v>
      </c>
      <c r="T1" s="2" t="s">
        <v>221</v>
      </c>
      <c r="U1" s="2" t="s">
        <v>235</v>
      </c>
      <c r="V1" s="2" t="s">
        <v>236</v>
      </c>
      <c r="W1" s="2" t="s">
        <v>237</v>
      </c>
      <c r="AA1" s="20" t="s">
        <v>273</v>
      </c>
      <c r="AB1" s="20" t="s">
        <v>272</v>
      </c>
      <c r="AC1" s="20" t="s">
        <v>274</v>
      </c>
    </row>
    <row r="2" spans="1:37" x14ac:dyDescent="0.25">
      <c r="A2" t="s">
        <v>63</v>
      </c>
      <c r="B2" s="2" t="s">
        <v>60</v>
      </c>
      <c r="C2" s="2" t="s">
        <v>64</v>
      </c>
      <c r="D2" t="s">
        <v>39</v>
      </c>
      <c r="E2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2" s="4">
        <v>4.8</v>
      </c>
      <c r="G2" s="7">
        <v>8.6999999999999993</v>
      </c>
      <c r="H2" s="7">
        <v>13.5</v>
      </c>
      <c r="I2" s="4">
        <v>5.2</v>
      </c>
      <c r="J2" s="7">
        <v>9.6</v>
      </c>
      <c r="K2" s="7">
        <v>14.8</v>
      </c>
      <c r="L2" s="4">
        <v>5.2</v>
      </c>
      <c r="M2" s="7">
        <v>8.0500000000000007</v>
      </c>
      <c r="N2" s="7">
        <v>13.25</v>
      </c>
      <c r="O2" s="4">
        <v>4.8</v>
      </c>
      <c r="P2" s="7">
        <v>8.3000000000000007</v>
      </c>
      <c r="Q2" s="7">
        <v>13.1</v>
      </c>
      <c r="R2" s="4">
        <f>LARGE(CHOOSE({1;2;3;4},F2,I2,L2,O2),1)+LARGE(CHOOSE({1;2;3;4},F2,I2,L2,O2),2)+LARGE(CHOOSE({1;2;3;4},F2,I2,L2,O2),3)</f>
        <v>15.2</v>
      </c>
      <c r="S2" s="7">
        <f>LARGE(CHOOSE({1;2;3;4},G2,J2,M2,P2),1)+LARGE(CHOOSE({1;2;3;4},G2,J2,M2,P2),2)+LARGE(CHOOSE({1;2;3;4},G2,J2,M2,P2),3)</f>
        <v>26.599999999999998</v>
      </c>
      <c r="T2" s="7">
        <f>LARGE(CHOOSE({1;2;3;4},H2,K2,N2,Q2),1)+LARGE(CHOOSE({1;2;3;4},H2,K2,N2,Q2),2)+LARGE(CHOOSE({1;2;3;4},H2,K2,N2,Q2),3)</f>
        <v>41.55</v>
      </c>
      <c r="U2" s="4" cm="1">
        <f t="array" ref="U2">IF(VT[[#This Row],[Number_of_competition]:[Number_of_competition]]&gt;=3,(LARGE(CHOOSE({1;2;3;4},F2,I2,L2,O2),1)+LARGE(CHOOSE({1;2;3;4},F2,I2,L2,O2),2)+LARGE(CHOOSE({1;2;3;4},F2,I2,L2,O2),3))/3,0)</f>
        <v>5.0666666666666664</v>
      </c>
      <c r="V2" s="7" cm="1">
        <f t="array" ref="V2">IF(VT[[#This Row],[Number_of_competition]:[Number_of_competition]]&gt;=3,(LARGE(CHOOSE({1;2;3;4},G2,J2,M2,P2),1)+LARGE(CHOOSE({1;2;3;4},G2,J2,M2,P2),2)+LARGE(CHOOSE({1;2;3;4},G2,J2,M2,P2),3))/3,0)</f>
        <v>8.8666666666666654</v>
      </c>
      <c r="W2" s="7" cm="1">
        <f t="array" ref="W2">IF(VT[[#This Row],[Number_of_competition]:[Number_of_competition]]&gt;=3,(LARGE(CHOOSE({1;2;3;4},H2,K2,N2,Q2),1)+LARGE(CHOOSE({1;2;3;4},H2,K2,N2,Q2),2)+LARGE(CHOOSE({1;2;3;4},H2,K2,N2,Q2),3))/3,0)</f>
        <v>13.85</v>
      </c>
      <c r="Y2" s="39" t="s">
        <v>60</v>
      </c>
      <c r="Z2" s="20" t="s">
        <v>269</v>
      </c>
      <c r="AA2" s="21" cm="1">
        <f t="array" ref="AA2">SUM(_xlfn._xlws.FILTER(VT[bydgoszcz_VT_Dscore],VT[Category]="senior"),_xlfn._xlws.FILTER(VT[zabrze_VT_Dscore],VT[Category]="senior"),_xlfn._xlws.FILTER(VT[cracow_VT_Dscore],VT[Category]="senior"),_xlfn._xlws.FILTER(VT[gdansk_VT_Dscore],VT[Category]="senior"))/(COUNTIFS(VT[bydgoszcz_VT_Dscore],"&gt;0",VT[Category],"senior")+COUNTIFS(VT[zabrze_VT_Dscore],"&gt;0",VT[Category],"senior")+COUNTIFS(VT[cracow_VT_Dscore],"&gt;0",VT[Category],"senior")+COUNTIFS(VT[gdansk_VT_Dscore],"&gt;0",VT[Category],"senior"))</f>
        <v>3.8000000000000003</v>
      </c>
      <c r="AB2" s="21" cm="1">
        <f t="array" ref="AB2">_xlfn.STDEV.S(_xlfn._xlws.FILTER(VT[bydgoszcz_VT_Dscore],(VT[Category]="senior")*(VT[bydgoszcz_VT_Dscore])&gt;0),_xlfn._xlws.FILTER(VT[zabrze_VT_Dscore],(VT[Category]="senior")*(VT[zabrze_VT_Dscore])&gt;0),_xlfn._xlws.FILTER(VT[cracow_VT_Dscore],(VT[Category]="senior")*(VT[cracow_VT_Dscore])&gt;0),_xlfn._xlws.FILTER(VT[gdansk_VT_Dscore],(VT[Category]="senior")*(VT[gdansk_VT_Dscore])&gt;0))</f>
        <v>0.73678839761300552</v>
      </c>
      <c r="AC2" s="21" cm="1">
        <f t="array" ref="AC2">MAX(_xlfn._xlws.FILTER(VT[bydgoszcz_VT_Dscore],VT[Category]="senior"),_xlfn._xlws.FILTER(VT[zabrze_VT_Dscore],VT[Category]="senior"),_xlfn._xlws.FILTER(VT[cracow_VT_Dscore],VT[Category]="senior"),_xlfn._xlws.FILTER(VT[gdansk_VT_Dscore],VT[Category]="senior"))</f>
        <v>5.2</v>
      </c>
      <c r="AE2" t="s">
        <v>1</v>
      </c>
      <c r="AF2" t="s">
        <v>2</v>
      </c>
      <c r="AG2" t="s">
        <v>5</v>
      </c>
      <c r="AH2" t="s">
        <v>227</v>
      </c>
      <c r="AI2" t="s">
        <v>347</v>
      </c>
      <c r="AJ2" t="s">
        <v>266</v>
      </c>
      <c r="AK2" t="s">
        <v>307</v>
      </c>
    </row>
    <row r="3" spans="1:37" x14ac:dyDescent="0.25">
      <c r="A3" t="s">
        <v>68</v>
      </c>
      <c r="B3" s="2" t="s">
        <v>60</v>
      </c>
      <c r="C3" s="2" t="s">
        <v>69</v>
      </c>
      <c r="D3" t="s">
        <v>31</v>
      </c>
      <c r="E3" s="6">
        <f>COUNTIF(VT[[#This Row],[bydgoszcz_VT_Total_Score]],"&gt;0")+COUNTIF(VT[[#This Row],[zabrze_VT_Total_Score]],"&gt;0")+COUNTIF(VT[[#This Row],[cracow_VT_Total_Score]],"&gt;0")+COUNTIF(VT[[#This Row],[gdansk_VT_Total_Score]],"&gt;0")</f>
        <v>3</v>
      </c>
      <c r="F3" s="4">
        <v>0</v>
      </c>
      <c r="G3" s="7">
        <v>0</v>
      </c>
      <c r="H3" s="7">
        <v>0</v>
      </c>
      <c r="I3" s="4">
        <v>4</v>
      </c>
      <c r="J3" s="7">
        <v>9.6</v>
      </c>
      <c r="K3" s="7">
        <v>13.6</v>
      </c>
      <c r="L3" s="4">
        <v>4</v>
      </c>
      <c r="M3" s="7">
        <v>9.35</v>
      </c>
      <c r="N3" s="7">
        <v>13.35</v>
      </c>
      <c r="O3" s="4">
        <v>4</v>
      </c>
      <c r="P3" s="7">
        <v>8.8000000000000007</v>
      </c>
      <c r="Q3" s="7">
        <v>12.8</v>
      </c>
      <c r="R3" s="4">
        <f>LARGE(CHOOSE({1;2;3;4},F3,I3,L3,O3),1)+LARGE(CHOOSE({1;2;3;4},F3,I3,L3,O3),2)+LARGE(CHOOSE({1;2;3;4},F3,I3,L3,O3),3)</f>
        <v>12</v>
      </c>
      <c r="S3" s="7">
        <f>LARGE(CHOOSE({1;2;3;4},G3,J3,M3,P3),1)+LARGE(CHOOSE({1;2;3;4},G3,J3,M3,P3),2)+LARGE(CHOOSE({1;2;3;4},G3,J3,M3,P3),3)</f>
        <v>27.75</v>
      </c>
      <c r="T3" s="7">
        <f>LARGE(CHOOSE({1;2;3;4},H3,K3,N3,Q3),1)+LARGE(CHOOSE({1;2;3;4},H3,K3,N3,Q3),2)+LARGE(CHOOSE({1;2;3;4},H3,K3,N3,Q3),3)</f>
        <v>39.75</v>
      </c>
      <c r="U3" s="4" cm="1">
        <f t="array" ref="U3">IF(VT[[#This Row],[Number_of_competition]:[Number_of_competition]]&gt;=3,(LARGE(CHOOSE({1;2;3;4},F3,I3,L3,O3),1)+LARGE(CHOOSE({1;2;3;4},F3,I3,L3,O3),2)+LARGE(CHOOSE({1;2;3;4},F3,I3,L3,O3),3))/3,0)</f>
        <v>4</v>
      </c>
      <c r="V3" s="7" cm="1">
        <f t="array" ref="V3">IF(VT[[#This Row],[Number_of_competition]:[Number_of_competition]]&gt;=3,(LARGE(CHOOSE({1;2;3;4},G3,J3,M3,P3),1)+LARGE(CHOOSE({1;2;3;4},G3,J3,M3,P3),2)+LARGE(CHOOSE({1;2;3;4},G3,J3,M3,P3),3))/3,0)</f>
        <v>9.25</v>
      </c>
      <c r="W3" s="7" cm="1">
        <f t="array" ref="W3">IF(VT[[#This Row],[Number_of_competition]:[Number_of_competition]]&gt;=3,(LARGE(CHOOSE({1;2;3;4},H3,K3,N3,Q3),1)+LARGE(CHOOSE({1;2;3;4},H3,K3,N3,Q3),2)+LARGE(CHOOSE({1;2;3;4},H3,K3,N3,Q3),3))/3,0)</f>
        <v>13.25</v>
      </c>
      <c r="Y3" s="40"/>
      <c r="Z3" s="20" t="s">
        <v>267</v>
      </c>
      <c r="AA3" s="22" cm="1">
        <f t="array" ref="AA3">SUM(_xlfn._xlws.FILTER(VT[bydgoszcz_VT_Escore],VT[Category]="senior"),_xlfn._xlws.FILTER(VT[zabrze_VT_Escore],VT[Category]="senior"),_xlfn._xlws.FILTER(VT[cracow_VT_Escore],VT[Category]="senior"),_xlfn._xlws.FILTER(VT[gdansk_VT_Escore],VT[Category]="senior"))/(COUNTIFS(VT[bydgoszcz_VT_Escore],"&gt;0",VT[Category],"senior")+COUNTIFS(VT[zabrze_VT_Escore],"&gt;0",VT[Category],"senior")+COUNTIFS(VT[cracow_VT_Escore],"&gt;0",VT[Category],"senior")+COUNTIFS(VT[gdansk_VT_Escore],"&gt;0",VT[Category],"senior"))</f>
        <v>8.7815789473684234</v>
      </c>
      <c r="AB3" s="22" cm="1">
        <f t="array" ref="AB3">_xlfn.STDEV.S(_xlfn._xlws.FILTER(VT[bydgoszcz_VT_Escore],(VT[Category]="senior")*(VT[bydgoszcz_VT_Escore])&gt;0),_xlfn._xlws.FILTER(VT[zabrze_VT_Escore],(VT[Category]="senior")*(VT[zabrze_VT_Escore])&gt;0),_xlfn._xlws.FILTER(VT[cracow_VT_Escore],(VT[Category]="senior")*(VT[cracow_VT_Escore])&gt;0),_xlfn._xlws.FILTER(VT[gdansk_VT_Escore],(VT[Category]="senior")*(VT[gdansk_VT_Escore])&gt;0))</f>
        <v>0.54162714334310735</v>
      </c>
      <c r="AC3" s="22" cm="1">
        <f t="array" ref="AC3">MAX(_xlfn._xlws.FILTER(VT[bydgoszcz_VT_Escore],VT[Category]="senior"),_xlfn._xlws.FILTER(VT[zabrze_VT_Escore],VT[Category]="senior"),_xlfn._xlws.FILTER(VT[cracow_VT_Escore],VT[Category]="senior"),_xlfn._xlws.FILTER(VT[gdansk_VT_Escore],VT[Category]="senior"))</f>
        <v>9.6</v>
      </c>
      <c r="AE3" s="43" t="s">
        <v>63</v>
      </c>
      <c r="AF3" s="43" t="s">
        <v>60</v>
      </c>
      <c r="AG3" s="43" t="s">
        <v>39</v>
      </c>
      <c r="AH3">
        <v>4</v>
      </c>
      <c r="AI3" t="s">
        <v>317</v>
      </c>
      <c r="AJ3" s="43" t="s">
        <v>308</v>
      </c>
      <c r="AK3">
        <v>4.8</v>
      </c>
    </row>
    <row r="4" spans="1:37" x14ac:dyDescent="0.25">
      <c r="A4" t="s">
        <v>59</v>
      </c>
      <c r="B4" s="2" t="s">
        <v>60</v>
      </c>
      <c r="C4" s="2" t="s">
        <v>61</v>
      </c>
      <c r="D4" t="s">
        <v>62</v>
      </c>
      <c r="E4" s="6">
        <f>COUNTIF(VT[[#This Row],[bydgoszcz_VT_Total_Score]],"&gt;0")+COUNTIF(VT[[#This Row],[zabrze_VT_Total_Score]],"&gt;0")+COUNTIF(VT[[#This Row],[cracow_VT_Total_Score]],"&gt;0")+COUNTIF(VT[[#This Row],[gdansk_VT_Total_Score]],"&gt;0")</f>
        <v>3</v>
      </c>
      <c r="F4" s="4">
        <v>0</v>
      </c>
      <c r="G4" s="7">
        <v>0</v>
      </c>
      <c r="H4" s="7">
        <v>0</v>
      </c>
      <c r="I4" s="4">
        <v>4.4000000000000004</v>
      </c>
      <c r="J4" s="7">
        <v>9.1</v>
      </c>
      <c r="K4" s="7">
        <v>13.5</v>
      </c>
      <c r="L4" s="4">
        <v>4.4000000000000004</v>
      </c>
      <c r="M4" s="7">
        <v>9.15</v>
      </c>
      <c r="N4" s="7">
        <v>13.55</v>
      </c>
      <c r="O4" s="4">
        <v>4.4000000000000004</v>
      </c>
      <c r="P4" s="7">
        <v>8.3000000000000007</v>
      </c>
      <c r="Q4" s="7">
        <v>12.7</v>
      </c>
      <c r="R4" s="4">
        <f>LARGE(CHOOSE({1;2;3;4},F4,I4,L4,O4),1)+LARGE(CHOOSE({1;2;3;4},F4,I4,L4,O4),2)+LARGE(CHOOSE({1;2;3;4},F4,I4,L4,O4),3)</f>
        <v>13.200000000000001</v>
      </c>
      <c r="S4" s="7">
        <f>LARGE(CHOOSE({1;2;3;4},G4,J4,M4,P4),1)+LARGE(CHOOSE({1;2;3;4},G4,J4,M4,P4),2)+LARGE(CHOOSE({1;2;3;4},G4,J4,M4,P4),3)</f>
        <v>26.55</v>
      </c>
      <c r="T4" s="7">
        <f>LARGE(CHOOSE({1;2;3;4},H4,K4,N4,Q4),1)+LARGE(CHOOSE({1;2;3;4},H4,K4,N4,Q4),2)+LARGE(CHOOSE({1;2;3;4},H4,K4,N4,Q4),3)</f>
        <v>39.75</v>
      </c>
      <c r="U4" s="4" cm="1">
        <f t="array" ref="U4">IF(VT[[#This Row],[Number_of_competition]:[Number_of_competition]]&gt;=3,(LARGE(CHOOSE({1;2;3;4},F4,I4,L4,O4),1)+LARGE(CHOOSE({1;2;3;4},F4,I4,L4,O4),2)+LARGE(CHOOSE({1;2;3;4},F4,I4,L4,O4),3))/3,0)</f>
        <v>4.4000000000000004</v>
      </c>
      <c r="V4" s="7" cm="1">
        <f t="array" ref="V4">IF(VT[[#This Row],[Number_of_competition]:[Number_of_competition]]&gt;=3,(LARGE(CHOOSE({1;2;3;4},G4,J4,M4,P4),1)+LARGE(CHOOSE({1;2;3;4},G4,J4,M4,P4),2)+LARGE(CHOOSE({1;2;3;4},G4,J4,M4,P4),3))/3,0)</f>
        <v>8.85</v>
      </c>
      <c r="W4" s="7" cm="1">
        <f t="array" ref="W4">IF(VT[[#This Row],[Number_of_competition]:[Number_of_competition]]&gt;=3,(LARGE(CHOOSE({1;2;3;4},H4,K4,N4,Q4),1)+LARGE(CHOOSE({1;2;3;4},H4,K4,N4,Q4),2)+LARGE(CHOOSE({1;2;3;4},H4,K4,N4,Q4),3))/3,0)</f>
        <v>13.25</v>
      </c>
      <c r="Y4" s="40"/>
      <c r="Z4" s="20" t="s">
        <v>268</v>
      </c>
      <c r="AA4" s="22" cm="1">
        <f t="array" ref="AA4">SUM(_xlfn._xlws.FILTER(VT[bydgoszcz_VT_Total_Score],VT[Category]="senior"),_xlfn._xlws.FILTER(VT[zabrze_VT_Total_Score],VT[Category]="senior"),_xlfn._xlws.FILTER(VT[cracow_VT_Total_Score],VT[Category]="senior"),_xlfn._xlws.FILTER(VT[gdansk_VT_Total_Score],VT[Category]="senior"))/(COUNTIFS(VT[bydgoszcz_VT_Total_Score],"&gt;0",VT[Category],"senior")+COUNTIFS(VT[zabrze_VT_Total_Score],"&gt;0",VT[Category],"senior")+COUNTIFS(VT[cracow_VT_Total_Score],"&gt;0",VT[Category],"senior")+COUNTIFS(VT[gdansk_VT_Total_Score],"&gt;0",VT[Category],"senior"))</f>
        <v>12.581578947368424</v>
      </c>
      <c r="AB4" s="22" cm="1">
        <f t="array" ref="AB4">_xlfn.STDEV.S(_xlfn._xlws.FILTER(VT[bydgoszcz_VT_Total_Score],(VT[Category]="senior")*(VT[bydgoszcz_VT_Total_Score])&gt;0),_xlfn._xlws.FILTER(VT[zabrze_VT_Total_Score],(VT[Category]="senior")*(VT[zabrze_VT_Total_Score])&gt;0),_xlfn._xlws.FILTER(VT[cracow_VT_Total_Score],(VT[Category]="senior")*(VT[cracow_VT_Total_Score])&gt;0),_xlfn._xlws.FILTER(VT[gdansk_VT_Total_Score],(VT[Category]="senior")*(VT[gdansk_VT_Total_Score])&gt;0))</f>
        <v>0.86528440715360067</v>
      </c>
      <c r="AC4" s="22" cm="1">
        <f t="array" ref="AC4">MAX(_xlfn._xlws.FILTER(VT[bydgoszcz_VT_Total_Score],VT[Category]="senior"),_xlfn._xlws.FILTER(VT[zabrze_VT_Total_Score],VT[Category]="senior"),_xlfn._xlws.FILTER(VT[cracow_VT_Total_Score],VT[Category]="senior"),_xlfn._xlws.FILTER(VT[gdansk_VT_Total_Score],VT[Category]="senior"))</f>
        <v>14.8</v>
      </c>
      <c r="AE4" s="43" t="s">
        <v>63</v>
      </c>
      <c r="AF4" s="43" t="s">
        <v>60</v>
      </c>
      <c r="AG4" s="43" t="s">
        <v>39</v>
      </c>
      <c r="AH4">
        <v>4</v>
      </c>
      <c r="AI4" t="s">
        <v>317</v>
      </c>
      <c r="AJ4" s="43" t="s">
        <v>309</v>
      </c>
      <c r="AK4">
        <v>8.6999999999999993</v>
      </c>
    </row>
    <row r="5" spans="1:37" x14ac:dyDescent="0.25">
      <c r="A5" t="s">
        <v>82</v>
      </c>
      <c r="B5" s="2" t="s">
        <v>60</v>
      </c>
      <c r="C5" s="2" t="s">
        <v>83</v>
      </c>
      <c r="D5" t="s">
        <v>36</v>
      </c>
      <c r="E5" s="6">
        <f>COUNTIF(VT[[#This Row],[bydgoszcz_VT_Total_Score]],"&gt;0")+COUNTIF(VT[[#This Row],[zabrze_VT_Total_Score]],"&gt;0")+COUNTIF(VT[[#This Row],[cracow_VT_Total_Score]],"&gt;0")+COUNTIF(VT[[#This Row],[gdansk_VT_Total_Score]],"&gt;0")</f>
        <v>3</v>
      </c>
      <c r="F5" s="4">
        <v>0</v>
      </c>
      <c r="G5" s="7">
        <v>0</v>
      </c>
      <c r="H5" s="7">
        <v>0</v>
      </c>
      <c r="I5" s="4">
        <v>4</v>
      </c>
      <c r="J5" s="7">
        <v>9.3000000000000007</v>
      </c>
      <c r="K5" s="7">
        <v>13.3</v>
      </c>
      <c r="L5" s="4">
        <v>4</v>
      </c>
      <c r="M5" s="7">
        <v>9.1</v>
      </c>
      <c r="N5" s="7">
        <v>13.1</v>
      </c>
      <c r="O5" s="4">
        <v>4</v>
      </c>
      <c r="P5" s="7">
        <v>9</v>
      </c>
      <c r="Q5" s="7">
        <v>13</v>
      </c>
      <c r="R5" s="4">
        <f>LARGE(CHOOSE({1;2;3;4},F5,I5,L5,O5),1)+LARGE(CHOOSE({1;2;3;4},F5,I5,L5,O5),2)+LARGE(CHOOSE({1;2;3;4},F5,I5,L5,O5),3)</f>
        <v>12</v>
      </c>
      <c r="S5" s="7">
        <f>LARGE(CHOOSE({1;2;3;4},G5,J5,M5,P5),1)+LARGE(CHOOSE({1;2;3;4},G5,J5,M5,P5),2)+LARGE(CHOOSE({1;2;3;4},G5,J5,M5,P5),3)</f>
        <v>27.4</v>
      </c>
      <c r="T5" s="7">
        <f>LARGE(CHOOSE({1;2;3;4},H5,K5,N5,Q5),1)+LARGE(CHOOSE({1;2;3;4},H5,K5,N5,Q5),2)+LARGE(CHOOSE({1;2;3;4},H5,K5,N5,Q5),3)</f>
        <v>39.4</v>
      </c>
      <c r="U5" s="4" cm="1">
        <f t="array" ref="U5">IF(VT[[#This Row],[Number_of_competition]:[Number_of_competition]]&gt;=3,(LARGE(CHOOSE({1;2;3;4},F5,I5,L5,O5),1)+LARGE(CHOOSE({1;2;3;4},F5,I5,L5,O5),2)+LARGE(CHOOSE({1;2;3;4},F5,I5,L5,O5),3))/3,0)</f>
        <v>4</v>
      </c>
      <c r="V5" s="7" cm="1">
        <f t="array" ref="V5">IF(VT[[#This Row],[Number_of_competition]:[Number_of_competition]]&gt;=3,(LARGE(CHOOSE({1;2;3;4},G5,J5,M5,P5),1)+LARGE(CHOOSE({1;2;3;4},G5,J5,M5,P5),2)+LARGE(CHOOSE({1;2;3;4},G5,J5,M5,P5),3))/3,0)</f>
        <v>9.1333333333333329</v>
      </c>
      <c r="W5" s="7" cm="1">
        <f t="array" ref="W5">IF(VT[[#This Row],[Number_of_competition]:[Number_of_competition]]&gt;=3,(LARGE(CHOOSE({1;2;3;4},H5,K5,N5,Q5),1)+LARGE(CHOOSE({1;2;3;4},H5,K5,N5,Q5),2)+LARGE(CHOOSE({1;2;3;4},H5,K5,N5,Q5),3))/3,0)</f>
        <v>13.133333333333333</v>
      </c>
      <c r="Y5" s="40"/>
      <c r="Z5" s="20" t="s">
        <v>275</v>
      </c>
      <c r="AA5" s="21" cm="1">
        <f t="array" ref="AA5">SUM(_xlfn._xlws.FILTER(VT[Year_Dscore],(VT[Category]="senior")*(VT[Number_of_competition]&gt;=3))/COUNTIFS(VT[Number_of_competition],"&gt;=3",VT[Category],"senior"))</f>
        <v>11.911111111111111</v>
      </c>
      <c r="AB5" s="21" cm="1">
        <f t="array" ref="AB5">_xlfn.STDEV.S(_xlfn._xlws.FILTER(VT[Year_Dscore],(VT[Category]="senior")*(VT[Number_of_competition]&gt;=3)))</f>
        <v>1.6586473739499692</v>
      </c>
      <c r="AC5" s="21" cm="1">
        <f t="array" ref="AC5">MAX(_xlfn._xlws.FILTER(VT[Year_Dscore],VT[Category]="senior"))</f>
        <v>15.2</v>
      </c>
      <c r="AE5" s="43" t="s">
        <v>63</v>
      </c>
      <c r="AF5" s="43" t="s">
        <v>60</v>
      </c>
      <c r="AG5" s="43" t="s">
        <v>39</v>
      </c>
      <c r="AH5">
        <v>4</v>
      </c>
      <c r="AI5" t="s">
        <v>317</v>
      </c>
      <c r="AJ5" s="43" t="s">
        <v>268</v>
      </c>
      <c r="AK5">
        <v>13.5</v>
      </c>
    </row>
    <row r="6" spans="1:37" x14ac:dyDescent="0.25">
      <c r="A6" t="s">
        <v>73</v>
      </c>
      <c r="B6" s="2" t="s">
        <v>60</v>
      </c>
      <c r="C6" s="2" t="s">
        <v>74</v>
      </c>
      <c r="D6" t="s">
        <v>62</v>
      </c>
      <c r="E6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6" s="4">
        <v>4</v>
      </c>
      <c r="G6" s="7">
        <v>8.6</v>
      </c>
      <c r="H6" s="7">
        <v>12.6</v>
      </c>
      <c r="I6" s="4">
        <v>4</v>
      </c>
      <c r="J6" s="7">
        <v>9.1</v>
      </c>
      <c r="K6" s="7">
        <v>13.1</v>
      </c>
      <c r="L6" s="4">
        <v>4</v>
      </c>
      <c r="M6" s="7">
        <v>9.35</v>
      </c>
      <c r="N6" s="7">
        <v>13.35</v>
      </c>
      <c r="O6" s="4">
        <v>4</v>
      </c>
      <c r="P6" s="7">
        <v>8.6999999999999993</v>
      </c>
      <c r="Q6" s="7">
        <v>12.7</v>
      </c>
      <c r="R6" s="4">
        <f>LARGE(CHOOSE({1;2;3;4},F6,I6,L6,O6),1)+LARGE(CHOOSE({1;2;3;4},F6,I6,L6,O6),2)+LARGE(CHOOSE({1;2;3;4},F6,I6,L6,O6),3)</f>
        <v>12</v>
      </c>
      <c r="S6" s="7">
        <f>LARGE(CHOOSE({1;2;3;4},G6,J6,M6,P6),1)+LARGE(CHOOSE({1;2;3;4},G6,J6,M6,P6),2)+LARGE(CHOOSE({1;2;3;4},G6,J6,M6,P6),3)</f>
        <v>27.15</v>
      </c>
      <c r="T6" s="7">
        <f>LARGE(CHOOSE({1;2;3;4},H6,K6,N6,Q6),1)+LARGE(CHOOSE({1;2;3;4},H6,K6,N6,Q6),2)+LARGE(CHOOSE({1;2;3;4},H6,K6,N6,Q6),3)</f>
        <v>39.15</v>
      </c>
      <c r="U6" s="4" cm="1">
        <f t="array" ref="U6">IF(VT[[#This Row],[Number_of_competition]:[Number_of_competition]]&gt;=3,(LARGE(CHOOSE({1;2;3;4},F6,I6,L6,O6),1)+LARGE(CHOOSE({1;2;3;4},F6,I6,L6,O6),2)+LARGE(CHOOSE({1;2;3;4},F6,I6,L6,O6),3))/3,0)</f>
        <v>4</v>
      </c>
      <c r="V6" s="7" cm="1">
        <f t="array" ref="V6">IF(VT[[#This Row],[Number_of_competition]:[Number_of_competition]]&gt;=3,(LARGE(CHOOSE({1;2;3;4},G6,J6,M6,P6),1)+LARGE(CHOOSE({1;2;3;4},G6,J6,M6,P6),2)+LARGE(CHOOSE({1;2;3;4},G6,J6,M6,P6),3))/3,0)</f>
        <v>9.0499999999999989</v>
      </c>
      <c r="W6" s="7" cm="1">
        <f t="array" ref="W6">IF(VT[[#This Row],[Number_of_competition]:[Number_of_competition]]&gt;=3,(LARGE(CHOOSE({1;2;3;4},H6,K6,N6,Q6),1)+LARGE(CHOOSE({1;2;3;4},H6,K6,N6,Q6),2)+LARGE(CHOOSE({1;2;3;4},H6,K6,N6,Q6),3))/3,0)</f>
        <v>13.049999999999999</v>
      </c>
      <c r="Y6" s="40"/>
      <c r="Z6" s="20" t="s">
        <v>276</v>
      </c>
      <c r="AA6" s="22" cm="1">
        <f t="array" ref="AA6">SUM(_xlfn._xlws.FILTER(VT[Year_Escore],(VT[Category]="senior")*(VT[Number_of_competition]&gt;=3))/COUNTIFS(VT[Number_of_competition],"&gt;=3",VT[Category],"senior"))</f>
        <v>26.855555555555554</v>
      </c>
      <c r="AB6" s="22" cm="1">
        <f t="array" ref="AB6">_xlfn.STDEV.S(_xlfn._xlws.FILTER(VT[Year_Escore],(VT[Category]="senior")*(VT[Number_of_competition]&gt;=3)))</f>
        <v>0.77598503708369104</v>
      </c>
      <c r="AC6" s="22" cm="1">
        <f t="array" ref="AC6">MAX(_xlfn._xlws.FILTER(VT[Year_Escore],VT[Category]="senior"))</f>
        <v>27.85</v>
      </c>
      <c r="AE6" s="43" t="s">
        <v>63</v>
      </c>
      <c r="AF6" s="43" t="s">
        <v>60</v>
      </c>
      <c r="AG6" s="43" t="s">
        <v>39</v>
      </c>
      <c r="AH6">
        <v>4</v>
      </c>
      <c r="AI6" t="s">
        <v>325</v>
      </c>
      <c r="AJ6" s="43" t="s">
        <v>308</v>
      </c>
      <c r="AK6">
        <v>5.2</v>
      </c>
    </row>
    <row r="7" spans="1:37" x14ac:dyDescent="0.25">
      <c r="A7" t="s">
        <v>90</v>
      </c>
      <c r="B7" s="2" t="s">
        <v>60</v>
      </c>
      <c r="C7" s="2" t="s">
        <v>91</v>
      </c>
      <c r="D7" t="s">
        <v>36</v>
      </c>
      <c r="E7" s="6">
        <f>COUNTIF(VT[[#This Row],[bydgoszcz_VT_Total_Score]],"&gt;0")+COUNTIF(VT[[#This Row],[zabrze_VT_Total_Score]],"&gt;0")+COUNTIF(VT[[#This Row],[cracow_VT_Total_Score]],"&gt;0")+COUNTIF(VT[[#This Row],[gdansk_VT_Total_Score]],"&gt;0")</f>
        <v>3</v>
      </c>
      <c r="F7" s="4">
        <v>0</v>
      </c>
      <c r="G7" s="7">
        <v>0</v>
      </c>
      <c r="H7" s="7">
        <v>0</v>
      </c>
      <c r="I7" s="4">
        <v>4</v>
      </c>
      <c r="J7" s="7">
        <v>8.4</v>
      </c>
      <c r="K7" s="7">
        <v>12.4</v>
      </c>
      <c r="L7" s="4">
        <v>4</v>
      </c>
      <c r="M7" s="7">
        <v>9.25</v>
      </c>
      <c r="N7" s="7">
        <v>13.25</v>
      </c>
      <c r="O7" s="4">
        <v>4</v>
      </c>
      <c r="P7" s="7">
        <v>8.9</v>
      </c>
      <c r="Q7" s="7">
        <v>12.9</v>
      </c>
      <c r="R7" s="4">
        <f>LARGE(CHOOSE({1;2;3;4},F7,I7,L7,O7),1)+LARGE(CHOOSE({1;2;3;4},F7,I7,L7,O7),2)+LARGE(CHOOSE({1;2;3;4},F7,I7,L7,O7),3)</f>
        <v>12</v>
      </c>
      <c r="S7" s="7">
        <f>LARGE(CHOOSE({1;2;3;4},G7,J7,M7,P7),1)+LARGE(CHOOSE({1;2;3;4},G7,J7,M7,P7),2)+LARGE(CHOOSE({1;2;3;4},G7,J7,M7,P7),3)</f>
        <v>26.549999999999997</v>
      </c>
      <c r="T7" s="7">
        <f>LARGE(CHOOSE({1;2;3;4},H7,K7,N7,Q7),1)+LARGE(CHOOSE({1;2;3;4},H7,K7,N7,Q7),2)+LARGE(CHOOSE({1;2;3;4},H7,K7,N7,Q7),3)</f>
        <v>38.549999999999997</v>
      </c>
      <c r="U7" s="4" cm="1">
        <f t="array" ref="U7">IF(VT[[#This Row],[Number_of_competition]:[Number_of_competition]]&gt;=3,(LARGE(CHOOSE({1;2;3;4},F7,I7,L7,O7),1)+LARGE(CHOOSE({1;2;3;4},F7,I7,L7,O7),2)+LARGE(CHOOSE({1;2;3;4},F7,I7,L7,O7),3))/3,0)</f>
        <v>4</v>
      </c>
      <c r="V7" s="7" cm="1">
        <f t="array" ref="V7">IF(VT[[#This Row],[Number_of_competition]:[Number_of_competition]]&gt;=3,(LARGE(CHOOSE({1;2;3;4},G7,J7,M7,P7),1)+LARGE(CHOOSE({1;2;3;4},G7,J7,M7,P7),2)+LARGE(CHOOSE({1;2;3;4},G7,J7,M7,P7),3))/3,0)</f>
        <v>8.85</v>
      </c>
      <c r="W7" s="7" cm="1">
        <f t="array" ref="W7">IF(VT[[#This Row],[Number_of_competition]:[Number_of_competition]]&gt;=3,(LARGE(CHOOSE({1;2;3;4},H7,K7,N7,Q7),1)+LARGE(CHOOSE({1;2;3;4},H7,K7,N7,Q7),2)+LARGE(CHOOSE({1;2;3;4},H7,K7,N7,Q7),3))/3,0)</f>
        <v>12.85</v>
      </c>
      <c r="Y7" s="41"/>
      <c r="Z7" s="20" t="s">
        <v>277</v>
      </c>
      <c r="AA7" s="22" cm="1">
        <f t="array" ref="AA7">SUM(_xlfn._xlws.FILTER(VT[Year_Total_Score],(VT[Category]="senior")*(VT[Number_of_competition]&gt;=3))/COUNTIFS(VT[Number_of_competition],"&gt;=3",VT[Category],"senior"))</f>
        <v>38.655555555555559</v>
      </c>
      <c r="AB7" s="22" cm="1">
        <f t="array" ref="AB7">_xlfn.STDEV.S(_xlfn._xlws.FILTER(VT[Year_Total_Score],(VT[Category]="senior")*(VT[Number_of_competition]&gt;=3)))</f>
        <v>1.7740216396024528</v>
      </c>
      <c r="AC7" s="22" cm="1">
        <f t="array" ref="AC7">MAX(_xlfn._xlws.FILTER(VT[Year_Total_Score],VT[Category]="senior"))</f>
        <v>41.55</v>
      </c>
      <c r="AE7" s="43" t="s">
        <v>63</v>
      </c>
      <c r="AF7" s="43" t="s">
        <v>60</v>
      </c>
      <c r="AG7" s="43" t="s">
        <v>39</v>
      </c>
      <c r="AH7">
        <v>4</v>
      </c>
      <c r="AI7" t="s">
        <v>325</v>
      </c>
      <c r="AJ7" s="43" t="s">
        <v>309</v>
      </c>
      <c r="AK7">
        <v>9.6</v>
      </c>
    </row>
    <row r="8" spans="1:37" x14ac:dyDescent="0.25">
      <c r="A8" t="s">
        <v>32</v>
      </c>
      <c r="B8" s="2" t="s">
        <v>26</v>
      </c>
      <c r="C8" s="2" t="s">
        <v>33</v>
      </c>
      <c r="D8" t="s">
        <v>31</v>
      </c>
      <c r="E8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8" s="4">
        <v>3.2</v>
      </c>
      <c r="G8" s="7">
        <v>9</v>
      </c>
      <c r="H8" s="7">
        <v>12.2</v>
      </c>
      <c r="I8" s="4">
        <v>3.2</v>
      </c>
      <c r="J8" s="7">
        <v>9.4499999999999993</v>
      </c>
      <c r="K8" s="7">
        <v>12.65</v>
      </c>
      <c r="L8" s="4">
        <v>3.2</v>
      </c>
      <c r="M8" s="7">
        <v>9.1999999999999993</v>
      </c>
      <c r="N8" s="7">
        <v>12.4</v>
      </c>
      <c r="O8" s="4">
        <v>2.8</v>
      </c>
      <c r="P8" s="7">
        <v>8.8000000000000007</v>
      </c>
      <c r="Q8" s="7">
        <v>11.6</v>
      </c>
      <c r="R8" s="4">
        <f>LARGE(CHOOSE({1;2;3;4},F8,I8,L8,O8),1)+LARGE(CHOOSE({1;2;3;4},F8,I8,L8,O8),2)+LARGE(CHOOSE({1;2;3;4},F8,I8,L8,O8),3)</f>
        <v>9.6000000000000014</v>
      </c>
      <c r="S8" s="7">
        <f>LARGE(CHOOSE({1;2;3;4},G8,J8,M8,P8),1)+LARGE(CHOOSE({1;2;3;4},G8,J8,M8,P8),2)+LARGE(CHOOSE({1;2;3;4},G8,J8,M8,P8),3)</f>
        <v>27.65</v>
      </c>
      <c r="T8" s="7">
        <f>LARGE(CHOOSE({1;2;3;4},H8,K8,N8,Q8),1)+LARGE(CHOOSE({1;2;3;4},H8,K8,N8,Q8),2)+LARGE(CHOOSE({1;2;3;4},H8,K8,N8,Q8),3)</f>
        <v>37.25</v>
      </c>
      <c r="U8" s="4" cm="1">
        <f t="array" ref="U8">IF(VT[[#This Row],[Number_of_competition]:[Number_of_competition]]&gt;=3,(LARGE(CHOOSE({1;2;3;4},F8,I8,L8,O8),1)+LARGE(CHOOSE({1;2;3;4},F8,I8,L8,O8),2)+LARGE(CHOOSE({1;2;3;4},F8,I8,L8,O8),3))/3,0)</f>
        <v>3.2000000000000006</v>
      </c>
      <c r="V8" s="7" cm="1">
        <f t="array" ref="V8">IF(VT[[#This Row],[Number_of_competition]:[Number_of_competition]]&gt;=3,(LARGE(CHOOSE({1;2;3;4},G8,J8,M8,P8),1)+LARGE(CHOOSE({1;2;3;4},G8,J8,M8,P8),2)+LARGE(CHOOSE({1;2;3;4},G8,J8,M8,P8),3))/3,0)</f>
        <v>9.2166666666666668</v>
      </c>
      <c r="W8" s="7" cm="1">
        <f t="array" ref="W8">IF(VT[[#This Row],[Number_of_competition]:[Number_of_competition]]&gt;=3,(LARGE(CHOOSE({1;2;3;4},H8,K8,N8,Q8),1)+LARGE(CHOOSE({1;2;3;4},H8,K8,N8,Q8),2)+LARGE(CHOOSE({1;2;3;4},H8,K8,N8,Q8),3))/3,0)</f>
        <v>12.416666666666666</v>
      </c>
      <c r="Y8" s="39" t="s">
        <v>26</v>
      </c>
      <c r="Z8" s="20" t="s">
        <v>269</v>
      </c>
      <c r="AA8" s="21" cm="1">
        <f t="array" ref="AA8">SUM(_xlfn._xlws.FILTER(VT[bydgoszcz_VT_Dscore],VT[Category]="junior"),_xlfn._xlws.FILTER(VT[zabrze_VT_Dscore],VT[Category]="junior"),_xlfn._xlws.FILTER(VT[cracow_VT_Dscore],VT[Category]="junior"),_xlfn._xlws.FILTER(VT[gdansk_VT_Dscore],VT[Category]="junior"))/(COUNTIFS(VT[bydgoszcz_VT_Dscore],"&gt;0",VT[Category],"junior")+COUNTIFS(VT[zabrze_VT_Dscore],"&gt;0",VT[Category],"junior")+COUNTIFS(VT[cracow_VT_Dscore],"&gt;0",VT[Category],"junior")+COUNTIFS(VT[gdansk_VT_Dscore],"&gt;0",VT[Category],"junior"))</f>
        <v>2.5703703703703704</v>
      </c>
      <c r="AB8" s="21" cm="1">
        <f t="array" ref="AB8">_xlfn.STDEV.S(_xlfn._xlws.FILTER(VT[bydgoszcz_VT_Dscore],(VT[Category]="junior")*(VT[bydgoszcz_VT_Dscore])&gt;0),_xlfn._xlws.FILTER(VT[zabrze_VT_Dscore],(VT[Category]="junior")*(VT[zabrze_VT_Dscore])&gt;0),_xlfn._xlws.FILTER(VT[cracow_VT_Dscore],(VT[Category]="junior")*(VT[cracow_VT_Dscore])&gt;0),_xlfn._xlws.FILTER(VT[gdansk_VT_Dscore],(VT[Category]="junior")*(VT[gdansk_VT_Dscore])&gt;0))</f>
        <v>0.75276336947693678</v>
      </c>
      <c r="AC8" s="21" cm="1">
        <f t="array" ref="AC8">MAX(_xlfn._xlws.FILTER(VT[bydgoszcz_VT_Dscore],VT[Category]="junior"),_xlfn._xlws.FILTER(VT[zabrze_VT_Dscore],VT[Category]="junior"),_xlfn._xlws.FILTER(VT[cracow_VT_Dscore],VT[Category]="junior"),_xlfn._xlws.FILTER(VT[gdansk_VT_Dscore],VT[Category]="junior"))</f>
        <v>4</v>
      </c>
      <c r="AE8" s="43" t="s">
        <v>63</v>
      </c>
      <c r="AF8" s="43" t="s">
        <v>60</v>
      </c>
      <c r="AG8" s="43" t="s">
        <v>39</v>
      </c>
      <c r="AH8">
        <v>4</v>
      </c>
      <c r="AI8" t="s">
        <v>325</v>
      </c>
      <c r="AJ8" s="43" t="s">
        <v>268</v>
      </c>
      <c r="AK8">
        <v>14.8</v>
      </c>
    </row>
    <row r="9" spans="1:37" x14ac:dyDescent="0.25">
      <c r="A9" t="s">
        <v>84</v>
      </c>
      <c r="B9" s="2" t="s">
        <v>60</v>
      </c>
      <c r="C9" s="2" t="s">
        <v>85</v>
      </c>
      <c r="D9" t="s">
        <v>39</v>
      </c>
      <c r="E9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9" s="4">
        <v>3</v>
      </c>
      <c r="G9" s="7">
        <v>9.3000000000000007</v>
      </c>
      <c r="H9" s="7">
        <v>12.3</v>
      </c>
      <c r="I9" s="4">
        <v>3.2</v>
      </c>
      <c r="J9" s="7">
        <v>9.25</v>
      </c>
      <c r="K9" s="7">
        <v>12.45</v>
      </c>
      <c r="L9" s="4">
        <v>3.2</v>
      </c>
      <c r="M9" s="7">
        <v>9.3000000000000007</v>
      </c>
      <c r="N9" s="7">
        <v>12.5</v>
      </c>
      <c r="O9" s="4">
        <v>3.2</v>
      </c>
      <c r="P9" s="7">
        <v>8.3000000000000007</v>
      </c>
      <c r="Q9" s="7">
        <v>11.5</v>
      </c>
      <c r="R9" s="4">
        <f>LARGE(CHOOSE({1;2;3;4},F9,I9,L9,O9),1)+LARGE(CHOOSE({1;2;3;4},F9,I9,L9,O9),2)+LARGE(CHOOSE({1;2;3;4},F9,I9,L9,O9),3)</f>
        <v>9.6000000000000014</v>
      </c>
      <c r="S9" s="7">
        <f>LARGE(CHOOSE({1;2;3;4},G9,J9,M9,P9),1)+LARGE(CHOOSE({1;2;3;4},G9,J9,M9,P9),2)+LARGE(CHOOSE({1;2;3;4},G9,J9,M9,P9),3)</f>
        <v>27.85</v>
      </c>
      <c r="T9" s="7">
        <f>LARGE(CHOOSE({1;2;3;4},H9,K9,N9,Q9),1)+LARGE(CHOOSE({1;2;3;4},H9,K9,N9,Q9),2)+LARGE(CHOOSE({1;2;3;4},H9,K9,N9,Q9),3)</f>
        <v>37.25</v>
      </c>
      <c r="U9" s="4" cm="1">
        <f t="array" ref="U9">IF(VT[[#This Row],[Number_of_competition]:[Number_of_competition]]&gt;=3,(LARGE(CHOOSE({1;2;3;4},F9,I9,L9,O9),1)+LARGE(CHOOSE({1;2;3;4},F9,I9,L9,O9),2)+LARGE(CHOOSE({1;2;3;4},F9,I9,L9,O9),3))/3,0)</f>
        <v>3.2000000000000006</v>
      </c>
      <c r="V9" s="7" cm="1">
        <f t="array" ref="V9">IF(VT[[#This Row],[Number_of_competition]:[Number_of_competition]]&gt;=3,(LARGE(CHOOSE({1;2;3;4},G9,J9,M9,P9),1)+LARGE(CHOOSE({1;2;3;4},G9,J9,M9,P9),2)+LARGE(CHOOSE({1;2;3;4},G9,J9,M9,P9),3))/3,0)</f>
        <v>9.2833333333333332</v>
      </c>
      <c r="W9" s="7" cm="1">
        <f t="array" ref="W9">IF(VT[[#This Row],[Number_of_competition]:[Number_of_competition]]&gt;=3,(LARGE(CHOOSE({1;2;3;4},H9,K9,N9,Q9),1)+LARGE(CHOOSE({1;2;3;4},H9,K9,N9,Q9),2)+LARGE(CHOOSE({1;2;3;4},H9,K9,N9,Q9),3))/3,0)</f>
        <v>12.416666666666666</v>
      </c>
      <c r="Y9" s="40"/>
      <c r="Z9" s="20" t="s">
        <v>267</v>
      </c>
      <c r="AA9" s="22" cm="1">
        <f t="array" ref="AA9">SUM(_xlfn._xlws.FILTER(VT[bydgoszcz_VT_Escore],VT[Category]="junior"),_xlfn._xlws.FILTER(VT[zabrze_VT_Escore],VT[Category]="junior"),_xlfn._xlws.FILTER(VT[cracow_VT_Escore],VT[Category]="junior"),_xlfn._xlws.FILTER(VT[gdansk_VT_Escore],VT[Category]="junior"))/(COUNTIFS(VT[bydgoszcz_VT_Escore],"&gt;0",VT[Category],"junior")+COUNTIFS(VT[zabrze_VT_Escore],"&gt;0",VT[Category],"junior")+COUNTIFS(VT[cracow_VT_Escore],"&gt;0",VT[Category],"junior")+COUNTIFS(VT[gdansk_VT_Escore],"&gt;0",VT[Category],"junior"))</f>
        <v>8.6555555555555568</v>
      </c>
      <c r="AB9" s="22" cm="1">
        <f t="array" ref="AB9">_xlfn.STDEV.S(_xlfn._xlws.FILTER(VT[bydgoszcz_VT_Escore],(VT[Category]="junior")*(VT[bydgoszcz_VT_Escore])&gt;0),_xlfn._xlws.FILTER(VT[zabrze_VT_Escore],(VT[Category]="junior")*(VT[zabrze_VT_Escore])&gt;0),_xlfn._xlws.FILTER(VT[cracow_VT_Escore],(VT[Category]="junior")*(VT[cracow_VT_Escore])&gt;0),_xlfn._xlws.FILTER(VT[gdansk_VT_Escore],(VT[Category]="junior")*(VT[gdansk_VT_Escore])&gt;0))</f>
        <v>0.49560965569448912</v>
      </c>
      <c r="AC9" s="22" cm="1">
        <f t="array" ref="AC9">MAX(_xlfn._xlws.FILTER(VT[bydgoszcz_VT_Escore],VT[Category]="junior"),_xlfn._xlws.FILTER(VT[zabrze_VT_Escore],VT[Category]="junior"),_xlfn._xlws.FILTER(VT[cracow_VT_Escore],VT[Category]="junior"),_xlfn._xlws.FILTER(VT[gdansk_VT_Escore],VT[Category]="junior"))</f>
        <v>9.5</v>
      </c>
      <c r="AE9" s="43" t="s">
        <v>63</v>
      </c>
      <c r="AF9" s="43" t="s">
        <v>60</v>
      </c>
      <c r="AG9" s="43" t="s">
        <v>39</v>
      </c>
      <c r="AH9">
        <v>4</v>
      </c>
      <c r="AI9" t="s">
        <v>330</v>
      </c>
      <c r="AJ9" s="43" t="s">
        <v>308</v>
      </c>
      <c r="AK9">
        <v>5.2</v>
      </c>
    </row>
    <row r="10" spans="1:37" x14ac:dyDescent="0.25">
      <c r="A10" t="s">
        <v>29</v>
      </c>
      <c r="B10" s="2" t="s">
        <v>26</v>
      </c>
      <c r="C10" s="2" t="s">
        <v>30</v>
      </c>
      <c r="D10" t="s">
        <v>31</v>
      </c>
      <c r="E10" s="6">
        <f>COUNTIF(VT[[#This Row],[bydgoszcz_VT_Total_Score]],"&gt;0")+COUNTIF(VT[[#This Row],[zabrze_VT_Total_Score]],"&gt;0")+COUNTIF(VT[[#This Row],[cracow_VT_Total_Score]],"&gt;0")+COUNTIF(VT[[#This Row],[gdansk_VT_Total_Score]],"&gt;0")</f>
        <v>3</v>
      </c>
      <c r="F10" s="4">
        <v>2.8</v>
      </c>
      <c r="G10" s="7">
        <v>8.6</v>
      </c>
      <c r="H10" s="7">
        <v>11.4</v>
      </c>
      <c r="I10" s="4">
        <v>4</v>
      </c>
      <c r="J10" s="7">
        <v>8.9499999999999993</v>
      </c>
      <c r="K10" s="7">
        <v>12.95</v>
      </c>
      <c r="L10" s="4">
        <v>0</v>
      </c>
      <c r="M10" s="7">
        <v>0</v>
      </c>
      <c r="N10" s="7">
        <v>0</v>
      </c>
      <c r="O10" s="4">
        <v>4</v>
      </c>
      <c r="P10" s="7">
        <v>8.6</v>
      </c>
      <c r="Q10" s="7">
        <v>12.6</v>
      </c>
      <c r="R10" s="4">
        <f>LARGE(CHOOSE({1;2;3;4},F10,I10,L10,O10),1)+LARGE(CHOOSE({1;2;3;4},F10,I10,L10,O10),2)+LARGE(CHOOSE({1;2;3;4},F10,I10,L10,O10),3)</f>
        <v>10.8</v>
      </c>
      <c r="S10" s="7">
        <f>LARGE(CHOOSE({1;2;3;4},G10,J10,M10,P10),1)+LARGE(CHOOSE({1;2;3;4},G10,J10,M10,P10),2)+LARGE(CHOOSE({1;2;3;4},G10,J10,M10,P10),3)</f>
        <v>26.15</v>
      </c>
      <c r="T10" s="7">
        <f>LARGE(CHOOSE({1;2;3;4},H10,K10,N10,Q10),1)+LARGE(CHOOSE({1;2;3;4},H10,K10,N10,Q10),2)+LARGE(CHOOSE({1;2;3;4},H10,K10,N10,Q10),3)</f>
        <v>36.949999999999996</v>
      </c>
      <c r="U10" s="4" cm="1">
        <f t="array" ref="U10">IF(VT[[#This Row],[Number_of_competition]:[Number_of_competition]]&gt;=3,(LARGE(CHOOSE({1;2;3;4},F10,I10,L10,O10),1)+LARGE(CHOOSE({1;2;3;4},F10,I10,L10,O10),2)+LARGE(CHOOSE({1;2;3;4},F10,I10,L10,O10),3))/3,0)</f>
        <v>3.6</v>
      </c>
      <c r="V10" s="7" cm="1">
        <f t="array" ref="V10">IF(VT[[#This Row],[Number_of_competition]:[Number_of_competition]]&gt;=3,(LARGE(CHOOSE({1;2;3;4},G10,J10,M10,P10),1)+LARGE(CHOOSE({1;2;3;4},G10,J10,M10,P10),2)+LARGE(CHOOSE({1;2;3;4},G10,J10,M10,P10),3))/3,0)</f>
        <v>8.7166666666666668</v>
      </c>
      <c r="W10" s="7" cm="1">
        <f t="array" ref="W10">IF(VT[[#This Row],[Number_of_competition]:[Number_of_competition]]&gt;=3,(LARGE(CHOOSE({1;2;3;4},H10,K10,N10,Q10),1)+LARGE(CHOOSE({1;2;3;4},H10,K10,N10,Q10),2)+LARGE(CHOOSE({1;2;3;4},H10,K10,N10,Q10),3))/3,0)</f>
        <v>12.316666666666665</v>
      </c>
      <c r="Y10" s="40"/>
      <c r="Z10" s="20" t="s">
        <v>268</v>
      </c>
      <c r="AA10" s="22" cm="1">
        <f t="array" ref="AA10">SUM(_xlfn._xlws.FILTER(VT[bydgoszcz_VT_Total_Score],VT[Category]="junior"),_xlfn._xlws.FILTER(VT[zabrze_VT_Total_Score],VT[Category]="junior"),_xlfn._xlws.FILTER(VT[cracow_VT_Total_Score],VT[Category]="junior"),_xlfn._xlws.FILTER(VT[gdansk_VT_Total_Score],VT[Category]="junior"))/(COUNTIFS(VT[bydgoszcz_VT_Total_Score],"&gt;0",VT[Category],"junior")+COUNTIFS(VT[zabrze_VT_Total_Score],"&gt;0",VT[Category],"junior")+COUNTIFS(VT[cracow_VT_Total_Score],"&gt;0",VT[Category],"junior")+COUNTIFS(VT[gdansk_VT_Total_Score],"&gt;0",VT[Category],"junior"))</f>
        <v>11.225925925925926</v>
      </c>
      <c r="AB10" s="22" cm="1">
        <f t="array" ref="AB10">_xlfn.STDEV.S(_xlfn._xlws.FILTER(VT[bydgoszcz_VT_Total_Score],(VT[Category]="junior")*(VT[bydgoszcz_VT_Total_Score])&gt;0),_xlfn._xlws.FILTER(VT[zabrze_VT_Total_Score],(VT[Category]="junior")*(VT[zabrze_VT_Total_Score])&gt;0),_xlfn._xlws.FILTER(VT[cracow_VT_Total_Score],(VT[Category]="junior")*(VT[cracow_VT_Total_Score])&gt;0),_xlfn._xlws.FILTER(VT[gdansk_VT_Total_Score],(VT[Category]="junior")*(VT[gdansk_VT_Total_Score])&gt;0))</f>
        <v>0.84394294387873836</v>
      </c>
      <c r="AC10" s="22" cm="1">
        <f t="array" ref="AC10">MAX(_xlfn._xlws.FILTER(VT[bydgoszcz_VT_Total_Score],VT[Category]="junior"),_xlfn._xlws.FILTER(VT[zabrze_VT_Total_Score],VT[Category]="junior"),_xlfn._xlws.FILTER(VT[cracow_VT_Total_Score],VT[Category]="junior"),_xlfn._xlws.FILTER(VT[gdansk_VT_Total_Score],VT[Category]="junior"))</f>
        <v>12.95</v>
      </c>
      <c r="AE10" s="43" t="s">
        <v>63</v>
      </c>
      <c r="AF10" s="43" t="s">
        <v>60</v>
      </c>
      <c r="AG10" s="43" t="s">
        <v>39</v>
      </c>
      <c r="AH10">
        <v>4</v>
      </c>
      <c r="AI10" t="s">
        <v>330</v>
      </c>
      <c r="AJ10" s="43" t="s">
        <v>309</v>
      </c>
      <c r="AK10">
        <v>8.0500000000000007</v>
      </c>
    </row>
    <row r="11" spans="1:37" x14ac:dyDescent="0.25">
      <c r="A11" t="s">
        <v>80</v>
      </c>
      <c r="B11" s="2" t="s">
        <v>60</v>
      </c>
      <c r="C11" s="2" t="s">
        <v>81</v>
      </c>
      <c r="D11" t="s">
        <v>62</v>
      </c>
      <c r="E11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11" s="4">
        <v>3.6</v>
      </c>
      <c r="G11" s="7">
        <v>8.4</v>
      </c>
      <c r="H11" s="7">
        <v>12</v>
      </c>
      <c r="I11" s="4">
        <v>3.6</v>
      </c>
      <c r="J11" s="7">
        <v>8.15</v>
      </c>
      <c r="K11" s="7">
        <v>11.75</v>
      </c>
      <c r="L11" s="4">
        <v>4</v>
      </c>
      <c r="M11" s="7">
        <v>8.65</v>
      </c>
      <c r="N11" s="7">
        <v>12.65</v>
      </c>
      <c r="O11" s="4">
        <v>2.4</v>
      </c>
      <c r="P11" s="7">
        <v>8.3000000000000007</v>
      </c>
      <c r="Q11" s="7">
        <v>10.7</v>
      </c>
      <c r="R11" s="4">
        <f>LARGE(CHOOSE({1;2;3;4},F11,I11,L11,O11),1)+LARGE(CHOOSE({1;2;3;4},F11,I11,L11,O11),2)+LARGE(CHOOSE({1;2;3;4},F11,I11,L11,O11),3)</f>
        <v>11.2</v>
      </c>
      <c r="S11" s="7">
        <f>LARGE(CHOOSE({1;2;3;4},G11,J11,M11,P11),1)+LARGE(CHOOSE({1;2;3;4},G11,J11,M11,P11),2)+LARGE(CHOOSE({1;2;3;4},G11,J11,M11,P11),3)</f>
        <v>25.35</v>
      </c>
      <c r="T11" s="7">
        <f>LARGE(CHOOSE({1;2;3;4},H11,K11,N11,Q11),1)+LARGE(CHOOSE({1;2;3;4},H11,K11,N11,Q11),2)+LARGE(CHOOSE({1;2;3;4},H11,K11,N11,Q11),3)</f>
        <v>36.4</v>
      </c>
      <c r="U11" s="4" cm="1">
        <f t="array" ref="U11">IF(VT[[#This Row],[Number_of_competition]:[Number_of_competition]]&gt;=3,(LARGE(CHOOSE({1;2;3;4},F11,I11,L11,O11),1)+LARGE(CHOOSE({1;2;3;4},F11,I11,L11,O11),2)+LARGE(CHOOSE({1;2;3;4},F11,I11,L11,O11),3))/3,0)</f>
        <v>3.7333333333333329</v>
      </c>
      <c r="V11" s="7" cm="1">
        <f t="array" ref="V11">IF(VT[[#This Row],[Number_of_competition]:[Number_of_competition]]&gt;=3,(LARGE(CHOOSE({1;2;3;4},G11,J11,M11,P11),1)+LARGE(CHOOSE({1;2;3;4},G11,J11,M11,P11),2)+LARGE(CHOOSE({1;2;3;4},G11,J11,M11,P11),3))/3,0)</f>
        <v>8.4500000000000011</v>
      </c>
      <c r="W11" s="7" cm="1">
        <f t="array" ref="W11">IF(VT[[#This Row],[Number_of_competition]:[Number_of_competition]]&gt;=3,(LARGE(CHOOSE({1;2;3;4},H11,K11,N11,Q11),1)+LARGE(CHOOSE({1;2;3;4},H11,K11,N11,Q11),2)+LARGE(CHOOSE({1;2;3;4},H11,K11,N11,Q11),3))/3,0)</f>
        <v>12.133333333333333</v>
      </c>
      <c r="Y11" s="40"/>
      <c r="Z11" s="20" t="s">
        <v>275</v>
      </c>
      <c r="AA11" s="21" cm="1">
        <f t="array" ref="AA11">SUM(_xlfn._xlws.FILTER(VT[Year_Dscore],(VT[Category]="junior")*(VT[Number_of_competition]&gt;=3))/COUNTIFS(VT[Number_of_competition],"&gt;=3",VT[Category],"junior"))</f>
        <v>7.8833333333333337</v>
      </c>
      <c r="AB11" s="21" cm="1">
        <f t="array" ref="AB11">_xlfn.STDEV.S(_xlfn._xlws.FILTER(VT[Year_Dscore],(VT[Category]="junior")*(VT[Number_of_competition]&gt;=3)))</f>
        <v>1.9935502061002695</v>
      </c>
      <c r="AC11" s="21" cm="1">
        <f t="array" ref="AC11">MAX(_xlfn._xlws.FILTER(VT[Year_Dscore],VT[Category]="junior"))</f>
        <v>10.8</v>
      </c>
      <c r="AE11" s="43" t="s">
        <v>63</v>
      </c>
      <c r="AF11" s="43" t="s">
        <v>60</v>
      </c>
      <c r="AG11" s="43" t="s">
        <v>39</v>
      </c>
      <c r="AH11">
        <v>4</v>
      </c>
      <c r="AI11" t="s">
        <v>330</v>
      </c>
      <c r="AJ11" s="43" t="s">
        <v>268</v>
      </c>
      <c r="AK11">
        <v>13.25</v>
      </c>
    </row>
    <row r="12" spans="1:37" x14ac:dyDescent="0.25">
      <c r="A12" t="s">
        <v>40</v>
      </c>
      <c r="B12" s="2" t="s">
        <v>26</v>
      </c>
      <c r="C12" s="2" t="s">
        <v>41</v>
      </c>
      <c r="D12" t="s">
        <v>39</v>
      </c>
      <c r="E12" s="6">
        <f>COUNTIF(VT[[#This Row],[bydgoszcz_VT_Total_Score]],"&gt;0")+COUNTIF(VT[[#This Row],[zabrze_VT_Total_Score]],"&gt;0")+COUNTIF(VT[[#This Row],[cracow_VT_Total_Score]],"&gt;0")+COUNTIF(VT[[#This Row],[gdansk_VT_Total_Score]],"&gt;0")</f>
        <v>3</v>
      </c>
      <c r="F12" s="4">
        <v>0</v>
      </c>
      <c r="G12" s="7">
        <v>0</v>
      </c>
      <c r="H12" s="7">
        <v>0</v>
      </c>
      <c r="I12" s="4">
        <v>4</v>
      </c>
      <c r="J12" s="7">
        <v>7.95</v>
      </c>
      <c r="K12" s="7">
        <v>11.95</v>
      </c>
      <c r="L12" s="4">
        <v>4</v>
      </c>
      <c r="M12" s="7">
        <v>8.8000000000000007</v>
      </c>
      <c r="N12" s="7">
        <v>12.8</v>
      </c>
      <c r="O12" s="4">
        <v>2.8</v>
      </c>
      <c r="P12" s="7">
        <v>8.6</v>
      </c>
      <c r="Q12" s="7">
        <v>11.4</v>
      </c>
      <c r="R12" s="4">
        <f>LARGE(CHOOSE({1;2;3;4},F12,I12,L12,O12),1)+LARGE(CHOOSE({1;2;3;4},F12,I12,L12,O12),2)+LARGE(CHOOSE({1;2;3;4},F12,I12,L12,O12),3)</f>
        <v>10.8</v>
      </c>
      <c r="S12" s="7">
        <f>LARGE(CHOOSE({1;2;3;4},G12,J12,M12,P12),1)+LARGE(CHOOSE({1;2;3;4},G12,J12,M12,P12),2)+LARGE(CHOOSE({1;2;3;4},G12,J12,M12,P12),3)</f>
        <v>25.349999999999998</v>
      </c>
      <c r="T12" s="7">
        <f>LARGE(CHOOSE({1;2;3;4},H12,K12,N12,Q12),1)+LARGE(CHOOSE({1;2;3;4},H12,K12,N12,Q12),2)+LARGE(CHOOSE({1;2;3;4},H12,K12,N12,Q12),3)</f>
        <v>36.15</v>
      </c>
      <c r="U12" s="4" cm="1">
        <f t="array" ref="U12">IF(VT[[#This Row],[Number_of_competition]:[Number_of_competition]]&gt;=3,(LARGE(CHOOSE({1;2;3;4},F12,I12,L12,O12),1)+LARGE(CHOOSE({1;2;3;4},F12,I12,L12,O12),2)+LARGE(CHOOSE({1;2;3;4},F12,I12,L12,O12),3))/3,0)</f>
        <v>3.6</v>
      </c>
      <c r="V12" s="7" cm="1">
        <f t="array" ref="V12">IF(VT[[#This Row],[Number_of_competition]:[Number_of_competition]]&gt;=3,(LARGE(CHOOSE({1;2;3;4},G12,J12,M12,P12),1)+LARGE(CHOOSE({1;2;3;4},G12,J12,M12,P12),2)+LARGE(CHOOSE({1;2;3;4},G12,J12,M12,P12),3))/3,0)</f>
        <v>8.4499999999999993</v>
      </c>
      <c r="W12" s="7" cm="1">
        <f t="array" ref="W12">IF(VT[[#This Row],[Number_of_competition]:[Number_of_competition]]&gt;=3,(LARGE(CHOOSE({1;2;3;4},H12,K12,N12,Q12),1)+LARGE(CHOOSE({1;2;3;4},H12,K12,N12,Q12),2)+LARGE(CHOOSE({1;2;3;4},H12,K12,N12,Q12),3))/3,0)</f>
        <v>12.049999999999999</v>
      </c>
      <c r="Y12" s="40"/>
      <c r="Z12" s="20" t="s">
        <v>276</v>
      </c>
      <c r="AA12" s="22" cm="1">
        <f t="array" ref="AA12">SUM(_xlfn._xlws.FILTER(VT[Year_Escore],(VT[Category]="junior")*(VT[Number_of_competition]&gt;=3))/COUNTIFS(VT[Number_of_competition],"&gt;=3",VT[Category],"junior"))</f>
        <v>26.416666666666671</v>
      </c>
      <c r="AB12" s="22" cm="1">
        <f t="array" ref="AB12">_xlfn.STDEV.S(_xlfn._xlws.FILTER(VT[Year_Escore],(VT[Category]="junior")*(VT[Number_of_competition]&gt;=3)))</f>
        <v>0.73525917920557926</v>
      </c>
      <c r="AC12" s="22" cm="1">
        <f t="array" ref="AC12">MAX(_xlfn._xlws.FILTER(VT[Year_Escore],VT[Category]="junior"))</f>
        <v>27.65</v>
      </c>
      <c r="AE12" s="43" t="s">
        <v>63</v>
      </c>
      <c r="AF12" s="43" t="s">
        <v>60</v>
      </c>
      <c r="AG12" s="43" t="s">
        <v>39</v>
      </c>
      <c r="AH12">
        <v>4</v>
      </c>
      <c r="AI12" t="s">
        <v>331</v>
      </c>
      <c r="AJ12" s="43" t="s">
        <v>308</v>
      </c>
      <c r="AK12">
        <v>4.8</v>
      </c>
    </row>
    <row r="13" spans="1:37" x14ac:dyDescent="0.25">
      <c r="A13" t="s">
        <v>77</v>
      </c>
      <c r="B13" s="2" t="s">
        <v>60</v>
      </c>
      <c r="C13" s="2" t="s">
        <v>78</v>
      </c>
      <c r="D13" t="s">
        <v>79</v>
      </c>
      <c r="E13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13" s="4">
        <v>3.6</v>
      </c>
      <c r="G13" s="7">
        <v>7.8</v>
      </c>
      <c r="H13" s="7">
        <v>11.4</v>
      </c>
      <c r="I13" s="4">
        <v>3.2</v>
      </c>
      <c r="J13" s="7">
        <v>9.15</v>
      </c>
      <c r="K13" s="7">
        <v>12.35</v>
      </c>
      <c r="L13" s="4">
        <v>3.2</v>
      </c>
      <c r="M13" s="7">
        <v>9.0500000000000007</v>
      </c>
      <c r="N13" s="7">
        <v>12.25</v>
      </c>
      <c r="O13" s="4">
        <v>3.2</v>
      </c>
      <c r="P13" s="7">
        <v>8.3000000000000007</v>
      </c>
      <c r="Q13" s="7">
        <v>11.5</v>
      </c>
      <c r="R13" s="4">
        <f>LARGE(CHOOSE({1;2;3;4},F13,I13,L13,O13),1)+LARGE(CHOOSE({1;2;3;4},F13,I13,L13,O13),2)+LARGE(CHOOSE({1;2;3;4},F13,I13,L13,O13),3)</f>
        <v>10</v>
      </c>
      <c r="S13" s="7">
        <f>LARGE(CHOOSE({1;2;3;4},G13,J13,M13,P13),1)+LARGE(CHOOSE({1;2;3;4},G13,J13,M13,P13),2)+LARGE(CHOOSE({1;2;3;4},G13,J13,M13,P13),3)</f>
        <v>26.500000000000004</v>
      </c>
      <c r="T13" s="7">
        <f>LARGE(CHOOSE({1;2;3;4},H13,K13,N13,Q13),1)+LARGE(CHOOSE({1;2;3;4},H13,K13,N13,Q13),2)+LARGE(CHOOSE({1;2;3;4},H13,K13,N13,Q13),3)</f>
        <v>36.1</v>
      </c>
      <c r="U13" s="4" cm="1">
        <f t="array" ref="U13">IF(VT[[#This Row],[Number_of_competition]:[Number_of_competition]]&gt;=3,(LARGE(CHOOSE({1;2;3;4},F13,I13,L13,O13),1)+LARGE(CHOOSE({1;2;3;4},F13,I13,L13,O13),2)+LARGE(CHOOSE({1;2;3;4},F13,I13,L13,O13),3))/3,0)</f>
        <v>3.3333333333333335</v>
      </c>
      <c r="V13" s="7" cm="1">
        <f t="array" ref="V13">IF(VT[[#This Row],[Number_of_competition]:[Number_of_competition]]&gt;=3,(LARGE(CHOOSE({1;2;3;4},G13,J13,M13,P13),1)+LARGE(CHOOSE({1;2;3;4},G13,J13,M13,P13),2)+LARGE(CHOOSE({1;2;3;4},G13,J13,M13,P13),3))/3,0)</f>
        <v>8.8333333333333339</v>
      </c>
      <c r="W13" s="7" cm="1">
        <f t="array" ref="W13">IF(VT[[#This Row],[Number_of_competition]:[Number_of_competition]]&gt;=3,(LARGE(CHOOSE({1;2;3;4},H13,K13,N13,Q13),1)+LARGE(CHOOSE({1;2;3;4},H13,K13,N13,Q13),2)+LARGE(CHOOSE({1;2;3;4},H13,K13,N13,Q13),3))/3,0)</f>
        <v>12.033333333333333</v>
      </c>
      <c r="Y13" s="41"/>
      <c r="Z13" s="20" t="s">
        <v>277</v>
      </c>
      <c r="AA13" s="22" cm="1">
        <f t="array" ref="AA13">SUM(_xlfn._xlws.FILTER(VT[Year_Total_Score],(VT[Category]="junior")*(VT[Number_of_competition]&gt;=3))/COUNTIFS(VT[Number_of_competition],"&gt;=3",VT[Category],"junior"))</f>
        <v>34.133333333333333</v>
      </c>
      <c r="AB13" s="22" cm="1">
        <f t="array" ref="AB13">_xlfn.STDEV.S(_xlfn._xlws.FILTER(VT[Year_Total_Score],(VT[Category]="junior")*(VT[Number_of_competition]&gt;=3)))</f>
        <v>1.9981051630042499</v>
      </c>
      <c r="AC13" s="22" cm="1">
        <f t="array" ref="AC13">MAX(_xlfn._xlws.FILTER(VT[Year_Total_Score],VT[Category]="junior"))</f>
        <v>37.25</v>
      </c>
      <c r="AE13" s="43" t="s">
        <v>63</v>
      </c>
      <c r="AF13" s="43" t="s">
        <v>60</v>
      </c>
      <c r="AG13" s="43" t="s">
        <v>39</v>
      </c>
      <c r="AH13">
        <v>4</v>
      </c>
      <c r="AI13" t="s">
        <v>331</v>
      </c>
      <c r="AJ13" s="43" t="s">
        <v>309</v>
      </c>
      <c r="AK13">
        <v>8.3000000000000007</v>
      </c>
    </row>
    <row r="14" spans="1:37" x14ac:dyDescent="0.25">
      <c r="A14" t="s">
        <v>42</v>
      </c>
      <c r="B14" s="2" t="s">
        <v>26</v>
      </c>
      <c r="C14" s="2" t="s">
        <v>43</v>
      </c>
      <c r="D14" t="s">
        <v>36</v>
      </c>
      <c r="E14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14" s="4">
        <v>4</v>
      </c>
      <c r="G14" s="7">
        <v>7.9</v>
      </c>
      <c r="H14" s="7">
        <v>11.9</v>
      </c>
      <c r="I14" s="4">
        <v>2.8</v>
      </c>
      <c r="J14" s="7">
        <v>9.0500000000000007</v>
      </c>
      <c r="K14" s="7">
        <v>11.85</v>
      </c>
      <c r="L14" s="4">
        <v>2.8</v>
      </c>
      <c r="M14" s="7">
        <v>9.1999999999999993</v>
      </c>
      <c r="N14" s="7">
        <v>12</v>
      </c>
      <c r="O14" s="4">
        <v>2.8</v>
      </c>
      <c r="P14" s="7">
        <v>8.4</v>
      </c>
      <c r="Q14" s="7">
        <v>11.2</v>
      </c>
      <c r="R14" s="4">
        <f>LARGE(CHOOSE({1;2;3;4},F14,I14,L14,O14),1)+LARGE(CHOOSE({1;2;3;4},F14,I14,L14,O14),2)+LARGE(CHOOSE({1;2;3;4},F14,I14,L14,O14),3)</f>
        <v>9.6</v>
      </c>
      <c r="S14" s="7">
        <f>LARGE(CHOOSE({1;2;3;4},G14,J14,M14,P14),1)+LARGE(CHOOSE({1;2;3;4},G14,J14,M14,P14),2)+LARGE(CHOOSE({1;2;3;4},G14,J14,M14,P14),3)</f>
        <v>26.65</v>
      </c>
      <c r="T14" s="7">
        <f>LARGE(CHOOSE({1;2;3;4},H14,K14,N14,Q14),1)+LARGE(CHOOSE({1;2;3;4},H14,K14,N14,Q14),2)+LARGE(CHOOSE({1;2;3;4},H14,K14,N14,Q14),3)</f>
        <v>35.75</v>
      </c>
      <c r="U14" s="4" cm="1">
        <f t="array" ref="U14">IF(VT[[#This Row],[Number_of_competition]:[Number_of_competition]]&gt;=3,(LARGE(CHOOSE({1;2;3;4},F14,I14,L14,O14),1)+LARGE(CHOOSE({1;2;3;4},F14,I14,L14,O14),2)+LARGE(CHOOSE({1;2;3;4},F14,I14,L14,O14),3))/3,0)</f>
        <v>3.1999999999999997</v>
      </c>
      <c r="V14" s="7" cm="1">
        <f t="array" ref="V14">IF(VT[[#This Row],[Number_of_competition]:[Number_of_competition]]&gt;=3,(LARGE(CHOOSE({1;2;3;4},G14,J14,M14,P14),1)+LARGE(CHOOSE({1;2;3;4},G14,J14,M14,P14),2)+LARGE(CHOOSE({1;2;3;4},G14,J14,M14,P14),3))/3,0)</f>
        <v>8.8833333333333329</v>
      </c>
      <c r="W14" s="7" cm="1">
        <f t="array" ref="W14">IF(VT[[#This Row],[Number_of_competition]:[Number_of_competition]]&gt;=3,(LARGE(CHOOSE({1;2;3;4},H14,K14,N14,Q14),1)+LARGE(CHOOSE({1;2;3;4},H14,K14,N14,Q14),2)+LARGE(CHOOSE({1;2;3;4},H14,K14,N14,Q14),3))/3,0)</f>
        <v>11.916666666666666</v>
      </c>
      <c r="AE14" s="43" t="s">
        <v>63</v>
      </c>
      <c r="AF14" s="43" t="s">
        <v>60</v>
      </c>
      <c r="AG14" s="43" t="s">
        <v>39</v>
      </c>
      <c r="AH14">
        <v>4</v>
      </c>
      <c r="AI14" t="s">
        <v>331</v>
      </c>
      <c r="AJ14" s="43" t="s">
        <v>268</v>
      </c>
      <c r="AK14">
        <v>13.1</v>
      </c>
    </row>
    <row r="15" spans="1:37" x14ac:dyDescent="0.25">
      <c r="A15" t="s">
        <v>44</v>
      </c>
      <c r="B15" s="2" t="s">
        <v>26</v>
      </c>
      <c r="C15" s="2" t="s">
        <v>45</v>
      </c>
      <c r="D15" t="s">
        <v>39</v>
      </c>
      <c r="E15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15" s="4">
        <v>2.8</v>
      </c>
      <c r="G15" s="7">
        <v>8.5</v>
      </c>
      <c r="H15" s="7">
        <v>11.3</v>
      </c>
      <c r="I15" s="4">
        <v>2.4</v>
      </c>
      <c r="J15" s="7">
        <v>8.9</v>
      </c>
      <c r="K15" s="7">
        <v>11.3</v>
      </c>
      <c r="L15" s="4">
        <v>2.8</v>
      </c>
      <c r="M15" s="7">
        <v>8.75</v>
      </c>
      <c r="N15" s="7">
        <v>11.55</v>
      </c>
      <c r="O15" s="4">
        <v>2.4</v>
      </c>
      <c r="P15" s="7">
        <v>8.4</v>
      </c>
      <c r="Q15" s="7">
        <v>10.8</v>
      </c>
      <c r="R15" s="4">
        <f>LARGE(CHOOSE({1;2;3;4},F15,I15,L15,O15),1)+LARGE(CHOOSE({1;2;3;4},F15,I15,L15,O15),2)+LARGE(CHOOSE({1;2;3;4},F15,I15,L15,O15),3)</f>
        <v>8</v>
      </c>
      <c r="S15" s="7">
        <f>LARGE(CHOOSE({1;2;3;4},G15,J15,M15,P15),1)+LARGE(CHOOSE({1;2;3;4},G15,J15,M15,P15),2)+LARGE(CHOOSE({1;2;3;4},G15,J15,M15,P15),3)</f>
        <v>26.15</v>
      </c>
      <c r="T15" s="7">
        <f>LARGE(CHOOSE({1;2;3;4},H15,K15,N15,Q15),1)+LARGE(CHOOSE({1;2;3;4},H15,K15,N15,Q15),2)+LARGE(CHOOSE({1;2;3;4},H15,K15,N15,Q15),3)</f>
        <v>34.150000000000006</v>
      </c>
      <c r="U15" s="4" cm="1">
        <f t="array" ref="U15">IF(VT[[#This Row],[Number_of_competition]:[Number_of_competition]]&gt;=3,(LARGE(CHOOSE({1;2;3;4},F15,I15,L15,O15),1)+LARGE(CHOOSE({1;2;3;4},F15,I15,L15,O15),2)+LARGE(CHOOSE({1;2;3;4},F15,I15,L15,O15),3))/3,0)</f>
        <v>2.6666666666666665</v>
      </c>
      <c r="V15" s="7" cm="1">
        <f t="array" ref="V15">IF(VT[[#This Row],[Number_of_competition]:[Number_of_competition]]&gt;=3,(LARGE(CHOOSE({1;2;3;4},G15,J15,M15,P15),1)+LARGE(CHOOSE({1;2;3;4},G15,J15,M15,P15),2)+LARGE(CHOOSE({1;2;3;4},G15,J15,M15,P15),3))/3,0)</f>
        <v>8.7166666666666668</v>
      </c>
      <c r="W15" s="7" cm="1">
        <f t="array" ref="W15">IF(VT[[#This Row],[Number_of_competition]:[Number_of_competition]]&gt;=3,(LARGE(CHOOSE({1;2;3;4},H15,K15,N15,Q15),1)+LARGE(CHOOSE({1;2;3;4},H15,K15,N15,Q15),2)+LARGE(CHOOSE({1;2;3;4},H15,K15,N15,Q15),3))/3,0)</f>
        <v>11.383333333333335</v>
      </c>
      <c r="Y15" s="28" t="s">
        <v>296</v>
      </c>
      <c r="AE15" s="43" t="s">
        <v>63</v>
      </c>
      <c r="AF15" s="43" t="s">
        <v>60</v>
      </c>
      <c r="AG15" s="43" t="s">
        <v>39</v>
      </c>
      <c r="AH15">
        <v>4</v>
      </c>
      <c r="AI15" t="s">
        <v>341</v>
      </c>
      <c r="AJ15" s="43" t="s">
        <v>308</v>
      </c>
      <c r="AK15">
        <v>15.2</v>
      </c>
    </row>
    <row r="16" spans="1:37" x14ac:dyDescent="0.25">
      <c r="A16" t="s">
        <v>25</v>
      </c>
      <c r="B16" s="2" t="s">
        <v>26</v>
      </c>
      <c r="C16" s="2" t="s">
        <v>27</v>
      </c>
      <c r="D16" t="s">
        <v>28</v>
      </c>
      <c r="E16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16" s="4">
        <v>2.2000000000000002</v>
      </c>
      <c r="G16" s="7">
        <v>9.4</v>
      </c>
      <c r="H16" s="7">
        <v>11.6</v>
      </c>
      <c r="I16" s="4">
        <v>2.2000000000000002</v>
      </c>
      <c r="J16" s="7">
        <v>9.0500000000000007</v>
      </c>
      <c r="K16" s="7">
        <v>11.25</v>
      </c>
      <c r="L16" s="4">
        <v>2.2000000000000002</v>
      </c>
      <c r="M16" s="7">
        <v>9.0500000000000007</v>
      </c>
      <c r="N16" s="7">
        <v>11.25</v>
      </c>
      <c r="O16" s="4">
        <v>2.2000000000000002</v>
      </c>
      <c r="P16" s="7">
        <v>8.3000000000000007</v>
      </c>
      <c r="Q16" s="7">
        <v>10.5</v>
      </c>
      <c r="R16" s="4">
        <f>LARGE(CHOOSE({1;2;3;4},F16,I16,L16,O16),1)+LARGE(CHOOSE({1;2;3;4},F16,I16,L16,O16),2)+LARGE(CHOOSE({1;2;3;4},F16,I16,L16,O16),3)</f>
        <v>6.6000000000000005</v>
      </c>
      <c r="S16" s="7">
        <f>LARGE(CHOOSE({1;2;3;4},G16,J16,M16,P16),1)+LARGE(CHOOSE({1;2;3;4},G16,J16,M16,P16),2)+LARGE(CHOOSE({1;2;3;4},G16,J16,M16,P16),3)</f>
        <v>27.500000000000004</v>
      </c>
      <c r="T16" s="7">
        <f>LARGE(CHOOSE({1;2;3;4},H16,K16,N16,Q16),1)+LARGE(CHOOSE({1;2;3;4},H16,K16,N16,Q16),2)+LARGE(CHOOSE({1;2;3;4},H16,K16,N16,Q16),3)</f>
        <v>34.1</v>
      </c>
      <c r="U16" s="4" cm="1">
        <f t="array" ref="U16">IF(VT[[#This Row],[Number_of_competition]:[Number_of_competition]]&gt;=3,(LARGE(CHOOSE({1;2;3;4},F16,I16,L16,O16),1)+LARGE(CHOOSE({1;2;3;4},F16,I16,L16,O16),2)+LARGE(CHOOSE({1;2;3;4},F16,I16,L16,O16),3))/3,0)</f>
        <v>2.2000000000000002</v>
      </c>
      <c r="V16" s="7" cm="1">
        <f t="array" ref="V16">IF(VT[[#This Row],[Number_of_competition]:[Number_of_competition]]&gt;=3,(LARGE(CHOOSE({1;2;3;4},G16,J16,M16,P16),1)+LARGE(CHOOSE({1;2;3;4},G16,J16,M16,P16),2)+LARGE(CHOOSE({1;2;3;4},G16,J16,M16,P16),3))/3,0)</f>
        <v>9.1666666666666679</v>
      </c>
      <c r="W16" s="7" cm="1">
        <f t="array" ref="W16">IF(VT[[#This Row],[Number_of_competition]:[Number_of_competition]]&gt;=3,(LARGE(CHOOSE({1;2;3;4},H16,K16,N16,Q16),1)+LARGE(CHOOSE({1;2;3;4},H16,K16,N16,Q16),2)+LARGE(CHOOSE({1;2;3;4},H16,K16,N16,Q16),3))/3,0)</f>
        <v>11.366666666666667</v>
      </c>
      <c r="Y16" s="29" t="s">
        <v>297</v>
      </c>
      <c r="AE16" s="43" t="s">
        <v>63</v>
      </c>
      <c r="AF16" s="43" t="s">
        <v>60</v>
      </c>
      <c r="AG16" s="43" t="s">
        <v>39</v>
      </c>
      <c r="AH16">
        <v>4</v>
      </c>
      <c r="AI16" t="s">
        <v>341</v>
      </c>
      <c r="AJ16" s="43" t="s">
        <v>309</v>
      </c>
      <c r="AK16">
        <v>26.599999999999998</v>
      </c>
    </row>
    <row r="17" spans="1:37" x14ac:dyDescent="0.25">
      <c r="A17" t="s">
        <v>37</v>
      </c>
      <c r="B17" s="2" t="s">
        <v>26</v>
      </c>
      <c r="C17" s="2" t="s">
        <v>38</v>
      </c>
      <c r="D17" t="s">
        <v>39</v>
      </c>
      <c r="E17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17" s="4">
        <v>2.4</v>
      </c>
      <c r="G17" s="7">
        <v>8.85</v>
      </c>
      <c r="H17" s="7">
        <v>11.25</v>
      </c>
      <c r="I17" s="4">
        <v>3.2</v>
      </c>
      <c r="J17" s="7">
        <v>8.6</v>
      </c>
      <c r="K17" s="7">
        <v>11.8</v>
      </c>
      <c r="L17" s="4">
        <v>2.4</v>
      </c>
      <c r="M17" s="7">
        <v>8.3000000000000007</v>
      </c>
      <c r="N17" s="7">
        <v>10.7</v>
      </c>
      <c r="O17" s="4">
        <v>2.4</v>
      </c>
      <c r="P17" s="7">
        <v>8.1999999999999993</v>
      </c>
      <c r="Q17" s="7">
        <v>10.6</v>
      </c>
      <c r="R17" s="4">
        <f>LARGE(CHOOSE({1;2;3;4},F17,I17,L17,O17),1)+LARGE(CHOOSE({1;2;3;4},F17,I17,L17,O17),2)+LARGE(CHOOSE({1;2;3;4},F17,I17,L17,O17),3)</f>
        <v>8</v>
      </c>
      <c r="S17" s="7">
        <f>LARGE(CHOOSE({1;2;3;4},G17,J17,M17,P17),1)+LARGE(CHOOSE({1;2;3;4},G17,J17,M17,P17),2)+LARGE(CHOOSE({1;2;3;4},G17,J17,M17,P17),3)</f>
        <v>25.75</v>
      </c>
      <c r="T17" s="7">
        <f>LARGE(CHOOSE({1;2;3;4},H17,K17,N17,Q17),1)+LARGE(CHOOSE({1;2;3;4},H17,K17,N17,Q17),2)+LARGE(CHOOSE({1;2;3;4},H17,K17,N17,Q17),3)</f>
        <v>33.75</v>
      </c>
      <c r="U17" s="4" cm="1">
        <f t="array" ref="U17">IF(VT[[#This Row],[Number_of_competition]:[Number_of_competition]]&gt;=3,(LARGE(CHOOSE({1;2;3;4},F17,I17,L17,O17),1)+LARGE(CHOOSE({1;2;3;4},F17,I17,L17,O17),2)+LARGE(CHOOSE({1;2;3;4},F17,I17,L17,O17),3))/3,0)</f>
        <v>2.6666666666666665</v>
      </c>
      <c r="V17" s="7" cm="1">
        <f t="array" ref="V17">IF(VT[[#This Row],[Number_of_competition]:[Number_of_competition]]&gt;=3,(LARGE(CHOOSE({1;2;3;4},G17,J17,M17,P17),1)+LARGE(CHOOSE({1;2;3;4},G17,J17,M17,P17),2)+LARGE(CHOOSE({1;2;3;4},G17,J17,M17,P17),3))/3,0)</f>
        <v>8.5833333333333339</v>
      </c>
      <c r="W17" s="7" cm="1">
        <f t="array" ref="W17">IF(VT[[#This Row],[Number_of_competition]:[Number_of_competition]]&gt;=3,(LARGE(CHOOSE({1;2;3;4},H17,K17,N17,Q17),1)+LARGE(CHOOSE({1;2;3;4},H17,K17,N17,Q17),2)+LARGE(CHOOSE({1;2;3;4},H17,K17,N17,Q17),3))/3,0)</f>
        <v>11.25</v>
      </c>
      <c r="Y17" s="30" t="s">
        <v>298</v>
      </c>
      <c r="AE17" s="43" t="s">
        <v>63</v>
      </c>
      <c r="AF17" s="43" t="s">
        <v>60</v>
      </c>
      <c r="AG17" s="43" t="s">
        <v>39</v>
      </c>
      <c r="AH17">
        <v>4</v>
      </c>
      <c r="AI17" t="s">
        <v>341</v>
      </c>
      <c r="AJ17" s="43" t="s">
        <v>268</v>
      </c>
      <c r="AK17">
        <v>41.55</v>
      </c>
    </row>
    <row r="18" spans="1:37" x14ac:dyDescent="0.25">
      <c r="A18" t="s">
        <v>34</v>
      </c>
      <c r="B18" s="2" t="s">
        <v>26</v>
      </c>
      <c r="C18" s="2" t="s">
        <v>35</v>
      </c>
      <c r="D18" t="s">
        <v>36</v>
      </c>
      <c r="E18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18" s="4">
        <v>1.6</v>
      </c>
      <c r="G18" s="7">
        <v>8.8000000000000007</v>
      </c>
      <c r="H18" s="7">
        <v>10.4</v>
      </c>
      <c r="I18" s="4">
        <v>2.4</v>
      </c>
      <c r="J18" s="7">
        <v>8.9</v>
      </c>
      <c r="K18" s="7">
        <v>11.3</v>
      </c>
      <c r="L18" s="4">
        <v>3.2</v>
      </c>
      <c r="M18" s="7">
        <v>8.6999999999999993</v>
      </c>
      <c r="N18" s="7">
        <v>11.9</v>
      </c>
      <c r="O18" s="4">
        <v>2.4</v>
      </c>
      <c r="P18" s="7">
        <v>7.2</v>
      </c>
      <c r="Q18" s="7">
        <v>9.6</v>
      </c>
      <c r="R18" s="4">
        <f>LARGE(CHOOSE({1;2;3;4},F18,I18,L18,O18),1)+LARGE(CHOOSE({1;2;3;4},F18,I18,L18,O18),2)+LARGE(CHOOSE({1;2;3;4},F18,I18,L18,O18),3)</f>
        <v>8</v>
      </c>
      <c r="S18" s="7">
        <f>LARGE(CHOOSE({1;2;3;4},G18,J18,M18,P18),1)+LARGE(CHOOSE({1;2;3;4},G18,J18,M18,P18),2)+LARGE(CHOOSE({1;2;3;4},G18,J18,M18,P18),3)</f>
        <v>26.400000000000002</v>
      </c>
      <c r="T18" s="7">
        <f>LARGE(CHOOSE({1;2;3;4},H18,K18,N18,Q18),1)+LARGE(CHOOSE({1;2;3;4},H18,K18,N18,Q18),2)+LARGE(CHOOSE({1;2;3;4},H18,K18,N18,Q18),3)</f>
        <v>33.6</v>
      </c>
      <c r="U18" s="4" cm="1">
        <f t="array" ref="U18">IF(VT[[#This Row],[Number_of_competition]:[Number_of_competition]]&gt;=3,(LARGE(CHOOSE({1;2;3;4},F18,I18,L18,O18),1)+LARGE(CHOOSE({1;2;3;4},F18,I18,L18,O18),2)+LARGE(CHOOSE({1;2;3;4},F18,I18,L18,O18),3))/3,0)</f>
        <v>2.6666666666666665</v>
      </c>
      <c r="V18" s="7" cm="1">
        <f t="array" ref="V18">IF(VT[[#This Row],[Number_of_competition]:[Number_of_competition]]&gt;=3,(LARGE(CHOOSE({1;2;3;4},G18,J18,M18,P18),1)+LARGE(CHOOSE({1;2;3;4},G18,J18,M18,P18),2)+LARGE(CHOOSE({1;2;3;4},G18,J18,M18,P18),3))/3,0)</f>
        <v>8.8000000000000007</v>
      </c>
      <c r="W18" s="7" cm="1">
        <f t="array" ref="W18">IF(VT[[#This Row],[Number_of_competition]:[Number_of_competition]]&gt;=3,(LARGE(CHOOSE({1;2;3;4},H18,K18,N18,Q18),1)+LARGE(CHOOSE({1;2;3;4},H18,K18,N18,Q18),2)+LARGE(CHOOSE({1;2;3;4},H18,K18,N18,Q18),3))/3,0)</f>
        <v>11.200000000000001</v>
      </c>
      <c r="Y18" s="31" t="s">
        <v>300</v>
      </c>
      <c r="AE18" s="43" t="s">
        <v>63</v>
      </c>
      <c r="AF18" s="43" t="s">
        <v>60</v>
      </c>
      <c r="AG18" s="43" t="s">
        <v>39</v>
      </c>
      <c r="AH18">
        <v>4</v>
      </c>
      <c r="AI18" t="s">
        <v>273</v>
      </c>
      <c r="AJ18" s="43" t="s">
        <v>308</v>
      </c>
      <c r="AK18">
        <v>5.0666666666666664</v>
      </c>
    </row>
    <row r="19" spans="1:37" x14ac:dyDescent="0.25">
      <c r="A19" t="s">
        <v>48</v>
      </c>
      <c r="B19" s="2" t="s">
        <v>26</v>
      </c>
      <c r="C19" s="2" t="s">
        <v>49</v>
      </c>
      <c r="D19" t="s">
        <v>36</v>
      </c>
      <c r="E19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19" s="4">
        <v>2.4</v>
      </c>
      <c r="G19" s="7">
        <v>7.8</v>
      </c>
      <c r="H19" s="7">
        <v>10.199999999999999</v>
      </c>
      <c r="I19" s="4">
        <v>1.6</v>
      </c>
      <c r="J19" s="7">
        <v>9.5</v>
      </c>
      <c r="K19" s="7">
        <v>11.1</v>
      </c>
      <c r="L19" s="4">
        <v>2.4</v>
      </c>
      <c r="M19" s="7">
        <v>8.85</v>
      </c>
      <c r="N19" s="7">
        <v>11.25</v>
      </c>
      <c r="O19" s="4">
        <v>1.6</v>
      </c>
      <c r="P19" s="7">
        <v>8.5</v>
      </c>
      <c r="Q19" s="7">
        <v>10.1</v>
      </c>
      <c r="R19" s="4">
        <f>LARGE(CHOOSE({1;2;3;4},F19,I19,L19,O19),1)+LARGE(CHOOSE({1;2;3;4},F19,I19,L19,O19),2)+LARGE(CHOOSE({1;2;3;4},F19,I19,L19,O19),3)</f>
        <v>6.4</v>
      </c>
      <c r="S19" s="7">
        <f>LARGE(CHOOSE({1;2;3;4},G19,J19,M19,P19),1)+LARGE(CHOOSE({1;2;3;4},G19,J19,M19,P19),2)+LARGE(CHOOSE({1;2;3;4},G19,J19,M19,P19),3)</f>
        <v>26.85</v>
      </c>
      <c r="T19" s="7">
        <f>LARGE(CHOOSE({1;2;3;4},H19,K19,N19,Q19),1)+LARGE(CHOOSE({1;2;3;4},H19,K19,N19,Q19),2)+LARGE(CHOOSE({1;2;3;4},H19,K19,N19,Q19),3)</f>
        <v>32.549999999999997</v>
      </c>
      <c r="U19" s="4" cm="1">
        <f t="array" ref="U19">IF(VT[[#This Row],[Number_of_competition]:[Number_of_competition]]&gt;=3,(LARGE(CHOOSE({1;2;3;4},F19,I19,L19,O19),1)+LARGE(CHOOSE({1;2;3;4},F19,I19,L19,O19),2)+LARGE(CHOOSE({1;2;3;4},F19,I19,L19,O19),3))/3,0)</f>
        <v>2.1333333333333333</v>
      </c>
      <c r="V19" s="7" cm="1">
        <f t="array" ref="V19">IF(VT[[#This Row],[Number_of_competition]:[Number_of_competition]]&gt;=3,(LARGE(CHOOSE({1;2;3;4},G19,J19,M19,P19),1)+LARGE(CHOOSE({1;2;3;4},G19,J19,M19,P19),2)+LARGE(CHOOSE({1;2;3;4},G19,J19,M19,P19),3))/3,0)</f>
        <v>8.9500000000000011</v>
      </c>
      <c r="W19" s="7" cm="1">
        <f t="array" ref="W19">IF(VT[[#This Row],[Number_of_competition]:[Number_of_competition]]&gt;=3,(LARGE(CHOOSE({1;2;3;4},H19,K19,N19,Q19),1)+LARGE(CHOOSE({1;2;3;4},H19,K19,N19,Q19),2)+LARGE(CHOOSE({1;2;3;4},H19,K19,N19,Q19),3))/3,0)</f>
        <v>10.85</v>
      </c>
      <c r="Y19" s="32" t="s">
        <v>299</v>
      </c>
      <c r="AE19" s="43" t="s">
        <v>63</v>
      </c>
      <c r="AF19" s="43" t="s">
        <v>60</v>
      </c>
      <c r="AG19" s="43" t="s">
        <v>39</v>
      </c>
      <c r="AH19">
        <v>4</v>
      </c>
      <c r="AI19" t="s">
        <v>273</v>
      </c>
      <c r="AJ19" s="43" t="s">
        <v>309</v>
      </c>
      <c r="AK19">
        <v>8.8666666666666654</v>
      </c>
    </row>
    <row r="20" spans="1:37" x14ac:dyDescent="0.25">
      <c r="A20" t="s">
        <v>114</v>
      </c>
      <c r="B20" s="2" t="s">
        <v>26</v>
      </c>
      <c r="C20" s="2" t="s">
        <v>115</v>
      </c>
      <c r="D20" t="s">
        <v>36</v>
      </c>
      <c r="E20" s="6">
        <f>COUNTIF(VT[[#This Row],[bydgoszcz_VT_Total_Score]],"&gt;0")+COUNTIF(VT[[#This Row],[zabrze_VT_Total_Score]],"&gt;0")+COUNTIF(VT[[#This Row],[cracow_VT_Total_Score]],"&gt;0")+COUNTIF(VT[[#This Row],[gdansk_VT_Total_Score]],"&gt;0")</f>
        <v>3</v>
      </c>
      <c r="F20" s="4">
        <v>2.4</v>
      </c>
      <c r="G20" s="7">
        <v>8.8000000000000007</v>
      </c>
      <c r="H20" s="7">
        <v>11.2</v>
      </c>
      <c r="I20" s="4">
        <v>0</v>
      </c>
      <c r="J20" s="7">
        <v>0</v>
      </c>
      <c r="K20" s="7">
        <v>0</v>
      </c>
      <c r="L20" s="4">
        <v>1.6</v>
      </c>
      <c r="M20" s="7">
        <v>8.8000000000000007</v>
      </c>
      <c r="N20" s="7">
        <v>10.4</v>
      </c>
      <c r="O20" s="4">
        <v>1.6</v>
      </c>
      <c r="P20" s="7">
        <v>8.8000000000000007</v>
      </c>
      <c r="Q20" s="7">
        <v>10.4</v>
      </c>
      <c r="R20" s="4">
        <f>LARGE(CHOOSE({1;2;3;4},F20,I20,L20,O20),1)+LARGE(CHOOSE({1;2;3;4},F20,I20,L20,O20),2)+LARGE(CHOOSE({1;2;3;4},F20,I20,L20,O20),3)</f>
        <v>5.6</v>
      </c>
      <c r="S20" s="7">
        <f>LARGE(CHOOSE({1;2;3;4},G20,J20,M20,P20),1)+LARGE(CHOOSE({1;2;3;4},G20,J20,M20,P20),2)+LARGE(CHOOSE({1;2;3;4},G20,J20,M20,P20),3)</f>
        <v>26.400000000000002</v>
      </c>
      <c r="T20" s="7">
        <f>LARGE(CHOOSE({1;2;3;4},H20,K20,N20,Q20),1)+LARGE(CHOOSE({1;2;3;4},H20,K20,N20,Q20),2)+LARGE(CHOOSE({1;2;3;4},H20,K20,N20,Q20),3)</f>
        <v>32</v>
      </c>
      <c r="U20" s="4" cm="1">
        <f t="array" ref="U20">IF(VT[[#This Row],[Number_of_competition]:[Number_of_competition]]&gt;=3,(LARGE(CHOOSE({1;2;3;4},F20,I20,L20,O20),1)+LARGE(CHOOSE({1;2;3;4},F20,I20,L20,O20),2)+LARGE(CHOOSE({1;2;3;4},F20,I20,L20,O20),3))/3,0)</f>
        <v>1.8666666666666665</v>
      </c>
      <c r="V20" s="7" cm="1">
        <f t="array" ref="V20">IF(VT[[#This Row],[Number_of_competition]:[Number_of_competition]]&gt;=3,(LARGE(CHOOSE({1;2;3;4},G20,J20,M20,P20),1)+LARGE(CHOOSE({1;2;3;4},G20,J20,M20,P20),2)+LARGE(CHOOSE({1;2;3;4},G20,J20,M20,P20),3))/3,0)</f>
        <v>8.8000000000000007</v>
      </c>
      <c r="W20" s="7" cm="1">
        <f t="array" ref="W20">IF(VT[[#This Row],[Number_of_competition]:[Number_of_competition]]&gt;=3,(LARGE(CHOOSE({1;2;3;4},H20,K20,N20,Q20),1)+LARGE(CHOOSE({1;2;3;4},H20,K20,N20,Q20),2)+LARGE(CHOOSE({1;2;3;4},H20,K20,N20,Q20),3))/3,0)</f>
        <v>10.666666666666666</v>
      </c>
      <c r="Y20" s="33" t="s">
        <v>252</v>
      </c>
      <c r="AE20" s="43" t="s">
        <v>63</v>
      </c>
      <c r="AF20" s="43" t="s">
        <v>60</v>
      </c>
      <c r="AG20" s="43" t="s">
        <v>39</v>
      </c>
      <c r="AH20">
        <v>4</v>
      </c>
      <c r="AI20" t="s">
        <v>273</v>
      </c>
      <c r="AJ20" s="43" t="s">
        <v>268</v>
      </c>
      <c r="AK20">
        <v>13.85</v>
      </c>
    </row>
    <row r="21" spans="1:37" x14ac:dyDescent="0.25">
      <c r="A21" t="s">
        <v>52</v>
      </c>
      <c r="B21" s="2" t="s">
        <v>26</v>
      </c>
      <c r="C21" s="2" t="s">
        <v>53</v>
      </c>
      <c r="D21" t="s">
        <v>36</v>
      </c>
      <c r="E21" s="6">
        <f>COUNTIF(VT[[#This Row],[bydgoszcz_VT_Total_Score]],"&gt;0")+COUNTIF(VT[[#This Row],[zabrze_VT_Total_Score]],"&gt;0")+COUNTIF(VT[[#This Row],[cracow_VT_Total_Score]],"&gt;0")+COUNTIF(VT[[#This Row],[gdansk_VT_Total_Score]],"&gt;0")</f>
        <v>3</v>
      </c>
      <c r="F21" s="4">
        <v>2.4</v>
      </c>
      <c r="G21" s="7">
        <v>7.7</v>
      </c>
      <c r="H21" s="7">
        <v>10.1</v>
      </c>
      <c r="I21" s="4">
        <v>0</v>
      </c>
      <c r="J21" s="7">
        <v>0</v>
      </c>
      <c r="K21" s="7">
        <v>0</v>
      </c>
      <c r="L21" s="4">
        <v>1.6</v>
      </c>
      <c r="M21" s="7">
        <v>9.4499999999999993</v>
      </c>
      <c r="N21" s="7">
        <v>11.05</v>
      </c>
      <c r="O21" s="4">
        <v>2.4</v>
      </c>
      <c r="P21" s="7">
        <v>8.1999999999999993</v>
      </c>
      <c r="Q21" s="7">
        <v>10.6</v>
      </c>
      <c r="R21" s="4">
        <f>LARGE(CHOOSE({1;2;3;4},F21,I21,L21,O21),1)+LARGE(CHOOSE({1;2;3;4},F21,I21,L21,O21),2)+LARGE(CHOOSE({1;2;3;4},F21,I21,L21,O21),3)</f>
        <v>6.4</v>
      </c>
      <c r="S21" s="7">
        <f>LARGE(CHOOSE({1;2;3;4},G21,J21,M21,P21),1)+LARGE(CHOOSE({1;2;3;4},G21,J21,M21,P21),2)+LARGE(CHOOSE({1;2;3;4},G21,J21,M21,P21),3)</f>
        <v>25.349999999999998</v>
      </c>
      <c r="T21" s="7">
        <f>LARGE(CHOOSE({1;2;3;4},H21,K21,N21,Q21),1)+LARGE(CHOOSE({1;2;3;4},H21,K21,N21,Q21),2)+LARGE(CHOOSE({1;2;3;4},H21,K21,N21,Q21),3)</f>
        <v>31.75</v>
      </c>
      <c r="U21" s="4" cm="1">
        <f t="array" ref="U21">IF(VT[[#This Row],[Number_of_competition]:[Number_of_competition]]&gt;=3,(LARGE(CHOOSE({1;2;3;4},F21,I21,L21,O21),1)+LARGE(CHOOSE({1;2;3;4},F21,I21,L21,O21),2)+LARGE(CHOOSE({1;2;3;4},F21,I21,L21,O21),3))/3,0)</f>
        <v>2.1333333333333333</v>
      </c>
      <c r="V21" s="7" cm="1">
        <f t="array" ref="V21">IF(VT[[#This Row],[Number_of_competition]:[Number_of_competition]]&gt;=3,(LARGE(CHOOSE({1;2;3;4},G21,J21,M21,P21),1)+LARGE(CHOOSE({1;2;3;4},G21,J21,M21,P21),2)+LARGE(CHOOSE({1;2;3;4},G21,J21,M21,P21),3))/3,0)</f>
        <v>8.4499999999999993</v>
      </c>
      <c r="W21" s="7" cm="1">
        <f t="array" ref="W21">IF(VT[[#This Row],[Number_of_competition]:[Number_of_competition]]&gt;=3,(LARGE(CHOOSE({1;2;3;4},H21,K21,N21,Q21),1)+LARGE(CHOOSE({1;2;3;4},H21,K21,N21,Q21),2)+LARGE(CHOOSE({1;2;3;4},H21,K21,N21,Q21),3))/3,0)</f>
        <v>10.583333333333334</v>
      </c>
      <c r="Y21" s="34" t="s">
        <v>301</v>
      </c>
      <c r="AE21" s="43" t="s">
        <v>68</v>
      </c>
      <c r="AF21" s="43" t="s">
        <v>60</v>
      </c>
      <c r="AG21" s="43" t="s">
        <v>31</v>
      </c>
      <c r="AH21">
        <v>3</v>
      </c>
      <c r="AI21" t="s">
        <v>317</v>
      </c>
      <c r="AJ21" s="43" t="s">
        <v>308</v>
      </c>
      <c r="AK21">
        <v>0</v>
      </c>
    </row>
    <row r="22" spans="1:37" x14ac:dyDescent="0.25">
      <c r="A22" t="s">
        <v>46</v>
      </c>
      <c r="B22" s="2" t="s">
        <v>26</v>
      </c>
      <c r="C22" s="2" t="s">
        <v>47</v>
      </c>
      <c r="D22" t="s">
        <v>36</v>
      </c>
      <c r="E22" s="6">
        <f>COUNTIF(VT[[#This Row],[bydgoszcz_VT_Total_Score]],"&gt;0")+COUNTIF(VT[[#This Row],[zabrze_VT_Total_Score]],"&gt;0")+COUNTIF(VT[[#This Row],[cracow_VT_Total_Score]],"&gt;0")+COUNTIF(VT[[#This Row],[gdansk_VT_Total_Score]],"&gt;0")</f>
        <v>3</v>
      </c>
      <c r="F22" s="4">
        <v>0</v>
      </c>
      <c r="G22" s="7">
        <v>0</v>
      </c>
      <c r="H22" s="7">
        <v>0</v>
      </c>
      <c r="I22" s="4">
        <v>1.6</v>
      </c>
      <c r="J22" s="7">
        <v>9</v>
      </c>
      <c r="K22" s="7">
        <v>10.6</v>
      </c>
      <c r="L22" s="4">
        <v>1.6</v>
      </c>
      <c r="M22" s="7">
        <v>9</v>
      </c>
      <c r="N22" s="7">
        <v>10.6</v>
      </c>
      <c r="O22" s="4">
        <v>1.6</v>
      </c>
      <c r="P22" s="7">
        <v>8.8000000000000007</v>
      </c>
      <c r="Q22" s="7">
        <v>10.4</v>
      </c>
      <c r="R22" s="4">
        <f>LARGE(CHOOSE({1;2;3;4},F22,I22,L22,O22),1)+LARGE(CHOOSE({1;2;3;4},F22,I22,L22,O22),2)+LARGE(CHOOSE({1;2;3;4},F22,I22,L22,O22),3)</f>
        <v>4.8000000000000007</v>
      </c>
      <c r="S22" s="7">
        <f>LARGE(CHOOSE({1;2;3;4},G22,J22,M22,P22),1)+LARGE(CHOOSE({1;2;3;4},G22,J22,M22,P22),2)+LARGE(CHOOSE({1;2;3;4},G22,J22,M22,P22),3)</f>
        <v>26.8</v>
      </c>
      <c r="T22" s="7">
        <f>LARGE(CHOOSE({1;2;3;4},H22,K22,N22,Q22),1)+LARGE(CHOOSE({1;2;3;4},H22,K22,N22,Q22),2)+LARGE(CHOOSE({1;2;3;4},H22,K22,N22,Q22),3)</f>
        <v>31.6</v>
      </c>
      <c r="U22" s="4" cm="1">
        <f t="array" ref="U22">IF(VT[[#This Row],[Number_of_competition]:[Number_of_competition]]&gt;=3,(LARGE(CHOOSE({1;2;3;4},F22,I22,L22,O22),1)+LARGE(CHOOSE({1;2;3;4},F22,I22,L22,O22),2)+LARGE(CHOOSE({1;2;3;4},F22,I22,L22,O22),3))/3,0)</f>
        <v>1.6000000000000003</v>
      </c>
      <c r="V22" s="7" cm="1">
        <f t="array" ref="V22">IF(VT[[#This Row],[Number_of_competition]:[Number_of_competition]]&gt;=3,(LARGE(CHOOSE({1;2;3;4},G22,J22,M22,P22),1)+LARGE(CHOOSE({1;2;3;4},G22,J22,M22,P22),2)+LARGE(CHOOSE({1;2;3;4},G22,J22,M22,P22),3))/3,0)</f>
        <v>8.9333333333333336</v>
      </c>
      <c r="W22" s="7" cm="1">
        <f t="array" ref="W22">IF(VT[[#This Row],[Number_of_competition]:[Number_of_competition]]&gt;=3,(LARGE(CHOOSE({1;2;3;4},H22,K22,N22,Q22),1)+LARGE(CHOOSE({1;2;3;4},H22,K22,N22,Q22),2)+LARGE(CHOOSE({1;2;3;4},H22,K22,N22,Q22),3))/3,0)</f>
        <v>10.533333333333333</v>
      </c>
      <c r="Y22" s="37" t="s">
        <v>304</v>
      </c>
      <c r="AE22" s="43" t="s">
        <v>68</v>
      </c>
      <c r="AF22" s="43" t="s">
        <v>60</v>
      </c>
      <c r="AG22" s="43" t="s">
        <v>31</v>
      </c>
      <c r="AH22">
        <v>3</v>
      </c>
      <c r="AI22" t="s">
        <v>317</v>
      </c>
      <c r="AJ22" s="43" t="s">
        <v>309</v>
      </c>
      <c r="AK22">
        <v>0</v>
      </c>
    </row>
    <row r="23" spans="1:37" x14ac:dyDescent="0.25">
      <c r="A23" t="s">
        <v>92</v>
      </c>
      <c r="B23" s="2" t="s">
        <v>60</v>
      </c>
      <c r="C23" s="2" t="s">
        <v>93</v>
      </c>
      <c r="D23" t="s">
        <v>39</v>
      </c>
      <c r="E23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23" s="4">
        <v>0</v>
      </c>
      <c r="G23" s="7">
        <v>0</v>
      </c>
      <c r="H23" s="7">
        <v>0</v>
      </c>
      <c r="I23" s="4">
        <v>4</v>
      </c>
      <c r="J23" s="7">
        <v>8.9</v>
      </c>
      <c r="K23" s="7">
        <v>12.9</v>
      </c>
      <c r="L23" s="4">
        <v>4.4000000000000004</v>
      </c>
      <c r="M23" s="7">
        <v>9.35</v>
      </c>
      <c r="N23" s="7">
        <v>13.75</v>
      </c>
      <c r="O23" s="4">
        <v>0</v>
      </c>
      <c r="P23" s="7">
        <v>0</v>
      </c>
      <c r="Q23" s="7">
        <v>0</v>
      </c>
      <c r="R23" s="4">
        <f>LARGE(CHOOSE({1;2;3;4},F23,I23,L23,O23),1)+LARGE(CHOOSE({1;2;3;4},F23,I23,L23,O23),2)+LARGE(CHOOSE({1;2;3;4},F23,I23,L23,O23),3)</f>
        <v>8.4</v>
      </c>
      <c r="S23" s="7">
        <f>LARGE(CHOOSE({1;2;3;4},G23,J23,M23,P23),1)+LARGE(CHOOSE({1;2;3;4},G23,J23,M23,P23),2)+LARGE(CHOOSE({1;2;3;4},G23,J23,M23,P23),3)</f>
        <v>18.25</v>
      </c>
      <c r="T23" s="7">
        <f>LARGE(CHOOSE({1;2;3;4},H23,K23,N23,Q23),1)+LARGE(CHOOSE({1;2;3;4},H23,K23,N23,Q23),2)+LARGE(CHOOSE({1;2;3;4},H23,K23,N23,Q23),3)</f>
        <v>26.65</v>
      </c>
      <c r="U23" s="4" cm="1">
        <f t="array" ref="U23">IF(VT[[#This Row],[Number_of_competition]:[Number_of_competition]]&gt;=3,(LARGE(CHOOSE({1;2;3;4},F23,I23,L23,O23),1)+LARGE(CHOOSE({1;2;3;4},F23,I23,L23,O23),2)+LARGE(CHOOSE({1;2;3;4},F23,I23,L23,O23),3))/3,0)</f>
        <v>0</v>
      </c>
      <c r="V23" s="7" cm="1">
        <f t="array" ref="V23">IF(VT[[#This Row],[Number_of_competition]:[Number_of_competition]]&gt;=3,(LARGE(CHOOSE({1;2;3;4},G23,J23,M23,P23),1)+LARGE(CHOOSE({1;2;3;4},G23,J23,M23,P23),2)+LARGE(CHOOSE({1;2;3;4},G23,J23,M23,P23),3))/3,0)</f>
        <v>0</v>
      </c>
      <c r="W23" s="7" cm="1">
        <f t="array" ref="W23">IF(VT[[#This Row],[Number_of_competition]:[Number_of_competition]]&gt;=3,(LARGE(CHOOSE({1;2;3;4},H23,K23,N23,Q23),1)+LARGE(CHOOSE({1;2;3;4},H23,K23,N23,Q23),2)+LARGE(CHOOSE({1;2;3;4},H23,K23,N23,Q23),3))/3,0)</f>
        <v>0</v>
      </c>
      <c r="Y23" s="35" t="s">
        <v>302</v>
      </c>
      <c r="AE23" s="43" t="s">
        <v>68</v>
      </c>
      <c r="AF23" s="43" t="s">
        <v>60</v>
      </c>
      <c r="AG23" s="43" t="s">
        <v>31</v>
      </c>
      <c r="AH23">
        <v>3</v>
      </c>
      <c r="AI23" t="s">
        <v>317</v>
      </c>
      <c r="AJ23" s="43" t="s">
        <v>268</v>
      </c>
      <c r="AK23">
        <v>0</v>
      </c>
    </row>
    <row r="24" spans="1:37" x14ac:dyDescent="0.25">
      <c r="A24" t="s">
        <v>116</v>
      </c>
      <c r="B24" s="2" t="s">
        <v>60</v>
      </c>
      <c r="C24" s="2" t="s">
        <v>117</v>
      </c>
      <c r="D24" t="s">
        <v>62</v>
      </c>
      <c r="E24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24" s="4">
        <v>0</v>
      </c>
      <c r="G24" s="7">
        <v>0</v>
      </c>
      <c r="H24" s="7">
        <v>0</v>
      </c>
      <c r="I24" s="4">
        <v>0</v>
      </c>
      <c r="J24" s="7">
        <v>0</v>
      </c>
      <c r="K24" s="7">
        <v>0</v>
      </c>
      <c r="L24" s="4">
        <v>5.2</v>
      </c>
      <c r="M24" s="7">
        <v>8.1</v>
      </c>
      <c r="N24" s="7">
        <v>13.3</v>
      </c>
      <c r="O24" s="4">
        <v>5.2</v>
      </c>
      <c r="P24" s="7">
        <v>8</v>
      </c>
      <c r="Q24" s="7">
        <v>13.2</v>
      </c>
      <c r="R24" s="4">
        <f>LARGE(CHOOSE({1;2;3;4},F24,I24,L24,O24),1)+LARGE(CHOOSE({1;2;3;4},F24,I24,L24,O24),2)+LARGE(CHOOSE({1;2;3;4},F24,I24,L24,O24),3)</f>
        <v>10.4</v>
      </c>
      <c r="S24" s="7">
        <f>LARGE(CHOOSE({1;2;3;4},G24,J24,M24,P24),1)+LARGE(CHOOSE({1;2;3;4},G24,J24,M24,P24),2)+LARGE(CHOOSE({1;2;3;4},G24,J24,M24,P24),3)</f>
        <v>16.100000000000001</v>
      </c>
      <c r="T24" s="7">
        <f>LARGE(CHOOSE({1;2;3;4},H24,K24,N24,Q24),1)+LARGE(CHOOSE({1;2;3;4},H24,K24,N24,Q24),2)+LARGE(CHOOSE({1;2;3;4},H24,K24,N24,Q24),3)</f>
        <v>26.5</v>
      </c>
      <c r="U24" s="4" cm="1">
        <f t="array" ref="U24">IF(VT[[#This Row],[Number_of_competition]:[Number_of_competition]]&gt;=3,(LARGE(CHOOSE({1;2;3;4},F24,I24,L24,O24),1)+LARGE(CHOOSE({1;2;3;4},F24,I24,L24,O24),2)+LARGE(CHOOSE({1;2;3;4},F24,I24,L24,O24),3))/3,0)</f>
        <v>0</v>
      </c>
      <c r="V24" s="7" cm="1">
        <f t="array" ref="V24">IF(VT[[#This Row],[Number_of_competition]:[Number_of_competition]]&gt;=3,(LARGE(CHOOSE({1;2;3;4},G24,J24,M24,P24),1)+LARGE(CHOOSE({1;2;3;4},G24,J24,M24,P24),2)+LARGE(CHOOSE({1;2;3;4},G24,J24,M24,P24),3))/3,0)</f>
        <v>0</v>
      </c>
      <c r="W24" s="7" cm="1">
        <f t="array" ref="W24">IF(VT[[#This Row],[Number_of_competition]:[Number_of_competition]]&gt;=3,(LARGE(CHOOSE({1;2;3;4},H24,K24,N24,Q24),1)+LARGE(CHOOSE({1;2;3;4},H24,K24,N24,Q24),2)+LARGE(CHOOSE({1;2;3;4},H24,K24,N24,Q24),3))/3,0)</f>
        <v>0</v>
      </c>
      <c r="Y24" s="36" t="s">
        <v>303</v>
      </c>
      <c r="AE24" s="43" t="s">
        <v>68</v>
      </c>
      <c r="AF24" s="43" t="s">
        <v>60</v>
      </c>
      <c r="AG24" s="43" t="s">
        <v>31</v>
      </c>
      <c r="AH24">
        <v>3</v>
      </c>
      <c r="AI24" t="s">
        <v>325</v>
      </c>
      <c r="AJ24" s="43" t="s">
        <v>308</v>
      </c>
      <c r="AK24">
        <v>4</v>
      </c>
    </row>
    <row r="25" spans="1:37" x14ac:dyDescent="0.25">
      <c r="A25" t="s">
        <v>70</v>
      </c>
      <c r="B25" s="2" t="s">
        <v>60</v>
      </c>
      <c r="C25" s="2" t="s">
        <v>71</v>
      </c>
      <c r="D25" t="s">
        <v>72</v>
      </c>
      <c r="E25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25" s="4">
        <v>0</v>
      </c>
      <c r="G25" s="7">
        <v>0</v>
      </c>
      <c r="H25" s="7">
        <v>0</v>
      </c>
      <c r="I25" s="4">
        <v>5.2</v>
      </c>
      <c r="J25" s="7">
        <v>8.25</v>
      </c>
      <c r="K25" s="7">
        <v>13.45</v>
      </c>
      <c r="L25" s="4">
        <v>5.2</v>
      </c>
      <c r="M25" s="7">
        <v>7.65</v>
      </c>
      <c r="N25" s="7">
        <v>12.85</v>
      </c>
      <c r="O25" s="4">
        <v>0</v>
      </c>
      <c r="P25" s="7">
        <v>0</v>
      </c>
      <c r="Q25" s="7">
        <v>0</v>
      </c>
      <c r="R25" s="4">
        <f>LARGE(CHOOSE({1;2;3;4},F25,I25,L25,O25),1)+LARGE(CHOOSE({1;2;3;4},F25,I25,L25,O25),2)+LARGE(CHOOSE({1;2;3;4},F25,I25,L25,O25),3)</f>
        <v>10.4</v>
      </c>
      <c r="S25" s="7">
        <f>LARGE(CHOOSE({1;2;3;4},G25,J25,M25,P25),1)+LARGE(CHOOSE({1;2;3;4},G25,J25,M25,P25),2)+LARGE(CHOOSE({1;2;3;4},G25,J25,M25,P25),3)</f>
        <v>15.9</v>
      </c>
      <c r="T25" s="7">
        <f>LARGE(CHOOSE({1;2;3;4},H25,K25,N25,Q25),1)+LARGE(CHOOSE({1;2;3;4},H25,K25,N25,Q25),2)+LARGE(CHOOSE({1;2;3;4},H25,K25,N25,Q25),3)</f>
        <v>26.299999999999997</v>
      </c>
      <c r="U25" s="4" cm="1">
        <f t="array" ref="U25">IF(VT[[#This Row],[Number_of_competition]:[Number_of_competition]]&gt;=3,(LARGE(CHOOSE({1;2;3;4},F25,I25,L25,O25),1)+LARGE(CHOOSE({1;2;3;4},F25,I25,L25,O25),2)+LARGE(CHOOSE({1;2;3;4},F25,I25,L25,O25),3))/3,0)</f>
        <v>0</v>
      </c>
      <c r="V25" s="7" cm="1">
        <f t="array" ref="V25">IF(VT[[#This Row],[Number_of_competition]:[Number_of_competition]]&gt;=3,(LARGE(CHOOSE({1;2;3;4},G25,J25,M25,P25),1)+LARGE(CHOOSE({1;2;3;4},G25,J25,M25,P25),2)+LARGE(CHOOSE({1;2;3;4},G25,J25,M25,P25),3))/3,0)</f>
        <v>0</v>
      </c>
      <c r="W25" s="7" cm="1">
        <f t="array" ref="W25">IF(VT[[#This Row],[Number_of_competition]:[Number_of_competition]]&gt;=3,(LARGE(CHOOSE({1;2;3;4},H25,K25,N25,Q25),1)+LARGE(CHOOSE({1;2;3;4},H25,K25,N25,Q25),2)+LARGE(CHOOSE({1;2;3;4},H25,K25,N25,Q25),3))/3,0)</f>
        <v>0</v>
      </c>
      <c r="AE25" s="43" t="s">
        <v>68</v>
      </c>
      <c r="AF25" s="43" t="s">
        <v>60</v>
      </c>
      <c r="AG25" s="43" t="s">
        <v>31</v>
      </c>
      <c r="AH25">
        <v>3</v>
      </c>
      <c r="AI25" t="s">
        <v>325</v>
      </c>
      <c r="AJ25" s="43" t="s">
        <v>309</v>
      </c>
      <c r="AK25">
        <v>9.6</v>
      </c>
    </row>
    <row r="26" spans="1:37" ht="21" x14ac:dyDescent="0.35">
      <c r="A26" t="s">
        <v>127</v>
      </c>
      <c r="B26" s="2" t="s">
        <v>60</v>
      </c>
      <c r="C26" s="2" t="s">
        <v>128</v>
      </c>
      <c r="D26" t="s">
        <v>72</v>
      </c>
      <c r="E26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26" s="4">
        <v>4</v>
      </c>
      <c r="G26" s="7">
        <v>9</v>
      </c>
      <c r="H26" s="7">
        <v>13</v>
      </c>
      <c r="I26" s="4">
        <v>0</v>
      </c>
      <c r="J26" s="7">
        <v>0</v>
      </c>
      <c r="K26" s="7">
        <v>0</v>
      </c>
      <c r="L26" s="4">
        <v>4</v>
      </c>
      <c r="M26" s="7">
        <v>9.15</v>
      </c>
      <c r="N26" s="7">
        <v>13.15</v>
      </c>
      <c r="O26" s="4">
        <v>0</v>
      </c>
      <c r="P26" s="7">
        <v>0</v>
      </c>
      <c r="Q26" s="7">
        <v>0</v>
      </c>
      <c r="R26" s="4">
        <f>LARGE(CHOOSE({1;2;3;4},F26,I26,L26,O26),1)+LARGE(CHOOSE({1;2;3;4},F26,I26,L26,O26),2)+LARGE(CHOOSE({1;2;3;4},F26,I26,L26,O26),3)</f>
        <v>8</v>
      </c>
      <c r="S26" s="7">
        <f>LARGE(CHOOSE({1;2;3;4},G26,J26,M26,P26),1)+LARGE(CHOOSE({1;2;3;4},G26,J26,M26,P26),2)+LARGE(CHOOSE({1;2;3;4},G26,J26,M26,P26),3)</f>
        <v>18.149999999999999</v>
      </c>
      <c r="T26" s="7">
        <f>LARGE(CHOOSE({1;2;3;4},H26,K26,N26,Q26),1)+LARGE(CHOOSE({1;2;3;4},H26,K26,N26,Q26),2)+LARGE(CHOOSE({1;2;3;4},H26,K26,N26,Q26),3)</f>
        <v>26.15</v>
      </c>
      <c r="U26" s="4" cm="1">
        <f t="array" ref="U26">IF(VT[[#This Row],[Number_of_competition]:[Number_of_competition]]&gt;=3,(LARGE(CHOOSE({1;2;3;4},F26,I26,L26,O26),1)+LARGE(CHOOSE({1;2;3;4},F26,I26,L26,O26),2)+LARGE(CHOOSE({1;2;3;4},F26,I26,L26,O26),3))/3,0)</f>
        <v>0</v>
      </c>
      <c r="V26" s="7" cm="1">
        <f t="array" ref="V26">IF(VT[[#This Row],[Number_of_competition]:[Number_of_competition]]&gt;=3,(LARGE(CHOOSE({1;2;3;4},G26,J26,M26,P26),1)+LARGE(CHOOSE({1;2;3;4},G26,J26,M26,P26),2)+LARGE(CHOOSE({1;2;3;4},G26,J26,M26,P26),3))/3,0)</f>
        <v>0</v>
      </c>
      <c r="W26" s="7" cm="1">
        <f t="array" ref="W26">IF(VT[[#This Row],[Number_of_competition]:[Number_of_competition]]&gt;=3,(LARGE(CHOOSE({1;2;3;4},H26,K26,N26,Q26),1)+LARGE(CHOOSE({1;2;3;4},H26,K26,N26,Q26),2)+LARGE(CHOOSE({1;2;3;4},H26,K26,N26,Q26),3))/3,0)</f>
        <v>0</v>
      </c>
      <c r="Z26" s="44" t="s">
        <v>332</v>
      </c>
      <c r="AA26" s="44" t="s">
        <v>2</v>
      </c>
      <c r="AB26" s="45"/>
      <c r="AE26" s="43" t="s">
        <v>68</v>
      </c>
      <c r="AF26" s="43" t="s">
        <v>60</v>
      </c>
      <c r="AG26" s="43" t="s">
        <v>31</v>
      </c>
      <c r="AH26">
        <v>3</v>
      </c>
      <c r="AI26" t="s">
        <v>325</v>
      </c>
      <c r="AJ26" s="43" t="s">
        <v>268</v>
      </c>
      <c r="AK26">
        <v>13.6</v>
      </c>
    </row>
    <row r="27" spans="1:37" ht="21" x14ac:dyDescent="0.35">
      <c r="A27" t="s">
        <v>65</v>
      </c>
      <c r="B27" s="2" t="s">
        <v>60</v>
      </c>
      <c r="C27" s="2" t="s">
        <v>66</v>
      </c>
      <c r="D27" t="s">
        <v>67</v>
      </c>
      <c r="E27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27" s="4">
        <v>0</v>
      </c>
      <c r="G27" s="7">
        <v>0</v>
      </c>
      <c r="H27" s="7">
        <v>0</v>
      </c>
      <c r="I27" s="4">
        <v>4</v>
      </c>
      <c r="J27" s="7">
        <v>9.1</v>
      </c>
      <c r="K27" s="7">
        <v>13.1</v>
      </c>
      <c r="L27" s="4">
        <v>0</v>
      </c>
      <c r="M27" s="7">
        <v>0</v>
      </c>
      <c r="N27" s="7">
        <v>0</v>
      </c>
      <c r="O27" s="4">
        <v>4</v>
      </c>
      <c r="P27" s="7">
        <v>8.6999999999999993</v>
      </c>
      <c r="Q27" s="7">
        <v>12.7</v>
      </c>
      <c r="R27" s="4">
        <f>LARGE(CHOOSE({1;2;3;4},F27,I27,L27,O27),1)+LARGE(CHOOSE({1;2;3;4},F27,I27,L27,O27),2)+LARGE(CHOOSE({1;2;3;4},F27,I27,L27,O27),3)</f>
        <v>8</v>
      </c>
      <c r="S27" s="7">
        <f>LARGE(CHOOSE({1;2;3;4},G27,J27,M27,P27),1)+LARGE(CHOOSE({1;2;3;4},G27,J27,M27,P27),2)+LARGE(CHOOSE({1;2;3;4},G27,J27,M27,P27),3)</f>
        <v>17.799999999999997</v>
      </c>
      <c r="T27" s="7">
        <f>LARGE(CHOOSE({1;2;3;4},H27,K27,N27,Q27),1)+LARGE(CHOOSE({1;2;3;4},H27,K27,N27,Q27),2)+LARGE(CHOOSE({1;2;3;4},H27,K27,N27,Q27),3)</f>
        <v>25.799999999999997</v>
      </c>
      <c r="U27" s="4" cm="1">
        <f t="array" ref="U27">IF(VT[[#This Row],[Number_of_competition]:[Number_of_competition]]&gt;=3,(LARGE(CHOOSE({1;2;3;4},F27,I27,L27,O27),1)+LARGE(CHOOSE({1;2;3;4},F27,I27,L27,O27),2)+LARGE(CHOOSE({1;2;3;4},F27,I27,L27,O27),3))/3,0)</f>
        <v>0</v>
      </c>
      <c r="V27" s="7" cm="1">
        <f t="array" ref="V27">IF(VT[[#This Row],[Number_of_competition]:[Number_of_competition]]&gt;=3,(LARGE(CHOOSE({1;2;3;4},G27,J27,M27,P27),1)+LARGE(CHOOSE({1;2;3;4},G27,J27,M27,P27),2)+LARGE(CHOOSE({1;2;3;4},G27,J27,M27,P27),3))/3,0)</f>
        <v>0</v>
      </c>
      <c r="W27" s="7" cm="1">
        <f t="array" ref="W27">IF(VT[[#This Row],[Number_of_competition]:[Number_of_competition]]&gt;=3,(LARGE(CHOOSE({1;2;3;4},H27,K27,N27,Q27),1)+LARGE(CHOOSE({1;2;3;4},H27,K27,N27,Q27),2)+LARGE(CHOOSE({1;2;3;4},H27,K27,N27,Q27),3))/3,0)</f>
        <v>0</v>
      </c>
      <c r="Z27" s="44" t="s">
        <v>346</v>
      </c>
      <c r="AA27" s="45" t="s">
        <v>26</v>
      </c>
      <c r="AB27" s="45" t="s">
        <v>60</v>
      </c>
      <c r="AE27" s="43" t="s">
        <v>68</v>
      </c>
      <c r="AF27" s="43" t="s">
        <v>60</v>
      </c>
      <c r="AG27" s="43" t="s">
        <v>31</v>
      </c>
      <c r="AH27">
        <v>3</v>
      </c>
      <c r="AI27" t="s">
        <v>330</v>
      </c>
      <c r="AJ27" s="43" t="s">
        <v>308</v>
      </c>
      <c r="AK27">
        <v>4</v>
      </c>
    </row>
    <row r="28" spans="1:37" ht="21" x14ac:dyDescent="0.35">
      <c r="A28" t="s">
        <v>112</v>
      </c>
      <c r="B28" s="2" t="s">
        <v>26</v>
      </c>
      <c r="C28" s="2" t="s">
        <v>113</v>
      </c>
      <c r="D28" t="s">
        <v>31</v>
      </c>
      <c r="E28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28" s="4">
        <v>4</v>
      </c>
      <c r="G28" s="7">
        <v>8.5</v>
      </c>
      <c r="H28" s="7">
        <v>12.5</v>
      </c>
      <c r="I28" s="4">
        <v>0</v>
      </c>
      <c r="J28" s="7">
        <v>0</v>
      </c>
      <c r="K28" s="7">
        <v>0</v>
      </c>
      <c r="L28" s="4">
        <v>0</v>
      </c>
      <c r="M28" s="7">
        <v>0</v>
      </c>
      <c r="N28" s="7">
        <v>0</v>
      </c>
      <c r="O28" s="4">
        <v>4</v>
      </c>
      <c r="P28" s="7">
        <v>8.9</v>
      </c>
      <c r="Q28" s="7">
        <v>12.9</v>
      </c>
      <c r="R28" s="4">
        <f>LARGE(CHOOSE({1;2;3;4},F28,I28,L28,O28),1)+LARGE(CHOOSE({1;2;3;4},F28,I28,L28,O28),2)+LARGE(CHOOSE({1;2;3;4},F28,I28,L28,O28),3)</f>
        <v>8</v>
      </c>
      <c r="S28" s="7">
        <f>LARGE(CHOOSE({1;2;3;4},G28,J28,M28,P28),1)+LARGE(CHOOSE({1;2;3;4},G28,J28,M28,P28),2)+LARGE(CHOOSE({1;2;3;4},G28,J28,M28,P28),3)</f>
        <v>17.399999999999999</v>
      </c>
      <c r="T28" s="7">
        <f>LARGE(CHOOSE({1;2;3;4},H28,K28,N28,Q28),1)+LARGE(CHOOSE({1;2;3;4},H28,K28,N28,Q28),2)+LARGE(CHOOSE({1;2;3;4},H28,K28,N28,Q28),3)</f>
        <v>25.4</v>
      </c>
      <c r="U28" s="4" cm="1">
        <f t="array" ref="U28">IF(VT[[#This Row],[Number_of_competition]:[Number_of_competition]]&gt;=3,(LARGE(CHOOSE({1;2;3;4},F28,I28,L28,O28),1)+LARGE(CHOOSE({1;2;3;4},F28,I28,L28,O28),2)+LARGE(CHOOSE({1;2;3;4},F28,I28,L28,O28),3))/3,0)</f>
        <v>0</v>
      </c>
      <c r="V28" s="7" cm="1">
        <f t="array" ref="V28">IF(VT[[#This Row],[Number_of_competition]:[Number_of_competition]]&gt;=3,(LARGE(CHOOSE({1;2;3;4},G28,J28,M28,P28),1)+LARGE(CHOOSE({1;2;3;4},G28,J28,M28,P28),2)+LARGE(CHOOSE({1;2;3;4},G28,J28,M28,P28),3))/3,0)</f>
        <v>0</v>
      </c>
      <c r="W28" s="7" cm="1">
        <f t="array" ref="W28">IF(VT[[#This Row],[Number_of_competition]:[Number_of_competition]]&gt;=3,(LARGE(CHOOSE({1;2;3;4},H28,K28,N28,Q28),1)+LARGE(CHOOSE({1;2;3;4},H28,K28,N28,Q28),2)+LARGE(CHOOSE({1;2;3;4},H28,K28,N28,Q28),3))/3,0)</f>
        <v>0</v>
      </c>
      <c r="Z28" s="46" t="s">
        <v>308</v>
      </c>
      <c r="AA28" s="47">
        <v>54</v>
      </c>
      <c r="AB28" s="47">
        <v>57</v>
      </c>
      <c r="AE28" s="43" t="s">
        <v>68</v>
      </c>
      <c r="AF28" s="43" t="s">
        <v>60</v>
      </c>
      <c r="AG28" s="43" t="s">
        <v>31</v>
      </c>
      <c r="AH28">
        <v>3</v>
      </c>
      <c r="AI28" t="s">
        <v>330</v>
      </c>
      <c r="AJ28" s="43" t="s">
        <v>309</v>
      </c>
      <c r="AK28">
        <v>9.35</v>
      </c>
    </row>
    <row r="29" spans="1:37" ht="21" x14ac:dyDescent="0.35">
      <c r="A29" t="s">
        <v>75</v>
      </c>
      <c r="B29" s="2" t="s">
        <v>60</v>
      </c>
      <c r="C29" s="2" t="s">
        <v>76</v>
      </c>
      <c r="D29" t="s">
        <v>28</v>
      </c>
      <c r="E29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29" s="4">
        <v>0</v>
      </c>
      <c r="G29" s="7">
        <v>0</v>
      </c>
      <c r="H29" s="7">
        <v>0</v>
      </c>
      <c r="I29" s="4">
        <v>3.2</v>
      </c>
      <c r="J29" s="7">
        <v>9.4499999999999993</v>
      </c>
      <c r="K29" s="7">
        <v>12.65</v>
      </c>
      <c r="L29" s="4">
        <v>3.2</v>
      </c>
      <c r="M29" s="7">
        <v>9.0500000000000007</v>
      </c>
      <c r="N29" s="7">
        <v>12.25</v>
      </c>
      <c r="O29" s="4">
        <v>0</v>
      </c>
      <c r="P29" s="7">
        <v>0</v>
      </c>
      <c r="Q29" s="7">
        <v>0</v>
      </c>
      <c r="R29" s="4">
        <f>LARGE(CHOOSE({1;2;3;4},F29,I29,L29,O29),1)+LARGE(CHOOSE({1;2;3;4},F29,I29,L29,O29),2)+LARGE(CHOOSE({1;2;3;4},F29,I29,L29,O29),3)</f>
        <v>6.4</v>
      </c>
      <c r="S29" s="7">
        <f>LARGE(CHOOSE({1;2;3;4},G29,J29,M29,P29),1)+LARGE(CHOOSE({1;2;3;4},G29,J29,M29,P29),2)+LARGE(CHOOSE({1;2;3;4},G29,J29,M29,P29),3)</f>
        <v>18.5</v>
      </c>
      <c r="T29" s="7">
        <f>LARGE(CHOOSE({1;2;3;4},H29,K29,N29,Q29),1)+LARGE(CHOOSE({1;2;3;4},H29,K29,N29,Q29),2)+LARGE(CHOOSE({1;2;3;4},H29,K29,N29,Q29),3)</f>
        <v>24.9</v>
      </c>
      <c r="U29" s="4" cm="1">
        <f t="array" ref="U29">IF(VT[[#This Row],[Number_of_competition]:[Number_of_competition]]&gt;=3,(LARGE(CHOOSE({1;2;3;4},F29,I29,L29,O29),1)+LARGE(CHOOSE({1;2;3;4},F29,I29,L29,O29),2)+LARGE(CHOOSE({1;2;3;4},F29,I29,L29,O29),3))/3,0)</f>
        <v>0</v>
      </c>
      <c r="V29" s="7" cm="1">
        <f t="array" ref="V29">IF(VT[[#This Row],[Number_of_competition]:[Number_of_competition]]&gt;=3,(LARGE(CHOOSE({1;2;3;4},G29,J29,M29,P29),1)+LARGE(CHOOSE({1;2;3;4},G29,J29,M29,P29),2)+LARGE(CHOOSE({1;2;3;4},G29,J29,M29,P29),3))/3,0)</f>
        <v>0</v>
      </c>
      <c r="W29" s="7" cm="1">
        <f t="array" ref="W29">IF(VT[[#This Row],[Number_of_competition]:[Number_of_competition]]&gt;=3,(LARGE(CHOOSE({1;2;3;4},H29,K29,N29,Q29),1)+LARGE(CHOOSE({1;2;3;4},H29,K29,N29,Q29),2)+LARGE(CHOOSE({1;2;3;4},H29,K29,N29,Q29),3))/3,0)</f>
        <v>0</v>
      </c>
      <c r="Z29" s="48" t="s">
        <v>315</v>
      </c>
      <c r="AA29" s="47">
        <v>32</v>
      </c>
      <c r="AB29" s="47">
        <v>2</v>
      </c>
      <c r="AE29" s="43" t="s">
        <v>68</v>
      </c>
      <c r="AF29" s="43" t="s">
        <v>60</v>
      </c>
      <c r="AG29" s="43" t="s">
        <v>31</v>
      </c>
      <c r="AH29">
        <v>3</v>
      </c>
      <c r="AI29" t="s">
        <v>330</v>
      </c>
      <c r="AJ29" s="43" t="s">
        <v>268</v>
      </c>
      <c r="AK29">
        <v>13.35</v>
      </c>
    </row>
    <row r="30" spans="1:37" ht="21" x14ac:dyDescent="0.35">
      <c r="A30" t="s">
        <v>94</v>
      </c>
      <c r="B30" s="2" t="s">
        <v>60</v>
      </c>
      <c r="C30" s="2" t="s">
        <v>95</v>
      </c>
      <c r="D30" t="s">
        <v>72</v>
      </c>
      <c r="E30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30" s="4">
        <v>0</v>
      </c>
      <c r="G30" s="7">
        <v>0</v>
      </c>
      <c r="H30" s="7">
        <v>0</v>
      </c>
      <c r="I30" s="4">
        <v>2.8</v>
      </c>
      <c r="J30" s="7">
        <v>9.4</v>
      </c>
      <c r="K30" s="7">
        <v>12.2</v>
      </c>
      <c r="L30" s="4">
        <v>2.8</v>
      </c>
      <c r="M30" s="7">
        <v>9.1</v>
      </c>
      <c r="N30" s="7">
        <v>11.9</v>
      </c>
      <c r="O30" s="4">
        <v>0</v>
      </c>
      <c r="P30" s="7">
        <v>0</v>
      </c>
      <c r="Q30" s="7">
        <v>0</v>
      </c>
      <c r="R30" s="4">
        <f>LARGE(CHOOSE({1;2;3;4},F30,I30,L30,O30),1)+LARGE(CHOOSE({1;2;3;4},F30,I30,L30,O30),2)+LARGE(CHOOSE({1;2;3;4},F30,I30,L30,O30),3)</f>
        <v>5.6</v>
      </c>
      <c r="S30" s="7">
        <f>LARGE(CHOOSE({1;2;3;4},G30,J30,M30,P30),1)+LARGE(CHOOSE({1;2;3;4},G30,J30,M30,P30),2)+LARGE(CHOOSE({1;2;3;4},G30,J30,M30,P30),3)</f>
        <v>18.5</v>
      </c>
      <c r="T30" s="7">
        <f>LARGE(CHOOSE({1;2;3;4},H30,K30,N30,Q30),1)+LARGE(CHOOSE({1;2;3;4},H30,K30,N30,Q30),2)+LARGE(CHOOSE({1;2;3;4},H30,K30,N30,Q30),3)</f>
        <v>24.1</v>
      </c>
      <c r="U30" s="4" cm="1">
        <f t="array" ref="U30">IF(VT[[#This Row],[Number_of_competition]:[Number_of_competition]]&gt;=3,(LARGE(CHOOSE({1;2;3;4},F30,I30,L30,O30),1)+LARGE(CHOOSE({1;2;3;4},F30,I30,L30,O30),2)+LARGE(CHOOSE({1;2;3;4},F30,I30,L30,O30),3))/3,0)</f>
        <v>0</v>
      </c>
      <c r="V30" s="7" cm="1">
        <f t="array" ref="V30">IF(VT[[#This Row],[Number_of_competition]:[Number_of_competition]]&gt;=3,(LARGE(CHOOSE({1;2;3;4},G30,J30,M30,P30),1)+LARGE(CHOOSE({1;2;3;4},G30,J30,M30,P30),2)+LARGE(CHOOSE({1;2;3;4},G30,J30,M30,P30),3))/3,0)</f>
        <v>0</v>
      </c>
      <c r="W30" s="7" cm="1">
        <f t="array" ref="W30">IF(VT[[#This Row],[Number_of_competition]:[Number_of_competition]]&gt;=3,(LARGE(CHOOSE({1;2;3;4},H30,K30,N30,Q30),1)+LARGE(CHOOSE({1;2;3;4},H30,K30,N30,Q30),2)+LARGE(CHOOSE({1;2;3;4},H30,K30,N30,Q30),3))/3,0)</f>
        <v>0</v>
      </c>
      <c r="Z30" s="48" t="s">
        <v>318</v>
      </c>
      <c r="AA30" s="47">
        <v>8</v>
      </c>
      <c r="AB30" s="47">
        <v>6</v>
      </c>
      <c r="AE30" s="43" t="s">
        <v>68</v>
      </c>
      <c r="AF30" s="43" t="s">
        <v>60</v>
      </c>
      <c r="AG30" s="43" t="s">
        <v>31</v>
      </c>
      <c r="AH30">
        <v>3</v>
      </c>
      <c r="AI30" t="s">
        <v>331</v>
      </c>
      <c r="AJ30" s="43" t="s">
        <v>308</v>
      </c>
      <c r="AK30">
        <v>4</v>
      </c>
    </row>
    <row r="31" spans="1:37" ht="21" x14ac:dyDescent="0.35">
      <c r="A31" t="s">
        <v>86</v>
      </c>
      <c r="B31" s="2" t="s">
        <v>60</v>
      </c>
      <c r="C31" s="2" t="s">
        <v>87</v>
      </c>
      <c r="D31" t="s">
        <v>72</v>
      </c>
      <c r="E31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31" s="4">
        <v>2.8</v>
      </c>
      <c r="G31" s="7">
        <v>9.1999999999999993</v>
      </c>
      <c r="H31" s="7">
        <v>12</v>
      </c>
      <c r="I31" s="4">
        <v>0</v>
      </c>
      <c r="J31" s="7">
        <v>0</v>
      </c>
      <c r="K31" s="7">
        <v>0</v>
      </c>
      <c r="L31" s="4">
        <v>0</v>
      </c>
      <c r="M31" s="7">
        <v>0</v>
      </c>
      <c r="N31" s="7">
        <v>0</v>
      </c>
      <c r="O31" s="4">
        <v>2.8</v>
      </c>
      <c r="P31" s="7">
        <v>8.3000000000000007</v>
      </c>
      <c r="Q31" s="7">
        <v>11.1</v>
      </c>
      <c r="R31" s="4">
        <f>LARGE(CHOOSE({1;2;3;4},F31,I31,L31,O31),1)+LARGE(CHOOSE({1;2;3;4},F31,I31,L31,O31),2)+LARGE(CHOOSE({1;2;3;4},F31,I31,L31,O31),3)</f>
        <v>5.6</v>
      </c>
      <c r="S31" s="7">
        <f>LARGE(CHOOSE({1;2;3;4},G31,J31,M31,P31),1)+LARGE(CHOOSE({1;2;3;4},G31,J31,M31,P31),2)+LARGE(CHOOSE({1;2;3;4},G31,J31,M31,P31),3)</f>
        <v>17.5</v>
      </c>
      <c r="T31" s="7">
        <f>LARGE(CHOOSE({1;2;3;4},H31,K31,N31,Q31),1)+LARGE(CHOOSE({1;2;3;4},H31,K31,N31,Q31),2)+LARGE(CHOOSE({1;2;3;4},H31,K31,N31,Q31),3)</f>
        <v>23.1</v>
      </c>
      <c r="U31" s="4" cm="1">
        <f t="array" ref="U31">IF(VT[[#This Row],[Number_of_competition]:[Number_of_competition]]&gt;=3,(LARGE(CHOOSE({1;2;3;4},F31,I31,L31,O31),1)+LARGE(CHOOSE({1;2;3;4},F31,I31,L31,O31),2)+LARGE(CHOOSE({1;2;3;4},F31,I31,L31,O31),3))/3,0)</f>
        <v>0</v>
      </c>
      <c r="V31" s="7" cm="1">
        <f t="array" ref="V31">IF(VT[[#This Row],[Number_of_competition]:[Number_of_competition]]&gt;=3,(LARGE(CHOOSE({1;2;3;4},G31,J31,M31,P31),1)+LARGE(CHOOSE({1;2;3;4},G31,J31,M31,P31),2)+LARGE(CHOOSE({1;2;3;4},G31,J31,M31,P31),3))/3,0)</f>
        <v>0</v>
      </c>
      <c r="W31" s="7" cm="1">
        <f t="array" ref="W31">IF(VT[[#This Row],[Number_of_competition]:[Number_of_competition]]&gt;=3,(LARGE(CHOOSE({1;2;3;4},H31,K31,N31,Q31),1)+LARGE(CHOOSE({1;2;3;4},H31,K31,N31,Q31),2)+LARGE(CHOOSE({1;2;3;4},H31,K31,N31,Q31),3))/3,0)</f>
        <v>0</v>
      </c>
      <c r="Z31" s="48" t="s">
        <v>319</v>
      </c>
      <c r="AA31" s="47">
        <v>7</v>
      </c>
      <c r="AB31" s="47">
        <v>13</v>
      </c>
      <c r="AE31" s="43" t="s">
        <v>68</v>
      </c>
      <c r="AF31" s="43" t="s">
        <v>60</v>
      </c>
      <c r="AG31" s="43" t="s">
        <v>31</v>
      </c>
      <c r="AH31">
        <v>3</v>
      </c>
      <c r="AI31" t="s">
        <v>331</v>
      </c>
      <c r="AJ31" s="43" t="s">
        <v>309</v>
      </c>
      <c r="AK31">
        <v>8.8000000000000007</v>
      </c>
    </row>
    <row r="32" spans="1:37" ht="21" x14ac:dyDescent="0.35">
      <c r="A32" t="s">
        <v>106</v>
      </c>
      <c r="B32" s="2" t="s">
        <v>60</v>
      </c>
      <c r="C32" s="2" t="s">
        <v>107</v>
      </c>
      <c r="D32" t="s">
        <v>31</v>
      </c>
      <c r="E32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32" s="4">
        <v>0</v>
      </c>
      <c r="G32" s="7">
        <v>0</v>
      </c>
      <c r="H32" s="7">
        <v>0</v>
      </c>
      <c r="I32" s="4">
        <v>3.2</v>
      </c>
      <c r="J32" s="7">
        <v>9.0500000000000007</v>
      </c>
      <c r="K32" s="7">
        <v>12.25</v>
      </c>
      <c r="L32" s="4">
        <v>3.2</v>
      </c>
      <c r="M32" s="7">
        <v>7.4</v>
      </c>
      <c r="N32" s="7">
        <v>10.6</v>
      </c>
      <c r="O32" s="4">
        <v>0</v>
      </c>
      <c r="P32" s="7">
        <v>0</v>
      </c>
      <c r="Q32" s="7">
        <v>0</v>
      </c>
      <c r="R32" s="4">
        <f>LARGE(CHOOSE({1;2;3;4},F32,I32,L32,O32),1)+LARGE(CHOOSE({1;2;3;4},F32,I32,L32,O32),2)+LARGE(CHOOSE({1;2;3;4},F32,I32,L32,O32),3)</f>
        <v>6.4</v>
      </c>
      <c r="S32" s="7">
        <f>LARGE(CHOOSE({1;2;3;4},G32,J32,M32,P32),1)+LARGE(CHOOSE({1;2;3;4},G32,J32,M32,P32),2)+LARGE(CHOOSE({1;2;3;4},G32,J32,M32,P32),3)</f>
        <v>16.450000000000003</v>
      </c>
      <c r="T32" s="7">
        <f>LARGE(CHOOSE({1;2;3;4},H32,K32,N32,Q32),1)+LARGE(CHOOSE({1;2;3;4},H32,K32,N32,Q32),2)+LARGE(CHOOSE({1;2;3;4},H32,K32,N32,Q32),3)</f>
        <v>22.85</v>
      </c>
      <c r="U32" s="4" cm="1">
        <f t="array" ref="U32">IF(VT[[#This Row],[Number_of_competition]:[Number_of_competition]]&gt;=3,(LARGE(CHOOSE({1;2;3;4},F32,I32,L32,O32),1)+LARGE(CHOOSE({1;2;3;4},F32,I32,L32,O32),2)+LARGE(CHOOSE({1;2;3;4},F32,I32,L32,O32),3))/3,0)</f>
        <v>0</v>
      </c>
      <c r="V32" s="7" cm="1">
        <f t="array" ref="V32">IF(VT[[#This Row],[Number_of_competition]:[Number_of_competition]]&gt;=3,(LARGE(CHOOSE({1;2;3;4},G32,J32,M32,P32),1)+LARGE(CHOOSE({1;2;3;4},G32,J32,M32,P32),2)+LARGE(CHOOSE({1;2;3;4},G32,J32,M32,P32),3))/3,0)</f>
        <v>0</v>
      </c>
      <c r="W32" s="7" cm="1">
        <f t="array" ref="W32">IF(VT[[#This Row],[Number_of_competition]:[Number_of_competition]]&gt;=3,(LARGE(CHOOSE({1;2;3;4},H32,K32,N32,Q32),1)+LARGE(CHOOSE({1;2;3;4},H32,K32,N32,Q32),2)+LARGE(CHOOSE({1;2;3;4},H32,K32,N32,Q32),3))/3,0)</f>
        <v>0</v>
      </c>
      <c r="Z32" s="48" t="s">
        <v>320</v>
      </c>
      <c r="AA32" s="47">
        <v>7</v>
      </c>
      <c r="AB32" s="47">
        <v>24</v>
      </c>
      <c r="AE32" s="43" t="s">
        <v>68</v>
      </c>
      <c r="AF32" s="43" t="s">
        <v>60</v>
      </c>
      <c r="AG32" s="43" t="s">
        <v>31</v>
      </c>
      <c r="AH32">
        <v>3</v>
      </c>
      <c r="AI32" t="s">
        <v>331</v>
      </c>
      <c r="AJ32" s="43" t="s">
        <v>268</v>
      </c>
      <c r="AK32">
        <v>12.8</v>
      </c>
    </row>
    <row r="33" spans="1:37" ht="21" x14ac:dyDescent="0.35">
      <c r="A33" t="s">
        <v>120</v>
      </c>
      <c r="B33" s="2" t="s">
        <v>26</v>
      </c>
      <c r="C33" s="2" t="s">
        <v>121</v>
      </c>
      <c r="D33" t="s">
        <v>39</v>
      </c>
      <c r="E33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33" s="4">
        <v>3.2</v>
      </c>
      <c r="G33" s="7">
        <v>9</v>
      </c>
      <c r="H33" s="7">
        <v>12.2</v>
      </c>
      <c r="I33" s="4">
        <v>0</v>
      </c>
      <c r="J33" s="7">
        <v>0</v>
      </c>
      <c r="K33" s="7">
        <v>0</v>
      </c>
      <c r="L33" s="4">
        <v>2.4</v>
      </c>
      <c r="M33" s="7">
        <v>7.8</v>
      </c>
      <c r="N33" s="7">
        <v>10.199999999999999</v>
      </c>
      <c r="O33" s="4">
        <v>0</v>
      </c>
      <c r="P33" s="7">
        <v>0</v>
      </c>
      <c r="Q33" s="7">
        <v>0</v>
      </c>
      <c r="R33" s="4">
        <f>LARGE(CHOOSE({1;2;3;4},F33,I33,L33,O33),1)+LARGE(CHOOSE({1;2;3;4},F33,I33,L33,O33),2)+LARGE(CHOOSE({1;2;3;4},F33,I33,L33,O33),3)</f>
        <v>5.6</v>
      </c>
      <c r="S33" s="7">
        <f>LARGE(CHOOSE({1;2;3;4},G33,J33,M33,P33),1)+LARGE(CHOOSE({1;2;3;4},G33,J33,M33,P33),2)+LARGE(CHOOSE({1;2;3;4},G33,J33,M33,P33),3)</f>
        <v>16.8</v>
      </c>
      <c r="T33" s="7">
        <f>LARGE(CHOOSE({1;2;3;4},H33,K33,N33,Q33),1)+LARGE(CHOOSE({1;2;3;4},H33,K33,N33,Q33),2)+LARGE(CHOOSE({1;2;3;4},H33,K33,N33,Q33),3)</f>
        <v>22.4</v>
      </c>
      <c r="U33" s="4" cm="1">
        <f t="array" ref="U33">IF(VT[[#This Row],[Number_of_competition]:[Number_of_competition]]&gt;=3,(LARGE(CHOOSE({1;2;3;4},F33,I33,L33,O33),1)+LARGE(CHOOSE({1;2;3;4},F33,I33,L33,O33),2)+LARGE(CHOOSE({1;2;3;4},F33,I33,L33,O33),3))/3,0)</f>
        <v>0</v>
      </c>
      <c r="V33" s="7" cm="1">
        <f t="array" ref="V33">IF(VT[[#This Row],[Number_of_competition]:[Number_of_competition]]&gt;=3,(LARGE(CHOOSE({1;2;3;4},G33,J33,M33,P33),1)+LARGE(CHOOSE({1;2;3;4},G33,J33,M33,P33),2)+LARGE(CHOOSE({1;2;3;4},G33,J33,M33,P33),3))/3,0)</f>
        <v>0</v>
      </c>
      <c r="W33" s="7" cm="1">
        <f t="array" ref="W33">IF(VT[[#This Row],[Number_of_competition]:[Number_of_competition]]&gt;=3,(LARGE(CHOOSE({1;2;3;4},H33,K33,N33,Q33),1)+LARGE(CHOOSE({1;2;3;4},H33,K33,N33,Q33),2)+LARGE(CHOOSE({1;2;3;4},H33,K33,N33,Q33),3))/3,0)</f>
        <v>0</v>
      </c>
      <c r="Z33" s="48" t="s">
        <v>321</v>
      </c>
      <c r="AA33" s="47"/>
      <c r="AB33" s="47">
        <v>4</v>
      </c>
      <c r="AE33" s="43" t="s">
        <v>68</v>
      </c>
      <c r="AF33" s="43" t="s">
        <v>60</v>
      </c>
      <c r="AG33" s="43" t="s">
        <v>31</v>
      </c>
      <c r="AH33">
        <v>3</v>
      </c>
      <c r="AI33" t="s">
        <v>341</v>
      </c>
      <c r="AJ33" s="43" t="s">
        <v>308</v>
      </c>
      <c r="AK33">
        <v>12</v>
      </c>
    </row>
    <row r="34" spans="1:37" ht="21" x14ac:dyDescent="0.35">
      <c r="A34" t="s">
        <v>118</v>
      </c>
      <c r="B34" s="2" t="s">
        <v>60</v>
      </c>
      <c r="C34" s="2" t="s">
        <v>119</v>
      </c>
      <c r="D34" t="s">
        <v>31</v>
      </c>
      <c r="E34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34" s="4">
        <v>0</v>
      </c>
      <c r="G34" s="7">
        <v>0</v>
      </c>
      <c r="H34" s="7">
        <v>0</v>
      </c>
      <c r="I34" s="4">
        <v>0</v>
      </c>
      <c r="J34" s="7">
        <v>0</v>
      </c>
      <c r="K34" s="7">
        <v>0</v>
      </c>
      <c r="L34" s="4">
        <v>4</v>
      </c>
      <c r="M34" s="7">
        <v>9.3000000000000007</v>
      </c>
      <c r="N34" s="7">
        <v>13.3</v>
      </c>
      <c r="O34" s="4">
        <v>0</v>
      </c>
      <c r="P34" s="7">
        <v>0</v>
      </c>
      <c r="Q34" s="7">
        <v>0</v>
      </c>
      <c r="R34" s="4">
        <f>LARGE(CHOOSE({1;2;3;4},F34,I34,L34,O34),1)+LARGE(CHOOSE({1;2;3;4},F34,I34,L34,O34),2)+LARGE(CHOOSE({1;2;3;4},F34,I34,L34,O34),3)</f>
        <v>4</v>
      </c>
      <c r="S34" s="7">
        <f>LARGE(CHOOSE({1;2;3;4},G34,J34,M34,P34),1)+LARGE(CHOOSE({1;2;3;4},G34,J34,M34,P34),2)+LARGE(CHOOSE({1;2;3;4},G34,J34,M34,P34),3)</f>
        <v>9.3000000000000007</v>
      </c>
      <c r="T34" s="7">
        <f>LARGE(CHOOSE({1;2;3;4},H34,K34,N34,Q34),1)+LARGE(CHOOSE({1;2;3;4},H34,K34,N34,Q34),2)+LARGE(CHOOSE({1;2;3;4},H34,K34,N34,Q34),3)</f>
        <v>13.3</v>
      </c>
      <c r="U34" s="4" cm="1">
        <f t="array" ref="U34">IF(VT[[#This Row],[Number_of_competition]:[Number_of_competition]]&gt;=3,(LARGE(CHOOSE({1;2;3;4},F34,I34,L34,O34),1)+LARGE(CHOOSE({1;2;3;4},F34,I34,L34,O34),2)+LARGE(CHOOSE({1;2;3;4},F34,I34,L34,O34),3))/3,0)</f>
        <v>0</v>
      </c>
      <c r="V34" s="7" cm="1">
        <f t="array" ref="V34">IF(VT[[#This Row],[Number_of_competition]:[Number_of_competition]]&gt;=3,(LARGE(CHOOSE({1;2;3;4},G34,J34,M34,P34),1)+LARGE(CHOOSE({1;2;3;4},G34,J34,M34,P34),2)+LARGE(CHOOSE({1;2;3;4},G34,J34,M34,P34),3))/3,0)</f>
        <v>0</v>
      </c>
      <c r="W34" s="7" cm="1">
        <f t="array" ref="W34">IF(VT[[#This Row],[Number_of_competition]:[Number_of_competition]]&gt;=3,(LARGE(CHOOSE({1;2;3;4},H34,K34,N34,Q34),1)+LARGE(CHOOSE({1;2;3;4},H34,K34,N34,Q34),2)+LARGE(CHOOSE({1;2;3;4},H34,K34,N34,Q34),3))/3,0)</f>
        <v>0</v>
      </c>
      <c r="Z34" s="48" t="s">
        <v>322</v>
      </c>
      <c r="AA34" s="47"/>
      <c r="AB34" s="47">
        <v>2</v>
      </c>
      <c r="AE34" s="43" t="s">
        <v>68</v>
      </c>
      <c r="AF34" s="43" t="s">
        <v>60</v>
      </c>
      <c r="AG34" s="43" t="s">
        <v>31</v>
      </c>
      <c r="AH34">
        <v>3</v>
      </c>
      <c r="AI34" t="s">
        <v>341</v>
      </c>
      <c r="AJ34" s="43" t="s">
        <v>309</v>
      </c>
      <c r="AK34">
        <v>27.75</v>
      </c>
    </row>
    <row r="35" spans="1:37" ht="21" x14ac:dyDescent="0.35">
      <c r="A35" t="s">
        <v>102</v>
      </c>
      <c r="B35" s="2" t="s">
        <v>60</v>
      </c>
      <c r="C35" s="2" t="s">
        <v>103</v>
      </c>
      <c r="D35" t="s">
        <v>31</v>
      </c>
      <c r="E35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35" s="4">
        <v>0</v>
      </c>
      <c r="G35" s="7">
        <v>0</v>
      </c>
      <c r="H35" s="7">
        <v>0</v>
      </c>
      <c r="I35" s="4">
        <v>4</v>
      </c>
      <c r="J35" s="7">
        <v>8.85</v>
      </c>
      <c r="K35" s="7">
        <v>12.85</v>
      </c>
      <c r="L35" s="4">
        <v>0</v>
      </c>
      <c r="M35" s="7">
        <v>0</v>
      </c>
      <c r="N35" s="7">
        <v>0</v>
      </c>
      <c r="O35" s="4">
        <v>0</v>
      </c>
      <c r="P35" s="7">
        <v>0</v>
      </c>
      <c r="Q35" s="7">
        <v>0</v>
      </c>
      <c r="R35" s="4">
        <f>LARGE(CHOOSE({1;2;3;4},F35,I35,L35,O35),1)+LARGE(CHOOSE({1;2;3;4},F35,I35,L35,O35),2)+LARGE(CHOOSE({1;2;3;4},F35,I35,L35,O35),3)</f>
        <v>4</v>
      </c>
      <c r="S35" s="7">
        <f>LARGE(CHOOSE({1;2;3;4},G35,J35,M35,P35),1)+LARGE(CHOOSE({1;2;3;4},G35,J35,M35,P35),2)+LARGE(CHOOSE({1;2;3;4},G35,J35,M35,P35),3)</f>
        <v>8.85</v>
      </c>
      <c r="T35" s="7">
        <f>LARGE(CHOOSE({1;2;3;4},H35,K35,N35,Q35),1)+LARGE(CHOOSE({1;2;3;4},H35,K35,N35,Q35),2)+LARGE(CHOOSE({1;2;3;4},H35,K35,N35,Q35),3)</f>
        <v>12.85</v>
      </c>
      <c r="U35" s="4" cm="1">
        <f t="array" ref="U35">IF(VT[[#This Row],[Number_of_competition]:[Number_of_competition]]&gt;=3,(LARGE(CHOOSE({1;2;3;4},F35,I35,L35,O35),1)+LARGE(CHOOSE({1;2;3;4},F35,I35,L35,O35),2)+LARGE(CHOOSE({1;2;3;4},F35,I35,L35,O35),3))/3,0)</f>
        <v>0</v>
      </c>
      <c r="V35" s="7" cm="1">
        <f t="array" ref="V35">IF(VT[[#This Row],[Number_of_competition]:[Number_of_competition]]&gt;=3,(LARGE(CHOOSE({1;2;3;4},G35,J35,M35,P35),1)+LARGE(CHOOSE({1;2;3;4},G35,J35,M35,P35),2)+LARGE(CHOOSE({1;2;3;4},G35,J35,M35,P35),3))/3,0)</f>
        <v>0</v>
      </c>
      <c r="W35" s="7" cm="1">
        <f t="array" ref="W35">IF(VT[[#This Row],[Number_of_competition]:[Number_of_competition]]&gt;=3,(LARGE(CHOOSE({1;2;3;4},H35,K35,N35,Q35),1)+LARGE(CHOOSE({1;2;3;4},H35,K35,N35,Q35),2)+LARGE(CHOOSE({1;2;3;4},H35,K35,N35,Q35),3))/3,0)</f>
        <v>0</v>
      </c>
      <c r="Z35" s="48" t="s">
        <v>323</v>
      </c>
      <c r="AA35" s="47"/>
      <c r="AB35" s="47">
        <v>6</v>
      </c>
      <c r="AE35" s="43" t="s">
        <v>68</v>
      </c>
      <c r="AF35" s="43" t="s">
        <v>60</v>
      </c>
      <c r="AG35" s="43" t="s">
        <v>31</v>
      </c>
      <c r="AH35">
        <v>3</v>
      </c>
      <c r="AI35" t="s">
        <v>341</v>
      </c>
      <c r="AJ35" s="43" t="s">
        <v>268</v>
      </c>
      <c r="AK35">
        <v>39.75</v>
      </c>
    </row>
    <row r="36" spans="1:37" ht="21" x14ac:dyDescent="0.35">
      <c r="A36" t="s">
        <v>142</v>
      </c>
      <c r="B36" s="2" t="s">
        <v>60</v>
      </c>
      <c r="C36" s="2" t="s">
        <v>143</v>
      </c>
      <c r="D36" t="s">
        <v>62</v>
      </c>
      <c r="E36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36" s="4">
        <v>3.2</v>
      </c>
      <c r="G36" s="7">
        <v>9.5</v>
      </c>
      <c r="H36" s="7">
        <v>12.7</v>
      </c>
      <c r="I36" s="4">
        <v>0</v>
      </c>
      <c r="J36" s="7">
        <v>0</v>
      </c>
      <c r="K36" s="7">
        <v>0</v>
      </c>
      <c r="L36" s="4">
        <v>0</v>
      </c>
      <c r="M36" s="7">
        <v>0</v>
      </c>
      <c r="N36" s="7">
        <v>0</v>
      </c>
      <c r="O36" s="4">
        <v>0</v>
      </c>
      <c r="P36" s="7">
        <v>0</v>
      </c>
      <c r="Q36" s="7">
        <v>0</v>
      </c>
      <c r="R36" s="4">
        <f>LARGE(CHOOSE({1;2;3;4},F36,I36,L36,O36),1)+LARGE(CHOOSE({1;2;3;4},F36,I36,L36,O36),2)+LARGE(CHOOSE({1;2;3;4},F36,I36,L36,O36),3)</f>
        <v>3.2</v>
      </c>
      <c r="S36" s="7">
        <f>LARGE(CHOOSE({1;2;3;4},G36,J36,M36,P36),1)+LARGE(CHOOSE({1;2;3;4},G36,J36,M36,P36),2)+LARGE(CHOOSE({1;2;3;4},G36,J36,M36,P36),3)</f>
        <v>9.5</v>
      </c>
      <c r="T36" s="7">
        <f>LARGE(CHOOSE({1;2;3;4},H36,K36,N36,Q36),1)+LARGE(CHOOSE({1;2;3;4},H36,K36,N36,Q36),2)+LARGE(CHOOSE({1;2;3;4},H36,K36,N36,Q36),3)</f>
        <v>12.7</v>
      </c>
      <c r="U36" s="4" cm="1">
        <f t="array" ref="U36">IF(VT[[#This Row],[Number_of_competition]:[Number_of_competition]]&gt;=3,(LARGE(CHOOSE({1;2;3;4},F36,I36,L36,O36),1)+LARGE(CHOOSE({1;2;3;4},F36,I36,L36,O36),2)+LARGE(CHOOSE({1;2;3;4},F36,I36,L36,O36),3))/3,0)</f>
        <v>0</v>
      </c>
      <c r="V36" s="7" cm="1">
        <f t="array" ref="V36">IF(VT[[#This Row],[Number_of_competition]:[Number_of_competition]]&gt;=3,(LARGE(CHOOSE({1;2;3;4},G36,J36,M36,P36),1)+LARGE(CHOOSE({1;2;3;4},G36,J36,M36,P36),2)+LARGE(CHOOSE({1;2;3;4},G36,J36,M36,P36),3))/3,0)</f>
        <v>0</v>
      </c>
      <c r="W36" s="7" cm="1">
        <f t="array" ref="W36">IF(VT[[#This Row],[Number_of_competition]:[Number_of_competition]]&gt;=3,(LARGE(CHOOSE({1;2;3;4},H36,K36,N36,Q36),1)+LARGE(CHOOSE({1;2;3;4},H36,K36,N36,Q36),2)+LARGE(CHOOSE({1;2;3;4},H36,K36,N36,Q36),3))/3,0)</f>
        <v>0</v>
      </c>
      <c r="AE36" s="43" t="s">
        <v>68</v>
      </c>
      <c r="AF36" s="43" t="s">
        <v>60</v>
      </c>
      <c r="AG36" s="43" t="s">
        <v>31</v>
      </c>
      <c r="AH36">
        <v>3</v>
      </c>
      <c r="AI36" t="s">
        <v>273</v>
      </c>
      <c r="AJ36" s="43" t="s">
        <v>308</v>
      </c>
      <c r="AK36">
        <v>4</v>
      </c>
    </row>
    <row r="37" spans="1:37" ht="21" x14ac:dyDescent="0.35">
      <c r="A37" t="s">
        <v>104</v>
      </c>
      <c r="B37" s="2" t="s">
        <v>60</v>
      </c>
      <c r="C37" s="2" t="s">
        <v>105</v>
      </c>
      <c r="D37" t="s">
        <v>28</v>
      </c>
      <c r="E37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37" s="4">
        <v>0</v>
      </c>
      <c r="G37" s="7">
        <v>0</v>
      </c>
      <c r="H37" s="7">
        <v>0</v>
      </c>
      <c r="I37" s="4">
        <v>3.2</v>
      </c>
      <c r="J37" s="7">
        <v>8.8000000000000007</v>
      </c>
      <c r="K37" s="7">
        <v>12</v>
      </c>
      <c r="L37" s="4">
        <v>0</v>
      </c>
      <c r="M37" s="7">
        <v>0</v>
      </c>
      <c r="N37" s="7">
        <v>0</v>
      </c>
      <c r="O37" s="4">
        <v>0</v>
      </c>
      <c r="P37" s="7">
        <v>0</v>
      </c>
      <c r="Q37" s="7">
        <v>0</v>
      </c>
      <c r="R37" s="4">
        <f>LARGE(CHOOSE({1;2;3;4},F37,I37,L37,O37),1)+LARGE(CHOOSE({1;2;3;4},F37,I37,L37,O37),2)+LARGE(CHOOSE({1;2;3;4},F37,I37,L37,O37),3)</f>
        <v>3.2</v>
      </c>
      <c r="S37" s="7">
        <f>LARGE(CHOOSE({1;2;3;4},G37,J37,M37,P37),1)+LARGE(CHOOSE({1;2;3;4},G37,J37,M37,P37),2)+LARGE(CHOOSE({1;2;3;4},G37,J37,M37,P37),3)</f>
        <v>8.8000000000000007</v>
      </c>
      <c r="T37" s="7">
        <f>LARGE(CHOOSE({1;2;3;4},H37,K37,N37,Q37),1)+LARGE(CHOOSE({1;2;3;4},H37,K37,N37,Q37),2)+LARGE(CHOOSE({1;2;3;4},H37,K37,N37,Q37),3)</f>
        <v>12</v>
      </c>
      <c r="U37" s="4" cm="1">
        <f t="array" ref="U37">IF(VT[[#This Row],[Number_of_competition]:[Number_of_competition]]&gt;=3,(LARGE(CHOOSE({1;2;3;4},F37,I37,L37,O37),1)+LARGE(CHOOSE({1;2;3;4},F37,I37,L37,O37),2)+LARGE(CHOOSE({1;2;3;4},F37,I37,L37,O37),3))/3,0)</f>
        <v>0</v>
      </c>
      <c r="V37" s="7" cm="1">
        <f t="array" ref="V37">IF(VT[[#This Row],[Number_of_competition]:[Number_of_competition]]&gt;=3,(LARGE(CHOOSE({1;2;3;4},G37,J37,M37,P37),1)+LARGE(CHOOSE({1;2;3;4},G37,J37,M37,P37),2)+LARGE(CHOOSE({1;2;3;4},G37,J37,M37,P37),3))/3,0)</f>
        <v>0</v>
      </c>
      <c r="W37" s="7" cm="1">
        <f t="array" ref="W37">IF(VT[[#This Row],[Number_of_competition]:[Number_of_competition]]&gt;=3,(LARGE(CHOOSE({1;2;3;4},H37,K37,N37,Q37),1)+LARGE(CHOOSE({1;2;3;4},H37,K37,N37,Q37),2)+LARGE(CHOOSE({1;2;3;4},H37,K37,N37,Q37),3))/3,0)</f>
        <v>0</v>
      </c>
      <c r="AE37" s="43" t="s">
        <v>68</v>
      </c>
      <c r="AF37" s="43" t="s">
        <v>60</v>
      </c>
      <c r="AG37" s="43" t="s">
        <v>31</v>
      </c>
      <c r="AH37">
        <v>3</v>
      </c>
      <c r="AI37" t="s">
        <v>273</v>
      </c>
      <c r="AJ37" s="43" t="s">
        <v>309</v>
      </c>
      <c r="AK37">
        <v>9.25</v>
      </c>
    </row>
    <row r="38" spans="1:37" ht="21" x14ac:dyDescent="0.35">
      <c r="A38" t="s">
        <v>125</v>
      </c>
      <c r="B38" s="2" t="s">
        <v>26</v>
      </c>
      <c r="C38" s="2" t="s">
        <v>126</v>
      </c>
      <c r="D38" t="s">
        <v>67</v>
      </c>
      <c r="E38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38" s="4">
        <v>0</v>
      </c>
      <c r="G38" s="7">
        <v>0</v>
      </c>
      <c r="H38" s="7">
        <v>0</v>
      </c>
      <c r="I38" s="4">
        <v>0</v>
      </c>
      <c r="J38" s="7">
        <v>0</v>
      </c>
      <c r="K38" s="7">
        <v>0</v>
      </c>
      <c r="L38" s="4">
        <v>3.2</v>
      </c>
      <c r="M38" s="7">
        <v>8.1999999999999993</v>
      </c>
      <c r="N38" s="7">
        <v>11.4</v>
      </c>
      <c r="O38" s="4">
        <v>0</v>
      </c>
      <c r="P38" s="7">
        <v>0</v>
      </c>
      <c r="Q38" s="7">
        <v>0</v>
      </c>
      <c r="R38" s="4">
        <f>LARGE(CHOOSE({1;2;3;4},F38,I38,L38,O38),1)+LARGE(CHOOSE({1;2;3;4},F38,I38,L38,O38),2)+LARGE(CHOOSE({1;2;3;4},F38,I38,L38,O38),3)</f>
        <v>3.2</v>
      </c>
      <c r="S38" s="7">
        <f>LARGE(CHOOSE({1;2;3;4},G38,J38,M38,P38),1)+LARGE(CHOOSE({1;2;3;4},G38,J38,M38,P38),2)+LARGE(CHOOSE({1;2;3;4},G38,J38,M38,P38),3)</f>
        <v>8.1999999999999993</v>
      </c>
      <c r="T38" s="7">
        <f>LARGE(CHOOSE({1;2;3;4},H38,K38,N38,Q38),1)+LARGE(CHOOSE({1;2;3;4},H38,K38,N38,Q38),2)+LARGE(CHOOSE({1;2;3;4},H38,K38,N38,Q38),3)</f>
        <v>11.4</v>
      </c>
      <c r="U38" s="4" cm="1">
        <f t="array" ref="U38">IF(VT[[#This Row],[Number_of_competition]:[Number_of_competition]]&gt;=3,(LARGE(CHOOSE({1;2;3;4},F38,I38,L38,O38),1)+LARGE(CHOOSE({1;2;3;4},F38,I38,L38,O38),2)+LARGE(CHOOSE({1;2;3;4},F38,I38,L38,O38),3))/3,0)</f>
        <v>0</v>
      </c>
      <c r="V38" s="7" cm="1">
        <f t="array" ref="V38">IF(VT[[#This Row],[Number_of_competition]:[Number_of_competition]]&gt;=3,(LARGE(CHOOSE({1;2;3;4},G38,J38,M38,P38),1)+LARGE(CHOOSE({1;2;3;4},G38,J38,M38,P38),2)+LARGE(CHOOSE({1;2;3;4},G38,J38,M38,P38),3))/3,0)</f>
        <v>0</v>
      </c>
      <c r="W38" s="7" cm="1">
        <f t="array" ref="W38">IF(VT[[#This Row],[Number_of_competition]:[Number_of_competition]]&gt;=3,(LARGE(CHOOSE({1;2;3;4},H38,K38,N38,Q38),1)+LARGE(CHOOSE({1;2;3;4},H38,K38,N38,Q38),2)+LARGE(CHOOSE({1;2;3;4},H38,K38,N38,Q38),3))/3,0)</f>
        <v>0</v>
      </c>
      <c r="AE38" s="43" t="s">
        <v>68</v>
      </c>
      <c r="AF38" s="43" t="s">
        <v>60</v>
      </c>
      <c r="AG38" s="43" t="s">
        <v>31</v>
      </c>
      <c r="AH38">
        <v>3</v>
      </c>
      <c r="AI38" t="s">
        <v>273</v>
      </c>
      <c r="AJ38" s="43" t="s">
        <v>268</v>
      </c>
      <c r="AK38">
        <v>13.25</v>
      </c>
    </row>
    <row r="39" spans="1:37" ht="21" x14ac:dyDescent="0.35">
      <c r="A39" t="s">
        <v>129</v>
      </c>
      <c r="B39" s="2" t="s">
        <v>60</v>
      </c>
      <c r="C39" s="2" t="s">
        <v>130</v>
      </c>
      <c r="D39" t="s">
        <v>72</v>
      </c>
      <c r="E39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39" s="4">
        <v>0</v>
      </c>
      <c r="G39" s="7">
        <v>0</v>
      </c>
      <c r="H39" s="7">
        <v>0</v>
      </c>
      <c r="I39" s="4">
        <v>0</v>
      </c>
      <c r="J39" s="7">
        <v>0</v>
      </c>
      <c r="K39" s="7">
        <v>0</v>
      </c>
      <c r="L39" s="4">
        <v>2.8</v>
      </c>
      <c r="M39" s="7">
        <v>8.5500000000000007</v>
      </c>
      <c r="N39" s="7">
        <v>11.35</v>
      </c>
      <c r="O39" s="4">
        <v>0</v>
      </c>
      <c r="P39" s="7">
        <v>0</v>
      </c>
      <c r="Q39" s="7">
        <v>0</v>
      </c>
      <c r="R39" s="4">
        <f>LARGE(CHOOSE({1;2;3;4},F39,I39,L39,O39),1)+LARGE(CHOOSE({1;2;3;4},F39,I39,L39,O39),2)+LARGE(CHOOSE({1;2;3;4},F39,I39,L39,O39),3)</f>
        <v>2.8</v>
      </c>
      <c r="S39" s="7">
        <f>LARGE(CHOOSE({1;2;3;4},G39,J39,M39,P39),1)+LARGE(CHOOSE({1;2;3;4},G39,J39,M39,P39),2)+LARGE(CHOOSE({1;2;3;4},G39,J39,M39,P39),3)</f>
        <v>8.5500000000000007</v>
      </c>
      <c r="T39" s="7">
        <f>LARGE(CHOOSE({1;2;3;4},H39,K39,N39,Q39),1)+LARGE(CHOOSE({1;2;3;4},H39,K39,N39,Q39),2)+LARGE(CHOOSE({1;2;3;4},H39,K39,N39,Q39),3)</f>
        <v>11.35</v>
      </c>
      <c r="U39" s="4" cm="1">
        <f t="array" ref="U39">IF(VT[[#This Row],[Number_of_competition]:[Number_of_competition]]&gt;=3,(LARGE(CHOOSE({1;2;3;4},F39,I39,L39,O39),1)+LARGE(CHOOSE({1;2;3;4},F39,I39,L39,O39),2)+LARGE(CHOOSE({1;2;3;4},F39,I39,L39,O39),3))/3,0)</f>
        <v>0</v>
      </c>
      <c r="V39" s="7" cm="1">
        <f t="array" ref="V39">IF(VT[[#This Row],[Number_of_competition]:[Number_of_competition]]&gt;=3,(LARGE(CHOOSE({1;2;3;4},G39,J39,M39,P39),1)+LARGE(CHOOSE({1;2;3;4},G39,J39,M39,P39),2)+LARGE(CHOOSE({1;2;3;4},G39,J39,M39,P39),3))/3,0)</f>
        <v>0</v>
      </c>
      <c r="W39" s="7" cm="1">
        <f t="array" ref="W39">IF(VT[[#This Row],[Number_of_competition]:[Number_of_competition]]&gt;=3,(LARGE(CHOOSE({1;2;3;4},H39,K39,N39,Q39),1)+LARGE(CHOOSE({1;2;3;4},H39,K39,N39,Q39),2)+LARGE(CHOOSE({1;2;3;4},H39,K39,N39,Q39),3))/3,0)</f>
        <v>0</v>
      </c>
      <c r="AE39" s="43" t="s">
        <v>59</v>
      </c>
      <c r="AF39" s="43" t="s">
        <v>60</v>
      </c>
      <c r="AG39" s="43" t="s">
        <v>62</v>
      </c>
      <c r="AH39">
        <v>3</v>
      </c>
      <c r="AI39" t="s">
        <v>317</v>
      </c>
      <c r="AJ39" s="43" t="s">
        <v>308</v>
      </c>
      <c r="AK39">
        <v>0</v>
      </c>
    </row>
    <row r="40" spans="1:37" ht="21" x14ac:dyDescent="0.35">
      <c r="A40" t="s">
        <v>132</v>
      </c>
      <c r="B40" s="2" t="s">
        <v>26</v>
      </c>
      <c r="C40" s="2" t="s">
        <v>133</v>
      </c>
      <c r="D40" t="s">
        <v>39</v>
      </c>
      <c r="E40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40" s="4">
        <v>2.2000000000000002</v>
      </c>
      <c r="G40" s="7">
        <v>9.1</v>
      </c>
      <c r="H40" s="7">
        <v>11.3</v>
      </c>
      <c r="I40" s="4">
        <v>0</v>
      </c>
      <c r="J40" s="7">
        <v>0</v>
      </c>
      <c r="K40" s="7">
        <v>0</v>
      </c>
      <c r="L40" s="4">
        <v>0</v>
      </c>
      <c r="M40" s="7">
        <v>0</v>
      </c>
      <c r="N40" s="7">
        <v>0</v>
      </c>
      <c r="O40" s="4">
        <v>0</v>
      </c>
      <c r="P40" s="7">
        <v>0</v>
      </c>
      <c r="Q40" s="7">
        <v>0</v>
      </c>
      <c r="R40" s="4">
        <f>LARGE(CHOOSE({1;2;3;4},F40,I40,L40,O40),1)+LARGE(CHOOSE({1;2;3;4},F40,I40,L40,O40),2)+LARGE(CHOOSE({1;2;3;4},F40,I40,L40,O40),3)</f>
        <v>2.2000000000000002</v>
      </c>
      <c r="S40" s="7">
        <f>LARGE(CHOOSE({1;2;3;4},G40,J40,M40,P40),1)+LARGE(CHOOSE({1;2;3;4},G40,J40,M40,P40),2)+LARGE(CHOOSE({1;2;3;4},G40,J40,M40,P40),3)</f>
        <v>9.1</v>
      </c>
      <c r="T40" s="7">
        <f>LARGE(CHOOSE({1;2;3;4},H40,K40,N40,Q40),1)+LARGE(CHOOSE({1;2;3;4},H40,K40,N40,Q40),2)+LARGE(CHOOSE({1;2;3;4},H40,K40,N40,Q40),3)</f>
        <v>11.3</v>
      </c>
      <c r="U40" s="4" cm="1">
        <f t="array" ref="U40">IF(VT[[#This Row],[Number_of_competition]:[Number_of_competition]]&gt;=3,(LARGE(CHOOSE({1;2;3;4},F40,I40,L40,O40),1)+LARGE(CHOOSE({1;2;3;4},F40,I40,L40,O40),2)+LARGE(CHOOSE({1;2;3;4},F40,I40,L40,O40),3))/3,0)</f>
        <v>0</v>
      </c>
      <c r="V40" s="7" cm="1">
        <f t="array" ref="V40">IF(VT[[#This Row],[Number_of_competition]:[Number_of_competition]]&gt;=3,(LARGE(CHOOSE({1;2;3;4},G40,J40,M40,P40),1)+LARGE(CHOOSE({1;2;3;4},G40,J40,M40,P40),2)+LARGE(CHOOSE({1;2;3;4},G40,J40,M40,P40),3))/3,0)</f>
        <v>0</v>
      </c>
      <c r="W40" s="7" cm="1">
        <f t="array" ref="W40">IF(VT[[#This Row],[Number_of_competition]:[Number_of_competition]]&gt;=3,(LARGE(CHOOSE({1;2;3;4},H40,K40,N40,Q40),1)+LARGE(CHOOSE({1;2;3;4},H40,K40,N40,Q40),2)+LARGE(CHOOSE({1;2;3;4},H40,K40,N40,Q40),3))/3,0)</f>
        <v>0</v>
      </c>
      <c r="AE40" s="43" t="s">
        <v>59</v>
      </c>
      <c r="AF40" s="43" t="s">
        <v>60</v>
      </c>
      <c r="AG40" s="43" t="s">
        <v>62</v>
      </c>
      <c r="AH40">
        <v>3</v>
      </c>
      <c r="AI40" t="s">
        <v>317</v>
      </c>
      <c r="AJ40" s="43" t="s">
        <v>309</v>
      </c>
      <c r="AK40">
        <v>0</v>
      </c>
    </row>
    <row r="41" spans="1:37" ht="21" x14ac:dyDescent="0.35">
      <c r="A41" t="s">
        <v>100</v>
      </c>
      <c r="B41" s="2" t="s">
        <v>60</v>
      </c>
      <c r="C41" s="2" t="s">
        <v>101</v>
      </c>
      <c r="D41" t="s">
        <v>31</v>
      </c>
      <c r="E41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41" s="4">
        <v>3.2</v>
      </c>
      <c r="G41" s="7">
        <v>7.8</v>
      </c>
      <c r="H41" s="7">
        <v>11</v>
      </c>
      <c r="I41" s="4">
        <v>0</v>
      </c>
      <c r="J41" s="7">
        <v>0</v>
      </c>
      <c r="K41" s="7">
        <v>0</v>
      </c>
      <c r="L41" s="4">
        <v>0</v>
      </c>
      <c r="M41" s="7">
        <v>0</v>
      </c>
      <c r="N41" s="7">
        <v>0</v>
      </c>
      <c r="O41" s="4">
        <v>0</v>
      </c>
      <c r="P41" s="7">
        <v>0</v>
      </c>
      <c r="Q41" s="7">
        <v>0</v>
      </c>
      <c r="R41" s="4">
        <f>LARGE(CHOOSE({1;2;3;4},F41,I41,L41,O41),1)+LARGE(CHOOSE({1;2;3;4},F41,I41,L41,O41),2)+LARGE(CHOOSE({1;2;3;4},F41,I41,L41,O41),3)</f>
        <v>3.2</v>
      </c>
      <c r="S41" s="7">
        <f>LARGE(CHOOSE({1;2;3;4},G41,J41,M41,P41),1)+LARGE(CHOOSE({1;2;3;4},G41,J41,M41,P41),2)+LARGE(CHOOSE({1;2;3;4},G41,J41,M41,P41),3)</f>
        <v>7.8</v>
      </c>
      <c r="T41" s="7">
        <f>LARGE(CHOOSE({1;2;3;4},H41,K41,N41,Q41),1)+LARGE(CHOOSE({1;2;3;4},H41,K41,N41,Q41),2)+LARGE(CHOOSE({1;2;3;4},H41,K41,N41,Q41),3)</f>
        <v>11</v>
      </c>
      <c r="U41" s="4" cm="1">
        <f t="array" ref="U41">IF(VT[[#This Row],[Number_of_competition]:[Number_of_competition]]&gt;=3,(LARGE(CHOOSE({1;2;3;4},F41,I41,L41,O41),1)+LARGE(CHOOSE({1;2;3;4},F41,I41,L41,O41),2)+LARGE(CHOOSE({1;2;3;4},F41,I41,L41,O41),3))/3,0)</f>
        <v>0</v>
      </c>
      <c r="V41" s="7" cm="1">
        <f t="array" ref="V41">IF(VT[[#This Row],[Number_of_competition]:[Number_of_competition]]&gt;=3,(LARGE(CHOOSE({1;2;3;4},G41,J41,M41,P41),1)+LARGE(CHOOSE({1;2;3;4},G41,J41,M41,P41),2)+LARGE(CHOOSE({1;2;3;4},G41,J41,M41,P41),3))/3,0)</f>
        <v>0</v>
      </c>
      <c r="W41" s="7" cm="1">
        <f t="array" ref="W41">IF(VT[[#This Row],[Number_of_competition]:[Number_of_competition]]&gt;=3,(LARGE(CHOOSE({1;2;3;4},H41,K41,N41,Q41),1)+LARGE(CHOOSE({1;2;3;4},H41,K41,N41,Q41),2)+LARGE(CHOOSE({1;2;3;4},H41,K41,N41,Q41),3))/3,0)</f>
        <v>0</v>
      </c>
      <c r="AE41" s="43" t="s">
        <v>59</v>
      </c>
      <c r="AF41" s="43" t="s">
        <v>60</v>
      </c>
      <c r="AG41" s="43" t="s">
        <v>62</v>
      </c>
      <c r="AH41">
        <v>3</v>
      </c>
      <c r="AI41" t="s">
        <v>317</v>
      </c>
      <c r="AJ41" s="43" t="s">
        <v>268</v>
      </c>
      <c r="AK41">
        <v>0</v>
      </c>
    </row>
    <row r="42" spans="1:37" ht="21" x14ac:dyDescent="0.35">
      <c r="A42" t="s">
        <v>122</v>
      </c>
      <c r="B42" s="2" t="s">
        <v>26</v>
      </c>
      <c r="C42" s="2" t="s">
        <v>123</v>
      </c>
      <c r="D42" t="s">
        <v>124</v>
      </c>
      <c r="E42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42" s="4">
        <v>0</v>
      </c>
      <c r="G42" s="7">
        <v>0</v>
      </c>
      <c r="H42" s="7">
        <v>0</v>
      </c>
      <c r="I42" s="4">
        <v>0</v>
      </c>
      <c r="J42" s="7">
        <v>0</v>
      </c>
      <c r="K42" s="7">
        <v>0</v>
      </c>
      <c r="L42" s="4">
        <v>2.2000000000000002</v>
      </c>
      <c r="M42" s="7">
        <v>8.8000000000000007</v>
      </c>
      <c r="N42" s="7">
        <v>11</v>
      </c>
      <c r="O42" s="4">
        <v>0</v>
      </c>
      <c r="P42" s="7">
        <v>0</v>
      </c>
      <c r="Q42" s="7">
        <v>0</v>
      </c>
      <c r="R42" s="4">
        <f>LARGE(CHOOSE({1;2;3;4},F42,I42,L42,O42),1)+LARGE(CHOOSE({1;2;3;4},F42,I42,L42,O42),2)+LARGE(CHOOSE({1;2;3;4},F42,I42,L42,O42),3)</f>
        <v>2.2000000000000002</v>
      </c>
      <c r="S42" s="7">
        <f>LARGE(CHOOSE({1;2;3;4},G42,J42,M42,P42),1)+LARGE(CHOOSE({1;2;3;4},G42,J42,M42,P42),2)+LARGE(CHOOSE({1;2;3;4},G42,J42,M42,P42),3)</f>
        <v>8.8000000000000007</v>
      </c>
      <c r="T42" s="7">
        <f>LARGE(CHOOSE({1;2;3;4},H42,K42,N42,Q42),1)+LARGE(CHOOSE({1;2;3;4},H42,K42,N42,Q42),2)+LARGE(CHOOSE({1;2;3;4},H42,K42,N42,Q42),3)</f>
        <v>11</v>
      </c>
      <c r="U42" s="4" cm="1">
        <f t="array" ref="U42">IF(VT[[#This Row],[Number_of_competition]:[Number_of_competition]]&gt;=3,(LARGE(CHOOSE({1;2;3;4},F42,I42,L42,O42),1)+LARGE(CHOOSE({1;2;3;4},F42,I42,L42,O42),2)+LARGE(CHOOSE({1;2;3;4},F42,I42,L42,O42),3))/3,0)</f>
        <v>0</v>
      </c>
      <c r="V42" s="7" cm="1">
        <f t="array" ref="V42">IF(VT[[#This Row],[Number_of_competition]:[Number_of_competition]]&gt;=3,(LARGE(CHOOSE({1;2;3;4},G42,J42,M42,P42),1)+LARGE(CHOOSE({1;2;3;4},G42,J42,M42,P42),2)+LARGE(CHOOSE({1;2;3;4},G42,J42,M42,P42),3))/3,0)</f>
        <v>0</v>
      </c>
      <c r="W42" s="7" cm="1">
        <f t="array" ref="W42">IF(VT[[#This Row],[Number_of_competition]:[Number_of_competition]]&gt;=3,(LARGE(CHOOSE({1;2;3;4},H42,K42,N42,Q42),1)+LARGE(CHOOSE({1;2;3;4},H42,K42,N42,Q42),2)+LARGE(CHOOSE({1;2;3;4},H42,K42,N42,Q42),3))/3,0)</f>
        <v>0</v>
      </c>
      <c r="AE42" s="43" t="s">
        <v>59</v>
      </c>
      <c r="AF42" s="43" t="s">
        <v>60</v>
      </c>
      <c r="AG42" s="43" t="s">
        <v>62</v>
      </c>
      <c r="AH42">
        <v>3</v>
      </c>
      <c r="AI42" t="s">
        <v>325</v>
      </c>
      <c r="AJ42" s="43" t="s">
        <v>308</v>
      </c>
      <c r="AK42">
        <v>4.4000000000000004</v>
      </c>
    </row>
    <row r="43" spans="1:37" ht="21" x14ac:dyDescent="0.35">
      <c r="A43" t="s">
        <v>137</v>
      </c>
      <c r="B43" s="2" t="s">
        <v>26</v>
      </c>
      <c r="C43" s="2" t="s">
        <v>138</v>
      </c>
      <c r="D43" t="s">
        <v>124</v>
      </c>
      <c r="E43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43" s="4">
        <v>1.6</v>
      </c>
      <c r="G43" s="7">
        <v>9</v>
      </c>
      <c r="H43" s="7">
        <v>10.6</v>
      </c>
      <c r="I43" s="4">
        <v>0</v>
      </c>
      <c r="J43" s="7">
        <v>0</v>
      </c>
      <c r="K43" s="7">
        <v>0</v>
      </c>
      <c r="L43" s="4">
        <v>0</v>
      </c>
      <c r="M43" s="7">
        <v>0</v>
      </c>
      <c r="N43" s="7">
        <v>0</v>
      </c>
      <c r="O43" s="4">
        <v>0</v>
      </c>
      <c r="P43" s="7">
        <v>0</v>
      </c>
      <c r="Q43" s="7">
        <v>0</v>
      </c>
      <c r="R43" s="4">
        <f>LARGE(CHOOSE({1;2;3;4},F43,I43,L43,O43),1)+LARGE(CHOOSE({1;2;3;4},F43,I43,L43,O43),2)+LARGE(CHOOSE({1;2;3;4},F43,I43,L43,O43),3)</f>
        <v>1.6</v>
      </c>
      <c r="S43" s="7">
        <f>LARGE(CHOOSE({1;2;3;4},G43,J43,M43,P43),1)+LARGE(CHOOSE({1;2;3;4},G43,J43,M43,P43),2)+LARGE(CHOOSE({1;2;3;4},G43,J43,M43,P43),3)</f>
        <v>9</v>
      </c>
      <c r="T43" s="7">
        <f>LARGE(CHOOSE({1;2;3;4},H43,K43,N43,Q43),1)+LARGE(CHOOSE({1;2;3;4},H43,K43,N43,Q43),2)+LARGE(CHOOSE({1;2;3;4},H43,K43,N43,Q43),3)</f>
        <v>10.6</v>
      </c>
      <c r="U43" s="4" cm="1">
        <f t="array" ref="U43">IF(VT[[#This Row],[Number_of_competition]:[Number_of_competition]]&gt;=3,(LARGE(CHOOSE({1;2;3;4},F43,I43,L43,O43),1)+LARGE(CHOOSE({1;2;3;4},F43,I43,L43,O43),2)+LARGE(CHOOSE({1;2;3;4},F43,I43,L43,O43),3))/3,0)</f>
        <v>0</v>
      </c>
      <c r="V43" s="7" cm="1">
        <f t="array" ref="V43">IF(VT[[#This Row],[Number_of_competition]:[Number_of_competition]]&gt;=3,(LARGE(CHOOSE({1;2;3;4},G43,J43,M43,P43),1)+LARGE(CHOOSE({1;2;3;4},G43,J43,M43,P43),2)+LARGE(CHOOSE({1;2;3;4},G43,J43,M43,P43),3))/3,0)</f>
        <v>0</v>
      </c>
      <c r="W43" s="7" cm="1">
        <f t="array" ref="W43">IF(VT[[#This Row],[Number_of_competition]:[Number_of_competition]]&gt;=3,(LARGE(CHOOSE({1;2;3;4},H43,K43,N43,Q43),1)+LARGE(CHOOSE({1;2;3;4},H43,K43,N43,Q43),2)+LARGE(CHOOSE({1;2;3;4},H43,K43,N43,Q43),3))/3,0)</f>
        <v>0</v>
      </c>
      <c r="AE43" s="43" t="s">
        <v>59</v>
      </c>
      <c r="AF43" s="43" t="s">
        <v>60</v>
      </c>
      <c r="AG43" s="43" t="s">
        <v>62</v>
      </c>
      <c r="AH43">
        <v>3</v>
      </c>
      <c r="AI43" t="s">
        <v>325</v>
      </c>
      <c r="AJ43" s="43" t="s">
        <v>309</v>
      </c>
      <c r="AK43">
        <v>9.1</v>
      </c>
    </row>
    <row r="44" spans="1:37" ht="21" x14ac:dyDescent="0.35">
      <c r="A44" t="s">
        <v>88</v>
      </c>
      <c r="B44" s="2" t="s">
        <v>60</v>
      </c>
      <c r="C44" s="2" t="s">
        <v>89</v>
      </c>
      <c r="D44" t="s">
        <v>36</v>
      </c>
      <c r="E44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44" s="4">
        <v>0</v>
      </c>
      <c r="G44" s="7">
        <v>0</v>
      </c>
      <c r="H44" s="7">
        <v>0</v>
      </c>
      <c r="I44" s="4">
        <v>0</v>
      </c>
      <c r="J44" s="7">
        <v>0</v>
      </c>
      <c r="K44" s="7">
        <v>0</v>
      </c>
      <c r="L44" s="4">
        <v>0</v>
      </c>
      <c r="M44" s="7">
        <v>0</v>
      </c>
      <c r="N44" s="7">
        <v>0</v>
      </c>
      <c r="O44" s="4">
        <v>2.4</v>
      </c>
      <c r="P44" s="7">
        <v>8</v>
      </c>
      <c r="Q44" s="7">
        <v>10.4</v>
      </c>
      <c r="R44" s="4">
        <f>LARGE(CHOOSE({1;2;3;4},F44,I44,L44,O44),1)+LARGE(CHOOSE({1;2;3;4},F44,I44,L44,O44),2)+LARGE(CHOOSE({1;2;3;4},F44,I44,L44,O44),3)</f>
        <v>2.4</v>
      </c>
      <c r="S44" s="7">
        <f>LARGE(CHOOSE({1;2;3;4},G44,J44,M44,P44),1)+LARGE(CHOOSE({1;2;3;4},G44,J44,M44,P44),2)+LARGE(CHOOSE({1;2;3;4},G44,J44,M44,P44),3)</f>
        <v>8</v>
      </c>
      <c r="T44" s="7">
        <f>LARGE(CHOOSE({1;2;3;4},H44,K44,N44,Q44),1)+LARGE(CHOOSE({1;2;3;4},H44,K44,N44,Q44),2)+LARGE(CHOOSE({1;2;3;4},H44,K44,N44,Q44),3)</f>
        <v>10.4</v>
      </c>
      <c r="U44" s="4" cm="1">
        <f t="array" ref="U44">IF(VT[[#This Row],[Number_of_competition]:[Number_of_competition]]&gt;=3,(LARGE(CHOOSE({1;2;3;4},F44,I44,L44,O44),1)+LARGE(CHOOSE({1;2;3;4},F44,I44,L44,O44),2)+LARGE(CHOOSE({1;2;3;4},F44,I44,L44,O44),3))/3,0)</f>
        <v>0</v>
      </c>
      <c r="V44" s="7" cm="1">
        <f t="array" ref="V44">IF(VT[[#This Row],[Number_of_competition]:[Number_of_competition]]&gt;=3,(LARGE(CHOOSE({1;2;3;4},G44,J44,M44,P44),1)+LARGE(CHOOSE({1;2;3;4},G44,J44,M44,P44),2)+LARGE(CHOOSE({1;2;3;4},G44,J44,M44,P44),3))/3,0)</f>
        <v>0</v>
      </c>
      <c r="W44" s="7" cm="1">
        <f t="array" ref="W44">IF(VT[[#This Row],[Number_of_competition]:[Number_of_competition]]&gt;=3,(LARGE(CHOOSE({1;2;3;4},H44,K44,N44,Q44),1)+LARGE(CHOOSE({1;2;3;4},H44,K44,N44,Q44),2)+LARGE(CHOOSE({1;2;3;4},H44,K44,N44,Q44),3))/3,0)</f>
        <v>0</v>
      </c>
      <c r="AE44" s="43" t="s">
        <v>59</v>
      </c>
      <c r="AF44" s="43" t="s">
        <v>60</v>
      </c>
      <c r="AG44" s="43" t="s">
        <v>62</v>
      </c>
      <c r="AH44">
        <v>3</v>
      </c>
      <c r="AI44" t="s">
        <v>325</v>
      </c>
      <c r="AJ44" s="43" t="s">
        <v>268</v>
      </c>
      <c r="AK44">
        <v>13.5</v>
      </c>
    </row>
    <row r="45" spans="1:37" ht="21" x14ac:dyDescent="0.35">
      <c r="A45" t="s">
        <v>57</v>
      </c>
      <c r="B45" s="2" t="s">
        <v>26</v>
      </c>
      <c r="C45" s="2" t="s">
        <v>58</v>
      </c>
      <c r="D45" t="s">
        <v>36</v>
      </c>
      <c r="E45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45" s="4">
        <v>1.6</v>
      </c>
      <c r="G45" s="7">
        <v>8.6999999999999993</v>
      </c>
      <c r="H45" s="7">
        <v>10.3</v>
      </c>
      <c r="I45" s="4">
        <v>0</v>
      </c>
      <c r="J45" s="7">
        <v>0</v>
      </c>
      <c r="K45" s="7">
        <v>0</v>
      </c>
      <c r="L45" s="4">
        <v>0</v>
      </c>
      <c r="M45" s="7">
        <v>0</v>
      </c>
      <c r="N45" s="7">
        <v>0</v>
      </c>
      <c r="O45" s="4">
        <v>0</v>
      </c>
      <c r="P45" s="7">
        <v>0</v>
      </c>
      <c r="Q45" s="7">
        <v>0</v>
      </c>
      <c r="R45" s="4">
        <f>LARGE(CHOOSE({1;2;3;4},F45,I45,L45,O45),1)+LARGE(CHOOSE({1;2;3;4},F45,I45,L45,O45),2)+LARGE(CHOOSE({1;2;3;4},F45,I45,L45,O45),3)</f>
        <v>1.6</v>
      </c>
      <c r="S45" s="7">
        <f>LARGE(CHOOSE({1;2;3;4},G45,J45,M45,P45),1)+LARGE(CHOOSE({1;2;3;4},G45,J45,M45,P45),2)+LARGE(CHOOSE({1;2;3;4},G45,J45,M45,P45),3)</f>
        <v>8.6999999999999993</v>
      </c>
      <c r="T45" s="7">
        <f>LARGE(CHOOSE({1;2;3;4},H45,K45,N45,Q45),1)+LARGE(CHOOSE({1;2;3;4},H45,K45,N45,Q45),2)+LARGE(CHOOSE({1;2;3;4},H45,K45,N45,Q45),3)</f>
        <v>10.3</v>
      </c>
      <c r="U45" s="4" cm="1">
        <f t="array" ref="U45">IF(VT[[#This Row],[Number_of_competition]:[Number_of_competition]]&gt;=3,(LARGE(CHOOSE({1;2;3;4},F45,I45,L45,O45),1)+LARGE(CHOOSE({1;2;3;4},F45,I45,L45,O45),2)+LARGE(CHOOSE({1;2;3;4},F45,I45,L45,O45),3))/3,0)</f>
        <v>0</v>
      </c>
      <c r="V45" s="7" cm="1">
        <f t="array" ref="V45">IF(VT[[#This Row],[Number_of_competition]:[Number_of_competition]]&gt;=3,(LARGE(CHOOSE({1;2;3;4},G45,J45,M45,P45),1)+LARGE(CHOOSE({1;2;3;4},G45,J45,M45,P45),2)+LARGE(CHOOSE({1;2;3;4},G45,J45,M45,P45),3))/3,0)</f>
        <v>0</v>
      </c>
      <c r="W45" s="7" cm="1">
        <f t="array" ref="W45">IF(VT[[#This Row],[Number_of_competition]:[Number_of_competition]]&gt;=3,(LARGE(CHOOSE({1;2;3;4},H45,K45,N45,Q45),1)+LARGE(CHOOSE({1;2;3;4},H45,K45,N45,Q45),2)+LARGE(CHOOSE({1;2;3;4},H45,K45,N45,Q45),3))/3,0)</f>
        <v>0</v>
      </c>
      <c r="AE45" s="43" t="s">
        <v>59</v>
      </c>
      <c r="AF45" s="43" t="s">
        <v>60</v>
      </c>
      <c r="AG45" s="43" t="s">
        <v>62</v>
      </c>
      <c r="AH45">
        <v>3</v>
      </c>
      <c r="AI45" t="s">
        <v>330</v>
      </c>
      <c r="AJ45" s="43" t="s">
        <v>308</v>
      </c>
      <c r="AK45">
        <v>4.4000000000000004</v>
      </c>
    </row>
    <row r="46" spans="1:37" ht="21" x14ac:dyDescent="0.35">
      <c r="A46" t="s">
        <v>135</v>
      </c>
      <c r="B46" s="2" t="s">
        <v>26</v>
      </c>
      <c r="C46" s="2" t="s">
        <v>136</v>
      </c>
      <c r="D46" t="s">
        <v>124</v>
      </c>
      <c r="E46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46" s="4">
        <v>2.4</v>
      </c>
      <c r="G46" s="7">
        <v>7.5</v>
      </c>
      <c r="H46" s="7">
        <v>9.9</v>
      </c>
      <c r="I46" s="4">
        <v>0</v>
      </c>
      <c r="J46" s="7">
        <v>0</v>
      </c>
      <c r="K46" s="7">
        <v>0</v>
      </c>
      <c r="L46" s="4">
        <v>0</v>
      </c>
      <c r="M46" s="7">
        <v>0</v>
      </c>
      <c r="N46" s="7">
        <v>0</v>
      </c>
      <c r="O46" s="4">
        <v>0</v>
      </c>
      <c r="P46" s="7">
        <v>0</v>
      </c>
      <c r="Q46" s="7">
        <v>0</v>
      </c>
      <c r="R46" s="4">
        <f>LARGE(CHOOSE({1;2;3;4},F46,I46,L46,O46),1)+LARGE(CHOOSE({1;2;3;4},F46,I46,L46,O46),2)+LARGE(CHOOSE({1;2;3;4},F46,I46,L46,O46),3)</f>
        <v>2.4</v>
      </c>
      <c r="S46" s="7">
        <f>LARGE(CHOOSE({1;2;3;4},G46,J46,M46,P46),1)+LARGE(CHOOSE({1;2;3;4},G46,J46,M46,P46),2)+LARGE(CHOOSE({1;2;3;4},G46,J46,M46,P46),3)</f>
        <v>7.5</v>
      </c>
      <c r="T46" s="7">
        <f>LARGE(CHOOSE({1;2;3;4},H46,K46,N46,Q46),1)+LARGE(CHOOSE({1;2;3;4},H46,K46,N46,Q46),2)+LARGE(CHOOSE({1;2;3;4},H46,K46,N46,Q46),3)</f>
        <v>9.9</v>
      </c>
      <c r="U46" s="4" cm="1">
        <f t="array" ref="U46">IF(VT[[#This Row],[Number_of_competition]:[Number_of_competition]]&gt;=3,(LARGE(CHOOSE({1;2;3;4},F46,I46,L46,O46),1)+LARGE(CHOOSE({1;2;3;4},F46,I46,L46,O46),2)+LARGE(CHOOSE({1;2;3;4},F46,I46,L46,O46),3))/3,0)</f>
        <v>0</v>
      </c>
      <c r="V46" s="7" cm="1">
        <f t="array" ref="V46">IF(VT[[#This Row],[Number_of_competition]:[Number_of_competition]]&gt;=3,(LARGE(CHOOSE({1;2;3;4},G46,J46,M46,P46),1)+LARGE(CHOOSE({1;2;3;4},G46,J46,M46,P46),2)+LARGE(CHOOSE({1;2;3;4},G46,J46,M46,P46),3))/3,0)</f>
        <v>0</v>
      </c>
      <c r="W46" s="7" cm="1">
        <f t="array" ref="W46">IF(VT[[#This Row],[Number_of_competition]:[Number_of_competition]]&gt;=3,(LARGE(CHOOSE({1;2;3;4},H46,K46,N46,Q46),1)+LARGE(CHOOSE({1;2;3;4},H46,K46,N46,Q46),2)+LARGE(CHOOSE({1;2;3;4},H46,K46,N46,Q46),3))/3,0)</f>
        <v>0</v>
      </c>
      <c r="AE46" s="43" t="s">
        <v>59</v>
      </c>
      <c r="AF46" s="43" t="s">
        <v>60</v>
      </c>
      <c r="AG46" s="43" t="s">
        <v>62</v>
      </c>
      <c r="AH46">
        <v>3</v>
      </c>
      <c r="AI46" t="s">
        <v>330</v>
      </c>
      <c r="AJ46" s="43" t="s">
        <v>309</v>
      </c>
      <c r="AK46">
        <v>9.15</v>
      </c>
    </row>
    <row r="47" spans="1:37" ht="21" x14ac:dyDescent="0.35">
      <c r="A47" t="s">
        <v>54</v>
      </c>
      <c r="B47" s="2" t="s">
        <v>26</v>
      </c>
      <c r="C47" s="2" t="s">
        <v>55</v>
      </c>
      <c r="D47" t="s">
        <v>56</v>
      </c>
      <c r="E47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47" s="4">
        <v>0</v>
      </c>
      <c r="G47" s="7">
        <v>0</v>
      </c>
      <c r="H47" s="7">
        <v>0</v>
      </c>
      <c r="I47" s="4">
        <v>1.6</v>
      </c>
      <c r="J47" s="7">
        <v>8.3000000000000007</v>
      </c>
      <c r="K47" s="7">
        <v>9.9</v>
      </c>
      <c r="L47" s="4">
        <v>0</v>
      </c>
      <c r="M47" s="7">
        <v>0</v>
      </c>
      <c r="N47" s="7">
        <v>0</v>
      </c>
      <c r="O47" s="4">
        <v>0</v>
      </c>
      <c r="P47" s="7">
        <v>0</v>
      </c>
      <c r="Q47" s="7">
        <v>0</v>
      </c>
      <c r="R47" s="4">
        <f>LARGE(CHOOSE({1;2;3;4},F47,I47,L47,O47),1)+LARGE(CHOOSE({1;2;3;4},F47,I47,L47,O47),2)+LARGE(CHOOSE({1;2;3;4},F47,I47,L47,O47),3)</f>
        <v>1.6</v>
      </c>
      <c r="S47" s="7">
        <f>LARGE(CHOOSE({1;2;3;4},G47,J47,M47,P47),1)+LARGE(CHOOSE({1;2;3;4},G47,J47,M47,P47),2)+LARGE(CHOOSE({1;2;3;4},G47,J47,M47,P47),3)</f>
        <v>8.3000000000000007</v>
      </c>
      <c r="T47" s="7">
        <f>LARGE(CHOOSE({1;2;3;4},H47,K47,N47,Q47),1)+LARGE(CHOOSE({1;2;3;4},H47,K47,N47,Q47),2)+LARGE(CHOOSE({1;2;3;4},H47,K47,N47,Q47),3)</f>
        <v>9.9</v>
      </c>
      <c r="U47" s="4" cm="1">
        <f t="array" ref="U47">IF(VT[[#This Row],[Number_of_competition]:[Number_of_competition]]&gt;=3,(LARGE(CHOOSE({1;2;3;4},F47,I47,L47,O47),1)+LARGE(CHOOSE({1;2;3;4},F47,I47,L47,O47),2)+LARGE(CHOOSE({1;2;3;4},F47,I47,L47,O47),3))/3,0)</f>
        <v>0</v>
      </c>
      <c r="V47" s="7" cm="1">
        <f t="array" ref="V47">IF(VT[[#This Row],[Number_of_competition]:[Number_of_competition]]&gt;=3,(LARGE(CHOOSE({1;2;3;4},G47,J47,M47,P47),1)+LARGE(CHOOSE({1;2;3;4},G47,J47,M47,P47),2)+LARGE(CHOOSE({1;2;3;4},G47,J47,M47,P47),3))/3,0)</f>
        <v>0</v>
      </c>
      <c r="W47" s="7" cm="1">
        <f t="array" ref="W47">IF(VT[[#This Row],[Number_of_competition]:[Number_of_competition]]&gt;=3,(LARGE(CHOOSE({1;2;3;4},H47,K47,N47,Q47),1)+LARGE(CHOOSE({1;2;3;4},H47,K47,N47,Q47),2)+LARGE(CHOOSE({1;2;3;4},H47,K47,N47,Q47),3))/3,0)</f>
        <v>0</v>
      </c>
      <c r="AE47" s="43" t="s">
        <v>59</v>
      </c>
      <c r="AF47" s="43" t="s">
        <v>60</v>
      </c>
      <c r="AG47" s="43" t="s">
        <v>62</v>
      </c>
      <c r="AH47">
        <v>3</v>
      </c>
      <c r="AI47" t="s">
        <v>330</v>
      </c>
      <c r="AJ47" s="43" t="s">
        <v>268</v>
      </c>
      <c r="AK47">
        <v>13.55</v>
      </c>
    </row>
    <row r="48" spans="1:37" ht="21" x14ac:dyDescent="0.35">
      <c r="AE48" s="43" t="s">
        <v>59</v>
      </c>
      <c r="AF48" s="43" t="s">
        <v>60</v>
      </c>
      <c r="AG48" s="43" t="s">
        <v>62</v>
      </c>
      <c r="AH48">
        <v>3</v>
      </c>
      <c r="AI48" t="s">
        <v>331</v>
      </c>
      <c r="AJ48" s="43" t="s">
        <v>308</v>
      </c>
      <c r="AK48">
        <v>4.4000000000000004</v>
      </c>
    </row>
    <row r="49" spans="1:37" ht="21" x14ac:dyDescent="0.35">
      <c r="AE49" s="43" t="s">
        <v>59</v>
      </c>
      <c r="AF49" s="43" t="s">
        <v>60</v>
      </c>
      <c r="AG49" s="43" t="s">
        <v>62</v>
      </c>
      <c r="AH49">
        <v>3</v>
      </c>
      <c r="AI49" t="s">
        <v>331</v>
      </c>
      <c r="AJ49" s="43" t="s">
        <v>309</v>
      </c>
      <c r="AK49">
        <v>8.3000000000000007</v>
      </c>
    </row>
    <row r="50" spans="1:37" ht="21" x14ac:dyDescent="0.35">
      <c r="A50" s="16" t="s">
        <v>2</v>
      </c>
      <c r="B50" s="16" t="s">
        <v>266</v>
      </c>
      <c r="C50" s="16" t="s">
        <v>271</v>
      </c>
      <c r="D50" s="17" t="s">
        <v>272</v>
      </c>
      <c r="E50" s="17" t="s">
        <v>270</v>
      </c>
      <c r="F50" s="18" t="s">
        <v>253</v>
      </c>
      <c r="M50" s="2"/>
      <c r="O50" s="7"/>
      <c r="P50" s="2"/>
      <c r="AE50" s="43" t="s">
        <v>59</v>
      </c>
      <c r="AF50" s="43" t="s">
        <v>60</v>
      </c>
      <c r="AG50" s="43" t="s">
        <v>62</v>
      </c>
      <c r="AH50">
        <v>3</v>
      </c>
      <c r="AI50" t="s">
        <v>331</v>
      </c>
      <c r="AJ50" s="43" t="s">
        <v>268</v>
      </c>
      <c r="AK50">
        <v>12.7</v>
      </c>
    </row>
    <row r="51" spans="1:37" ht="21" x14ac:dyDescent="0.35">
      <c r="A51" s="15" t="s">
        <v>60</v>
      </c>
      <c r="B51" s="15" t="s">
        <v>269</v>
      </c>
      <c r="C51" s="4" cm="1">
        <f t="array" ref="C51">SUM(_xlfn._xlws.FILTER(VT[bydgoszcz_VT_Dscore],VT[Category]="senior"),_xlfn._xlws.FILTER(VT[zabrze_VT_Dscore],VT[Category]="senior"),_xlfn._xlws.FILTER(VT[cracow_VT_Dscore],VT[Category]="senior"),_xlfn._xlws.FILTER(VT[gdansk_VT_Dscore],VT[Category]="senior"))/(COUNTIFS(VT[bydgoszcz_VT_Dscore],"&gt;0",VT[Category],"senior")+COUNTIFS(VT[zabrze_VT_Dscore],"&gt;0",VT[Category],"senior")+COUNTIFS(VT[cracow_VT_Dscore],"&gt;0",VT[Category],"senior")+COUNTIFS(VT[gdansk_VT_Dscore],"&gt;0",VT[Category],"senior"))</f>
        <v>3.8000000000000003</v>
      </c>
      <c r="D51" s="4" cm="1">
        <f t="array" ref="D51">_xlfn.STDEV.S(_xlfn._xlws.FILTER(VT[bydgoszcz_VT_Dscore],(VT[Category]="senior")*(VT[bydgoszcz_VT_Dscore])&gt;0),_xlfn._xlws.FILTER(VT[zabrze_VT_Dscore],(VT[Category]="senior")*(VT[zabrze_VT_Dscore])&gt;0),_xlfn._xlws.FILTER(VT[cracow_VT_Dscore],(VT[Category]="senior")*(VT[cracow_VT_Dscore])&gt;0),_xlfn._xlws.FILTER(VT[gdansk_VT_Dscore],(VT[Category]="senior")*(VT[gdansk_VT_Dscore])&gt;0))</f>
        <v>0.73678839761300552</v>
      </c>
      <c r="E51" s="4" cm="1">
        <f t="array" ref="E51">MAX(_xlfn._xlws.FILTER(VT[bydgoszcz_VT_Dscore],VT[Category]="senior"),_xlfn._xlws.FILTER(VT[zabrze_VT_Dscore],VT[Category]="senior"),_xlfn._xlws.FILTER(VT[cracow_VT_Dscore],VT[Category]="senior"),_xlfn._xlws.FILTER(VT[gdansk_VT_Dscore],VT[Category]="senior"))</f>
        <v>5.2</v>
      </c>
      <c r="F51" s="2" t="str" cm="1">
        <f t="array" ref="F51">_xlfn.XLOOKUP(E51,_xlfn._xlws.FILTER(VT[bydgoszcz_VT_Dscore],VT[Category]="senior"),_xlfn._xlws.FILTER(VT[Name],VT[Category]="senior"),_xlfn.XLOOKUP(E51,_xlfn._xlws.FILTER(VT[zabrze_VT_Dscore],VT[Category]="senior"),_xlfn._xlws.FILTER(VT[Name],VT[Category]="senior"),_xlfn.XLOOKUP(E51,_xlfn._xlws.FILTER(VT[cracow_VT_Dscore],VT[Category]="senior"),_xlfn._xlws.FILTER(VT[Name],VT[Category]="senior"),_xlfn.XLOOKUP(E51,_xlfn._xlws.FILTER(VT[gdansk_VT_Dscore],VT[Category]="senior"),_xlfn._xlws.FILTER(VT[Name],VT[Category]="senior")))))</f>
        <v>SASNAL Filip</v>
      </c>
      <c r="M51" s="4"/>
      <c r="N51" s="4"/>
      <c r="P51" s="2"/>
      <c r="AE51" s="43" t="s">
        <v>59</v>
      </c>
      <c r="AF51" s="43" t="s">
        <v>60</v>
      </c>
      <c r="AG51" s="43" t="s">
        <v>62</v>
      </c>
      <c r="AH51">
        <v>3</v>
      </c>
      <c r="AI51" t="s">
        <v>341</v>
      </c>
      <c r="AJ51" s="43" t="s">
        <v>308</v>
      </c>
      <c r="AK51">
        <v>13.200000000000001</v>
      </c>
    </row>
    <row r="52" spans="1:37" ht="21" x14ac:dyDescent="0.35">
      <c r="A52" s="15" t="s">
        <v>60</v>
      </c>
      <c r="B52" s="15" t="s">
        <v>267</v>
      </c>
      <c r="C52" s="7" cm="1">
        <f t="array" ref="C52">SUM(_xlfn._xlws.FILTER(VT[bydgoszcz_VT_Escore],VT[Category]="senior"),_xlfn._xlws.FILTER(VT[zabrze_VT_Escore],VT[Category]="senior"),_xlfn._xlws.FILTER(VT[cracow_VT_Escore],VT[Category]="senior"),_xlfn._xlws.FILTER(VT[gdansk_VT_Escore],VT[Category]="senior"))/(COUNTIFS(VT[bydgoszcz_VT_Escore],"&gt;0",VT[Category],"senior")+COUNTIFS(VT[zabrze_VT_Escore],"&gt;0",VT[Category],"senior")+COUNTIFS(VT[cracow_VT_Escore],"&gt;0",VT[Category],"senior")+COUNTIFS(VT[gdansk_VT_Escore],"&gt;0",VT[Category],"senior"))</f>
        <v>8.7815789473684234</v>
      </c>
      <c r="D52" s="7" cm="1">
        <f t="array" ref="D52">_xlfn.STDEV.S(_xlfn._xlws.FILTER(VT[bydgoszcz_VT_Escore],(VT[Category]="senior")*(VT[bydgoszcz_VT_Escore])&gt;0),_xlfn._xlws.FILTER(VT[zabrze_VT_Escore],(VT[Category]="senior")*(VT[zabrze_VT_Escore])&gt;0),_xlfn._xlws.FILTER(VT[cracow_VT_Escore],(VT[Category]="senior")*(VT[cracow_VT_Escore])&gt;0),_xlfn._xlws.FILTER(VT[gdansk_VT_Escore],(VT[Category]="senior")*(VT[gdansk_VT_Escore])&gt;0))</f>
        <v>0.54162714334310735</v>
      </c>
      <c r="E52" s="7" cm="1">
        <f t="array" ref="E52">MAX(_xlfn._xlws.FILTER(VT[bydgoszcz_VT_Escore],VT[Category]="senior"),_xlfn._xlws.FILTER(VT[zabrze_VT_Escore],VT[Category]="senior"),_xlfn._xlws.FILTER(VT[cracow_VT_Escore],VT[Category]="senior"),_xlfn._xlws.FILTER(VT[gdansk_VT_Escore],VT[Category]="senior"))</f>
        <v>9.6</v>
      </c>
      <c r="F52" s="2" t="str" cm="1">
        <f t="array" ref="F52">_xlfn.XLOOKUP(E52,_xlfn._xlws.FILTER(VT[bydgoszcz_VT_Escore],VT[Category]="senior"),_xlfn._xlws.FILTER(VT[Name],VT[Category]="senior"),_xlfn.XLOOKUP(E52,_xlfn._xlws.FILTER(VT[zabrze_VT_Escore],VT[Category]="senior"),_xlfn._xlws.FILTER(VT[Name],VT[Category]="senior"),_xlfn.XLOOKUP(E52,_xlfn._xlws.FILTER(VT[cracow_VT_Escore],VT[Category]="senior"),_xlfn._xlws.FILTER(VT[Name],VT[Category]="senior"),_xlfn.XLOOKUP(E52,_xlfn._xlws.FILTER(VT[gdansk_VT_Escore],VT[Category]="senior"),_xlfn._xlws.FILTER(VT[Name],VT[Category]="senior")))))</f>
        <v>SASNAL Filip</v>
      </c>
      <c r="M52" s="4"/>
      <c r="N52" s="4"/>
      <c r="P52" s="2"/>
      <c r="AE52" s="43" t="s">
        <v>59</v>
      </c>
      <c r="AF52" s="43" t="s">
        <v>60</v>
      </c>
      <c r="AG52" s="43" t="s">
        <v>62</v>
      </c>
      <c r="AH52">
        <v>3</v>
      </c>
      <c r="AI52" t="s">
        <v>341</v>
      </c>
      <c r="AJ52" s="43" t="s">
        <v>309</v>
      </c>
      <c r="AK52">
        <v>26.55</v>
      </c>
    </row>
    <row r="53" spans="1:37" ht="21" x14ac:dyDescent="0.35">
      <c r="A53" s="15" t="s">
        <v>60</v>
      </c>
      <c r="B53" s="15" t="s">
        <v>268</v>
      </c>
      <c r="C53" s="7" cm="1">
        <f t="array" ref="C53">SUM(_xlfn._xlws.FILTER(VT[bydgoszcz_VT_Total_Score],VT[Category]="senior"),_xlfn._xlws.FILTER(VT[zabrze_VT_Total_Score],VT[Category]="senior"),_xlfn._xlws.FILTER(VT[cracow_VT_Total_Score],VT[Category]="senior"),_xlfn._xlws.FILTER(VT[gdansk_VT_Total_Score],VT[Category]="senior"))/(COUNTIFS(VT[bydgoszcz_VT_Total_Score],"&gt;0",VT[Category],"senior")+COUNTIFS(VT[zabrze_VT_Total_Score],"&gt;0",VT[Category],"senior")+COUNTIFS(VT[cracow_VT_Total_Score],"&gt;0",VT[Category],"senior")+COUNTIFS(VT[gdansk_VT_Total_Score],"&gt;0",VT[Category],"senior"))</f>
        <v>12.581578947368424</v>
      </c>
      <c r="D53" s="7" cm="1">
        <f t="array" ref="D53">_xlfn.STDEV.S(_xlfn._xlws.FILTER(VT[bydgoszcz_VT_Total_Score],(VT[Category]="senior")*(VT[bydgoszcz_VT_Total_Score])&gt;0),_xlfn._xlws.FILTER(VT[zabrze_VT_Total_Score],(VT[Category]="senior")*(VT[zabrze_VT_Total_Score])&gt;0),_xlfn._xlws.FILTER(VT[cracow_VT_Total_Score],(VT[Category]="senior")*(VT[cracow_VT_Total_Score])&gt;0),_xlfn._xlws.FILTER(VT[gdansk_VT_Total_Score],(VT[Category]="senior")*(VT[gdansk_VT_Total_Score])&gt;0))</f>
        <v>0.86528440715360067</v>
      </c>
      <c r="E53" s="7" cm="1">
        <f t="array" ref="E53">MAX(_xlfn._xlws.FILTER(VT[bydgoszcz_VT_Total_Score],VT[Category]="senior"),_xlfn._xlws.FILTER(VT[zabrze_VT_Total_Score],VT[Category]="senior"),_xlfn._xlws.FILTER(VT[cracow_VT_Total_Score],VT[Category]="senior"),_xlfn._xlws.FILTER(VT[gdansk_VT_Total_Score],VT[Category]="senior"))</f>
        <v>14.8</v>
      </c>
      <c r="F53" s="2" t="str" cm="1">
        <f t="array" ref="F53">_xlfn.XLOOKUP(E53,_xlfn._xlws.FILTER(VT[bydgoszcz_VT_Total_Score],VT[Category]="senior"),_xlfn._xlws.FILTER(VT[Name],VT[Category]="senior"),_xlfn.XLOOKUP(E53,_xlfn._xlws.FILTER(VT[zabrze_VT_Total_Score],VT[Category]="senior"),_xlfn._xlws.FILTER(VT[Name],VT[Category]="senior"),_xlfn.XLOOKUP(E53,_xlfn._xlws.FILTER(VT[cracow_VT_Total_Score],VT[Category]="senior"),_xlfn._xlws.FILTER(VT[Name],VT[Category]="senior"),_xlfn.XLOOKUP(E53,_xlfn._xlws.FILTER(VT[gdansk_VT_Total_Score],VT[Category]="senior"),_xlfn._xlws.FILTER(VT[Name],VT[Category]="senior")))))</f>
        <v>SASNAL Filip</v>
      </c>
      <c r="M53" s="2"/>
      <c r="N53"/>
      <c r="O53" s="3"/>
      <c r="P53" s="5"/>
      <c r="AE53" s="43" t="s">
        <v>59</v>
      </c>
      <c r="AF53" s="43" t="s">
        <v>60</v>
      </c>
      <c r="AG53" s="43" t="s">
        <v>62</v>
      </c>
      <c r="AH53">
        <v>3</v>
      </c>
      <c r="AI53" t="s">
        <v>341</v>
      </c>
      <c r="AJ53" s="43" t="s">
        <v>268</v>
      </c>
      <c r="AK53">
        <v>39.75</v>
      </c>
    </row>
    <row r="54" spans="1:37" ht="21" x14ac:dyDescent="0.35">
      <c r="A54" s="15" t="s">
        <v>60</v>
      </c>
      <c r="B54" s="15" t="s">
        <v>275</v>
      </c>
      <c r="C54" s="4" cm="1">
        <f t="array" ref="C54">SUM(_xlfn._xlws.FILTER(VT[Year_Dscore],(VT[Category]="senior")*(VT[Number_of_competition]&gt;=3))/COUNTIFS(VT[Number_of_competition],"&gt;=3",VT[Category],"senior"))</f>
        <v>11.911111111111111</v>
      </c>
      <c r="D54" s="4" cm="1">
        <f t="array" ref="D54">_xlfn.STDEV.S(_xlfn._xlws.FILTER(VT[Year_Dscore],(VT[Category]="senior")*(VT[Number_of_competition]&gt;=3)))</f>
        <v>1.6586473739499692</v>
      </c>
      <c r="E54" s="4" cm="1">
        <f t="array" ref="E54">MAX(_xlfn._xlws.FILTER(VT[Year_Dscore],VT[Category]="senior"))</f>
        <v>15.2</v>
      </c>
      <c r="F54" s="2" t="str" cm="1">
        <f t="array" ref="F54">_xlfn.XLOOKUP(VT_Calculation[[#This Row],[Top]],_xlfn._xlws.FILTER(VT[Year_Dscore],VT[Category]="senior"),_xlfn._xlws.FILTER(VT[Name],VT[Category]="senior"))</f>
        <v>SASNAL Filip</v>
      </c>
      <c r="M54" s="2"/>
      <c r="O54" s="7"/>
      <c r="P54" s="2"/>
      <c r="AE54" s="43" t="s">
        <v>59</v>
      </c>
      <c r="AF54" s="43" t="s">
        <v>60</v>
      </c>
      <c r="AG54" s="43" t="s">
        <v>62</v>
      </c>
      <c r="AH54">
        <v>3</v>
      </c>
      <c r="AI54" t="s">
        <v>273</v>
      </c>
      <c r="AJ54" s="43" t="s">
        <v>308</v>
      </c>
      <c r="AK54">
        <v>4.4000000000000004</v>
      </c>
    </row>
    <row r="55" spans="1:37" ht="21" x14ac:dyDescent="0.35">
      <c r="A55" s="15" t="s">
        <v>60</v>
      </c>
      <c r="B55" s="15" t="s">
        <v>276</v>
      </c>
      <c r="C55" s="7" cm="1">
        <f t="array" ref="C55">SUM(_xlfn._xlws.FILTER(VT[Year_Escore],(VT[Category]="senior")*(VT[Number_of_competition]&gt;=3))/COUNTIFS(VT[Number_of_competition],"&gt;=3",VT[Category],"senior"))</f>
        <v>26.855555555555554</v>
      </c>
      <c r="D55" s="7" cm="1">
        <f t="array" ref="D55">_xlfn.STDEV.S(_xlfn._xlws.FILTER(VT[Year_Escore],(VT[Category]="senior")*(VT[Number_of_competition]&gt;=3)))</f>
        <v>0.77598503708369104</v>
      </c>
      <c r="E55" s="7" cm="1">
        <f t="array" ref="E55">MAX(_xlfn._xlws.FILTER(VT[Year_Escore],VT[Category]="senior"))</f>
        <v>27.85</v>
      </c>
      <c r="F55" s="2" t="str" cm="1">
        <f t="array" ref="F55">_xlfn.XLOOKUP(VT_Calculation[[#This Row],[Top]],_xlfn._xlws.FILTER(VT[Year_Escore],VT[Category]="senior"),_xlfn._xlws.FILTER(VT[Name],VT[Category]="senior"))</f>
        <v>CHRUŚCIEL Szymon</v>
      </c>
      <c r="O55" s="7"/>
      <c r="P55" s="2"/>
      <c r="AE55" s="43" t="s">
        <v>59</v>
      </c>
      <c r="AF55" s="43" t="s">
        <v>60</v>
      </c>
      <c r="AG55" s="43" t="s">
        <v>62</v>
      </c>
      <c r="AH55">
        <v>3</v>
      </c>
      <c r="AI55" t="s">
        <v>273</v>
      </c>
      <c r="AJ55" s="43" t="s">
        <v>309</v>
      </c>
      <c r="AK55">
        <v>8.85</v>
      </c>
    </row>
    <row r="56" spans="1:37" ht="21" x14ac:dyDescent="0.35">
      <c r="A56" s="15" t="s">
        <v>60</v>
      </c>
      <c r="B56" s="15" t="s">
        <v>277</v>
      </c>
      <c r="C56" s="7" cm="1">
        <f t="array" ref="C56">SUM(_xlfn._xlws.FILTER(VT[Year_Total_Score],(VT[Category]="senior")*(VT[Number_of_competition]&gt;=3))/COUNTIFS(VT[Number_of_competition],"&gt;=3",VT[Category],"senior"))</f>
        <v>38.655555555555559</v>
      </c>
      <c r="D56" s="7" cm="1">
        <f t="array" ref="D56">_xlfn.STDEV.S(_xlfn._xlws.FILTER(VT[Year_Total_Score],(VT[Category]="senior")*(VT[Number_of_competition]&gt;=3)))</f>
        <v>1.7740216396024528</v>
      </c>
      <c r="E56" s="7" cm="1">
        <f t="array" ref="E56">MAX(_xlfn._xlws.FILTER(VT[Year_Total_Score],VT[Category]="senior"))</f>
        <v>41.55</v>
      </c>
      <c r="F56" s="2" t="str" cm="1">
        <f t="array" ref="F56">_xlfn.XLOOKUP(VT_Calculation[[#This Row],[Top]],_xlfn._xlws.FILTER(VT[Year_Total_Score],VT[Category]="senior"),_xlfn._xlws.FILTER(VT[Name],VT[Category]="senior"))</f>
        <v>SASNAL Filip</v>
      </c>
      <c r="O56" s="7"/>
      <c r="P56" s="2"/>
      <c r="AE56" s="43" t="s">
        <v>59</v>
      </c>
      <c r="AF56" s="43" t="s">
        <v>60</v>
      </c>
      <c r="AG56" s="43" t="s">
        <v>62</v>
      </c>
      <c r="AH56">
        <v>3</v>
      </c>
      <c r="AI56" t="s">
        <v>273</v>
      </c>
      <c r="AJ56" s="43" t="s">
        <v>268</v>
      </c>
      <c r="AK56">
        <v>13.25</v>
      </c>
    </row>
    <row r="57" spans="1:37" ht="21" x14ac:dyDescent="0.35">
      <c r="A57" s="14" t="s">
        <v>26</v>
      </c>
      <c r="B57" s="14" t="s">
        <v>269</v>
      </c>
      <c r="C57" s="4" cm="1">
        <f t="array" ref="C57">SUM(_xlfn._xlws.FILTER(VT[bydgoszcz_VT_Dscore],VT[Category]="junior"),_xlfn._xlws.FILTER(VT[zabrze_VT_Dscore],VT[Category]="junior"),_xlfn._xlws.FILTER(VT[cracow_VT_Dscore],VT[Category]="junior"),_xlfn._xlws.FILTER(VT[gdansk_VT_Dscore],VT[Category]="junior"))/(COUNTIFS(VT[bydgoszcz_VT_Dscore],"&gt;0",VT[Category],"junior")+COUNTIFS(VT[zabrze_VT_Dscore],"&gt;0",VT[Category],"junior")+COUNTIFS(VT[cracow_VT_Dscore],"&gt;0",VT[Category],"junior")+COUNTIFS(VT[gdansk_VT_Dscore],"&gt;0",VT[Category],"junior"))</f>
        <v>2.5703703703703704</v>
      </c>
      <c r="D57" s="4" cm="1">
        <f t="array" ref="D57">_xlfn.STDEV.S(_xlfn._xlws.FILTER(VT[bydgoszcz_VT_Dscore],(VT[Category]="junior")*(VT[bydgoszcz_VT_Dscore])&gt;0),_xlfn._xlws.FILTER(VT[zabrze_VT_Dscore],(VT[Category]="junior")*(VT[zabrze_VT_Dscore])&gt;0),_xlfn._xlws.FILTER(VT[cracow_VT_Dscore],(VT[Category]="junior")*(VT[cracow_VT_Dscore])&gt;0),_xlfn._xlws.FILTER(VT[gdansk_VT_Dscore],(VT[Category]="junior")*(VT[gdansk_VT_Dscore])&gt;0))</f>
        <v>0.75276336947693678</v>
      </c>
      <c r="E57" s="4" cm="1">
        <f t="array" ref="E57">MAX(_xlfn._xlws.FILTER(VT[bydgoszcz_VT_Dscore],VT[Category]="junior"),_xlfn._xlws.FILTER(VT[zabrze_VT_Dscore],VT[Category]="junior"),_xlfn._xlws.FILTER(VT[cracow_VT_Dscore],VT[Category]="junior"),_xlfn._xlws.FILTER(VT[gdansk_VT_Dscore],VT[Category]="junior"))</f>
        <v>4</v>
      </c>
      <c r="F57" s="2" t="str" cm="1">
        <f t="array" ref="F57">_xlfn.XLOOKUP(E57,_xlfn._xlws.FILTER(VT[bydgoszcz_VT_Dscore],VT[Category]="junior"),_xlfn._xlws.FILTER(VT[Name],VT[Category]="junior"),_xlfn.XLOOKUP(E57,_xlfn._xlws.FILTER(VT[zabrze_VT_Dscore],VT[Category]="junior"),_xlfn._xlws.FILTER(VT[Name],VT[Category]="junior"),_xlfn.XLOOKUP(E57,_xlfn._xlws.FILTER(VT[cracow_VT_Dscore],VT[Category]="junior"),_xlfn._xlws.FILTER(VT[Name],VT[Category]="junior"),_xlfn.XLOOKUP(E57,_xlfn._xlws.FILTER(VT[gdansk_VT_Dscore],VT[Category]="junior"),_xlfn._xlws.FILTER(VT[Name],VT[Category]="junior")))))</f>
        <v>JANKOWSKI Dominik</v>
      </c>
      <c r="M57" s="2"/>
      <c r="N57"/>
      <c r="O57" s="3"/>
      <c r="P57" s="5"/>
      <c r="AE57" s="43" t="s">
        <v>82</v>
      </c>
      <c r="AF57" s="43" t="s">
        <v>60</v>
      </c>
      <c r="AG57" s="43" t="s">
        <v>36</v>
      </c>
      <c r="AH57">
        <v>3</v>
      </c>
      <c r="AI57" t="s">
        <v>317</v>
      </c>
      <c r="AJ57" s="43" t="s">
        <v>308</v>
      </c>
      <c r="AK57">
        <v>0</v>
      </c>
    </row>
    <row r="58" spans="1:37" ht="21" x14ac:dyDescent="0.35">
      <c r="A58" s="14" t="s">
        <v>26</v>
      </c>
      <c r="B58" s="14" t="s">
        <v>267</v>
      </c>
      <c r="C58" s="7" cm="1">
        <f t="array" ref="C58">SUM(_xlfn._xlws.FILTER(VT[bydgoszcz_VT_Escore],VT[Category]="junior"),_xlfn._xlws.FILTER(VT[zabrze_VT_Escore],VT[Category]="junior"),_xlfn._xlws.FILTER(VT[cracow_VT_Escore],VT[Category]="junior"),_xlfn._xlws.FILTER(VT[gdansk_VT_Escore],VT[Category]="junior"))/(COUNTIFS(VT[bydgoszcz_VT_Escore],"&gt;0",VT[Category],"junior")+COUNTIFS(VT[zabrze_VT_Escore],"&gt;0",VT[Category],"junior")+COUNTIFS(VT[cracow_VT_Escore],"&gt;0",VT[Category],"junior")+COUNTIFS(VT[gdansk_VT_Escore],"&gt;0",VT[Category],"junior"))</f>
        <v>8.6555555555555568</v>
      </c>
      <c r="D58" s="7" cm="1">
        <f t="array" ref="D58">_xlfn.STDEV.S(_xlfn._xlws.FILTER(VT[bydgoszcz_VT_Escore],(VT[Category]="junior")*(VT[bydgoszcz_VT_Escore])&gt;0),_xlfn._xlws.FILTER(VT[zabrze_VT_Escore],(VT[Category]="junior")*(VT[zabrze_VT_Escore])&gt;0),_xlfn._xlws.FILTER(VT[cracow_VT_Escore],(VT[Category]="junior")*(VT[cracow_VT_Escore])&gt;0),_xlfn._xlws.FILTER(VT[gdansk_VT_Escore],(VT[Category]="junior")*(VT[gdansk_VT_Escore])&gt;0))</f>
        <v>0.49560965569448912</v>
      </c>
      <c r="E58" s="7" cm="1">
        <f t="array" ref="E58">MAX(_xlfn._xlws.FILTER(VT[bydgoszcz_VT_Escore],VT[Category]="junior"),_xlfn._xlws.FILTER(VT[zabrze_VT_Escore],VT[Category]="junior"),_xlfn._xlws.FILTER(VT[cracow_VT_Escore],VT[Category]="junior"),_xlfn._xlws.FILTER(VT[gdansk_VT_Escore],VT[Category]="junior"))</f>
        <v>9.5</v>
      </c>
      <c r="F58" s="2" t="str" cm="1">
        <f t="array" ref="F58">_xlfn.XLOOKUP(E58,_xlfn._xlws.FILTER(VT[bydgoszcz_VT_Escore],VT[Category]="junior"),_xlfn._xlws.FILTER(VT[Name],VT[Category]="junior"),_xlfn.XLOOKUP(E58,_xlfn._xlws.FILTER(VT[zabrze_VT_Escore],VT[Category]="junior"),_xlfn._xlws.FILTER(VT[Name],VT[Category]="junior"),_xlfn.XLOOKUP(E58,_xlfn._xlws.FILTER(VT[cracow_VT_Escore],VT[Category]="junior"),_xlfn._xlws.FILTER(VT[Name],VT[Category]="junior"),_xlfn.XLOOKUP(E58,_xlfn._xlws.FILTER(VT[gdansk_VT_Escore],VT[Category]="junior"),_xlfn._xlws.FILTER(VT[Name],VT[Category]="junior")))))</f>
        <v>MOSKAL Błażej</v>
      </c>
      <c r="M58" s="2"/>
      <c r="N58" s="2"/>
      <c r="O58" s="7"/>
      <c r="P58" s="2"/>
      <c r="AE58" s="43" t="s">
        <v>82</v>
      </c>
      <c r="AF58" s="43" t="s">
        <v>60</v>
      </c>
      <c r="AG58" s="43" t="s">
        <v>36</v>
      </c>
      <c r="AH58">
        <v>3</v>
      </c>
      <c r="AI58" t="s">
        <v>317</v>
      </c>
      <c r="AJ58" s="43" t="s">
        <v>309</v>
      </c>
      <c r="AK58">
        <v>0</v>
      </c>
    </row>
    <row r="59" spans="1:37" ht="21" x14ac:dyDescent="0.35">
      <c r="A59" s="14" t="s">
        <v>26</v>
      </c>
      <c r="B59" s="14" t="s">
        <v>268</v>
      </c>
      <c r="C59" s="7" cm="1">
        <f t="array" ref="C59">SUM(_xlfn._xlws.FILTER(VT[bydgoszcz_VT_Total_Score],VT[Category]="junior"),_xlfn._xlws.FILTER(VT[zabrze_VT_Total_Score],VT[Category]="junior"),_xlfn._xlws.FILTER(VT[cracow_VT_Total_Score],VT[Category]="junior"),_xlfn._xlws.FILTER(VT[gdansk_VT_Total_Score],VT[Category]="junior"))/(COUNTIFS(VT[bydgoszcz_VT_Total_Score],"&gt;0",VT[Category],"junior")+COUNTIFS(VT[zabrze_VT_Total_Score],"&gt;0",VT[Category],"junior")+COUNTIFS(VT[cracow_VT_Total_Score],"&gt;0",VT[Category],"junior")+COUNTIFS(VT[gdansk_VT_Total_Score],"&gt;0",VT[Category],"junior"))</f>
        <v>11.225925925925926</v>
      </c>
      <c r="D59" s="7" cm="1">
        <f t="array" ref="D59">_xlfn.STDEV.S(_xlfn._xlws.FILTER(VT[bydgoszcz_VT_Total_Score],(VT[Category]="junior")*(VT[bydgoszcz_VT_Total_Score])&gt;0),_xlfn._xlws.FILTER(VT[zabrze_VT_Total_Score],(VT[Category]="junior")*(VT[zabrze_VT_Total_Score])&gt;0),_xlfn._xlws.FILTER(VT[cracow_VT_Total_Score],(VT[Category]="junior")*(VT[cracow_VT_Total_Score])&gt;0),_xlfn._xlws.FILTER(VT[gdansk_VT_Total_Score],(VT[Category]="junior")*(VT[gdansk_VT_Total_Score])&gt;0))</f>
        <v>0.84394294387873836</v>
      </c>
      <c r="E59" s="7" cm="1">
        <f t="array" ref="E59">MAX(_xlfn._xlws.FILTER(VT[bydgoszcz_VT_Total_Score],VT[Category]="junior"),_xlfn._xlws.FILTER(VT[zabrze_VT_Total_Score],VT[Category]="junior"),_xlfn._xlws.FILTER(VT[cracow_VT_Total_Score],VT[Category]="junior"),_xlfn._xlws.FILTER(VT[gdansk_VT_Total_Score],VT[Category]="junior"))</f>
        <v>12.95</v>
      </c>
      <c r="F59" s="2" t="str" cm="1">
        <f t="array" ref="F59">_xlfn.XLOOKUP(E59,_xlfn._xlws.FILTER(VT[bydgoszcz_VT_Total_Score],VT[Category]="junior"),_xlfn._xlws.FILTER(VT[Name],VT[Category]="junior"),_xlfn.XLOOKUP(E59,_xlfn._xlws.FILTER(VT[zabrze_VT_Total_Score],VT[Category]="junior"),_xlfn._xlws.FILTER(VT[Name],VT[Category]="junior"),_xlfn.XLOOKUP(E59,_xlfn._xlws.FILTER(VT[cracow_VT_Total_Score],VT[Category]="junior"),_xlfn._xlws.FILTER(VT[Name],VT[Category]="junior"),_xlfn.XLOOKUP(E59,_xlfn._xlws.FILTER(VT[gdansk_VT_Total_Score],VT[Category]="junior"),_xlfn._xlws.FILTER(VT[Name],VT[Category]="junior")))))</f>
        <v>CZARNECKI Aleksander</v>
      </c>
      <c r="O59" s="7"/>
      <c r="P59" s="2"/>
      <c r="AE59" s="43" t="s">
        <v>82</v>
      </c>
      <c r="AF59" s="43" t="s">
        <v>60</v>
      </c>
      <c r="AG59" s="43" t="s">
        <v>36</v>
      </c>
      <c r="AH59">
        <v>3</v>
      </c>
      <c r="AI59" t="s">
        <v>317</v>
      </c>
      <c r="AJ59" s="43" t="s">
        <v>268</v>
      </c>
      <c r="AK59">
        <v>0</v>
      </c>
    </row>
    <row r="60" spans="1:37" ht="21" x14ac:dyDescent="0.35">
      <c r="A60" s="15" t="s">
        <v>26</v>
      </c>
      <c r="B60" s="15" t="s">
        <v>275</v>
      </c>
      <c r="C60" s="4" cm="1">
        <f t="array" ref="C60">SUM(_xlfn._xlws.FILTER(VT[Year_Dscore],(VT[Category]="junior")*(VT[Number_of_competition]&gt;=3))/COUNTIFS(VT[Number_of_competition],"&gt;=3",VT[Category],"junior"))</f>
        <v>7.8833333333333337</v>
      </c>
      <c r="D60" s="4" cm="1">
        <f t="array" ref="D60">_xlfn.STDEV.S(_xlfn._xlws.FILTER(VT[Year_Dscore],(VT[Category]="junior")*(VT[Number_of_competition]&gt;=3)))</f>
        <v>1.9935502061002695</v>
      </c>
      <c r="E60" s="4" cm="1">
        <f t="array" ref="E60">MAX(_xlfn._xlws.FILTER(VT[Year_Dscore],VT[Category]="junior"))</f>
        <v>10.8</v>
      </c>
      <c r="F60" s="2" t="str" cm="1">
        <f t="array" ref="F60">_xlfn.XLOOKUP(VT_Calculation[[#This Row],[Top]],_xlfn._xlws.FILTER(VT[Year_Dscore],VT[Category]="junior"),_xlfn._xlws.FILTER(VT[Name],VT[Category]="junior"))</f>
        <v>CZARNECKI Aleksander</v>
      </c>
      <c r="O60" s="7"/>
      <c r="P60" s="2"/>
      <c r="AE60" s="43" t="s">
        <v>82</v>
      </c>
      <c r="AF60" s="43" t="s">
        <v>60</v>
      </c>
      <c r="AG60" s="43" t="s">
        <v>36</v>
      </c>
      <c r="AH60">
        <v>3</v>
      </c>
      <c r="AI60" t="s">
        <v>325</v>
      </c>
      <c r="AJ60" s="43" t="s">
        <v>308</v>
      </c>
      <c r="AK60">
        <v>4</v>
      </c>
    </row>
    <row r="61" spans="1:37" ht="21" x14ac:dyDescent="0.35">
      <c r="A61" s="15" t="s">
        <v>26</v>
      </c>
      <c r="B61" s="15" t="s">
        <v>276</v>
      </c>
      <c r="C61" s="7" cm="1">
        <f t="array" ref="C61">SUM(_xlfn._xlws.FILTER(VT[Year_Escore],(VT[Category]="junior")*(VT[Number_of_competition]&gt;=3))/COUNTIFS(VT[Number_of_competition],"&gt;=3",VT[Category],"junior"))</f>
        <v>26.416666666666671</v>
      </c>
      <c r="D61" s="7" cm="1">
        <f t="array" ref="D61">_xlfn.STDEV.S(_xlfn._xlws.FILTER(VT[Year_Escore],(VT[Category]="junior")*(VT[Number_of_competition]&gt;=3)))</f>
        <v>0.73525917920557926</v>
      </c>
      <c r="E61" s="7" cm="1">
        <f t="array" ref="E61">MAX(_xlfn._xlws.FILTER(VT[Year_Escore],VT[Category]="junior"))</f>
        <v>27.65</v>
      </c>
      <c r="F61" s="2" t="str" cm="1">
        <f t="array" ref="F61">_xlfn.XLOOKUP(VT_Calculation[[#This Row],[Top]],_xlfn._xlws.FILTER(VT[Year_Escore],VT[Category]="junior"),_xlfn._xlws.FILTER(VT[Name],VT[Category]="junior"))</f>
        <v>KWIATKOWSKI Michał</v>
      </c>
      <c r="AE61" s="43" t="s">
        <v>82</v>
      </c>
      <c r="AF61" s="43" t="s">
        <v>60</v>
      </c>
      <c r="AG61" s="43" t="s">
        <v>36</v>
      </c>
      <c r="AH61">
        <v>3</v>
      </c>
      <c r="AI61" t="s">
        <v>325</v>
      </c>
      <c r="AJ61" s="43" t="s">
        <v>309</v>
      </c>
      <c r="AK61">
        <v>9.3000000000000007</v>
      </c>
    </row>
    <row r="62" spans="1:37" ht="21" x14ac:dyDescent="0.35">
      <c r="A62" s="23" t="s">
        <v>26</v>
      </c>
      <c r="B62" s="23" t="s">
        <v>277</v>
      </c>
      <c r="C62" s="7" cm="1">
        <f t="array" ref="C62">SUM(_xlfn._xlws.FILTER(VT[Year_Total_Score],(VT[Category]="junior")*(VT[Number_of_competition]&gt;=3))/COUNTIFS(VT[Number_of_competition],"&gt;=3",VT[Category],"junior"))</f>
        <v>34.133333333333333</v>
      </c>
      <c r="D62" s="7" cm="1">
        <f t="array" ref="D62">_xlfn.STDEV.S(_xlfn._xlws.FILTER(VT[Year_Total_Score],(VT[Category]="junior")*(VT[Number_of_competition]&gt;=3)))</f>
        <v>1.9981051630042499</v>
      </c>
      <c r="E62" s="7" cm="1">
        <f t="array" ref="E62">MAX(_xlfn._xlws.FILTER(VT[Year_Total_Score],VT[Category]="junior"))</f>
        <v>37.25</v>
      </c>
      <c r="F62" s="2" t="str" cm="1">
        <f t="array" ref="F62">_xlfn.XLOOKUP(VT_Calculation[[#This Row],[Top]],_xlfn._xlws.FILTER(VT[Year_Total_Score],VT[Category]="junior"),_xlfn._xlws.FILTER(VT[Name],VT[Category]="junior"))</f>
        <v>KWIATKOWSKI Michał</v>
      </c>
      <c r="AE62" s="43" t="s">
        <v>82</v>
      </c>
      <c r="AF62" s="43" t="s">
        <v>60</v>
      </c>
      <c r="AG62" s="43" t="s">
        <v>36</v>
      </c>
      <c r="AH62">
        <v>3</v>
      </c>
      <c r="AI62" t="s">
        <v>325</v>
      </c>
      <c r="AJ62" s="43" t="s">
        <v>268</v>
      </c>
      <c r="AK62">
        <v>13.3</v>
      </c>
    </row>
    <row r="63" spans="1:37" ht="21" x14ac:dyDescent="0.35">
      <c r="AE63" s="43" t="s">
        <v>82</v>
      </c>
      <c r="AF63" s="43" t="s">
        <v>60</v>
      </c>
      <c r="AG63" s="43" t="s">
        <v>36</v>
      </c>
      <c r="AH63">
        <v>3</v>
      </c>
      <c r="AI63" t="s">
        <v>330</v>
      </c>
      <c r="AJ63" s="43" t="s">
        <v>308</v>
      </c>
      <c r="AK63">
        <v>4</v>
      </c>
    </row>
    <row r="64" spans="1:37" ht="21" x14ac:dyDescent="0.35">
      <c r="AE64" s="43" t="s">
        <v>82</v>
      </c>
      <c r="AF64" s="43" t="s">
        <v>60</v>
      </c>
      <c r="AG64" s="43" t="s">
        <v>36</v>
      </c>
      <c r="AH64">
        <v>3</v>
      </c>
      <c r="AI64" t="s">
        <v>330</v>
      </c>
      <c r="AJ64" s="43" t="s">
        <v>309</v>
      </c>
      <c r="AK64">
        <v>9.1</v>
      </c>
    </row>
    <row r="65" spans="31:37" ht="21" x14ac:dyDescent="0.35">
      <c r="AE65" s="43" t="s">
        <v>82</v>
      </c>
      <c r="AF65" s="43" t="s">
        <v>60</v>
      </c>
      <c r="AG65" s="43" t="s">
        <v>36</v>
      </c>
      <c r="AH65">
        <v>3</v>
      </c>
      <c r="AI65" t="s">
        <v>330</v>
      </c>
      <c r="AJ65" s="43" t="s">
        <v>268</v>
      </c>
      <c r="AK65">
        <v>13.1</v>
      </c>
    </row>
    <row r="66" spans="31:37" ht="21" x14ac:dyDescent="0.35">
      <c r="AE66" s="43" t="s">
        <v>82</v>
      </c>
      <c r="AF66" s="43" t="s">
        <v>60</v>
      </c>
      <c r="AG66" s="43" t="s">
        <v>36</v>
      </c>
      <c r="AH66">
        <v>3</v>
      </c>
      <c r="AI66" t="s">
        <v>331</v>
      </c>
      <c r="AJ66" s="43" t="s">
        <v>308</v>
      </c>
      <c r="AK66">
        <v>4</v>
      </c>
    </row>
    <row r="67" spans="31:37" ht="21" x14ac:dyDescent="0.35">
      <c r="AE67" s="43" t="s">
        <v>82</v>
      </c>
      <c r="AF67" s="43" t="s">
        <v>60</v>
      </c>
      <c r="AG67" s="43" t="s">
        <v>36</v>
      </c>
      <c r="AH67">
        <v>3</v>
      </c>
      <c r="AI67" t="s">
        <v>331</v>
      </c>
      <c r="AJ67" s="43" t="s">
        <v>309</v>
      </c>
      <c r="AK67">
        <v>9</v>
      </c>
    </row>
    <row r="68" spans="31:37" ht="21" x14ac:dyDescent="0.35">
      <c r="AE68" s="43" t="s">
        <v>82</v>
      </c>
      <c r="AF68" s="43" t="s">
        <v>60</v>
      </c>
      <c r="AG68" s="43" t="s">
        <v>36</v>
      </c>
      <c r="AH68">
        <v>3</v>
      </c>
      <c r="AI68" t="s">
        <v>331</v>
      </c>
      <c r="AJ68" s="43" t="s">
        <v>268</v>
      </c>
      <c r="AK68">
        <v>13</v>
      </c>
    </row>
    <row r="69" spans="31:37" ht="21" x14ac:dyDescent="0.35">
      <c r="AE69" s="43" t="s">
        <v>82</v>
      </c>
      <c r="AF69" s="43" t="s">
        <v>60</v>
      </c>
      <c r="AG69" s="43" t="s">
        <v>36</v>
      </c>
      <c r="AH69">
        <v>3</v>
      </c>
      <c r="AI69" t="s">
        <v>341</v>
      </c>
      <c r="AJ69" s="43" t="s">
        <v>308</v>
      </c>
      <c r="AK69">
        <v>12</v>
      </c>
    </row>
    <row r="70" spans="31:37" ht="21" x14ac:dyDescent="0.35">
      <c r="AE70" s="43" t="s">
        <v>82</v>
      </c>
      <c r="AF70" s="43" t="s">
        <v>60</v>
      </c>
      <c r="AG70" s="43" t="s">
        <v>36</v>
      </c>
      <c r="AH70">
        <v>3</v>
      </c>
      <c r="AI70" t="s">
        <v>341</v>
      </c>
      <c r="AJ70" s="43" t="s">
        <v>309</v>
      </c>
      <c r="AK70">
        <v>27.4</v>
      </c>
    </row>
    <row r="71" spans="31:37" ht="21" x14ac:dyDescent="0.35">
      <c r="AE71" s="43" t="s">
        <v>82</v>
      </c>
      <c r="AF71" s="43" t="s">
        <v>60</v>
      </c>
      <c r="AG71" s="43" t="s">
        <v>36</v>
      </c>
      <c r="AH71">
        <v>3</v>
      </c>
      <c r="AI71" t="s">
        <v>341</v>
      </c>
      <c r="AJ71" s="43" t="s">
        <v>268</v>
      </c>
      <c r="AK71">
        <v>39.4</v>
      </c>
    </row>
    <row r="72" spans="31:37" ht="21" x14ac:dyDescent="0.35">
      <c r="AE72" s="43" t="s">
        <v>82</v>
      </c>
      <c r="AF72" s="43" t="s">
        <v>60</v>
      </c>
      <c r="AG72" s="43" t="s">
        <v>36</v>
      </c>
      <c r="AH72">
        <v>3</v>
      </c>
      <c r="AI72" t="s">
        <v>273</v>
      </c>
      <c r="AJ72" s="43" t="s">
        <v>308</v>
      </c>
      <c r="AK72">
        <v>4</v>
      </c>
    </row>
    <row r="73" spans="31:37" ht="21" x14ac:dyDescent="0.35">
      <c r="AE73" s="43" t="s">
        <v>82</v>
      </c>
      <c r="AF73" s="43" t="s">
        <v>60</v>
      </c>
      <c r="AG73" s="43" t="s">
        <v>36</v>
      </c>
      <c r="AH73">
        <v>3</v>
      </c>
      <c r="AI73" t="s">
        <v>273</v>
      </c>
      <c r="AJ73" s="43" t="s">
        <v>309</v>
      </c>
      <c r="AK73">
        <v>9.1333333333333329</v>
      </c>
    </row>
    <row r="74" spans="31:37" ht="21" x14ac:dyDescent="0.35">
      <c r="AE74" s="43" t="s">
        <v>82</v>
      </c>
      <c r="AF74" s="43" t="s">
        <v>60</v>
      </c>
      <c r="AG74" s="43" t="s">
        <v>36</v>
      </c>
      <c r="AH74">
        <v>3</v>
      </c>
      <c r="AI74" t="s">
        <v>273</v>
      </c>
      <c r="AJ74" s="43" t="s">
        <v>268</v>
      </c>
      <c r="AK74">
        <v>13.133333333333333</v>
      </c>
    </row>
    <row r="75" spans="31:37" ht="21" x14ac:dyDescent="0.35">
      <c r="AE75" s="43" t="s">
        <v>73</v>
      </c>
      <c r="AF75" s="43" t="s">
        <v>60</v>
      </c>
      <c r="AG75" s="43" t="s">
        <v>62</v>
      </c>
      <c r="AH75">
        <v>4</v>
      </c>
      <c r="AI75" t="s">
        <v>317</v>
      </c>
      <c r="AJ75" s="43" t="s">
        <v>308</v>
      </c>
      <c r="AK75">
        <v>4</v>
      </c>
    </row>
    <row r="76" spans="31:37" ht="21" x14ac:dyDescent="0.35">
      <c r="AE76" s="43" t="s">
        <v>73</v>
      </c>
      <c r="AF76" s="43" t="s">
        <v>60</v>
      </c>
      <c r="AG76" s="43" t="s">
        <v>62</v>
      </c>
      <c r="AH76">
        <v>4</v>
      </c>
      <c r="AI76" t="s">
        <v>317</v>
      </c>
      <c r="AJ76" s="43" t="s">
        <v>309</v>
      </c>
      <c r="AK76">
        <v>8.6</v>
      </c>
    </row>
    <row r="77" spans="31:37" ht="21" x14ac:dyDescent="0.35">
      <c r="AE77" s="43" t="s">
        <v>73</v>
      </c>
      <c r="AF77" s="43" t="s">
        <v>60</v>
      </c>
      <c r="AG77" s="43" t="s">
        <v>62</v>
      </c>
      <c r="AH77">
        <v>4</v>
      </c>
      <c r="AI77" t="s">
        <v>317</v>
      </c>
      <c r="AJ77" s="43" t="s">
        <v>268</v>
      </c>
      <c r="AK77">
        <v>12.6</v>
      </c>
    </row>
    <row r="78" spans="31:37" ht="21" x14ac:dyDescent="0.35">
      <c r="AE78" s="43" t="s">
        <v>73</v>
      </c>
      <c r="AF78" s="43" t="s">
        <v>60</v>
      </c>
      <c r="AG78" s="43" t="s">
        <v>62</v>
      </c>
      <c r="AH78">
        <v>4</v>
      </c>
      <c r="AI78" t="s">
        <v>325</v>
      </c>
      <c r="AJ78" s="43" t="s">
        <v>308</v>
      </c>
      <c r="AK78">
        <v>4</v>
      </c>
    </row>
    <row r="79" spans="31:37" ht="21" x14ac:dyDescent="0.35">
      <c r="AE79" s="43" t="s">
        <v>73</v>
      </c>
      <c r="AF79" s="43" t="s">
        <v>60</v>
      </c>
      <c r="AG79" s="43" t="s">
        <v>62</v>
      </c>
      <c r="AH79">
        <v>4</v>
      </c>
      <c r="AI79" t="s">
        <v>325</v>
      </c>
      <c r="AJ79" s="43" t="s">
        <v>309</v>
      </c>
      <c r="AK79">
        <v>9.1</v>
      </c>
    </row>
    <row r="80" spans="31:37" ht="21" x14ac:dyDescent="0.35">
      <c r="AE80" s="43" t="s">
        <v>73</v>
      </c>
      <c r="AF80" s="43" t="s">
        <v>60</v>
      </c>
      <c r="AG80" s="43" t="s">
        <v>62</v>
      </c>
      <c r="AH80">
        <v>4</v>
      </c>
      <c r="AI80" t="s">
        <v>325</v>
      </c>
      <c r="AJ80" s="43" t="s">
        <v>268</v>
      </c>
      <c r="AK80">
        <v>13.1</v>
      </c>
    </row>
    <row r="81" spans="31:37" ht="21" x14ac:dyDescent="0.35">
      <c r="AE81" s="43" t="s">
        <v>73</v>
      </c>
      <c r="AF81" s="43" t="s">
        <v>60</v>
      </c>
      <c r="AG81" s="43" t="s">
        <v>62</v>
      </c>
      <c r="AH81">
        <v>4</v>
      </c>
      <c r="AI81" t="s">
        <v>330</v>
      </c>
      <c r="AJ81" s="43" t="s">
        <v>308</v>
      </c>
      <c r="AK81">
        <v>4</v>
      </c>
    </row>
    <row r="82" spans="31:37" ht="21" x14ac:dyDescent="0.35">
      <c r="AE82" s="43" t="s">
        <v>73</v>
      </c>
      <c r="AF82" s="43" t="s">
        <v>60</v>
      </c>
      <c r="AG82" s="43" t="s">
        <v>62</v>
      </c>
      <c r="AH82">
        <v>4</v>
      </c>
      <c r="AI82" t="s">
        <v>330</v>
      </c>
      <c r="AJ82" s="43" t="s">
        <v>309</v>
      </c>
      <c r="AK82">
        <v>9.35</v>
      </c>
    </row>
    <row r="83" spans="31:37" ht="21" x14ac:dyDescent="0.35">
      <c r="AE83" s="43" t="s">
        <v>73</v>
      </c>
      <c r="AF83" s="43" t="s">
        <v>60</v>
      </c>
      <c r="AG83" s="43" t="s">
        <v>62</v>
      </c>
      <c r="AH83">
        <v>4</v>
      </c>
      <c r="AI83" t="s">
        <v>330</v>
      </c>
      <c r="AJ83" s="43" t="s">
        <v>268</v>
      </c>
      <c r="AK83">
        <v>13.35</v>
      </c>
    </row>
    <row r="84" spans="31:37" ht="21" x14ac:dyDescent="0.35">
      <c r="AE84" s="43" t="s">
        <v>73</v>
      </c>
      <c r="AF84" s="43" t="s">
        <v>60</v>
      </c>
      <c r="AG84" s="43" t="s">
        <v>62</v>
      </c>
      <c r="AH84">
        <v>4</v>
      </c>
      <c r="AI84" t="s">
        <v>331</v>
      </c>
      <c r="AJ84" s="43" t="s">
        <v>308</v>
      </c>
      <c r="AK84">
        <v>4</v>
      </c>
    </row>
    <row r="85" spans="31:37" ht="21" x14ac:dyDescent="0.35">
      <c r="AE85" s="43" t="s">
        <v>73</v>
      </c>
      <c r="AF85" s="43" t="s">
        <v>60</v>
      </c>
      <c r="AG85" s="43" t="s">
        <v>62</v>
      </c>
      <c r="AH85">
        <v>4</v>
      </c>
      <c r="AI85" t="s">
        <v>331</v>
      </c>
      <c r="AJ85" s="43" t="s">
        <v>309</v>
      </c>
      <c r="AK85">
        <v>8.6999999999999993</v>
      </c>
    </row>
    <row r="86" spans="31:37" ht="21" x14ac:dyDescent="0.35">
      <c r="AE86" s="43" t="s">
        <v>73</v>
      </c>
      <c r="AF86" s="43" t="s">
        <v>60</v>
      </c>
      <c r="AG86" s="43" t="s">
        <v>62</v>
      </c>
      <c r="AH86">
        <v>4</v>
      </c>
      <c r="AI86" t="s">
        <v>331</v>
      </c>
      <c r="AJ86" s="43" t="s">
        <v>268</v>
      </c>
      <c r="AK86">
        <v>12.7</v>
      </c>
    </row>
    <row r="87" spans="31:37" ht="21" x14ac:dyDescent="0.35">
      <c r="AE87" s="43" t="s">
        <v>73</v>
      </c>
      <c r="AF87" s="43" t="s">
        <v>60</v>
      </c>
      <c r="AG87" s="43" t="s">
        <v>62</v>
      </c>
      <c r="AH87">
        <v>4</v>
      </c>
      <c r="AI87" t="s">
        <v>341</v>
      </c>
      <c r="AJ87" s="43" t="s">
        <v>308</v>
      </c>
      <c r="AK87">
        <v>12</v>
      </c>
    </row>
    <row r="88" spans="31:37" ht="21" x14ac:dyDescent="0.35">
      <c r="AE88" s="43" t="s">
        <v>73</v>
      </c>
      <c r="AF88" s="43" t="s">
        <v>60</v>
      </c>
      <c r="AG88" s="43" t="s">
        <v>62</v>
      </c>
      <c r="AH88">
        <v>4</v>
      </c>
      <c r="AI88" t="s">
        <v>341</v>
      </c>
      <c r="AJ88" s="43" t="s">
        <v>309</v>
      </c>
      <c r="AK88">
        <v>27.15</v>
      </c>
    </row>
    <row r="89" spans="31:37" ht="21" x14ac:dyDescent="0.35">
      <c r="AE89" s="43" t="s">
        <v>73</v>
      </c>
      <c r="AF89" s="43" t="s">
        <v>60</v>
      </c>
      <c r="AG89" s="43" t="s">
        <v>62</v>
      </c>
      <c r="AH89">
        <v>4</v>
      </c>
      <c r="AI89" t="s">
        <v>341</v>
      </c>
      <c r="AJ89" s="43" t="s">
        <v>268</v>
      </c>
      <c r="AK89">
        <v>39.15</v>
      </c>
    </row>
    <row r="90" spans="31:37" ht="21" x14ac:dyDescent="0.35">
      <c r="AE90" s="43" t="s">
        <v>73</v>
      </c>
      <c r="AF90" s="43" t="s">
        <v>60</v>
      </c>
      <c r="AG90" s="43" t="s">
        <v>62</v>
      </c>
      <c r="AH90">
        <v>4</v>
      </c>
      <c r="AI90" t="s">
        <v>273</v>
      </c>
      <c r="AJ90" s="43" t="s">
        <v>308</v>
      </c>
      <c r="AK90">
        <v>4</v>
      </c>
    </row>
    <row r="91" spans="31:37" ht="21" x14ac:dyDescent="0.35">
      <c r="AE91" s="43" t="s">
        <v>73</v>
      </c>
      <c r="AF91" s="43" t="s">
        <v>60</v>
      </c>
      <c r="AG91" s="43" t="s">
        <v>62</v>
      </c>
      <c r="AH91">
        <v>4</v>
      </c>
      <c r="AI91" t="s">
        <v>273</v>
      </c>
      <c r="AJ91" s="43" t="s">
        <v>309</v>
      </c>
      <c r="AK91">
        <v>9.0499999999999989</v>
      </c>
    </row>
    <row r="92" spans="31:37" ht="21" x14ac:dyDescent="0.35">
      <c r="AE92" s="43" t="s">
        <v>73</v>
      </c>
      <c r="AF92" s="43" t="s">
        <v>60</v>
      </c>
      <c r="AG92" s="43" t="s">
        <v>62</v>
      </c>
      <c r="AH92">
        <v>4</v>
      </c>
      <c r="AI92" t="s">
        <v>273</v>
      </c>
      <c r="AJ92" s="43" t="s">
        <v>268</v>
      </c>
      <c r="AK92">
        <v>13.049999999999999</v>
      </c>
    </row>
    <row r="93" spans="31:37" ht="21" x14ac:dyDescent="0.35">
      <c r="AE93" s="43" t="s">
        <v>90</v>
      </c>
      <c r="AF93" s="43" t="s">
        <v>60</v>
      </c>
      <c r="AG93" s="43" t="s">
        <v>36</v>
      </c>
      <c r="AH93">
        <v>3</v>
      </c>
      <c r="AI93" t="s">
        <v>317</v>
      </c>
      <c r="AJ93" s="43" t="s">
        <v>308</v>
      </c>
      <c r="AK93">
        <v>0</v>
      </c>
    </row>
    <row r="94" spans="31:37" ht="21" x14ac:dyDescent="0.35">
      <c r="AE94" s="43" t="s">
        <v>90</v>
      </c>
      <c r="AF94" s="43" t="s">
        <v>60</v>
      </c>
      <c r="AG94" s="43" t="s">
        <v>36</v>
      </c>
      <c r="AH94">
        <v>3</v>
      </c>
      <c r="AI94" t="s">
        <v>317</v>
      </c>
      <c r="AJ94" s="43" t="s">
        <v>309</v>
      </c>
      <c r="AK94">
        <v>0</v>
      </c>
    </row>
    <row r="95" spans="31:37" ht="21" x14ac:dyDescent="0.35">
      <c r="AE95" s="43" t="s">
        <v>90</v>
      </c>
      <c r="AF95" s="43" t="s">
        <v>60</v>
      </c>
      <c r="AG95" s="43" t="s">
        <v>36</v>
      </c>
      <c r="AH95">
        <v>3</v>
      </c>
      <c r="AI95" t="s">
        <v>317</v>
      </c>
      <c r="AJ95" s="43" t="s">
        <v>268</v>
      </c>
      <c r="AK95">
        <v>0</v>
      </c>
    </row>
    <row r="96" spans="31:37" ht="21" x14ac:dyDescent="0.35">
      <c r="AE96" s="43" t="s">
        <v>90</v>
      </c>
      <c r="AF96" s="43" t="s">
        <v>60</v>
      </c>
      <c r="AG96" s="43" t="s">
        <v>36</v>
      </c>
      <c r="AH96">
        <v>3</v>
      </c>
      <c r="AI96" t="s">
        <v>325</v>
      </c>
      <c r="AJ96" s="43" t="s">
        <v>308</v>
      </c>
      <c r="AK96">
        <v>4</v>
      </c>
    </row>
    <row r="97" spans="31:37" ht="21" x14ac:dyDescent="0.35">
      <c r="AE97" s="43" t="s">
        <v>90</v>
      </c>
      <c r="AF97" s="43" t="s">
        <v>60</v>
      </c>
      <c r="AG97" s="43" t="s">
        <v>36</v>
      </c>
      <c r="AH97">
        <v>3</v>
      </c>
      <c r="AI97" t="s">
        <v>325</v>
      </c>
      <c r="AJ97" s="43" t="s">
        <v>309</v>
      </c>
      <c r="AK97">
        <v>8.4</v>
      </c>
    </row>
    <row r="98" spans="31:37" ht="21" x14ac:dyDescent="0.35">
      <c r="AE98" s="43" t="s">
        <v>90</v>
      </c>
      <c r="AF98" s="43" t="s">
        <v>60</v>
      </c>
      <c r="AG98" s="43" t="s">
        <v>36</v>
      </c>
      <c r="AH98">
        <v>3</v>
      </c>
      <c r="AI98" t="s">
        <v>325</v>
      </c>
      <c r="AJ98" s="43" t="s">
        <v>268</v>
      </c>
      <c r="AK98">
        <v>12.4</v>
      </c>
    </row>
    <row r="99" spans="31:37" x14ac:dyDescent="0.25">
      <c r="AE99" s="43" t="s">
        <v>90</v>
      </c>
      <c r="AF99" s="43" t="s">
        <v>60</v>
      </c>
      <c r="AG99" s="43" t="s">
        <v>36</v>
      </c>
      <c r="AH99">
        <v>3</v>
      </c>
      <c r="AI99" t="s">
        <v>330</v>
      </c>
      <c r="AJ99" s="43" t="s">
        <v>308</v>
      </c>
      <c r="AK99">
        <v>4</v>
      </c>
    </row>
    <row r="100" spans="31:37" x14ac:dyDescent="0.25">
      <c r="AE100" s="43" t="s">
        <v>90</v>
      </c>
      <c r="AF100" s="43" t="s">
        <v>60</v>
      </c>
      <c r="AG100" s="43" t="s">
        <v>36</v>
      </c>
      <c r="AH100">
        <v>3</v>
      </c>
      <c r="AI100" t="s">
        <v>330</v>
      </c>
      <c r="AJ100" s="43" t="s">
        <v>309</v>
      </c>
      <c r="AK100">
        <v>9.25</v>
      </c>
    </row>
    <row r="101" spans="31:37" x14ac:dyDescent="0.25">
      <c r="AE101" s="43" t="s">
        <v>90</v>
      </c>
      <c r="AF101" s="43" t="s">
        <v>60</v>
      </c>
      <c r="AG101" s="43" t="s">
        <v>36</v>
      </c>
      <c r="AH101">
        <v>3</v>
      </c>
      <c r="AI101" t="s">
        <v>330</v>
      </c>
      <c r="AJ101" s="43" t="s">
        <v>268</v>
      </c>
      <c r="AK101">
        <v>13.25</v>
      </c>
    </row>
    <row r="102" spans="31:37" x14ac:dyDescent="0.25">
      <c r="AE102" s="43" t="s">
        <v>90</v>
      </c>
      <c r="AF102" s="43" t="s">
        <v>60</v>
      </c>
      <c r="AG102" s="43" t="s">
        <v>36</v>
      </c>
      <c r="AH102">
        <v>3</v>
      </c>
      <c r="AI102" t="s">
        <v>331</v>
      </c>
      <c r="AJ102" s="43" t="s">
        <v>308</v>
      </c>
      <c r="AK102">
        <v>4</v>
      </c>
    </row>
    <row r="103" spans="31:37" x14ac:dyDescent="0.25">
      <c r="AE103" s="43" t="s">
        <v>90</v>
      </c>
      <c r="AF103" s="43" t="s">
        <v>60</v>
      </c>
      <c r="AG103" s="43" t="s">
        <v>36</v>
      </c>
      <c r="AH103">
        <v>3</v>
      </c>
      <c r="AI103" t="s">
        <v>331</v>
      </c>
      <c r="AJ103" s="43" t="s">
        <v>309</v>
      </c>
      <c r="AK103">
        <v>8.9</v>
      </c>
    </row>
    <row r="104" spans="31:37" x14ac:dyDescent="0.25">
      <c r="AE104" s="43" t="s">
        <v>90</v>
      </c>
      <c r="AF104" s="43" t="s">
        <v>60</v>
      </c>
      <c r="AG104" s="43" t="s">
        <v>36</v>
      </c>
      <c r="AH104">
        <v>3</v>
      </c>
      <c r="AI104" t="s">
        <v>331</v>
      </c>
      <c r="AJ104" s="43" t="s">
        <v>268</v>
      </c>
      <c r="AK104">
        <v>12.9</v>
      </c>
    </row>
    <row r="105" spans="31:37" x14ac:dyDescent="0.25">
      <c r="AE105" s="43" t="s">
        <v>90</v>
      </c>
      <c r="AF105" s="43" t="s">
        <v>60</v>
      </c>
      <c r="AG105" s="43" t="s">
        <v>36</v>
      </c>
      <c r="AH105">
        <v>3</v>
      </c>
      <c r="AI105" t="s">
        <v>341</v>
      </c>
      <c r="AJ105" s="43" t="s">
        <v>308</v>
      </c>
      <c r="AK105">
        <v>12</v>
      </c>
    </row>
    <row r="106" spans="31:37" x14ac:dyDescent="0.25">
      <c r="AE106" s="43" t="s">
        <v>90</v>
      </c>
      <c r="AF106" s="43" t="s">
        <v>60</v>
      </c>
      <c r="AG106" s="43" t="s">
        <v>36</v>
      </c>
      <c r="AH106">
        <v>3</v>
      </c>
      <c r="AI106" t="s">
        <v>341</v>
      </c>
      <c r="AJ106" s="43" t="s">
        <v>309</v>
      </c>
      <c r="AK106">
        <v>26.549999999999997</v>
      </c>
    </row>
    <row r="107" spans="31:37" x14ac:dyDescent="0.25">
      <c r="AE107" s="43" t="s">
        <v>90</v>
      </c>
      <c r="AF107" s="43" t="s">
        <v>60</v>
      </c>
      <c r="AG107" s="43" t="s">
        <v>36</v>
      </c>
      <c r="AH107">
        <v>3</v>
      </c>
      <c r="AI107" t="s">
        <v>341</v>
      </c>
      <c r="AJ107" s="43" t="s">
        <v>268</v>
      </c>
      <c r="AK107">
        <v>38.549999999999997</v>
      </c>
    </row>
    <row r="108" spans="31:37" x14ac:dyDescent="0.25">
      <c r="AE108" s="43" t="s">
        <v>90</v>
      </c>
      <c r="AF108" s="43" t="s">
        <v>60</v>
      </c>
      <c r="AG108" s="43" t="s">
        <v>36</v>
      </c>
      <c r="AH108">
        <v>3</v>
      </c>
      <c r="AI108" t="s">
        <v>273</v>
      </c>
      <c r="AJ108" s="43" t="s">
        <v>308</v>
      </c>
      <c r="AK108">
        <v>4</v>
      </c>
    </row>
    <row r="109" spans="31:37" x14ac:dyDescent="0.25">
      <c r="AE109" s="43" t="s">
        <v>90</v>
      </c>
      <c r="AF109" s="43" t="s">
        <v>60</v>
      </c>
      <c r="AG109" s="43" t="s">
        <v>36</v>
      </c>
      <c r="AH109">
        <v>3</v>
      </c>
      <c r="AI109" t="s">
        <v>273</v>
      </c>
      <c r="AJ109" s="43" t="s">
        <v>309</v>
      </c>
      <c r="AK109">
        <v>8.85</v>
      </c>
    </row>
    <row r="110" spans="31:37" x14ac:dyDescent="0.25">
      <c r="AE110" s="43" t="s">
        <v>90</v>
      </c>
      <c r="AF110" s="43" t="s">
        <v>60</v>
      </c>
      <c r="AG110" s="43" t="s">
        <v>36</v>
      </c>
      <c r="AH110">
        <v>3</v>
      </c>
      <c r="AI110" t="s">
        <v>273</v>
      </c>
      <c r="AJ110" s="43" t="s">
        <v>268</v>
      </c>
      <c r="AK110">
        <v>12.85</v>
      </c>
    </row>
    <row r="111" spans="31:37" x14ac:dyDescent="0.25">
      <c r="AE111" s="43" t="s">
        <v>32</v>
      </c>
      <c r="AF111" s="43" t="s">
        <v>26</v>
      </c>
      <c r="AG111" s="43" t="s">
        <v>31</v>
      </c>
      <c r="AH111">
        <v>4</v>
      </c>
      <c r="AI111" t="s">
        <v>317</v>
      </c>
      <c r="AJ111" s="43" t="s">
        <v>308</v>
      </c>
      <c r="AK111">
        <v>3.2</v>
      </c>
    </row>
    <row r="112" spans="31:37" x14ac:dyDescent="0.25">
      <c r="AE112" s="43" t="s">
        <v>32</v>
      </c>
      <c r="AF112" s="43" t="s">
        <v>26</v>
      </c>
      <c r="AG112" s="43" t="s">
        <v>31</v>
      </c>
      <c r="AH112">
        <v>4</v>
      </c>
      <c r="AI112" t="s">
        <v>317</v>
      </c>
      <c r="AJ112" s="43" t="s">
        <v>309</v>
      </c>
      <c r="AK112">
        <v>9</v>
      </c>
    </row>
    <row r="113" spans="31:37" x14ac:dyDescent="0.25">
      <c r="AE113" s="43" t="s">
        <v>32</v>
      </c>
      <c r="AF113" s="43" t="s">
        <v>26</v>
      </c>
      <c r="AG113" s="43" t="s">
        <v>31</v>
      </c>
      <c r="AH113">
        <v>4</v>
      </c>
      <c r="AI113" t="s">
        <v>317</v>
      </c>
      <c r="AJ113" s="43" t="s">
        <v>268</v>
      </c>
      <c r="AK113">
        <v>12.2</v>
      </c>
    </row>
    <row r="114" spans="31:37" x14ac:dyDescent="0.25">
      <c r="AE114" s="43" t="s">
        <v>32</v>
      </c>
      <c r="AF114" s="43" t="s">
        <v>26</v>
      </c>
      <c r="AG114" s="43" t="s">
        <v>31</v>
      </c>
      <c r="AH114">
        <v>4</v>
      </c>
      <c r="AI114" t="s">
        <v>325</v>
      </c>
      <c r="AJ114" s="43" t="s">
        <v>308</v>
      </c>
      <c r="AK114">
        <v>3.2</v>
      </c>
    </row>
    <row r="115" spans="31:37" x14ac:dyDescent="0.25">
      <c r="AE115" s="43" t="s">
        <v>32</v>
      </c>
      <c r="AF115" s="43" t="s">
        <v>26</v>
      </c>
      <c r="AG115" s="43" t="s">
        <v>31</v>
      </c>
      <c r="AH115">
        <v>4</v>
      </c>
      <c r="AI115" t="s">
        <v>325</v>
      </c>
      <c r="AJ115" s="43" t="s">
        <v>309</v>
      </c>
      <c r="AK115">
        <v>9.4499999999999993</v>
      </c>
    </row>
    <row r="116" spans="31:37" x14ac:dyDescent="0.25">
      <c r="AE116" s="43" t="s">
        <v>32</v>
      </c>
      <c r="AF116" s="43" t="s">
        <v>26</v>
      </c>
      <c r="AG116" s="43" t="s">
        <v>31</v>
      </c>
      <c r="AH116">
        <v>4</v>
      </c>
      <c r="AI116" t="s">
        <v>325</v>
      </c>
      <c r="AJ116" s="43" t="s">
        <v>268</v>
      </c>
      <c r="AK116">
        <v>12.65</v>
      </c>
    </row>
    <row r="117" spans="31:37" x14ac:dyDescent="0.25">
      <c r="AE117" s="43" t="s">
        <v>32</v>
      </c>
      <c r="AF117" s="43" t="s">
        <v>26</v>
      </c>
      <c r="AG117" s="43" t="s">
        <v>31</v>
      </c>
      <c r="AH117">
        <v>4</v>
      </c>
      <c r="AI117" t="s">
        <v>330</v>
      </c>
      <c r="AJ117" s="43" t="s">
        <v>308</v>
      </c>
      <c r="AK117">
        <v>3.2</v>
      </c>
    </row>
    <row r="118" spans="31:37" x14ac:dyDescent="0.25">
      <c r="AE118" s="43" t="s">
        <v>32</v>
      </c>
      <c r="AF118" s="43" t="s">
        <v>26</v>
      </c>
      <c r="AG118" s="43" t="s">
        <v>31</v>
      </c>
      <c r="AH118">
        <v>4</v>
      </c>
      <c r="AI118" t="s">
        <v>330</v>
      </c>
      <c r="AJ118" s="43" t="s">
        <v>309</v>
      </c>
      <c r="AK118">
        <v>9.1999999999999993</v>
      </c>
    </row>
    <row r="119" spans="31:37" x14ac:dyDescent="0.25">
      <c r="AE119" s="43" t="s">
        <v>32</v>
      </c>
      <c r="AF119" s="43" t="s">
        <v>26</v>
      </c>
      <c r="AG119" s="43" t="s">
        <v>31</v>
      </c>
      <c r="AH119">
        <v>4</v>
      </c>
      <c r="AI119" t="s">
        <v>330</v>
      </c>
      <c r="AJ119" s="43" t="s">
        <v>268</v>
      </c>
      <c r="AK119">
        <v>12.4</v>
      </c>
    </row>
    <row r="120" spans="31:37" x14ac:dyDescent="0.25">
      <c r="AE120" s="43" t="s">
        <v>32</v>
      </c>
      <c r="AF120" s="43" t="s">
        <v>26</v>
      </c>
      <c r="AG120" s="43" t="s">
        <v>31</v>
      </c>
      <c r="AH120">
        <v>4</v>
      </c>
      <c r="AI120" t="s">
        <v>331</v>
      </c>
      <c r="AJ120" s="43" t="s">
        <v>308</v>
      </c>
      <c r="AK120">
        <v>2.8</v>
      </c>
    </row>
    <row r="121" spans="31:37" x14ac:dyDescent="0.25">
      <c r="AE121" s="43" t="s">
        <v>32</v>
      </c>
      <c r="AF121" s="43" t="s">
        <v>26</v>
      </c>
      <c r="AG121" s="43" t="s">
        <v>31</v>
      </c>
      <c r="AH121">
        <v>4</v>
      </c>
      <c r="AI121" t="s">
        <v>331</v>
      </c>
      <c r="AJ121" s="43" t="s">
        <v>309</v>
      </c>
      <c r="AK121">
        <v>8.8000000000000007</v>
      </c>
    </row>
    <row r="122" spans="31:37" x14ac:dyDescent="0.25">
      <c r="AE122" s="43" t="s">
        <v>32</v>
      </c>
      <c r="AF122" s="43" t="s">
        <v>26</v>
      </c>
      <c r="AG122" s="43" t="s">
        <v>31</v>
      </c>
      <c r="AH122">
        <v>4</v>
      </c>
      <c r="AI122" t="s">
        <v>331</v>
      </c>
      <c r="AJ122" s="43" t="s">
        <v>268</v>
      </c>
      <c r="AK122">
        <v>11.6</v>
      </c>
    </row>
    <row r="123" spans="31:37" x14ac:dyDescent="0.25">
      <c r="AE123" s="43" t="s">
        <v>32</v>
      </c>
      <c r="AF123" s="43" t="s">
        <v>26</v>
      </c>
      <c r="AG123" s="43" t="s">
        <v>31</v>
      </c>
      <c r="AH123">
        <v>4</v>
      </c>
      <c r="AI123" t="s">
        <v>341</v>
      </c>
      <c r="AJ123" s="43" t="s">
        <v>308</v>
      </c>
      <c r="AK123">
        <v>9.6000000000000014</v>
      </c>
    </row>
    <row r="124" spans="31:37" x14ac:dyDescent="0.25">
      <c r="AE124" s="43" t="s">
        <v>32</v>
      </c>
      <c r="AF124" s="43" t="s">
        <v>26</v>
      </c>
      <c r="AG124" s="43" t="s">
        <v>31</v>
      </c>
      <c r="AH124">
        <v>4</v>
      </c>
      <c r="AI124" t="s">
        <v>341</v>
      </c>
      <c r="AJ124" s="43" t="s">
        <v>309</v>
      </c>
      <c r="AK124">
        <v>27.65</v>
      </c>
    </row>
    <row r="125" spans="31:37" x14ac:dyDescent="0.25">
      <c r="AE125" s="43" t="s">
        <v>32</v>
      </c>
      <c r="AF125" s="43" t="s">
        <v>26</v>
      </c>
      <c r="AG125" s="43" t="s">
        <v>31</v>
      </c>
      <c r="AH125">
        <v>4</v>
      </c>
      <c r="AI125" t="s">
        <v>341</v>
      </c>
      <c r="AJ125" s="43" t="s">
        <v>268</v>
      </c>
      <c r="AK125">
        <v>37.25</v>
      </c>
    </row>
    <row r="126" spans="31:37" x14ac:dyDescent="0.25">
      <c r="AE126" s="43" t="s">
        <v>32</v>
      </c>
      <c r="AF126" s="43" t="s">
        <v>26</v>
      </c>
      <c r="AG126" s="43" t="s">
        <v>31</v>
      </c>
      <c r="AH126">
        <v>4</v>
      </c>
      <c r="AI126" t="s">
        <v>273</v>
      </c>
      <c r="AJ126" s="43" t="s">
        <v>308</v>
      </c>
      <c r="AK126">
        <v>3.2000000000000006</v>
      </c>
    </row>
    <row r="127" spans="31:37" x14ac:dyDescent="0.25">
      <c r="AE127" s="43" t="s">
        <v>32</v>
      </c>
      <c r="AF127" s="43" t="s">
        <v>26</v>
      </c>
      <c r="AG127" s="43" t="s">
        <v>31</v>
      </c>
      <c r="AH127">
        <v>4</v>
      </c>
      <c r="AI127" t="s">
        <v>273</v>
      </c>
      <c r="AJ127" s="43" t="s">
        <v>309</v>
      </c>
      <c r="AK127">
        <v>9.2166666666666668</v>
      </c>
    </row>
    <row r="128" spans="31:37" x14ac:dyDescent="0.25">
      <c r="AE128" s="43" t="s">
        <v>32</v>
      </c>
      <c r="AF128" s="43" t="s">
        <v>26</v>
      </c>
      <c r="AG128" s="43" t="s">
        <v>31</v>
      </c>
      <c r="AH128">
        <v>4</v>
      </c>
      <c r="AI128" t="s">
        <v>273</v>
      </c>
      <c r="AJ128" s="43" t="s">
        <v>268</v>
      </c>
      <c r="AK128">
        <v>12.416666666666666</v>
      </c>
    </row>
    <row r="129" spans="31:37" x14ac:dyDescent="0.25">
      <c r="AE129" s="43" t="s">
        <v>84</v>
      </c>
      <c r="AF129" s="43" t="s">
        <v>60</v>
      </c>
      <c r="AG129" s="43" t="s">
        <v>39</v>
      </c>
      <c r="AH129">
        <v>4</v>
      </c>
      <c r="AI129" t="s">
        <v>317</v>
      </c>
      <c r="AJ129" s="43" t="s">
        <v>308</v>
      </c>
      <c r="AK129">
        <v>3</v>
      </c>
    </row>
    <row r="130" spans="31:37" x14ac:dyDescent="0.25">
      <c r="AE130" s="43" t="s">
        <v>84</v>
      </c>
      <c r="AF130" s="43" t="s">
        <v>60</v>
      </c>
      <c r="AG130" s="43" t="s">
        <v>39</v>
      </c>
      <c r="AH130">
        <v>4</v>
      </c>
      <c r="AI130" t="s">
        <v>317</v>
      </c>
      <c r="AJ130" s="43" t="s">
        <v>309</v>
      </c>
      <c r="AK130">
        <v>9.3000000000000007</v>
      </c>
    </row>
    <row r="131" spans="31:37" x14ac:dyDescent="0.25">
      <c r="AE131" s="43" t="s">
        <v>84</v>
      </c>
      <c r="AF131" s="43" t="s">
        <v>60</v>
      </c>
      <c r="AG131" s="43" t="s">
        <v>39</v>
      </c>
      <c r="AH131">
        <v>4</v>
      </c>
      <c r="AI131" t="s">
        <v>317</v>
      </c>
      <c r="AJ131" s="43" t="s">
        <v>268</v>
      </c>
      <c r="AK131">
        <v>12.3</v>
      </c>
    </row>
    <row r="132" spans="31:37" x14ac:dyDescent="0.25">
      <c r="AE132" s="43" t="s">
        <v>84</v>
      </c>
      <c r="AF132" s="43" t="s">
        <v>60</v>
      </c>
      <c r="AG132" s="43" t="s">
        <v>39</v>
      </c>
      <c r="AH132">
        <v>4</v>
      </c>
      <c r="AI132" t="s">
        <v>325</v>
      </c>
      <c r="AJ132" s="43" t="s">
        <v>308</v>
      </c>
      <c r="AK132">
        <v>3.2</v>
      </c>
    </row>
    <row r="133" spans="31:37" x14ac:dyDescent="0.25">
      <c r="AE133" s="43" t="s">
        <v>84</v>
      </c>
      <c r="AF133" s="43" t="s">
        <v>60</v>
      </c>
      <c r="AG133" s="43" t="s">
        <v>39</v>
      </c>
      <c r="AH133">
        <v>4</v>
      </c>
      <c r="AI133" t="s">
        <v>325</v>
      </c>
      <c r="AJ133" s="43" t="s">
        <v>309</v>
      </c>
      <c r="AK133">
        <v>9.25</v>
      </c>
    </row>
    <row r="134" spans="31:37" x14ac:dyDescent="0.25">
      <c r="AE134" s="43" t="s">
        <v>84</v>
      </c>
      <c r="AF134" s="43" t="s">
        <v>60</v>
      </c>
      <c r="AG134" s="43" t="s">
        <v>39</v>
      </c>
      <c r="AH134">
        <v>4</v>
      </c>
      <c r="AI134" t="s">
        <v>325</v>
      </c>
      <c r="AJ134" s="43" t="s">
        <v>268</v>
      </c>
      <c r="AK134">
        <v>12.45</v>
      </c>
    </row>
    <row r="135" spans="31:37" x14ac:dyDescent="0.25">
      <c r="AE135" s="43" t="s">
        <v>84</v>
      </c>
      <c r="AF135" s="43" t="s">
        <v>60</v>
      </c>
      <c r="AG135" s="43" t="s">
        <v>39</v>
      </c>
      <c r="AH135">
        <v>4</v>
      </c>
      <c r="AI135" t="s">
        <v>330</v>
      </c>
      <c r="AJ135" s="43" t="s">
        <v>308</v>
      </c>
      <c r="AK135">
        <v>3.2</v>
      </c>
    </row>
    <row r="136" spans="31:37" x14ac:dyDescent="0.25">
      <c r="AE136" s="43" t="s">
        <v>84</v>
      </c>
      <c r="AF136" s="43" t="s">
        <v>60</v>
      </c>
      <c r="AG136" s="43" t="s">
        <v>39</v>
      </c>
      <c r="AH136">
        <v>4</v>
      </c>
      <c r="AI136" t="s">
        <v>330</v>
      </c>
      <c r="AJ136" s="43" t="s">
        <v>309</v>
      </c>
      <c r="AK136">
        <v>9.3000000000000007</v>
      </c>
    </row>
    <row r="137" spans="31:37" x14ac:dyDescent="0.25">
      <c r="AE137" s="43" t="s">
        <v>84</v>
      </c>
      <c r="AF137" s="43" t="s">
        <v>60</v>
      </c>
      <c r="AG137" s="43" t="s">
        <v>39</v>
      </c>
      <c r="AH137">
        <v>4</v>
      </c>
      <c r="AI137" t="s">
        <v>330</v>
      </c>
      <c r="AJ137" s="43" t="s">
        <v>268</v>
      </c>
      <c r="AK137">
        <v>12.5</v>
      </c>
    </row>
    <row r="138" spans="31:37" x14ac:dyDescent="0.25">
      <c r="AE138" s="43" t="s">
        <v>84</v>
      </c>
      <c r="AF138" s="43" t="s">
        <v>60</v>
      </c>
      <c r="AG138" s="43" t="s">
        <v>39</v>
      </c>
      <c r="AH138">
        <v>4</v>
      </c>
      <c r="AI138" t="s">
        <v>331</v>
      </c>
      <c r="AJ138" s="43" t="s">
        <v>308</v>
      </c>
      <c r="AK138">
        <v>3.2</v>
      </c>
    </row>
    <row r="139" spans="31:37" x14ac:dyDescent="0.25">
      <c r="AE139" s="43" t="s">
        <v>84</v>
      </c>
      <c r="AF139" s="43" t="s">
        <v>60</v>
      </c>
      <c r="AG139" s="43" t="s">
        <v>39</v>
      </c>
      <c r="AH139">
        <v>4</v>
      </c>
      <c r="AI139" t="s">
        <v>331</v>
      </c>
      <c r="AJ139" s="43" t="s">
        <v>309</v>
      </c>
      <c r="AK139">
        <v>8.3000000000000007</v>
      </c>
    </row>
    <row r="140" spans="31:37" x14ac:dyDescent="0.25">
      <c r="AE140" s="43" t="s">
        <v>84</v>
      </c>
      <c r="AF140" s="43" t="s">
        <v>60</v>
      </c>
      <c r="AG140" s="43" t="s">
        <v>39</v>
      </c>
      <c r="AH140">
        <v>4</v>
      </c>
      <c r="AI140" t="s">
        <v>331</v>
      </c>
      <c r="AJ140" s="43" t="s">
        <v>268</v>
      </c>
      <c r="AK140">
        <v>11.5</v>
      </c>
    </row>
    <row r="141" spans="31:37" x14ac:dyDescent="0.25">
      <c r="AE141" s="43" t="s">
        <v>84</v>
      </c>
      <c r="AF141" s="43" t="s">
        <v>60</v>
      </c>
      <c r="AG141" s="43" t="s">
        <v>39</v>
      </c>
      <c r="AH141">
        <v>4</v>
      </c>
      <c r="AI141" t="s">
        <v>341</v>
      </c>
      <c r="AJ141" s="43" t="s">
        <v>308</v>
      </c>
      <c r="AK141">
        <v>9.6000000000000014</v>
      </c>
    </row>
    <row r="142" spans="31:37" x14ac:dyDescent="0.25">
      <c r="AE142" s="43" t="s">
        <v>84</v>
      </c>
      <c r="AF142" s="43" t="s">
        <v>60</v>
      </c>
      <c r="AG142" s="43" t="s">
        <v>39</v>
      </c>
      <c r="AH142">
        <v>4</v>
      </c>
      <c r="AI142" t="s">
        <v>341</v>
      </c>
      <c r="AJ142" s="43" t="s">
        <v>309</v>
      </c>
      <c r="AK142">
        <v>27.85</v>
      </c>
    </row>
    <row r="143" spans="31:37" x14ac:dyDescent="0.25">
      <c r="AE143" s="43" t="s">
        <v>84</v>
      </c>
      <c r="AF143" s="43" t="s">
        <v>60</v>
      </c>
      <c r="AG143" s="43" t="s">
        <v>39</v>
      </c>
      <c r="AH143">
        <v>4</v>
      </c>
      <c r="AI143" t="s">
        <v>341</v>
      </c>
      <c r="AJ143" s="43" t="s">
        <v>268</v>
      </c>
      <c r="AK143">
        <v>37.25</v>
      </c>
    </row>
    <row r="144" spans="31:37" x14ac:dyDescent="0.25">
      <c r="AE144" s="43" t="s">
        <v>84</v>
      </c>
      <c r="AF144" s="43" t="s">
        <v>60</v>
      </c>
      <c r="AG144" s="43" t="s">
        <v>39</v>
      </c>
      <c r="AH144">
        <v>4</v>
      </c>
      <c r="AI144" t="s">
        <v>273</v>
      </c>
      <c r="AJ144" s="43" t="s">
        <v>308</v>
      </c>
      <c r="AK144">
        <v>3.2000000000000006</v>
      </c>
    </row>
    <row r="145" spans="31:37" x14ac:dyDescent="0.25">
      <c r="AE145" s="43" t="s">
        <v>84</v>
      </c>
      <c r="AF145" s="43" t="s">
        <v>60</v>
      </c>
      <c r="AG145" s="43" t="s">
        <v>39</v>
      </c>
      <c r="AH145">
        <v>4</v>
      </c>
      <c r="AI145" t="s">
        <v>273</v>
      </c>
      <c r="AJ145" s="43" t="s">
        <v>309</v>
      </c>
      <c r="AK145">
        <v>9.2833333333333332</v>
      </c>
    </row>
    <row r="146" spans="31:37" x14ac:dyDescent="0.25">
      <c r="AE146" s="43" t="s">
        <v>84</v>
      </c>
      <c r="AF146" s="43" t="s">
        <v>60</v>
      </c>
      <c r="AG146" s="43" t="s">
        <v>39</v>
      </c>
      <c r="AH146">
        <v>4</v>
      </c>
      <c r="AI146" t="s">
        <v>273</v>
      </c>
      <c r="AJ146" s="43" t="s">
        <v>268</v>
      </c>
      <c r="AK146">
        <v>12.416666666666666</v>
      </c>
    </row>
    <row r="147" spans="31:37" x14ac:dyDescent="0.25">
      <c r="AE147" s="43" t="s">
        <v>29</v>
      </c>
      <c r="AF147" s="43" t="s">
        <v>26</v>
      </c>
      <c r="AG147" s="43" t="s">
        <v>31</v>
      </c>
      <c r="AH147">
        <v>3</v>
      </c>
      <c r="AI147" t="s">
        <v>317</v>
      </c>
      <c r="AJ147" s="43" t="s">
        <v>308</v>
      </c>
      <c r="AK147">
        <v>2.8</v>
      </c>
    </row>
    <row r="148" spans="31:37" x14ac:dyDescent="0.25">
      <c r="AE148" s="43" t="s">
        <v>29</v>
      </c>
      <c r="AF148" s="43" t="s">
        <v>26</v>
      </c>
      <c r="AG148" s="43" t="s">
        <v>31</v>
      </c>
      <c r="AH148">
        <v>3</v>
      </c>
      <c r="AI148" t="s">
        <v>317</v>
      </c>
      <c r="AJ148" s="43" t="s">
        <v>309</v>
      </c>
      <c r="AK148">
        <v>8.6</v>
      </c>
    </row>
    <row r="149" spans="31:37" x14ac:dyDescent="0.25">
      <c r="AE149" s="43" t="s">
        <v>29</v>
      </c>
      <c r="AF149" s="43" t="s">
        <v>26</v>
      </c>
      <c r="AG149" s="43" t="s">
        <v>31</v>
      </c>
      <c r="AH149">
        <v>3</v>
      </c>
      <c r="AI149" t="s">
        <v>317</v>
      </c>
      <c r="AJ149" s="43" t="s">
        <v>268</v>
      </c>
      <c r="AK149">
        <v>11.4</v>
      </c>
    </row>
    <row r="150" spans="31:37" x14ac:dyDescent="0.25">
      <c r="AE150" s="43" t="s">
        <v>29</v>
      </c>
      <c r="AF150" s="43" t="s">
        <v>26</v>
      </c>
      <c r="AG150" s="43" t="s">
        <v>31</v>
      </c>
      <c r="AH150">
        <v>3</v>
      </c>
      <c r="AI150" t="s">
        <v>325</v>
      </c>
      <c r="AJ150" s="43" t="s">
        <v>308</v>
      </c>
      <c r="AK150">
        <v>4</v>
      </c>
    </row>
    <row r="151" spans="31:37" x14ac:dyDescent="0.25">
      <c r="AE151" s="43" t="s">
        <v>29</v>
      </c>
      <c r="AF151" s="43" t="s">
        <v>26</v>
      </c>
      <c r="AG151" s="43" t="s">
        <v>31</v>
      </c>
      <c r="AH151">
        <v>3</v>
      </c>
      <c r="AI151" t="s">
        <v>325</v>
      </c>
      <c r="AJ151" s="43" t="s">
        <v>309</v>
      </c>
      <c r="AK151">
        <v>8.9499999999999993</v>
      </c>
    </row>
    <row r="152" spans="31:37" x14ac:dyDescent="0.25">
      <c r="AE152" s="43" t="s">
        <v>29</v>
      </c>
      <c r="AF152" s="43" t="s">
        <v>26</v>
      </c>
      <c r="AG152" s="43" t="s">
        <v>31</v>
      </c>
      <c r="AH152">
        <v>3</v>
      </c>
      <c r="AI152" t="s">
        <v>325</v>
      </c>
      <c r="AJ152" s="43" t="s">
        <v>268</v>
      </c>
      <c r="AK152">
        <v>12.95</v>
      </c>
    </row>
    <row r="153" spans="31:37" x14ac:dyDescent="0.25">
      <c r="AE153" s="43" t="s">
        <v>29</v>
      </c>
      <c r="AF153" s="43" t="s">
        <v>26</v>
      </c>
      <c r="AG153" s="43" t="s">
        <v>31</v>
      </c>
      <c r="AH153">
        <v>3</v>
      </c>
      <c r="AI153" t="s">
        <v>330</v>
      </c>
      <c r="AJ153" s="43" t="s">
        <v>308</v>
      </c>
      <c r="AK153">
        <v>0</v>
      </c>
    </row>
    <row r="154" spans="31:37" x14ac:dyDescent="0.25">
      <c r="AE154" s="43" t="s">
        <v>29</v>
      </c>
      <c r="AF154" s="43" t="s">
        <v>26</v>
      </c>
      <c r="AG154" s="43" t="s">
        <v>31</v>
      </c>
      <c r="AH154">
        <v>3</v>
      </c>
      <c r="AI154" t="s">
        <v>330</v>
      </c>
      <c r="AJ154" s="43" t="s">
        <v>309</v>
      </c>
      <c r="AK154">
        <v>0</v>
      </c>
    </row>
    <row r="155" spans="31:37" x14ac:dyDescent="0.25">
      <c r="AE155" s="43" t="s">
        <v>29</v>
      </c>
      <c r="AF155" s="43" t="s">
        <v>26</v>
      </c>
      <c r="AG155" s="43" t="s">
        <v>31</v>
      </c>
      <c r="AH155">
        <v>3</v>
      </c>
      <c r="AI155" t="s">
        <v>330</v>
      </c>
      <c r="AJ155" s="43" t="s">
        <v>268</v>
      </c>
      <c r="AK155">
        <v>0</v>
      </c>
    </row>
    <row r="156" spans="31:37" x14ac:dyDescent="0.25">
      <c r="AE156" s="43" t="s">
        <v>29</v>
      </c>
      <c r="AF156" s="43" t="s">
        <v>26</v>
      </c>
      <c r="AG156" s="43" t="s">
        <v>31</v>
      </c>
      <c r="AH156">
        <v>3</v>
      </c>
      <c r="AI156" t="s">
        <v>331</v>
      </c>
      <c r="AJ156" s="43" t="s">
        <v>308</v>
      </c>
      <c r="AK156">
        <v>4</v>
      </c>
    </row>
    <row r="157" spans="31:37" x14ac:dyDescent="0.25">
      <c r="AE157" s="43" t="s">
        <v>29</v>
      </c>
      <c r="AF157" s="43" t="s">
        <v>26</v>
      </c>
      <c r="AG157" s="43" t="s">
        <v>31</v>
      </c>
      <c r="AH157">
        <v>3</v>
      </c>
      <c r="AI157" t="s">
        <v>331</v>
      </c>
      <c r="AJ157" s="43" t="s">
        <v>309</v>
      </c>
      <c r="AK157">
        <v>8.6</v>
      </c>
    </row>
    <row r="158" spans="31:37" x14ac:dyDescent="0.25">
      <c r="AE158" s="43" t="s">
        <v>29</v>
      </c>
      <c r="AF158" s="43" t="s">
        <v>26</v>
      </c>
      <c r="AG158" s="43" t="s">
        <v>31</v>
      </c>
      <c r="AH158">
        <v>3</v>
      </c>
      <c r="AI158" t="s">
        <v>331</v>
      </c>
      <c r="AJ158" s="43" t="s">
        <v>268</v>
      </c>
      <c r="AK158">
        <v>12.6</v>
      </c>
    </row>
    <row r="159" spans="31:37" x14ac:dyDescent="0.25">
      <c r="AE159" s="43" t="s">
        <v>29</v>
      </c>
      <c r="AF159" s="43" t="s">
        <v>26</v>
      </c>
      <c r="AG159" s="43" t="s">
        <v>31</v>
      </c>
      <c r="AH159">
        <v>3</v>
      </c>
      <c r="AI159" t="s">
        <v>341</v>
      </c>
      <c r="AJ159" s="43" t="s">
        <v>308</v>
      </c>
      <c r="AK159">
        <v>10.8</v>
      </c>
    </row>
    <row r="160" spans="31:37" x14ac:dyDescent="0.25">
      <c r="AE160" s="43" t="s">
        <v>29</v>
      </c>
      <c r="AF160" s="43" t="s">
        <v>26</v>
      </c>
      <c r="AG160" s="43" t="s">
        <v>31</v>
      </c>
      <c r="AH160">
        <v>3</v>
      </c>
      <c r="AI160" t="s">
        <v>341</v>
      </c>
      <c r="AJ160" s="43" t="s">
        <v>309</v>
      </c>
      <c r="AK160">
        <v>26.15</v>
      </c>
    </row>
    <row r="161" spans="31:37" x14ac:dyDescent="0.25">
      <c r="AE161" s="43" t="s">
        <v>29</v>
      </c>
      <c r="AF161" s="43" t="s">
        <v>26</v>
      </c>
      <c r="AG161" s="43" t="s">
        <v>31</v>
      </c>
      <c r="AH161">
        <v>3</v>
      </c>
      <c r="AI161" t="s">
        <v>341</v>
      </c>
      <c r="AJ161" s="43" t="s">
        <v>268</v>
      </c>
      <c r="AK161">
        <v>36.949999999999996</v>
      </c>
    </row>
    <row r="162" spans="31:37" x14ac:dyDescent="0.25">
      <c r="AE162" s="43" t="s">
        <v>29</v>
      </c>
      <c r="AF162" s="43" t="s">
        <v>26</v>
      </c>
      <c r="AG162" s="43" t="s">
        <v>31</v>
      </c>
      <c r="AH162">
        <v>3</v>
      </c>
      <c r="AI162" t="s">
        <v>273</v>
      </c>
      <c r="AJ162" s="43" t="s">
        <v>308</v>
      </c>
      <c r="AK162">
        <v>3.6</v>
      </c>
    </row>
    <row r="163" spans="31:37" x14ac:dyDescent="0.25">
      <c r="AE163" s="43" t="s">
        <v>29</v>
      </c>
      <c r="AF163" s="43" t="s">
        <v>26</v>
      </c>
      <c r="AG163" s="43" t="s">
        <v>31</v>
      </c>
      <c r="AH163">
        <v>3</v>
      </c>
      <c r="AI163" t="s">
        <v>273</v>
      </c>
      <c r="AJ163" s="43" t="s">
        <v>309</v>
      </c>
      <c r="AK163">
        <v>8.7166666666666668</v>
      </c>
    </row>
    <row r="164" spans="31:37" x14ac:dyDescent="0.25">
      <c r="AE164" s="43" t="s">
        <v>29</v>
      </c>
      <c r="AF164" s="43" t="s">
        <v>26</v>
      </c>
      <c r="AG164" s="43" t="s">
        <v>31</v>
      </c>
      <c r="AH164">
        <v>3</v>
      </c>
      <c r="AI164" t="s">
        <v>273</v>
      </c>
      <c r="AJ164" s="43" t="s">
        <v>268</v>
      </c>
      <c r="AK164">
        <v>12.316666666666665</v>
      </c>
    </row>
    <row r="165" spans="31:37" x14ac:dyDescent="0.25">
      <c r="AE165" s="43" t="s">
        <v>80</v>
      </c>
      <c r="AF165" s="43" t="s">
        <v>60</v>
      </c>
      <c r="AG165" s="43" t="s">
        <v>62</v>
      </c>
      <c r="AH165">
        <v>4</v>
      </c>
      <c r="AI165" t="s">
        <v>317</v>
      </c>
      <c r="AJ165" s="43" t="s">
        <v>308</v>
      </c>
      <c r="AK165">
        <v>3.6</v>
      </c>
    </row>
    <row r="166" spans="31:37" x14ac:dyDescent="0.25">
      <c r="AE166" s="43" t="s">
        <v>80</v>
      </c>
      <c r="AF166" s="43" t="s">
        <v>60</v>
      </c>
      <c r="AG166" s="43" t="s">
        <v>62</v>
      </c>
      <c r="AH166">
        <v>4</v>
      </c>
      <c r="AI166" t="s">
        <v>317</v>
      </c>
      <c r="AJ166" s="43" t="s">
        <v>309</v>
      </c>
      <c r="AK166">
        <v>8.4</v>
      </c>
    </row>
    <row r="167" spans="31:37" x14ac:dyDescent="0.25">
      <c r="AE167" s="43" t="s">
        <v>80</v>
      </c>
      <c r="AF167" s="43" t="s">
        <v>60</v>
      </c>
      <c r="AG167" s="43" t="s">
        <v>62</v>
      </c>
      <c r="AH167">
        <v>4</v>
      </c>
      <c r="AI167" t="s">
        <v>317</v>
      </c>
      <c r="AJ167" s="43" t="s">
        <v>268</v>
      </c>
      <c r="AK167">
        <v>12</v>
      </c>
    </row>
    <row r="168" spans="31:37" x14ac:dyDescent="0.25">
      <c r="AE168" s="43" t="s">
        <v>80</v>
      </c>
      <c r="AF168" s="43" t="s">
        <v>60</v>
      </c>
      <c r="AG168" s="43" t="s">
        <v>62</v>
      </c>
      <c r="AH168">
        <v>4</v>
      </c>
      <c r="AI168" t="s">
        <v>325</v>
      </c>
      <c r="AJ168" s="43" t="s">
        <v>308</v>
      </c>
      <c r="AK168">
        <v>3.6</v>
      </c>
    </row>
    <row r="169" spans="31:37" x14ac:dyDescent="0.25">
      <c r="AE169" s="43" t="s">
        <v>80</v>
      </c>
      <c r="AF169" s="43" t="s">
        <v>60</v>
      </c>
      <c r="AG169" s="43" t="s">
        <v>62</v>
      </c>
      <c r="AH169">
        <v>4</v>
      </c>
      <c r="AI169" t="s">
        <v>325</v>
      </c>
      <c r="AJ169" s="43" t="s">
        <v>309</v>
      </c>
      <c r="AK169">
        <v>8.15</v>
      </c>
    </row>
    <row r="170" spans="31:37" x14ac:dyDescent="0.25">
      <c r="AE170" s="43" t="s">
        <v>80</v>
      </c>
      <c r="AF170" s="43" t="s">
        <v>60</v>
      </c>
      <c r="AG170" s="43" t="s">
        <v>62</v>
      </c>
      <c r="AH170">
        <v>4</v>
      </c>
      <c r="AI170" t="s">
        <v>325</v>
      </c>
      <c r="AJ170" s="43" t="s">
        <v>268</v>
      </c>
      <c r="AK170">
        <v>11.75</v>
      </c>
    </row>
    <row r="171" spans="31:37" x14ac:dyDescent="0.25">
      <c r="AE171" s="43" t="s">
        <v>80</v>
      </c>
      <c r="AF171" s="43" t="s">
        <v>60</v>
      </c>
      <c r="AG171" s="43" t="s">
        <v>62</v>
      </c>
      <c r="AH171">
        <v>4</v>
      </c>
      <c r="AI171" t="s">
        <v>330</v>
      </c>
      <c r="AJ171" s="43" t="s">
        <v>308</v>
      </c>
      <c r="AK171">
        <v>4</v>
      </c>
    </row>
    <row r="172" spans="31:37" x14ac:dyDescent="0.25">
      <c r="AE172" s="43" t="s">
        <v>80</v>
      </c>
      <c r="AF172" s="43" t="s">
        <v>60</v>
      </c>
      <c r="AG172" s="43" t="s">
        <v>62</v>
      </c>
      <c r="AH172">
        <v>4</v>
      </c>
      <c r="AI172" t="s">
        <v>330</v>
      </c>
      <c r="AJ172" s="43" t="s">
        <v>309</v>
      </c>
      <c r="AK172">
        <v>8.65</v>
      </c>
    </row>
    <row r="173" spans="31:37" x14ac:dyDescent="0.25">
      <c r="AE173" s="43" t="s">
        <v>80</v>
      </c>
      <c r="AF173" s="43" t="s">
        <v>60</v>
      </c>
      <c r="AG173" s="43" t="s">
        <v>62</v>
      </c>
      <c r="AH173">
        <v>4</v>
      </c>
      <c r="AI173" t="s">
        <v>330</v>
      </c>
      <c r="AJ173" s="43" t="s">
        <v>268</v>
      </c>
      <c r="AK173">
        <v>12.65</v>
      </c>
    </row>
    <row r="174" spans="31:37" x14ac:dyDescent="0.25">
      <c r="AE174" s="43" t="s">
        <v>80</v>
      </c>
      <c r="AF174" s="43" t="s">
        <v>60</v>
      </c>
      <c r="AG174" s="43" t="s">
        <v>62</v>
      </c>
      <c r="AH174">
        <v>4</v>
      </c>
      <c r="AI174" t="s">
        <v>331</v>
      </c>
      <c r="AJ174" s="43" t="s">
        <v>308</v>
      </c>
      <c r="AK174">
        <v>2.4</v>
      </c>
    </row>
    <row r="175" spans="31:37" x14ac:dyDescent="0.25">
      <c r="AE175" s="43" t="s">
        <v>80</v>
      </c>
      <c r="AF175" s="43" t="s">
        <v>60</v>
      </c>
      <c r="AG175" s="43" t="s">
        <v>62</v>
      </c>
      <c r="AH175">
        <v>4</v>
      </c>
      <c r="AI175" t="s">
        <v>331</v>
      </c>
      <c r="AJ175" s="43" t="s">
        <v>309</v>
      </c>
      <c r="AK175">
        <v>8.3000000000000007</v>
      </c>
    </row>
    <row r="176" spans="31:37" x14ac:dyDescent="0.25">
      <c r="AE176" s="43" t="s">
        <v>80</v>
      </c>
      <c r="AF176" s="43" t="s">
        <v>60</v>
      </c>
      <c r="AG176" s="43" t="s">
        <v>62</v>
      </c>
      <c r="AH176">
        <v>4</v>
      </c>
      <c r="AI176" t="s">
        <v>331</v>
      </c>
      <c r="AJ176" s="43" t="s">
        <v>268</v>
      </c>
      <c r="AK176">
        <v>10.7</v>
      </c>
    </row>
    <row r="177" spans="31:37" x14ac:dyDescent="0.25">
      <c r="AE177" s="43" t="s">
        <v>80</v>
      </c>
      <c r="AF177" s="43" t="s">
        <v>60</v>
      </c>
      <c r="AG177" s="43" t="s">
        <v>62</v>
      </c>
      <c r="AH177">
        <v>4</v>
      </c>
      <c r="AI177" t="s">
        <v>341</v>
      </c>
      <c r="AJ177" s="43" t="s">
        <v>308</v>
      </c>
      <c r="AK177">
        <v>11.2</v>
      </c>
    </row>
    <row r="178" spans="31:37" x14ac:dyDescent="0.25">
      <c r="AE178" s="43" t="s">
        <v>80</v>
      </c>
      <c r="AF178" s="43" t="s">
        <v>60</v>
      </c>
      <c r="AG178" s="43" t="s">
        <v>62</v>
      </c>
      <c r="AH178">
        <v>4</v>
      </c>
      <c r="AI178" t="s">
        <v>341</v>
      </c>
      <c r="AJ178" s="43" t="s">
        <v>309</v>
      </c>
      <c r="AK178">
        <v>25.35</v>
      </c>
    </row>
    <row r="179" spans="31:37" x14ac:dyDescent="0.25">
      <c r="AE179" s="43" t="s">
        <v>80</v>
      </c>
      <c r="AF179" s="43" t="s">
        <v>60</v>
      </c>
      <c r="AG179" s="43" t="s">
        <v>62</v>
      </c>
      <c r="AH179">
        <v>4</v>
      </c>
      <c r="AI179" t="s">
        <v>341</v>
      </c>
      <c r="AJ179" s="43" t="s">
        <v>268</v>
      </c>
      <c r="AK179">
        <v>36.4</v>
      </c>
    </row>
    <row r="180" spans="31:37" x14ac:dyDescent="0.25">
      <c r="AE180" s="43" t="s">
        <v>80</v>
      </c>
      <c r="AF180" s="43" t="s">
        <v>60</v>
      </c>
      <c r="AG180" s="43" t="s">
        <v>62</v>
      </c>
      <c r="AH180">
        <v>4</v>
      </c>
      <c r="AI180" t="s">
        <v>273</v>
      </c>
      <c r="AJ180" s="43" t="s">
        <v>308</v>
      </c>
      <c r="AK180">
        <v>3.7333333333333329</v>
      </c>
    </row>
    <row r="181" spans="31:37" x14ac:dyDescent="0.25">
      <c r="AE181" s="43" t="s">
        <v>80</v>
      </c>
      <c r="AF181" s="43" t="s">
        <v>60</v>
      </c>
      <c r="AG181" s="43" t="s">
        <v>62</v>
      </c>
      <c r="AH181">
        <v>4</v>
      </c>
      <c r="AI181" t="s">
        <v>273</v>
      </c>
      <c r="AJ181" s="43" t="s">
        <v>309</v>
      </c>
      <c r="AK181">
        <v>8.4500000000000011</v>
      </c>
    </row>
    <row r="182" spans="31:37" x14ac:dyDescent="0.25">
      <c r="AE182" s="43" t="s">
        <v>80</v>
      </c>
      <c r="AF182" s="43" t="s">
        <v>60</v>
      </c>
      <c r="AG182" s="43" t="s">
        <v>62</v>
      </c>
      <c r="AH182">
        <v>4</v>
      </c>
      <c r="AI182" t="s">
        <v>273</v>
      </c>
      <c r="AJ182" s="43" t="s">
        <v>268</v>
      </c>
      <c r="AK182">
        <v>12.133333333333333</v>
      </c>
    </row>
    <row r="183" spans="31:37" x14ac:dyDescent="0.25">
      <c r="AE183" s="43" t="s">
        <v>40</v>
      </c>
      <c r="AF183" s="43" t="s">
        <v>26</v>
      </c>
      <c r="AG183" s="43" t="s">
        <v>39</v>
      </c>
      <c r="AH183">
        <v>3</v>
      </c>
      <c r="AI183" t="s">
        <v>317</v>
      </c>
      <c r="AJ183" s="43" t="s">
        <v>308</v>
      </c>
      <c r="AK183">
        <v>0</v>
      </c>
    </row>
    <row r="184" spans="31:37" x14ac:dyDescent="0.25">
      <c r="AE184" s="43" t="s">
        <v>40</v>
      </c>
      <c r="AF184" s="43" t="s">
        <v>26</v>
      </c>
      <c r="AG184" s="43" t="s">
        <v>39</v>
      </c>
      <c r="AH184">
        <v>3</v>
      </c>
      <c r="AI184" t="s">
        <v>317</v>
      </c>
      <c r="AJ184" s="43" t="s">
        <v>309</v>
      </c>
      <c r="AK184">
        <v>0</v>
      </c>
    </row>
    <row r="185" spans="31:37" x14ac:dyDescent="0.25">
      <c r="AE185" s="43" t="s">
        <v>40</v>
      </c>
      <c r="AF185" s="43" t="s">
        <v>26</v>
      </c>
      <c r="AG185" s="43" t="s">
        <v>39</v>
      </c>
      <c r="AH185">
        <v>3</v>
      </c>
      <c r="AI185" t="s">
        <v>317</v>
      </c>
      <c r="AJ185" s="43" t="s">
        <v>268</v>
      </c>
      <c r="AK185">
        <v>0</v>
      </c>
    </row>
    <row r="186" spans="31:37" x14ac:dyDescent="0.25">
      <c r="AE186" s="43" t="s">
        <v>40</v>
      </c>
      <c r="AF186" s="43" t="s">
        <v>26</v>
      </c>
      <c r="AG186" s="43" t="s">
        <v>39</v>
      </c>
      <c r="AH186">
        <v>3</v>
      </c>
      <c r="AI186" t="s">
        <v>325</v>
      </c>
      <c r="AJ186" s="43" t="s">
        <v>308</v>
      </c>
      <c r="AK186">
        <v>4</v>
      </c>
    </row>
    <row r="187" spans="31:37" x14ac:dyDescent="0.25">
      <c r="AE187" s="43" t="s">
        <v>40</v>
      </c>
      <c r="AF187" s="43" t="s">
        <v>26</v>
      </c>
      <c r="AG187" s="43" t="s">
        <v>39</v>
      </c>
      <c r="AH187">
        <v>3</v>
      </c>
      <c r="AI187" t="s">
        <v>325</v>
      </c>
      <c r="AJ187" s="43" t="s">
        <v>309</v>
      </c>
      <c r="AK187">
        <v>7.95</v>
      </c>
    </row>
    <row r="188" spans="31:37" x14ac:dyDescent="0.25">
      <c r="AE188" s="43" t="s">
        <v>40</v>
      </c>
      <c r="AF188" s="43" t="s">
        <v>26</v>
      </c>
      <c r="AG188" s="43" t="s">
        <v>39</v>
      </c>
      <c r="AH188">
        <v>3</v>
      </c>
      <c r="AI188" t="s">
        <v>325</v>
      </c>
      <c r="AJ188" s="43" t="s">
        <v>268</v>
      </c>
      <c r="AK188">
        <v>11.95</v>
      </c>
    </row>
    <row r="189" spans="31:37" x14ac:dyDescent="0.25">
      <c r="AE189" s="43" t="s">
        <v>40</v>
      </c>
      <c r="AF189" s="43" t="s">
        <v>26</v>
      </c>
      <c r="AG189" s="43" t="s">
        <v>39</v>
      </c>
      <c r="AH189">
        <v>3</v>
      </c>
      <c r="AI189" t="s">
        <v>330</v>
      </c>
      <c r="AJ189" s="43" t="s">
        <v>308</v>
      </c>
      <c r="AK189">
        <v>4</v>
      </c>
    </row>
    <row r="190" spans="31:37" x14ac:dyDescent="0.25">
      <c r="AE190" s="43" t="s">
        <v>40</v>
      </c>
      <c r="AF190" s="43" t="s">
        <v>26</v>
      </c>
      <c r="AG190" s="43" t="s">
        <v>39</v>
      </c>
      <c r="AH190">
        <v>3</v>
      </c>
      <c r="AI190" t="s">
        <v>330</v>
      </c>
      <c r="AJ190" s="43" t="s">
        <v>309</v>
      </c>
      <c r="AK190">
        <v>8.8000000000000007</v>
      </c>
    </row>
    <row r="191" spans="31:37" x14ac:dyDescent="0.25">
      <c r="AE191" s="43" t="s">
        <v>40</v>
      </c>
      <c r="AF191" s="43" t="s">
        <v>26</v>
      </c>
      <c r="AG191" s="43" t="s">
        <v>39</v>
      </c>
      <c r="AH191">
        <v>3</v>
      </c>
      <c r="AI191" t="s">
        <v>330</v>
      </c>
      <c r="AJ191" s="43" t="s">
        <v>268</v>
      </c>
      <c r="AK191">
        <v>12.8</v>
      </c>
    </row>
    <row r="192" spans="31:37" x14ac:dyDescent="0.25">
      <c r="AE192" s="43" t="s">
        <v>40</v>
      </c>
      <c r="AF192" s="43" t="s">
        <v>26</v>
      </c>
      <c r="AG192" s="43" t="s">
        <v>39</v>
      </c>
      <c r="AH192">
        <v>3</v>
      </c>
      <c r="AI192" t="s">
        <v>331</v>
      </c>
      <c r="AJ192" s="43" t="s">
        <v>308</v>
      </c>
      <c r="AK192">
        <v>2.8</v>
      </c>
    </row>
    <row r="193" spans="31:37" x14ac:dyDescent="0.25">
      <c r="AE193" s="43" t="s">
        <v>40</v>
      </c>
      <c r="AF193" s="43" t="s">
        <v>26</v>
      </c>
      <c r="AG193" s="43" t="s">
        <v>39</v>
      </c>
      <c r="AH193">
        <v>3</v>
      </c>
      <c r="AI193" t="s">
        <v>331</v>
      </c>
      <c r="AJ193" s="43" t="s">
        <v>309</v>
      </c>
      <c r="AK193">
        <v>8.6</v>
      </c>
    </row>
    <row r="194" spans="31:37" x14ac:dyDescent="0.25">
      <c r="AE194" s="43" t="s">
        <v>40</v>
      </c>
      <c r="AF194" s="43" t="s">
        <v>26</v>
      </c>
      <c r="AG194" s="43" t="s">
        <v>39</v>
      </c>
      <c r="AH194">
        <v>3</v>
      </c>
      <c r="AI194" t="s">
        <v>331</v>
      </c>
      <c r="AJ194" s="43" t="s">
        <v>268</v>
      </c>
      <c r="AK194">
        <v>11.4</v>
      </c>
    </row>
    <row r="195" spans="31:37" x14ac:dyDescent="0.25">
      <c r="AE195" s="43" t="s">
        <v>40</v>
      </c>
      <c r="AF195" s="43" t="s">
        <v>26</v>
      </c>
      <c r="AG195" s="43" t="s">
        <v>39</v>
      </c>
      <c r="AH195">
        <v>3</v>
      </c>
      <c r="AI195" t="s">
        <v>341</v>
      </c>
      <c r="AJ195" s="43" t="s">
        <v>308</v>
      </c>
      <c r="AK195">
        <v>10.8</v>
      </c>
    </row>
    <row r="196" spans="31:37" x14ac:dyDescent="0.25">
      <c r="AE196" s="43" t="s">
        <v>40</v>
      </c>
      <c r="AF196" s="43" t="s">
        <v>26</v>
      </c>
      <c r="AG196" s="43" t="s">
        <v>39</v>
      </c>
      <c r="AH196">
        <v>3</v>
      </c>
      <c r="AI196" t="s">
        <v>341</v>
      </c>
      <c r="AJ196" s="43" t="s">
        <v>309</v>
      </c>
      <c r="AK196">
        <v>25.349999999999998</v>
      </c>
    </row>
    <row r="197" spans="31:37" x14ac:dyDescent="0.25">
      <c r="AE197" s="43" t="s">
        <v>40</v>
      </c>
      <c r="AF197" s="43" t="s">
        <v>26</v>
      </c>
      <c r="AG197" s="43" t="s">
        <v>39</v>
      </c>
      <c r="AH197">
        <v>3</v>
      </c>
      <c r="AI197" t="s">
        <v>341</v>
      </c>
      <c r="AJ197" s="43" t="s">
        <v>268</v>
      </c>
      <c r="AK197">
        <v>36.15</v>
      </c>
    </row>
    <row r="198" spans="31:37" x14ac:dyDescent="0.25">
      <c r="AE198" s="43" t="s">
        <v>40</v>
      </c>
      <c r="AF198" s="43" t="s">
        <v>26</v>
      </c>
      <c r="AG198" s="43" t="s">
        <v>39</v>
      </c>
      <c r="AH198">
        <v>3</v>
      </c>
      <c r="AI198" t="s">
        <v>273</v>
      </c>
      <c r="AJ198" s="43" t="s">
        <v>308</v>
      </c>
      <c r="AK198">
        <v>3.6</v>
      </c>
    </row>
    <row r="199" spans="31:37" x14ac:dyDescent="0.25">
      <c r="AE199" s="43" t="s">
        <v>40</v>
      </c>
      <c r="AF199" s="43" t="s">
        <v>26</v>
      </c>
      <c r="AG199" s="43" t="s">
        <v>39</v>
      </c>
      <c r="AH199">
        <v>3</v>
      </c>
      <c r="AI199" t="s">
        <v>273</v>
      </c>
      <c r="AJ199" s="43" t="s">
        <v>309</v>
      </c>
      <c r="AK199">
        <v>8.4499999999999993</v>
      </c>
    </row>
    <row r="200" spans="31:37" x14ac:dyDescent="0.25">
      <c r="AE200" s="43" t="s">
        <v>40</v>
      </c>
      <c r="AF200" s="43" t="s">
        <v>26</v>
      </c>
      <c r="AG200" s="43" t="s">
        <v>39</v>
      </c>
      <c r="AH200">
        <v>3</v>
      </c>
      <c r="AI200" t="s">
        <v>273</v>
      </c>
      <c r="AJ200" s="43" t="s">
        <v>268</v>
      </c>
      <c r="AK200">
        <v>12.049999999999999</v>
      </c>
    </row>
    <row r="201" spans="31:37" x14ac:dyDescent="0.25">
      <c r="AE201" s="43" t="s">
        <v>77</v>
      </c>
      <c r="AF201" s="43" t="s">
        <v>60</v>
      </c>
      <c r="AG201" s="43" t="s">
        <v>79</v>
      </c>
      <c r="AH201">
        <v>4</v>
      </c>
      <c r="AI201" t="s">
        <v>317</v>
      </c>
      <c r="AJ201" s="43" t="s">
        <v>308</v>
      </c>
      <c r="AK201">
        <v>3.6</v>
      </c>
    </row>
    <row r="202" spans="31:37" x14ac:dyDescent="0.25">
      <c r="AE202" s="43" t="s">
        <v>77</v>
      </c>
      <c r="AF202" s="43" t="s">
        <v>60</v>
      </c>
      <c r="AG202" s="43" t="s">
        <v>79</v>
      </c>
      <c r="AH202">
        <v>4</v>
      </c>
      <c r="AI202" t="s">
        <v>317</v>
      </c>
      <c r="AJ202" s="43" t="s">
        <v>309</v>
      </c>
      <c r="AK202">
        <v>7.8</v>
      </c>
    </row>
    <row r="203" spans="31:37" x14ac:dyDescent="0.25">
      <c r="AE203" s="43" t="s">
        <v>77</v>
      </c>
      <c r="AF203" s="43" t="s">
        <v>60</v>
      </c>
      <c r="AG203" s="43" t="s">
        <v>79</v>
      </c>
      <c r="AH203">
        <v>4</v>
      </c>
      <c r="AI203" t="s">
        <v>317</v>
      </c>
      <c r="AJ203" s="43" t="s">
        <v>268</v>
      </c>
      <c r="AK203">
        <v>11.4</v>
      </c>
    </row>
    <row r="204" spans="31:37" x14ac:dyDescent="0.25">
      <c r="AE204" s="43" t="s">
        <v>77</v>
      </c>
      <c r="AF204" s="43" t="s">
        <v>60</v>
      </c>
      <c r="AG204" s="43" t="s">
        <v>79</v>
      </c>
      <c r="AH204">
        <v>4</v>
      </c>
      <c r="AI204" t="s">
        <v>325</v>
      </c>
      <c r="AJ204" s="43" t="s">
        <v>308</v>
      </c>
      <c r="AK204">
        <v>3.2</v>
      </c>
    </row>
    <row r="205" spans="31:37" x14ac:dyDescent="0.25">
      <c r="AE205" s="43" t="s">
        <v>77</v>
      </c>
      <c r="AF205" s="43" t="s">
        <v>60</v>
      </c>
      <c r="AG205" s="43" t="s">
        <v>79</v>
      </c>
      <c r="AH205">
        <v>4</v>
      </c>
      <c r="AI205" t="s">
        <v>325</v>
      </c>
      <c r="AJ205" s="43" t="s">
        <v>309</v>
      </c>
      <c r="AK205">
        <v>9.15</v>
      </c>
    </row>
    <row r="206" spans="31:37" x14ac:dyDescent="0.25">
      <c r="AE206" s="43" t="s">
        <v>77</v>
      </c>
      <c r="AF206" s="43" t="s">
        <v>60</v>
      </c>
      <c r="AG206" s="43" t="s">
        <v>79</v>
      </c>
      <c r="AH206">
        <v>4</v>
      </c>
      <c r="AI206" t="s">
        <v>325</v>
      </c>
      <c r="AJ206" s="43" t="s">
        <v>268</v>
      </c>
      <c r="AK206">
        <v>12.35</v>
      </c>
    </row>
    <row r="207" spans="31:37" x14ac:dyDescent="0.25">
      <c r="AE207" s="43" t="s">
        <v>77</v>
      </c>
      <c r="AF207" s="43" t="s">
        <v>60</v>
      </c>
      <c r="AG207" s="43" t="s">
        <v>79</v>
      </c>
      <c r="AH207">
        <v>4</v>
      </c>
      <c r="AI207" t="s">
        <v>330</v>
      </c>
      <c r="AJ207" s="43" t="s">
        <v>308</v>
      </c>
      <c r="AK207">
        <v>3.2</v>
      </c>
    </row>
    <row r="208" spans="31:37" x14ac:dyDescent="0.25">
      <c r="AE208" s="43" t="s">
        <v>77</v>
      </c>
      <c r="AF208" s="43" t="s">
        <v>60</v>
      </c>
      <c r="AG208" s="43" t="s">
        <v>79</v>
      </c>
      <c r="AH208">
        <v>4</v>
      </c>
      <c r="AI208" t="s">
        <v>330</v>
      </c>
      <c r="AJ208" s="43" t="s">
        <v>309</v>
      </c>
      <c r="AK208">
        <v>9.0500000000000007</v>
      </c>
    </row>
    <row r="209" spans="31:37" x14ac:dyDescent="0.25">
      <c r="AE209" s="43" t="s">
        <v>77</v>
      </c>
      <c r="AF209" s="43" t="s">
        <v>60</v>
      </c>
      <c r="AG209" s="43" t="s">
        <v>79</v>
      </c>
      <c r="AH209">
        <v>4</v>
      </c>
      <c r="AI209" t="s">
        <v>330</v>
      </c>
      <c r="AJ209" s="43" t="s">
        <v>268</v>
      </c>
      <c r="AK209">
        <v>12.25</v>
      </c>
    </row>
    <row r="210" spans="31:37" x14ac:dyDescent="0.25">
      <c r="AE210" s="43" t="s">
        <v>77</v>
      </c>
      <c r="AF210" s="43" t="s">
        <v>60</v>
      </c>
      <c r="AG210" s="43" t="s">
        <v>79</v>
      </c>
      <c r="AH210">
        <v>4</v>
      </c>
      <c r="AI210" t="s">
        <v>331</v>
      </c>
      <c r="AJ210" s="43" t="s">
        <v>308</v>
      </c>
      <c r="AK210">
        <v>3.2</v>
      </c>
    </row>
    <row r="211" spans="31:37" x14ac:dyDescent="0.25">
      <c r="AE211" s="43" t="s">
        <v>77</v>
      </c>
      <c r="AF211" s="43" t="s">
        <v>60</v>
      </c>
      <c r="AG211" s="43" t="s">
        <v>79</v>
      </c>
      <c r="AH211">
        <v>4</v>
      </c>
      <c r="AI211" t="s">
        <v>331</v>
      </c>
      <c r="AJ211" s="43" t="s">
        <v>309</v>
      </c>
      <c r="AK211">
        <v>8.3000000000000007</v>
      </c>
    </row>
    <row r="212" spans="31:37" x14ac:dyDescent="0.25">
      <c r="AE212" s="43" t="s">
        <v>77</v>
      </c>
      <c r="AF212" s="43" t="s">
        <v>60</v>
      </c>
      <c r="AG212" s="43" t="s">
        <v>79</v>
      </c>
      <c r="AH212">
        <v>4</v>
      </c>
      <c r="AI212" t="s">
        <v>331</v>
      </c>
      <c r="AJ212" s="43" t="s">
        <v>268</v>
      </c>
      <c r="AK212">
        <v>11.5</v>
      </c>
    </row>
    <row r="213" spans="31:37" x14ac:dyDescent="0.25">
      <c r="AE213" s="43" t="s">
        <v>77</v>
      </c>
      <c r="AF213" s="43" t="s">
        <v>60</v>
      </c>
      <c r="AG213" s="43" t="s">
        <v>79</v>
      </c>
      <c r="AH213">
        <v>4</v>
      </c>
      <c r="AI213" t="s">
        <v>341</v>
      </c>
      <c r="AJ213" s="43" t="s">
        <v>308</v>
      </c>
      <c r="AK213">
        <v>10</v>
      </c>
    </row>
    <row r="214" spans="31:37" x14ac:dyDescent="0.25">
      <c r="AE214" s="43" t="s">
        <v>77</v>
      </c>
      <c r="AF214" s="43" t="s">
        <v>60</v>
      </c>
      <c r="AG214" s="43" t="s">
        <v>79</v>
      </c>
      <c r="AH214">
        <v>4</v>
      </c>
      <c r="AI214" t="s">
        <v>341</v>
      </c>
      <c r="AJ214" s="43" t="s">
        <v>309</v>
      </c>
      <c r="AK214">
        <v>26.500000000000004</v>
      </c>
    </row>
    <row r="215" spans="31:37" x14ac:dyDescent="0.25">
      <c r="AE215" s="43" t="s">
        <v>77</v>
      </c>
      <c r="AF215" s="43" t="s">
        <v>60</v>
      </c>
      <c r="AG215" s="43" t="s">
        <v>79</v>
      </c>
      <c r="AH215">
        <v>4</v>
      </c>
      <c r="AI215" t="s">
        <v>341</v>
      </c>
      <c r="AJ215" s="43" t="s">
        <v>268</v>
      </c>
      <c r="AK215">
        <v>36.1</v>
      </c>
    </row>
    <row r="216" spans="31:37" x14ac:dyDescent="0.25">
      <c r="AE216" s="43" t="s">
        <v>77</v>
      </c>
      <c r="AF216" s="43" t="s">
        <v>60</v>
      </c>
      <c r="AG216" s="43" t="s">
        <v>79</v>
      </c>
      <c r="AH216">
        <v>4</v>
      </c>
      <c r="AI216" t="s">
        <v>273</v>
      </c>
      <c r="AJ216" s="43" t="s">
        <v>308</v>
      </c>
      <c r="AK216">
        <v>3.3333333333333335</v>
      </c>
    </row>
    <row r="217" spans="31:37" x14ac:dyDescent="0.25">
      <c r="AE217" s="43" t="s">
        <v>77</v>
      </c>
      <c r="AF217" s="43" t="s">
        <v>60</v>
      </c>
      <c r="AG217" s="43" t="s">
        <v>79</v>
      </c>
      <c r="AH217">
        <v>4</v>
      </c>
      <c r="AI217" t="s">
        <v>273</v>
      </c>
      <c r="AJ217" s="43" t="s">
        <v>309</v>
      </c>
      <c r="AK217">
        <v>8.8333333333333339</v>
      </c>
    </row>
    <row r="218" spans="31:37" x14ac:dyDescent="0.25">
      <c r="AE218" s="43" t="s">
        <v>77</v>
      </c>
      <c r="AF218" s="43" t="s">
        <v>60</v>
      </c>
      <c r="AG218" s="43" t="s">
        <v>79</v>
      </c>
      <c r="AH218">
        <v>4</v>
      </c>
      <c r="AI218" t="s">
        <v>273</v>
      </c>
      <c r="AJ218" s="43" t="s">
        <v>268</v>
      </c>
      <c r="AK218">
        <v>12.033333333333333</v>
      </c>
    </row>
    <row r="219" spans="31:37" x14ac:dyDescent="0.25">
      <c r="AE219" s="43" t="s">
        <v>42</v>
      </c>
      <c r="AF219" s="43" t="s">
        <v>26</v>
      </c>
      <c r="AG219" s="43" t="s">
        <v>36</v>
      </c>
      <c r="AH219">
        <v>4</v>
      </c>
      <c r="AI219" t="s">
        <v>317</v>
      </c>
      <c r="AJ219" s="43" t="s">
        <v>308</v>
      </c>
      <c r="AK219">
        <v>4</v>
      </c>
    </row>
    <row r="220" spans="31:37" x14ac:dyDescent="0.25">
      <c r="AE220" s="43" t="s">
        <v>42</v>
      </c>
      <c r="AF220" s="43" t="s">
        <v>26</v>
      </c>
      <c r="AG220" s="43" t="s">
        <v>36</v>
      </c>
      <c r="AH220">
        <v>4</v>
      </c>
      <c r="AI220" t="s">
        <v>317</v>
      </c>
      <c r="AJ220" s="43" t="s">
        <v>309</v>
      </c>
      <c r="AK220">
        <v>7.9</v>
      </c>
    </row>
    <row r="221" spans="31:37" x14ac:dyDescent="0.25">
      <c r="AE221" s="43" t="s">
        <v>42</v>
      </c>
      <c r="AF221" s="43" t="s">
        <v>26</v>
      </c>
      <c r="AG221" s="43" t="s">
        <v>36</v>
      </c>
      <c r="AH221">
        <v>4</v>
      </c>
      <c r="AI221" t="s">
        <v>317</v>
      </c>
      <c r="AJ221" s="43" t="s">
        <v>268</v>
      </c>
      <c r="AK221">
        <v>11.9</v>
      </c>
    </row>
    <row r="222" spans="31:37" x14ac:dyDescent="0.25">
      <c r="AE222" s="43" t="s">
        <v>42</v>
      </c>
      <c r="AF222" s="43" t="s">
        <v>26</v>
      </c>
      <c r="AG222" s="43" t="s">
        <v>36</v>
      </c>
      <c r="AH222">
        <v>4</v>
      </c>
      <c r="AI222" t="s">
        <v>325</v>
      </c>
      <c r="AJ222" s="43" t="s">
        <v>308</v>
      </c>
      <c r="AK222">
        <v>2.8</v>
      </c>
    </row>
    <row r="223" spans="31:37" x14ac:dyDescent="0.25">
      <c r="AE223" s="43" t="s">
        <v>42</v>
      </c>
      <c r="AF223" s="43" t="s">
        <v>26</v>
      </c>
      <c r="AG223" s="43" t="s">
        <v>36</v>
      </c>
      <c r="AH223">
        <v>4</v>
      </c>
      <c r="AI223" t="s">
        <v>325</v>
      </c>
      <c r="AJ223" s="43" t="s">
        <v>309</v>
      </c>
      <c r="AK223">
        <v>9.0500000000000007</v>
      </c>
    </row>
    <row r="224" spans="31:37" x14ac:dyDescent="0.25">
      <c r="AE224" s="43" t="s">
        <v>42</v>
      </c>
      <c r="AF224" s="43" t="s">
        <v>26</v>
      </c>
      <c r="AG224" s="43" t="s">
        <v>36</v>
      </c>
      <c r="AH224">
        <v>4</v>
      </c>
      <c r="AI224" t="s">
        <v>325</v>
      </c>
      <c r="AJ224" s="43" t="s">
        <v>268</v>
      </c>
      <c r="AK224">
        <v>11.85</v>
      </c>
    </row>
    <row r="225" spans="31:37" x14ac:dyDescent="0.25">
      <c r="AE225" s="43" t="s">
        <v>42</v>
      </c>
      <c r="AF225" s="43" t="s">
        <v>26</v>
      </c>
      <c r="AG225" s="43" t="s">
        <v>36</v>
      </c>
      <c r="AH225">
        <v>4</v>
      </c>
      <c r="AI225" t="s">
        <v>330</v>
      </c>
      <c r="AJ225" s="43" t="s">
        <v>308</v>
      </c>
      <c r="AK225">
        <v>2.8</v>
      </c>
    </row>
    <row r="226" spans="31:37" x14ac:dyDescent="0.25">
      <c r="AE226" s="43" t="s">
        <v>42</v>
      </c>
      <c r="AF226" s="43" t="s">
        <v>26</v>
      </c>
      <c r="AG226" s="43" t="s">
        <v>36</v>
      </c>
      <c r="AH226">
        <v>4</v>
      </c>
      <c r="AI226" t="s">
        <v>330</v>
      </c>
      <c r="AJ226" s="43" t="s">
        <v>309</v>
      </c>
      <c r="AK226">
        <v>9.1999999999999993</v>
      </c>
    </row>
    <row r="227" spans="31:37" x14ac:dyDescent="0.25">
      <c r="AE227" s="43" t="s">
        <v>42</v>
      </c>
      <c r="AF227" s="43" t="s">
        <v>26</v>
      </c>
      <c r="AG227" s="43" t="s">
        <v>36</v>
      </c>
      <c r="AH227">
        <v>4</v>
      </c>
      <c r="AI227" t="s">
        <v>330</v>
      </c>
      <c r="AJ227" s="43" t="s">
        <v>268</v>
      </c>
      <c r="AK227">
        <v>12</v>
      </c>
    </row>
    <row r="228" spans="31:37" x14ac:dyDescent="0.25">
      <c r="AE228" s="43" t="s">
        <v>42</v>
      </c>
      <c r="AF228" s="43" t="s">
        <v>26</v>
      </c>
      <c r="AG228" s="43" t="s">
        <v>36</v>
      </c>
      <c r="AH228">
        <v>4</v>
      </c>
      <c r="AI228" t="s">
        <v>331</v>
      </c>
      <c r="AJ228" s="43" t="s">
        <v>308</v>
      </c>
      <c r="AK228">
        <v>2.8</v>
      </c>
    </row>
    <row r="229" spans="31:37" x14ac:dyDescent="0.25">
      <c r="AE229" s="43" t="s">
        <v>42</v>
      </c>
      <c r="AF229" s="43" t="s">
        <v>26</v>
      </c>
      <c r="AG229" s="43" t="s">
        <v>36</v>
      </c>
      <c r="AH229">
        <v>4</v>
      </c>
      <c r="AI229" t="s">
        <v>331</v>
      </c>
      <c r="AJ229" s="43" t="s">
        <v>309</v>
      </c>
      <c r="AK229">
        <v>8.4</v>
      </c>
    </row>
    <row r="230" spans="31:37" x14ac:dyDescent="0.25">
      <c r="AE230" s="43" t="s">
        <v>42</v>
      </c>
      <c r="AF230" s="43" t="s">
        <v>26</v>
      </c>
      <c r="AG230" s="43" t="s">
        <v>36</v>
      </c>
      <c r="AH230">
        <v>4</v>
      </c>
      <c r="AI230" t="s">
        <v>331</v>
      </c>
      <c r="AJ230" s="43" t="s">
        <v>268</v>
      </c>
      <c r="AK230">
        <v>11.2</v>
      </c>
    </row>
    <row r="231" spans="31:37" x14ac:dyDescent="0.25">
      <c r="AE231" s="43" t="s">
        <v>42</v>
      </c>
      <c r="AF231" s="43" t="s">
        <v>26</v>
      </c>
      <c r="AG231" s="43" t="s">
        <v>36</v>
      </c>
      <c r="AH231">
        <v>4</v>
      </c>
      <c r="AI231" t="s">
        <v>341</v>
      </c>
      <c r="AJ231" s="43" t="s">
        <v>308</v>
      </c>
      <c r="AK231">
        <v>9.6</v>
      </c>
    </row>
    <row r="232" spans="31:37" x14ac:dyDescent="0.25">
      <c r="AE232" s="43" t="s">
        <v>42</v>
      </c>
      <c r="AF232" s="43" t="s">
        <v>26</v>
      </c>
      <c r="AG232" s="43" t="s">
        <v>36</v>
      </c>
      <c r="AH232">
        <v>4</v>
      </c>
      <c r="AI232" t="s">
        <v>341</v>
      </c>
      <c r="AJ232" s="43" t="s">
        <v>309</v>
      </c>
      <c r="AK232">
        <v>26.65</v>
      </c>
    </row>
    <row r="233" spans="31:37" x14ac:dyDescent="0.25">
      <c r="AE233" s="43" t="s">
        <v>42</v>
      </c>
      <c r="AF233" s="43" t="s">
        <v>26</v>
      </c>
      <c r="AG233" s="43" t="s">
        <v>36</v>
      </c>
      <c r="AH233">
        <v>4</v>
      </c>
      <c r="AI233" t="s">
        <v>341</v>
      </c>
      <c r="AJ233" s="43" t="s">
        <v>268</v>
      </c>
      <c r="AK233">
        <v>35.75</v>
      </c>
    </row>
    <row r="234" spans="31:37" x14ac:dyDescent="0.25">
      <c r="AE234" s="43" t="s">
        <v>42</v>
      </c>
      <c r="AF234" s="43" t="s">
        <v>26</v>
      </c>
      <c r="AG234" s="43" t="s">
        <v>36</v>
      </c>
      <c r="AH234">
        <v>4</v>
      </c>
      <c r="AI234" t="s">
        <v>273</v>
      </c>
      <c r="AJ234" s="43" t="s">
        <v>308</v>
      </c>
      <c r="AK234">
        <v>3.1999999999999997</v>
      </c>
    </row>
    <row r="235" spans="31:37" x14ac:dyDescent="0.25">
      <c r="AE235" s="43" t="s">
        <v>42</v>
      </c>
      <c r="AF235" s="43" t="s">
        <v>26</v>
      </c>
      <c r="AG235" s="43" t="s">
        <v>36</v>
      </c>
      <c r="AH235">
        <v>4</v>
      </c>
      <c r="AI235" t="s">
        <v>273</v>
      </c>
      <c r="AJ235" s="43" t="s">
        <v>309</v>
      </c>
      <c r="AK235">
        <v>8.8833333333333329</v>
      </c>
    </row>
    <row r="236" spans="31:37" x14ac:dyDescent="0.25">
      <c r="AE236" s="43" t="s">
        <v>42</v>
      </c>
      <c r="AF236" s="43" t="s">
        <v>26</v>
      </c>
      <c r="AG236" s="43" t="s">
        <v>36</v>
      </c>
      <c r="AH236">
        <v>4</v>
      </c>
      <c r="AI236" t="s">
        <v>273</v>
      </c>
      <c r="AJ236" s="43" t="s">
        <v>268</v>
      </c>
      <c r="AK236">
        <v>11.916666666666666</v>
      </c>
    </row>
    <row r="237" spans="31:37" x14ac:dyDescent="0.25">
      <c r="AE237" s="43" t="s">
        <v>44</v>
      </c>
      <c r="AF237" s="43" t="s">
        <v>26</v>
      </c>
      <c r="AG237" s="43" t="s">
        <v>39</v>
      </c>
      <c r="AH237">
        <v>4</v>
      </c>
      <c r="AI237" t="s">
        <v>317</v>
      </c>
      <c r="AJ237" s="43" t="s">
        <v>308</v>
      </c>
      <c r="AK237">
        <v>2.8</v>
      </c>
    </row>
    <row r="238" spans="31:37" x14ac:dyDescent="0.25">
      <c r="AE238" s="43" t="s">
        <v>44</v>
      </c>
      <c r="AF238" s="43" t="s">
        <v>26</v>
      </c>
      <c r="AG238" s="43" t="s">
        <v>39</v>
      </c>
      <c r="AH238">
        <v>4</v>
      </c>
      <c r="AI238" t="s">
        <v>317</v>
      </c>
      <c r="AJ238" s="43" t="s">
        <v>309</v>
      </c>
      <c r="AK238">
        <v>8.5</v>
      </c>
    </row>
    <row r="239" spans="31:37" x14ac:dyDescent="0.25">
      <c r="AE239" s="43" t="s">
        <v>44</v>
      </c>
      <c r="AF239" s="43" t="s">
        <v>26</v>
      </c>
      <c r="AG239" s="43" t="s">
        <v>39</v>
      </c>
      <c r="AH239">
        <v>4</v>
      </c>
      <c r="AI239" t="s">
        <v>317</v>
      </c>
      <c r="AJ239" s="43" t="s">
        <v>268</v>
      </c>
      <c r="AK239">
        <v>11.3</v>
      </c>
    </row>
    <row r="240" spans="31:37" x14ac:dyDescent="0.25">
      <c r="AE240" s="43" t="s">
        <v>44</v>
      </c>
      <c r="AF240" s="43" t="s">
        <v>26</v>
      </c>
      <c r="AG240" s="43" t="s">
        <v>39</v>
      </c>
      <c r="AH240">
        <v>4</v>
      </c>
      <c r="AI240" t="s">
        <v>325</v>
      </c>
      <c r="AJ240" s="43" t="s">
        <v>308</v>
      </c>
      <c r="AK240">
        <v>2.4</v>
      </c>
    </row>
    <row r="241" spans="31:37" x14ac:dyDescent="0.25">
      <c r="AE241" s="43" t="s">
        <v>44</v>
      </c>
      <c r="AF241" s="43" t="s">
        <v>26</v>
      </c>
      <c r="AG241" s="43" t="s">
        <v>39</v>
      </c>
      <c r="AH241">
        <v>4</v>
      </c>
      <c r="AI241" t="s">
        <v>325</v>
      </c>
      <c r="AJ241" s="43" t="s">
        <v>309</v>
      </c>
      <c r="AK241">
        <v>8.9</v>
      </c>
    </row>
    <row r="242" spans="31:37" x14ac:dyDescent="0.25">
      <c r="AE242" s="43" t="s">
        <v>44</v>
      </c>
      <c r="AF242" s="43" t="s">
        <v>26</v>
      </c>
      <c r="AG242" s="43" t="s">
        <v>39</v>
      </c>
      <c r="AH242">
        <v>4</v>
      </c>
      <c r="AI242" t="s">
        <v>325</v>
      </c>
      <c r="AJ242" s="43" t="s">
        <v>268</v>
      </c>
      <c r="AK242">
        <v>11.3</v>
      </c>
    </row>
    <row r="243" spans="31:37" x14ac:dyDescent="0.25">
      <c r="AE243" s="43" t="s">
        <v>44</v>
      </c>
      <c r="AF243" s="43" t="s">
        <v>26</v>
      </c>
      <c r="AG243" s="43" t="s">
        <v>39</v>
      </c>
      <c r="AH243">
        <v>4</v>
      </c>
      <c r="AI243" t="s">
        <v>330</v>
      </c>
      <c r="AJ243" s="43" t="s">
        <v>308</v>
      </c>
      <c r="AK243">
        <v>2.8</v>
      </c>
    </row>
    <row r="244" spans="31:37" x14ac:dyDescent="0.25">
      <c r="AE244" s="43" t="s">
        <v>44</v>
      </c>
      <c r="AF244" s="43" t="s">
        <v>26</v>
      </c>
      <c r="AG244" s="43" t="s">
        <v>39</v>
      </c>
      <c r="AH244">
        <v>4</v>
      </c>
      <c r="AI244" t="s">
        <v>330</v>
      </c>
      <c r="AJ244" s="43" t="s">
        <v>309</v>
      </c>
      <c r="AK244">
        <v>8.75</v>
      </c>
    </row>
    <row r="245" spans="31:37" x14ac:dyDescent="0.25">
      <c r="AE245" s="43" t="s">
        <v>44</v>
      </c>
      <c r="AF245" s="43" t="s">
        <v>26</v>
      </c>
      <c r="AG245" s="43" t="s">
        <v>39</v>
      </c>
      <c r="AH245">
        <v>4</v>
      </c>
      <c r="AI245" t="s">
        <v>330</v>
      </c>
      <c r="AJ245" s="43" t="s">
        <v>268</v>
      </c>
      <c r="AK245">
        <v>11.55</v>
      </c>
    </row>
    <row r="246" spans="31:37" x14ac:dyDescent="0.25">
      <c r="AE246" s="43" t="s">
        <v>44</v>
      </c>
      <c r="AF246" s="43" t="s">
        <v>26</v>
      </c>
      <c r="AG246" s="43" t="s">
        <v>39</v>
      </c>
      <c r="AH246">
        <v>4</v>
      </c>
      <c r="AI246" t="s">
        <v>331</v>
      </c>
      <c r="AJ246" s="43" t="s">
        <v>308</v>
      </c>
      <c r="AK246">
        <v>2.4</v>
      </c>
    </row>
    <row r="247" spans="31:37" x14ac:dyDescent="0.25">
      <c r="AE247" s="43" t="s">
        <v>44</v>
      </c>
      <c r="AF247" s="43" t="s">
        <v>26</v>
      </c>
      <c r="AG247" s="43" t="s">
        <v>39</v>
      </c>
      <c r="AH247">
        <v>4</v>
      </c>
      <c r="AI247" t="s">
        <v>331</v>
      </c>
      <c r="AJ247" s="43" t="s">
        <v>309</v>
      </c>
      <c r="AK247">
        <v>8.4</v>
      </c>
    </row>
    <row r="248" spans="31:37" x14ac:dyDescent="0.25">
      <c r="AE248" s="43" t="s">
        <v>44</v>
      </c>
      <c r="AF248" s="43" t="s">
        <v>26</v>
      </c>
      <c r="AG248" s="43" t="s">
        <v>39</v>
      </c>
      <c r="AH248">
        <v>4</v>
      </c>
      <c r="AI248" t="s">
        <v>331</v>
      </c>
      <c r="AJ248" s="43" t="s">
        <v>268</v>
      </c>
      <c r="AK248">
        <v>10.8</v>
      </c>
    </row>
    <row r="249" spans="31:37" x14ac:dyDescent="0.25">
      <c r="AE249" s="43" t="s">
        <v>44</v>
      </c>
      <c r="AF249" s="43" t="s">
        <v>26</v>
      </c>
      <c r="AG249" s="43" t="s">
        <v>39</v>
      </c>
      <c r="AH249">
        <v>4</v>
      </c>
      <c r="AI249" t="s">
        <v>341</v>
      </c>
      <c r="AJ249" s="43" t="s">
        <v>308</v>
      </c>
      <c r="AK249">
        <v>8</v>
      </c>
    </row>
    <row r="250" spans="31:37" x14ac:dyDescent="0.25">
      <c r="AE250" s="43" t="s">
        <v>44</v>
      </c>
      <c r="AF250" s="43" t="s">
        <v>26</v>
      </c>
      <c r="AG250" s="43" t="s">
        <v>39</v>
      </c>
      <c r="AH250">
        <v>4</v>
      </c>
      <c r="AI250" t="s">
        <v>341</v>
      </c>
      <c r="AJ250" s="43" t="s">
        <v>309</v>
      </c>
      <c r="AK250">
        <v>26.15</v>
      </c>
    </row>
    <row r="251" spans="31:37" x14ac:dyDescent="0.25">
      <c r="AE251" s="43" t="s">
        <v>44</v>
      </c>
      <c r="AF251" s="43" t="s">
        <v>26</v>
      </c>
      <c r="AG251" s="43" t="s">
        <v>39</v>
      </c>
      <c r="AH251">
        <v>4</v>
      </c>
      <c r="AI251" t="s">
        <v>341</v>
      </c>
      <c r="AJ251" s="43" t="s">
        <v>268</v>
      </c>
      <c r="AK251">
        <v>34.150000000000006</v>
      </c>
    </row>
    <row r="252" spans="31:37" x14ac:dyDescent="0.25">
      <c r="AE252" s="43" t="s">
        <v>44</v>
      </c>
      <c r="AF252" s="43" t="s">
        <v>26</v>
      </c>
      <c r="AG252" s="43" t="s">
        <v>39</v>
      </c>
      <c r="AH252">
        <v>4</v>
      </c>
      <c r="AI252" t="s">
        <v>273</v>
      </c>
      <c r="AJ252" s="43" t="s">
        <v>308</v>
      </c>
      <c r="AK252">
        <v>2.6666666666666665</v>
      </c>
    </row>
    <row r="253" spans="31:37" x14ac:dyDescent="0.25">
      <c r="AE253" s="43" t="s">
        <v>44</v>
      </c>
      <c r="AF253" s="43" t="s">
        <v>26</v>
      </c>
      <c r="AG253" s="43" t="s">
        <v>39</v>
      </c>
      <c r="AH253">
        <v>4</v>
      </c>
      <c r="AI253" t="s">
        <v>273</v>
      </c>
      <c r="AJ253" s="43" t="s">
        <v>309</v>
      </c>
      <c r="AK253">
        <v>8.7166666666666668</v>
      </c>
    </row>
    <row r="254" spans="31:37" x14ac:dyDescent="0.25">
      <c r="AE254" s="43" t="s">
        <v>44</v>
      </c>
      <c r="AF254" s="43" t="s">
        <v>26</v>
      </c>
      <c r="AG254" s="43" t="s">
        <v>39</v>
      </c>
      <c r="AH254">
        <v>4</v>
      </c>
      <c r="AI254" t="s">
        <v>273</v>
      </c>
      <c r="AJ254" s="43" t="s">
        <v>268</v>
      </c>
      <c r="AK254">
        <v>11.383333333333335</v>
      </c>
    </row>
    <row r="255" spans="31:37" x14ac:dyDescent="0.25">
      <c r="AE255" s="43" t="s">
        <v>25</v>
      </c>
      <c r="AF255" s="43" t="s">
        <v>26</v>
      </c>
      <c r="AG255" s="43" t="s">
        <v>28</v>
      </c>
      <c r="AH255">
        <v>4</v>
      </c>
      <c r="AI255" t="s">
        <v>317</v>
      </c>
      <c r="AJ255" s="43" t="s">
        <v>308</v>
      </c>
      <c r="AK255">
        <v>2.2000000000000002</v>
      </c>
    </row>
    <row r="256" spans="31:37" x14ac:dyDescent="0.25">
      <c r="AE256" s="43" t="s">
        <v>25</v>
      </c>
      <c r="AF256" s="43" t="s">
        <v>26</v>
      </c>
      <c r="AG256" s="43" t="s">
        <v>28</v>
      </c>
      <c r="AH256">
        <v>4</v>
      </c>
      <c r="AI256" t="s">
        <v>317</v>
      </c>
      <c r="AJ256" s="43" t="s">
        <v>309</v>
      </c>
      <c r="AK256">
        <v>9.4</v>
      </c>
    </row>
    <row r="257" spans="31:37" x14ac:dyDescent="0.25">
      <c r="AE257" s="43" t="s">
        <v>25</v>
      </c>
      <c r="AF257" s="43" t="s">
        <v>26</v>
      </c>
      <c r="AG257" s="43" t="s">
        <v>28</v>
      </c>
      <c r="AH257">
        <v>4</v>
      </c>
      <c r="AI257" t="s">
        <v>317</v>
      </c>
      <c r="AJ257" s="43" t="s">
        <v>268</v>
      </c>
      <c r="AK257">
        <v>11.6</v>
      </c>
    </row>
    <row r="258" spans="31:37" x14ac:dyDescent="0.25">
      <c r="AE258" s="43" t="s">
        <v>25</v>
      </c>
      <c r="AF258" s="43" t="s">
        <v>26</v>
      </c>
      <c r="AG258" s="43" t="s">
        <v>28</v>
      </c>
      <c r="AH258">
        <v>4</v>
      </c>
      <c r="AI258" t="s">
        <v>325</v>
      </c>
      <c r="AJ258" s="43" t="s">
        <v>308</v>
      </c>
      <c r="AK258">
        <v>2.2000000000000002</v>
      </c>
    </row>
    <row r="259" spans="31:37" x14ac:dyDescent="0.25">
      <c r="AE259" s="43" t="s">
        <v>25</v>
      </c>
      <c r="AF259" s="43" t="s">
        <v>26</v>
      </c>
      <c r="AG259" s="43" t="s">
        <v>28</v>
      </c>
      <c r="AH259">
        <v>4</v>
      </c>
      <c r="AI259" t="s">
        <v>325</v>
      </c>
      <c r="AJ259" s="43" t="s">
        <v>309</v>
      </c>
      <c r="AK259">
        <v>9.0500000000000007</v>
      </c>
    </row>
    <row r="260" spans="31:37" x14ac:dyDescent="0.25">
      <c r="AE260" s="43" t="s">
        <v>25</v>
      </c>
      <c r="AF260" s="43" t="s">
        <v>26</v>
      </c>
      <c r="AG260" s="43" t="s">
        <v>28</v>
      </c>
      <c r="AH260">
        <v>4</v>
      </c>
      <c r="AI260" t="s">
        <v>325</v>
      </c>
      <c r="AJ260" s="43" t="s">
        <v>268</v>
      </c>
      <c r="AK260">
        <v>11.25</v>
      </c>
    </row>
    <row r="261" spans="31:37" x14ac:dyDescent="0.25">
      <c r="AE261" s="43" t="s">
        <v>25</v>
      </c>
      <c r="AF261" s="43" t="s">
        <v>26</v>
      </c>
      <c r="AG261" s="43" t="s">
        <v>28</v>
      </c>
      <c r="AH261">
        <v>4</v>
      </c>
      <c r="AI261" t="s">
        <v>330</v>
      </c>
      <c r="AJ261" s="43" t="s">
        <v>308</v>
      </c>
      <c r="AK261">
        <v>2.2000000000000002</v>
      </c>
    </row>
    <row r="262" spans="31:37" x14ac:dyDescent="0.25">
      <c r="AE262" s="43" t="s">
        <v>25</v>
      </c>
      <c r="AF262" s="43" t="s">
        <v>26</v>
      </c>
      <c r="AG262" s="43" t="s">
        <v>28</v>
      </c>
      <c r="AH262">
        <v>4</v>
      </c>
      <c r="AI262" t="s">
        <v>330</v>
      </c>
      <c r="AJ262" s="43" t="s">
        <v>309</v>
      </c>
      <c r="AK262">
        <v>9.0500000000000007</v>
      </c>
    </row>
    <row r="263" spans="31:37" x14ac:dyDescent="0.25">
      <c r="AE263" s="43" t="s">
        <v>25</v>
      </c>
      <c r="AF263" s="43" t="s">
        <v>26</v>
      </c>
      <c r="AG263" s="43" t="s">
        <v>28</v>
      </c>
      <c r="AH263">
        <v>4</v>
      </c>
      <c r="AI263" t="s">
        <v>330</v>
      </c>
      <c r="AJ263" s="43" t="s">
        <v>268</v>
      </c>
      <c r="AK263">
        <v>11.25</v>
      </c>
    </row>
    <row r="264" spans="31:37" x14ac:dyDescent="0.25">
      <c r="AE264" s="43" t="s">
        <v>25</v>
      </c>
      <c r="AF264" s="43" t="s">
        <v>26</v>
      </c>
      <c r="AG264" s="43" t="s">
        <v>28</v>
      </c>
      <c r="AH264">
        <v>4</v>
      </c>
      <c r="AI264" t="s">
        <v>331</v>
      </c>
      <c r="AJ264" s="43" t="s">
        <v>308</v>
      </c>
      <c r="AK264">
        <v>2.2000000000000002</v>
      </c>
    </row>
    <row r="265" spans="31:37" x14ac:dyDescent="0.25">
      <c r="AE265" s="43" t="s">
        <v>25</v>
      </c>
      <c r="AF265" s="43" t="s">
        <v>26</v>
      </c>
      <c r="AG265" s="43" t="s">
        <v>28</v>
      </c>
      <c r="AH265">
        <v>4</v>
      </c>
      <c r="AI265" t="s">
        <v>331</v>
      </c>
      <c r="AJ265" s="43" t="s">
        <v>309</v>
      </c>
      <c r="AK265">
        <v>8.3000000000000007</v>
      </c>
    </row>
    <row r="266" spans="31:37" x14ac:dyDescent="0.25">
      <c r="AE266" s="43" t="s">
        <v>25</v>
      </c>
      <c r="AF266" s="43" t="s">
        <v>26</v>
      </c>
      <c r="AG266" s="43" t="s">
        <v>28</v>
      </c>
      <c r="AH266">
        <v>4</v>
      </c>
      <c r="AI266" t="s">
        <v>331</v>
      </c>
      <c r="AJ266" s="43" t="s">
        <v>268</v>
      </c>
      <c r="AK266">
        <v>10.5</v>
      </c>
    </row>
    <row r="267" spans="31:37" x14ac:dyDescent="0.25">
      <c r="AE267" s="43" t="s">
        <v>25</v>
      </c>
      <c r="AF267" s="43" t="s">
        <v>26</v>
      </c>
      <c r="AG267" s="43" t="s">
        <v>28</v>
      </c>
      <c r="AH267">
        <v>4</v>
      </c>
      <c r="AI267" t="s">
        <v>341</v>
      </c>
      <c r="AJ267" s="43" t="s">
        <v>308</v>
      </c>
      <c r="AK267">
        <v>6.6000000000000005</v>
      </c>
    </row>
    <row r="268" spans="31:37" x14ac:dyDescent="0.25">
      <c r="AE268" s="43" t="s">
        <v>25</v>
      </c>
      <c r="AF268" s="43" t="s">
        <v>26</v>
      </c>
      <c r="AG268" s="43" t="s">
        <v>28</v>
      </c>
      <c r="AH268">
        <v>4</v>
      </c>
      <c r="AI268" t="s">
        <v>341</v>
      </c>
      <c r="AJ268" s="43" t="s">
        <v>309</v>
      </c>
      <c r="AK268">
        <v>27.500000000000004</v>
      </c>
    </row>
    <row r="269" spans="31:37" x14ac:dyDescent="0.25">
      <c r="AE269" s="43" t="s">
        <v>25</v>
      </c>
      <c r="AF269" s="43" t="s">
        <v>26</v>
      </c>
      <c r="AG269" s="43" t="s">
        <v>28</v>
      </c>
      <c r="AH269">
        <v>4</v>
      </c>
      <c r="AI269" t="s">
        <v>341</v>
      </c>
      <c r="AJ269" s="43" t="s">
        <v>268</v>
      </c>
      <c r="AK269">
        <v>34.1</v>
      </c>
    </row>
    <row r="270" spans="31:37" x14ac:dyDescent="0.25">
      <c r="AE270" s="43" t="s">
        <v>25</v>
      </c>
      <c r="AF270" s="43" t="s">
        <v>26</v>
      </c>
      <c r="AG270" s="43" t="s">
        <v>28</v>
      </c>
      <c r="AH270">
        <v>4</v>
      </c>
      <c r="AI270" t="s">
        <v>273</v>
      </c>
      <c r="AJ270" s="43" t="s">
        <v>308</v>
      </c>
      <c r="AK270">
        <v>2.2000000000000002</v>
      </c>
    </row>
    <row r="271" spans="31:37" x14ac:dyDescent="0.25">
      <c r="AE271" s="43" t="s">
        <v>25</v>
      </c>
      <c r="AF271" s="43" t="s">
        <v>26</v>
      </c>
      <c r="AG271" s="43" t="s">
        <v>28</v>
      </c>
      <c r="AH271">
        <v>4</v>
      </c>
      <c r="AI271" t="s">
        <v>273</v>
      </c>
      <c r="AJ271" s="43" t="s">
        <v>309</v>
      </c>
      <c r="AK271">
        <v>9.1666666666666679</v>
      </c>
    </row>
    <row r="272" spans="31:37" x14ac:dyDescent="0.25">
      <c r="AE272" s="43" t="s">
        <v>25</v>
      </c>
      <c r="AF272" s="43" t="s">
        <v>26</v>
      </c>
      <c r="AG272" s="43" t="s">
        <v>28</v>
      </c>
      <c r="AH272">
        <v>4</v>
      </c>
      <c r="AI272" t="s">
        <v>273</v>
      </c>
      <c r="AJ272" s="43" t="s">
        <v>268</v>
      </c>
      <c r="AK272">
        <v>11.366666666666667</v>
      </c>
    </row>
    <row r="273" spans="31:37" x14ac:dyDescent="0.25">
      <c r="AE273" s="43" t="s">
        <v>37</v>
      </c>
      <c r="AF273" s="43" t="s">
        <v>26</v>
      </c>
      <c r="AG273" s="43" t="s">
        <v>39</v>
      </c>
      <c r="AH273">
        <v>4</v>
      </c>
      <c r="AI273" t="s">
        <v>317</v>
      </c>
      <c r="AJ273" s="43" t="s">
        <v>308</v>
      </c>
      <c r="AK273">
        <v>2.4</v>
      </c>
    </row>
    <row r="274" spans="31:37" x14ac:dyDescent="0.25">
      <c r="AE274" s="43" t="s">
        <v>37</v>
      </c>
      <c r="AF274" s="43" t="s">
        <v>26</v>
      </c>
      <c r="AG274" s="43" t="s">
        <v>39</v>
      </c>
      <c r="AH274">
        <v>4</v>
      </c>
      <c r="AI274" t="s">
        <v>317</v>
      </c>
      <c r="AJ274" s="43" t="s">
        <v>309</v>
      </c>
      <c r="AK274">
        <v>8.85</v>
      </c>
    </row>
    <row r="275" spans="31:37" x14ac:dyDescent="0.25">
      <c r="AE275" s="43" t="s">
        <v>37</v>
      </c>
      <c r="AF275" s="43" t="s">
        <v>26</v>
      </c>
      <c r="AG275" s="43" t="s">
        <v>39</v>
      </c>
      <c r="AH275">
        <v>4</v>
      </c>
      <c r="AI275" t="s">
        <v>317</v>
      </c>
      <c r="AJ275" s="43" t="s">
        <v>268</v>
      </c>
      <c r="AK275">
        <v>11.25</v>
      </c>
    </row>
    <row r="276" spans="31:37" x14ac:dyDescent="0.25">
      <c r="AE276" s="43" t="s">
        <v>37</v>
      </c>
      <c r="AF276" s="43" t="s">
        <v>26</v>
      </c>
      <c r="AG276" s="43" t="s">
        <v>39</v>
      </c>
      <c r="AH276">
        <v>4</v>
      </c>
      <c r="AI276" t="s">
        <v>325</v>
      </c>
      <c r="AJ276" s="43" t="s">
        <v>308</v>
      </c>
      <c r="AK276">
        <v>3.2</v>
      </c>
    </row>
    <row r="277" spans="31:37" x14ac:dyDescent="0.25">
      <c r="AE277" s="43" t="s">
        <v>37</v>
      </c>
      <c r="AF277" s="43" t="s">
        <v>26</v>
      </c>
      <c r="AG277" s="43" t="s">
        <v>39</v>
      </c>
      <c r="AH277">
        <v>4</v>
      </c>
      <c r="AI277" t="s">
        <v>325</v>
      </c>
      <c r="AJ277" s="43" t="s">
        <v>309</v>
      </c>
      <c r="AK277">
        <v>8.6</v>
      </c>
    </row>
    <row r="278" spans="31:37" x14ac:dyDescent="0.25">
      <c r="AE278" s="43" t="s">
        <v>37</v>
      </c>
      <c r="AF278" s="43" t="s">
        <v>26</v>
      </c>
      <c r="AG278" s="43" t="s">
        <v>39</v>
      </c>
      <c r="AH278">
        <v>4</v>
      </c>
      <c r="AI278" t="s">
        <v>325</v>
      </c>
      <c r="AJ278" s="43" t="s">
        <v>268</v>
      </c>
      <c r="AK278">
        <v>11.8</v>
      </c>
    </row>
    <row r="279" spans="31:37" x14ac:dyDescent="0.25">
      <c r="AE279" s="43" t="s">
        <v>37</v>
      </c>
      <c r="AF279" s="43" t="s">
        <v>26</v>
      </c>
      <c r="AG279" s="43" t="s">
        <v>39</v>
      </c>
      <c r="AH279">
        <v>4</v>
      </c>
      <c r="AI279" t="s">
        <v>330</v>
      </c>
      <c r="AJ279" s="43" t="s">
        <v>308</v>
      </c>
      <c r="AK279">
        <v>2.4</v>
      </c>
    </row>
    <row r="280" spans="31:37" x14ac:dyDescent="0.25">
      <c r="AE280" s="43" t="s">
        <v>37</v>
      </c>
      <c r="AF280" s="43" t="s">
        <v>26</v>
      </c>
      <c r="AG280" s="43" t="s">
        <v>39</v>
      </c>
      <c r="AH280">
        <v>4</v>
      </c>
      <c r="AI280" t="s">
        <v>330</v>
      </c>
      <c r="AJ280" s="43" t="s">
        <v>309</v>
      </c>
      <c r="AK280">
        <v>8.3000000000000007</v>
      </c>
    </row>
    <row r="281" spans="31:37" x14ac:dyDescent="0.25">
      <c r="AE281" s="43" t="s">
        <v>37</v>
      </c>
      <c r="AF281" s="43" t="s">
        <v>26</v>
      </c>
      <c r="AG281" s="43" t="s">
        <v>39</v>
      </c>
      <c r="AH281">
        <v>4</v>
      </c>
      <c r="AI281" t="s">
        <v>330</v>
      </c>
      <c r="AJ281" s="43" t="s">
        <v>268</v>
      </c>
      <c r="AK281">
        <v>10.7</v>
      </c>
    </row>
    <row r="282" spans="31:37" x14ac:dyDescent="0.25">
      <c r="AE282" s="43" t="s">
        <v>37</v>
      </c>
      <c r="AF282" s="43" t="s">
        <v>26</v>
      </c>
      <c r="AG282" s="43" t="s">
        <v>39</v>
      </c>
      <c r="AH282">
        <v>4</v>
      </c>
      <c r="AI282" t="s">
        <v>331</v>
      </c>
      <c r="AJ282" s="43" t="s">
        <v>308</v>
      </c>
      <c r="AK282">
        <v>2.4</v>
      </c>
    </row>
    <row r="283" spans="31:37" x14ac:dyDescent="0.25">
      <c r="AE283" s="43" t="s">
        <v>37</v>
      </c>
      <c r="AF283" s="43" t="s">
        <v>26</v>
      </c>
      <c r="AG283" s="43" t="s">
        <v>39</v>
      </c>
      <c r="AH283">
        <v>4</v>
      </c>
      <c r="AI283" t="s">
        <v>331</v>
      </c>
      <c r="AJ283" s="43" t="s">
        <v>309</v>
      </c>
      <c r="AK283">
        <v>8.1999999999999993</v>
      </c>
    </row>
    <row r="284" spans="31:37" x14ac:dyDescent="0.25">
      <c r="AE284" s="43" t="s">
        <v>37</v>
      </c>
      <c r="AF284" s="43" t="s">
        <v>26</v>
      </c>
      <c r="AG284" s="43" t="s">
        <v>39</v>
      </c>
      <c r="AH284">
        <v>4</v>
      </c>
      <c r="AI284" t="s">
        <v>331</v>
      </c>
      <c r="AJ284" s="43" t="s">
        <v>268</v>
      </c>
      <c r="AK284">
        <v>10.6</v>
      </c>
    </row>
    <row r="285" spans="31:37" x14ac:dyDescent="0.25">
      <c r="AE285" s="43" t="s">
        <v>37</v>
      </c>
      <c r="AF285" s="43" t="s">
        <v>26</v>
      </c>
      <c r="AG285" s="43" t="s">
        <v>39</v>
      </c>
      <c r="AH285">
        <v>4</v>
      </c>
      <c r="AI285" t="s">
        <v>341</v>
      </c>
      <c r="AJ285" s="43" t="s">
        <v>308</v>
      </c>
      <c r="AK285">
        <v>8</v>
      </c>
    </row>
    <row r="286" spans="31:37" x14ac:dyDescent="0.25">
      <c r="AE286" s="43" t="s">
        <v>37</v>
      </c>
      <c r="AF286" s="43" t="s">
        <v>26</v>
      </c>
      <c r="AG286" s="43" t="s">
        <v>39</v>
      </c>
      <c r="AH286">
        <v>4</v>
      </c>
      <c r="AI286" t="s">
        <v>341</v>
      </c>
      <c r="AJ286" s="43" t="s">
        <v>309</v>
      </c>
      <c r="AK286">
        <v>25.75</v>
      </c>
    </row>
    <row r="287" spans="31:37" x14ac:dyDescent="0.25">
      <c r="AE287" s="43" t="s">
        <v>37</v>
      </c>
      <c r="AF287" s="43" t="s">
        <v>26</v>
      </c>
      <c r="AG287" s="43" t="s">
        <v>39</v>
      </c>
      <c r="AH287">
        <v>4</v>
      </c>
      <c r="AI287" t="s">
        <v>341</v>
      </c>
      <c r="AJ287" s="43" t="s">
        <v>268</v>
      </c>
      <c r="AK287">
        <v>33.75</v>
      </c>
    </row>
    <row r="288" spans="31:37" x14ac:dyDescent="0.25">
      <c r="AE288" s="43" t="s">
        <v>37</v>
      </c>
      <c r="AF288" s="43" t="s">
        <v>26</v>
      </c>
      <c r="AG288" s="43" t="s">
        <v>39</v>
      </c>
      <c r="AH288">
        <v>4</v>
      </c>
      <c r="AI288" t="s">
        <v>273</v>
      </c>
      <c r="AJ288" s="43" t="s">
        <v>308</v>
      </c>
      <c r="AK288">
        <v>2.6666666666666665</v>
      </c>
    </row>
    <row r="289" spans="31:37" x14ac:dyDescent="0.25">
      <c r="AE289" s="43" t="s">
        <v>37</v>
      </c>
      <c r="AF289" s="43" t="s">
        <v>26</v>
      </c>
      <c r="AG289" s="43" t="s">
        <v>39</v>
      </c>
      <c r="AH289">
        <v>4</v>
      </c>
      <c r="AI289" t="s">
        <v>273</v>
      </c>
      <c r="AJ289" s="43" t="s">
        <v>309</v>
      </c>
      <c r="AK289">
        <v>8.5833333333333339</v>
      </c>
    </row>
    <row r="290" spans="31:37" x14ac:dyDescent="0.25">
      <c r="AE290" s="43" t="s">
        <v>37</v>
      </c>
      <c r="AF290" s="43" t="s">
        <v>26</v>
      </c>
      <c r="AG290" s="43" t="s">
        <v>39</v>
      </c>
      <c r="AH290">
        <v>4</v>
      </c>
      <c r="AI290" t="s">
        <v>273</v>
      </c>
      <c r="AJ290" s="43" t="s">
        <v>268</v>
      </c>
      <c r="AK290">
        <v>11.25</v>
      </c>
    </row>
    <row r="291" spans="31:37" x14ac:dyDescent="0.25">
      <c r="AE291" s="43" t="s">
        <v>34</v>
      </c>
      <c r="AF291" s="43" t="s">
        <v>26</v>
      </c>
      <c r="AG291" s="43" t="s">
        <v>36</v>
      </c>
      <c r="AH291">
        <v>4</v>
      </c>
      <c r="AI291" t="s">
        <v>317</v>
      </c>
      <c r="AJ291" s="43" t="s">
        <v>308</v>
      </c>
      <c r="AK291">
        <v>1.6</v>
      </c>
    </row>
    <row r="292" spans="31:37" x14ac:dyDescent="0.25">
      <c r="AE292" s="43" t="s">
        <v>34</v>
      </c>
      <c r="AF292" s="43" t="s">
        <v>26</v>
      </c>
      <c r="AG292" s="43" t="s">
        <v>36</v>
      </c>
      <c r="AH292">
        <v>4</v>
      </c>
      <c r="AI292" t="s">
        <v>317</v>
      </c>
      <c r="AJ292" s="43" t="s">
        <v>309</v>
      </c>
      <c r="AK292">
        <v>8.8000000000000007</v>
      </c>
    </row>
    <row r="293" spans="31:37" x14ac:dyDescent="0.25">
      <c r="AE293" s="43" t="s">
        <v>34</v>
      </c>
      <c r="AF293" s="43" t="s">
        <v>26</v>
      </c>
      <c r="AG293" s="43" t="s">
        <v>36</v>
      </c>
      <c r="AH293">
        <v>4</v>
      </c>
      <c r="AI293" t="s">
        <v>317</v>
      </c>
      <c r="AJ293" s="43" t="s">
        <v>268</v>
      </c>
      <c r="AK293">
        <v>10.4</v>
      </c>
    </row>
    <row r="294" spans="31:37" x14ac:dyDescent="0.25">
      <c r="AE294" s="43" t="s">
        <v>34</v>
      </c>
      <c r="AF294" s="43" t="s">
        <v>26</v>
      </c>
      <c r="AG294" s="43" t="s">
        <v>36</v>
      </c>
      <c r="AH294">
        <v>4</v>
      </c>
      <c r="AI294" t="s">
        <v>325</v>
      </c>
      <c r="AJ294" s="43" t="s">
        <v>308</v>
      </c>
      <c r="AK294">
        <v>2.4</v>
      </c>
    </row>
    <row r="295" spans="31:37" x14ac:dyDescent="0.25">
      <c r="AE295" s="43" t="s">
        <v>34</v>
      </c>
      <c r="AF295" s="43" t="s">
        <v>26</v>
      </c>
      <c r="AG295" s="43" t="s">
        <v>36</v>
      </c>
      <c r="AH295">
        <v>4</v>
      </c>
      <c r="AI295" t="s">
        <v>325</v>
      </c>
      <c r="AJ295" s="43" t="s">
        <v>309</v>
      </c>
      <c r="AK295">
        <v>8.9</v>
      </c>
    </row>
    <row r="296" spans="31:37" x14ac:dyDescent="0.25">
      <c r="AE296" s="43" t="s">
        <v>34</v>
      </c>
      <c r="AF296" s="43" t="s">
        <v>26</v>
      </c>
      <c r="AG296" s="43" t="s">
        <v>36</v>
      </c>
      <c r="AH296">
        <v>4</v>
      </c>
      <c r="AI296" t="s">
        <v>325</v>
      </c>
      <c r="AJ296" s="43" t="s">
        <v>268</v>
      </c>
      <c r="AK296">
        <v>11.3</v>
      </c>
    </row>
    <row r="297" spans="31:37" x14ac:dyDescent="0.25">
      <c r="AE297" s="43" t="s">
        <v>34</v>
      </c>
      <c r="AF297" s="43" t="s">
        <v>26</v>
      </c>
      <c r="AG297" s="43" t="s">
        <v>36</v>
      </c>
      <c r="AH297">
        <v>4</v>
      </c>
      <c r="AI297" t="s">
        <v>330</v>
      </c>
      <c r="AJ297" s="43" t="s">
        <v>308</v>
      </c>
      <c r="AK297">
        <v>3.2</v>
      </c>
    </row>
    <row r="298" spans="31:37" x14ac:dyDescent="0.25">
      <c r="AE298" s="43" t="s">
        <v>34</v>
      </c>
      <c r="AF298" s="43" t="s">
        <v>26</v>
      </c>
      <c r="AG298" s="43" t="s">
        <v>36</v>
      </c>
      <c r="AH298">
        <v>4</v>
      </c>
      <c r="AI298" t="s">
        <v>330</v>
      </c>
      <c r="AJ298" s="43" t="s">
        <v>309</v>
      </c>
      <c r="AK298">
        <v>8.6999999999999993</v>
      </c>
    </row>
    <row r="299" spans="31:37" x14ac:dyDescent="0.25">
      <c r="AE299" s="43" t="s">
        <v>34</v>
      </c>
      <c r="AF299" s="43" t="s">
        <v>26</v>
      </c>
      <c r="AG299" s="43" t="s">
        <v>36</v>
      </c>
      <c r="AH299">
        <v>4</v>
      </c>
      <c r="AI299" t="s">
        <v>330</v>
      </c>
      <c r="AJ299" s="43" t="s">
        <v>268</v>
      </c>
      <c r="AK299">
        <v>11.9</v>
      </c>
    </row>
    <row r="300" spans="31:37" x14ac:dyDescent="0.25">
      <c r="AE300" s="43" t="s">
        <v>34</v>
      </c>
      <c r="AF300" s="43" t="s">
        <v>26</v>
      </c>
      <c r="AG300" s="43" t="s">
        <v>36</v>
      </c>
      <c r="AH300">
        <v>4</v>
      </c>
      <c r="AI300" t="s">
        <v>331</v>
      </c>
      <c r="AJ300" s="43" t="s">
        <v>308</v>
      </c>
      <c r="AK300">
        <v>2.4</v>
      </c>
    </row>
    <row r="301" spans="31:37" x14ac:dyDescent="0.25">
      <c r="AE301" s="43" t="s">
        <v>34</v>
      </c>
      <c r="AF301" s="43" t="s">
        <v>26</v>
      </c>
      <c r="AG301" s="43" t="s">
        <v>36</v>
      </c>
      <c r="AH301">
        <v>4</v>
      </c>
      <c r="AI301" t="s">
        <v>331</v>
      </c>
      <c r="AJ301" s="43" t="s">
        <v>309</v>
      </c>
      <c r="AK301">
        <v>7.2</v>
      </c>
    </row>
    <row r="302" spans="31:37" x14ac:dyDescent="0.25">
      <c r="AE302" s="43" t="s">
        <v>34</v>
      </c>
      <c r="AF302" s="43" t="s">
        <v>26</v>
      </c>
      <c r="AG302" s="43" t="s">
        <v>36</v>
      </c>
      <c r="AH302">
        <v>4</v>
      </c>
      <c r="AI302" t="s">
        <v>331</v>
      </c>
      <c r="AJ302" s="43" t="s">
        <v>268</v>
      </c>
      <c r="AK302">
        <v>9.6</v>
      </c>
    </row>
    <row r="303" spans="31:37" x14ac:dyDescent="0.25">
      <c r="AE303" s="43" t="s">
        <v>34</v>
      </c>
      <c r="AF303" s="43" t="s">
        <v>26</v>
      </c>
      <c r="AG303" s="43" t="s">
        <v>36</v>
      </c>
      <c r="AH303">
        <v>4</v>
      </c>
      <c r="AI303" t="s">
        <v>341</v>
      </c>
      <c r="AJ303" s="43" t="s">
        <v>308</v>
      </c>
      <c r="AK303">
        <v>8</v>
      </c>
    </row>
    <row r="304" spans="31:37" x14ac:dyDescent="0.25">
      <c r="AE304" s="43" t="s">
        <v>34</v>
      </c>
      <c r="AF304" s="43" t="s">
        <v>26</v>
      </c>
      <c r="AG304" s="43" t="s">
        <v>36</v>
      </c>
      <c r="AH304">
        <v>4</v>
      </c>
      <c r="AI304" t="s">
        <v>341</v>
      </c>
      <c r="AJ304" s="43" t="s">
        <v>309</v>
      </c>
      <c r="AK304">
        <v>26.400000000000002</v>
      </c>
    </row>
    <row r="305" spans="31:37" x14ac:dyDescent="0.25">
      <c r="AE305" s="43" t="s">
        <v>34</v>
      </c>
      <c r="AF305" s="43" t="s">
        <v>26</v>
      </c>
      <c r="AG305" s="43" t="s">
        <v>36</v>
      </c>
      <c r="AH305">
        <v>4</v>
      </c>
      <c r="AI305" t="s">
        <v>341</v>
      </c>
      <c r="AJ305" s="43" t="s">
        <v>268</v>
      </c>
      <c r="AK305">
        <v>33.6</v>
      </c>
    </row>
    <row r="306" spans="31:37" x14ac:dyDescent="0.25">
      <c r="AE306" s="43" t="s">
        <v>34</v>
      </c>
      <c r="AF306" s="43" t="s">
        <v>26</v>
      </c>
      <c r="AG306" s="43" t="s">
        <v>36</v>
      </c>
      <c r="AH306">
        <v>4</v>
      </c>
      <c r="AI306" t="s">
        <v>273</v>
      </c>
      <c r="AJ306" s="43" t="s">
        <v>308</v>
      </c>
      <c r="AK306">
        <v>2.6666666666666665</v>
      </c>
    </row>
    <row r="307" spans="31:37" x14ac:dyDescent="0.25">
      <c r="AE307" s="43" t="s">
        <v>34</v>
      </c>
      <c r="AF307" s="43" t="s">
        <v>26</v>
      </c>
      <c r="AG307" s="43" t="s">
        <v>36</v>
      </c>
      <c r="AH307">
        <v>4</v>
      </c>
      <c r="AI307" t="s">
        <v>273</v>
      </c>
      <c r="AJ307" s="43" t="s">
        <v>309</v>
      </c>
      <c r="AK307">
        <v>8.8000000000000007</v>
      </c>
    </row>
    <row r="308" spans="31:37" x14ac:dyDescent="0.25">
      <c r="AE308" s="43" t="s">
        <v>34</v>
      </c>
      <c r="AF308" s="43" t="s">
        <v>26</v>
      </c>
      <c r="AG308" s="43" t="s">
        <v>36</v>
      </c>
      <c r="AH308">
        <v>4</v>
      </c>
      <c r="AI308" t="s">
        <v>273</v>
      </c>
      <c r="AJ308" s="43" t="s">
        <v>268</v>
      </c>
      <c r="AK308">
        <v>11.200000000000001</v>
      </c>
    </row>
    <row r="309" spans="31:37" x14ac:dyDescent="0.25">
      <c r="AE309" s="43" t="s">
        <v>48</v>
      </c>
      <c r="AF309" s="43" t="s">
        <v>26</v>
      </c>
      <c r="AG309" s="43" t="s">
        <v>36</v>
      </c>
      <c r="AH309">
        <v>4</v>
      </c>
      <c r="AI309" t="s">
        <v>317</v>
      </c>
      <c r="AJ309" s="43" t="s">
        <v>308</v>
      </c>
      <c r="AK309">
        <v>2.4</v>
      </c>
    </row>
    <row r="310" spans="31:37" x14ac:dyDescent="0.25">
      <c r="AE310" s="43" t="s">
        <v>48</v>
      </c>
      <c r="AF310" s="43" t="s">
        <v>26</v>
      </c>
      <c r="AG310" s="43" t="s">
        <v>36</v>
      </c>
      <c r="AH310">
        <v>4</v>
      </c>
      <c r="AI310" t="s">
        <v>317</v>
      </c>
      <c r="AJ310" s="43" t="s">
        <v>309</v>
      </c>
      <c r="AK310">
        <v>7.8</v>
      </c>
    </row>
    <row r="311" spans="31:37" x14ac:dyDescent="0.25">
      <c r="AE311" s="43" t="s">
        <v>48</v>
      </c>
      <c r="AF311" s="43" t="s">
        <v>26</v>
      </c>
      <c r="AG311" s="43" t="s">
        <v>36</v>
      </c>
      <c r="AH311">
        <v>4</v>
      </c>
      <c r="AI311" t="s">
        <v>317</v>
      </c>
      <c r="AJ311" s="43" t="s">
        <v>268</v>
      </c>
      <c r="AK311">
        <v>10.199999999999999</v>
      </c>
    </row>
    <row r="312" spans="31:37" x14ac:dyDescent="0.25">
      <c r="AE312" s="43" t="s">
        <v>48</v>
      </c>
      <c r="AF312" s="43" t="s">
        <v>26</v>
      </c>
      <c r="AG312" s="43" t="s">
        <v>36</v>
      </c>
      <c r="AH312">
        <v>4</v>
      </c>
      <c r="AI312" t="s">
        <v>325</v>
      </c>
      <c r="AJ312" s="43" t="s">
        <v>308</v>
      </c>
      <c r="AK312">
        <v>1.6</v>
      </c>
    </row>
    <row r="313" spans="31:37" x14ac:dyDescent="0.25">
      <c r="AE313" s="43" t="s">
        <v>48</v>
      </c>
      <c r="AF313" s="43" t="s">
        <v>26</v>
      </c>
      <c r="AG313" s="43" t="s">
        <v>36</v>
      </c>
      <c r="AH313">
        <v>4</v>
      </c>
      <c r="AI313" t="s">
        <v>325</v>
      </c>
      <c r="AJ313" s="43" t="s">
        <v>309</v>
      </c>
      <c r="AK313">
        <v>9.5</v>
      </c>
    </row>
    <row r="314" spans="31:37" x14ac:dyDescent="0.25">
      <c r="AE314" s="43" t="s">
        <v>48</v>
      </c>
      <c r="AF314" s="43" t="s">
        <v>26</v>
      </c>
      <c r="AG314" s="43" t="s">
        <v>36</v>
      </c>
      <c r="AH314">
        <v>4</v>
      </c>
      <c r="AI314" t="s">
        <v>325</v>
      </c>
      <c r="AJ314" s="43" t="s">
        <v>268</v>
      </c>
      <c r="AK314">
        <v>11.1</v>
      </c>
    </row>
    <row r="315" spans="31:37" x14ac:dyDescent="0.25">
      <c r="AE315" s="43" t="s">
        <v>48</v>
      </c>
      <c r="AF315" s="43" t="s">
        <v>26</v>
      </c>
      <c r="AG315" s="43" t="s">
        <v>36</v>
      </c>
      <c r="AH315">
        <v>4</v>
      </c>
      <c r="AI315" t="s">
        <v>330</v>
      </c>
      <c r="AJ315" s="43" t="s">
        <v>308</v>
      </c>
      <c r="AK315">
        <v>2.4</v>
      </c>
    </row>
    <row r="316" spans="31:37" x14ac:dyDescent="0.25">
      <c r="AE316" s="43" t="s">
        <v>48</v>
      </c>
      <c r="AF316" s="43" t="s">
        <v>26</v>
      </c>
      <c r="AG316" s="43" t="s">
        <v>36</v>
      </c>
      <c r="AH316">
        <v>4</v>
      </c>
      <c r="AI316" t="s">
        <v>330</v>
      </c>
      <c r="AJ316" s="43" t="s">
        <v>309</v>
      </c>
      <c r="AK316">
        <v>8.85</v>
      </c>
    </row>
    <row r="317" spans="31:37" x14ac:dyDescent="0.25">
      <c r="AE317" s="43" t="s">
        <v>48</v>
      </c>
      <c r="AF317" s="43" t="s">
        <v>26</v>
      </c>
      <c r="AG317" s="43" t="s">
        <v>36</v>
      </c>
      <c r="AH317">
        <v>4</v>
      </c>
      <c r="AI317" t="s">
        <v>330</v>
      </c>
      <c r="AJ317" s="43" t="s">
        <v>268</v>
      </c>
      <c r="AK317">
        <v>11.25</v>
      </c>
    </row>
    <row r="318" spans="31:37" x14ac:dyDescent="0.25">
      <c r="AE318" s="43" t="s">
        <v>48</v>
      </c>
      <c r="AF318" s="43" t="s">
        <v>26</v>
      </c>
      <c r="AG318" s="43" t="s">
        <v>36</v>
      </c>
      <c r="AH318">
        <v>4</v>
      </c>
      <c r="AI318" t="s">
        <v>331</v>
      </c>
      <c r="AJ318" s="43" t="s">
        <v>308</v>
      </c>
      <c r="AK318">
        <v>1.6</v>
      </c>
    </row>
    <row r="319" spans="31:37" x14ac:dyDescent="0.25">
      <c r="AE319" s="43" t="s">
        <v>48</v>
      </c>
      <c r="AF319" s="43" t="s">
        <v>26</v>
      </c>
      <c r="AG319" s="43" t="s">
        <v>36</v>
      </c>
      <c r="AH319">
        <v>4</v>
      </c>
      <c r="AI319" t="s">
        <v>331</v>
      </c>
      <c r="AJ319" s="43" t="s">
        <v>309</v>
      </c>
      <c r="AK319">
        <v>8.5</v>
      </c>
    </row>
    <row r="320" spans="31:37" x14ac:dyDescent="0.25">
      <c r="AE320" s="43" t="s">
        <v>48</v>
      </c>
      <c r="AF320" s="43" t="s">
        <v>26</v>
      </c>
      <c r="AG320" s="43" t="s">
        <v>36</v>
      </c>
      <c r="AH320">
        <v>4</v>
      </c>
      <c r="AI320" t="s">
        <v>331</v>
      </c>
      <c r="AJ320" s="43" t="s">
        <v>268</v>
      </c>
      <c r="AK320">
        <v>10.1</v>
      </c>
    </row>
    <row r="321" spans="31:37" x14ac:dyDescent="0.25">
      <c r="AE321" s="43" t="s">
        <v>48</v>
      </c>
      <c r="AF321" s="43" t="s">
        <v>26</v>
      </c>
      <c r="AG321" s="43" t="s">
        <v>36</v>
      </c>
      <c r="AH321">
        <v>4</v>
      </c>
      <c r="AI321" t="s">
        <v>341</v>
      </c>
      <c r="AJ321" s="43" t="s">
        <v>308</v>
      </c>
      <c r="AK321">
        <v>6.4</v>
      </c>
    </row>
    <row r="322" spans="31:37" x14ac:dyDescent="0.25">
      <c r="AE322" s="43" t="s">
        <v>48</v>
      </c>
      <c r="AF322" s="43" t="s">
        <v>26</v>
      </c>
      <c r="AG322" s="43" t="s">
        <v>36</v>
      </c>
      <c r="AH322">
        <v>4</v>
      </c>
      <c r="AI322" t="s">
        <v>341</v>
      </c>
      <c r="AJ322" s="43" t="s">
        <v>309</v>
      </c>
      <c r="AK322">
        <v>26.85</v>
      </c>
    </row>
    <row r="323" spans="31:37" x14ac:dyDescent="0.25">
      <c r="AE323" s="43" t="s">
        <v>48</v>
      </c>
      <c r="AF323" s="43" t="s">
        <v>26</v>
      </c>
      <c r="AG323" s="43" t="s">
        <v>36</v>
      </c>
      <c r="AH323">
        <v>4</v>
      </c>
      <c r="AI323" t="s">
        <v>341</v>
      </c>
      <c r="AJ323" s="43" t="s">
        <v>268</v>
      </c>
      <c r="AK323">
        <v>32.549999999999997</v>
      </c>
    </row>
    <row r="324" spans="31:37" x14ac:dyDescent="0.25">
      <c r="AE324" s="43" t="s">
        <v>48</v>
      </c>
      <c r="AF324" s="43" t="s">
        <v>26</v>
      </c>
      <c r="AG324" s="43" t="s">
        <v>36</v>
      </c>
      <c r="AH324">
        <v>4</v>
      </c>
      <c r="AI324" t="s">
        <v>273</v>
      </c>
      <c r="AJ324" s="43" t="s">
        <v>308</v>
      </c>
      <c r="AK324">
        <v>2.1333333333333333</v>
      </c>
    </row>
    <row r="325" spans="31:37" x14ac:dyDescent="0.25">
      <c r="AE325" s="43" t="s">
        <v>48</v>
      </c>
      <c r="AF325" s="43" t="s">
        <v>26</v>
      </c>
      <c r="AG325" s="43" t="s">
        <v>36</v>
      </c>
      <c r="AH325">
        <v>4</v>
      </c>
      <c r="AI325" t="s">
        <v>273</v>
      </c>
      <c r="AJ325" s="43" t="s">
        <v>309</v>
      </c>
      <c r="AK325">
        <v>8.9500000000000011</v>
      </c>
    </row>
    <row r="326" spans="31:37" x14ac:dyDescent="0.25">
      <c r="AE326" s="43" t="s">
        <v>48</v>
      </c>
      <c r="AF326" s="43" t="s">
        <v>26</v>
      </c>
      <c r="AG326" s="43" t="s">
        <v>36</v>
      </c>
      <c r="AH326">
        <v>4</v>
      </c>
      <c r="AI326" t="s">
        <v>273</v>
      </c>
      <c r="AJ326" s="43" t="s">
        <v>268</v>
      </c>
      <c r="AK326">
        <v>10.85</v>
      </c>
    </row>
    <row r="327" spans="31:37" x14ac:dyDescent="0.25">
      <c r="AE327" s="43" t="s">
        <v>114</v>
      </c>
      <c r="AF327" s="43" t="s">
        <v>26</v>
      </c>
      <c r="AG327" s="43" t="s">
        <v>36</v>
      </c>
      <c r="AH327">
        <v>3</v>
      </c>
      <c r="AI327" t="s">
        <v>317</v>
      </c>
      <c r="AJ327" s="43" t="s">
        <v>308</v>
      </c>
      <c r="AK327">
        <v>2.4</v>
      </c>
    </row>
    <row r="328" spans="31:37" x14ac:dyDescent="0.25">
      <c r="AE328" s="43" t="s">
        <v>114</v>
      </c>
      <c r="AF328" s="43" t="s">
        <v>26</v>
      </c>
      <c r="AG328" s="43" t="s">
        <v>36</v>
      </c>
      <c r="AH328">
        <v>3</v>
      </c>
      <c r="AI328" t="s">
        <v>317</v>
      </c>
      <c r="AJ328" s="43" t="s">
        <v>309</v>
      </c>
      <c r="AK328">
        <v>8.8000000000000007</v>
      </c>
    </row>
    <row r="329" spans="31:37" x14ac:dyDescent="0.25">
      <c r="AE329" s="43" t="s">
        <v>114</v>
      </c>
      <c r="AF329" s="43" t="s">
        <v>26</v>
      </c>
      <c r="AG329" s="43" t="s">
        <v>36</v>
      </c>
      <c r="AH329">
        <v>3</v>
      </c>
      <c r="AI329" t="s">
        <v>317</v>
      </c>
      <c r="AJ329" s="43" t="s">
        <v>268</v>
      </c>
      <c r="AK329">
        <v>11.2</v>
      </c>
    </row>
    <row r="330" spans="31:37" x14ac:dyDescent="0.25">
      <c r="AE330" s="43" t="s">
        <v>114</v>
      </c>
      <c r="AF330" s="43" t="s">
        <v>26</v>
      </c>
      <c r="AG330" s="43" t="s">
        <v>36</v>
      </c>
      <c r="AH330">
        <v>3</v>
      </c>
      <c r="AI330" t="s">
        <v>325</v>
      </c>
      <c r="AJ330" s="43" t="s">
        <v>308</v>
      </c>
      <c r="AK330">
        <v>0</v>
      </c>
    </row>
    <row r="331" spans="31:37" x14ac:dyDescent="0.25">
      <c r="AE331" s="43" t="s">
        <v>114</v>
      </c>
      <c r="AF331" s="43" t="s">
        <v>26</v>
      </c>
      <c r="AG331" s="43" t="s">
        <v>36</v>
      </c>
      <c r="AH331">
        <v>3</v>
      </c>
      <c r="AI331" t="s">
        <v>325</v>
      </c>
      <c r="AJ331" s="43" t="s">
        <v>309</v>
      </c>
      <c r="AK331">
        <v>0</v>
      </c>
    </row>
    <row r="332" spans="31:37" x14ac:dyDescent="0.25">
      <c r="AE332" s="43" t="s">
        <v>114</v>
      </c>
      <c r="AF332" s="43" t="s">
        <v>26</v>
      </c>
      <c r="AG332" s="43" t="s">
        <v>36</v>
      </c>
      <c r="AH332">
        <v>3</v>
      </c>
      <c r="AI332" t="s">
        <v>325</v>
      </c>
      <c r="AJ332" s="43" t="s">
        <v>268</v>
      </c>
      <c r="AK332">
        <v>0</v>
      </c>
    </row>
    <row r="333" spans="31:37" x14ac:dyDescent="0.25">
      <c r="AE333" s="43" t="s">
        <v>114</v>
      </c>
      <c r="AF333" s="43" t="s">
        <v>26</v>
      </c>
      <c r="AG333" s="43" t="s">
        <v>36</v>
      </c>
      <c r="AH333">
        <v>3</v>
      </c>
      <c r="AI333" t="s">
        <v>330</v>
      </c>
      <c r="AJ333" s="43" t="s">
        <v>308</v>
      </c>
      <c r="AK333">
        <v>1.6</v>
      </c>
    </row>
    <row r="334" spans="31:37" x14ac:dyDescent="0.25">
      <c r="AE334" s="43" t="s">
        <v>114</v>
      </c>
      <c r="AF334" s="43" t="s">
        <v>26</v>
      </c>
      <c r="AG334" s="43" t="s">
        <v>36</v>
      </c>
      <c r="AH334">
        <v>3</v>
      </c>
      <c r="AI334" t="s">
        <v>330</v>
      </c>
      <c r="AJ334" s="43" t="s">
        <v>309</v>
      </c>
      <c r="AK334">
        <v>8.8000000000000007</v>
      </c>
    </row>
    <row r="335" spans="31:37" x14ac:dyDescent="0.25">
      <c r="AE335" s="43" t="s">
        <v>114</v>
      </c>
      <c r="AF335" s="43" t="s">
        <v>26</v>
      </c>
      <c r="AG335" s="43" t="s">
        <v>36</v>
      </c>
      <c r="AH335">
        <v>3</v>
      </c>
      <c r="AI335" t="s">
        <v>330</v>
      </c>
      <c r="AJ335" s="43" t="s">
        <v>268</v>
      </c>
      <c r="AK335">
        <v>10.4</v>
      </c>
    </row>
    <row r="336" spans="31:37" x14ac:dyDescent="0.25">
      <c r="AE336" s="43" t="s">
        <v>114</v>
      </c>
      <c r="AF336" s="43" t="s">
        <v>26</v>
      </c>
      <c r="AG336" s="43" t="s">
        <v>36</v>
      </c>
      <c r="AH336">
        <v>3</v>
      </c>
      <c r="AI336" t="s">
        <v>331</v>
      </c>
      <c r="AJ336" s="43" t="s">
        <v>308</v>
      </c>
      <c r="AK336">
        <v>1.6</v>
      </c>
    </row>
    <row r="337" spans="31:37" x14ac:dyDescent="0.25">
      <c r="AE337" s="43" t="s">
        <v>114</v>
      </c>
      <c r="AF337" s="43" t="s">
        <v>26</v>
      </c>
      <c r="AG337" s="43" t="s">
        <v>36</v>
      </c>
      <c r="AH337">
        <v>3</v>
      </c>
      <c r="AI337" t="s">
        <v>331</v>
      </c>
      <c r="AJ337" s="43" t="s">
        <v>309</v>
      </c>
      <c r="AK337">
        <v>8.8000000000000007</v>
      </c>
    </row>
    <row r="338" spans="31:37" x14ac:dyDescent="0.25">
      <c r="AE338" s="43" t="s">
        <v>114</v>
      </c>
      <c r="AF338" s="43" t="s">
        <v>26</v>
      </c>
      <c r="AG338" s="43" t="s">
        <v>36</v>
      </c>
      <c r="AH338">
        <v>3</v>
      </c>
      <c r="AI338" t="s">
        <v>331</v>
      </c>
      <c r="AJ338" s="43" t="s">
        <v>268</v>
      </c>
      <c r="AK338">
        <v>10.4</v>
      </c>
    </row>
    <row r="339" spans="31:37" x14ac:dyDescent="0.25">
      <c r="AE339" s="43" t="s">
        <v>114</v>
      </c>
      <c r="AF339" s="43" t="s">
        <v>26</v>
      </c>
      <c r="AG339" s="43" t="s">
        <v>36</v>
      </c>
      <c r="AH339">
        <v>3</v>
      </c>
      <c r="AI339" t="s">
        <v>341</v>
      </c>
      <c r="AJ339" s="43" t="s">
        <v>308</v>
      </c>
      <c r="AK339">
        <v>5.6</v>
      </c>
    </row>
    <row r="340" spans="31:37" x14ac:dyDescent="0.25">
      <c r="AE340" s="43" t="s">
        <v>114</v>
      </c>
      <c r="AF340" s="43" t="s">
        <v>26</v>
      </c>
      <c r="AG340" s="43" t="s">
        <v>36</v>
      </c>
      <c r="AH340">
        <v>3</v>
      </c>
      <c r="AI340" t="s">
        <v>341</v>
      </c>
      <c r="AJ340" s="43" t="s">
        <v>309</v>
      </c>
      <c r="AK340">
        <v>26.400000000000002</v>
      </c>
    </row>
    <row r="341" spans="31:37" x14ac:dyDescent="0.25">
      <c r="AE341" s="43" t="s">
        <v>114</v>
      </c>
      <c r="AF341" s="43" t="s">
        <v>26</v>
      </c>
      <c r="AG341" s="43" t="s">
        <v>36</v>
      </c>
      <c r="AH341">
        <v>3</v>
      </c>
      <c r="AI341" t="s">
        <v>341</v>
      </c>
      <c r="AJ341" s="43" t="s">
        <v>268</v>
      </c>
      <c r="AK341">
        <v>32</v>
      </c>
    </row>
    <row r="342" spans="31:37" x14ac:dyDescent="0.25">
      <c r="AE342" s="43" t="s">
        <v>114</v>
      </c>
      <c r="AF342" s="43" t="s">
        <v>26</v>
      </c>
      <c r="AG342" s="43" t="s">
        <v>36</v>
      </c>
      <c r="AH342">
        <v>3</v>
      </c>
      <c r="AI342" t="s">
        <v>273</v>
      </c>
      <c r="AJ342" s="43" t="s">
        <v>308</v>
      </c>
      <c r="AK342">
        <v>1.8666666666666665</v>
      </c>
    </row>
    <row r="343" spans="31:37" x14ac:dyDescent="0.25">
      <c r="AE343" s="43" t="s">
        <v>114</v>
      </c>
      <c r="AF343" s="43" t="s">
        <v>26</v>
      </c>
      <c r="AG343" s="43" t="s">
        <v>36</v>
      </c>
      <c r="AH343">
        <v>3</v>
      </c>
      <c r="AI343" t="s">
        <v>273</v>
      </c>
      <c r="AJ343" s="43" t="s">
        <v>309</v>
      </c>
      <c r="AK343">
        <v>8.8000000000000007</v>
      </c>
    </row>
    <row r="344" spans="31:37" x14ac:dyDescent="0.25">
      <c r="AE344" s="43" t="s">
        <v>114</v>
      </c>
      <c r="AF344" s="43" t="s">
        <v>26</v>
      </c>
      <c r="AG344" s="43" t="s">
        <v>36</v>
      </c>
      <c r="AH344">
        <v>3</v>
      </c>
      <c r="AI344" t="s">
        <v>273</v>
      </c>
      <c r="AJ344" s="43" t="s">
        <v>268</v>
      </c>
      <c r="AK344">
        <v>10.666666666666666</v>
      </c>
    </row>
    <row r="345" spans="31:37" x14ac:dyDescent="0.25">
      <c r="AE345" s="43" t="s">
        <v>52</v>
      </c>
      <c r="AF345" s="43" t="s">
        <v>26</v>
      </c>
      <c r="AG345" s="43" t="s">
        <v>36</v>
      </c>
      <c r="AH345">
        <v>3</v>
      </c>
      <c r="AI345" t="s">
        <v>317</v>
      </c>
      <c r="AJ345" s="43" t="s">
        <v>308</v>
      </c>
      <c r="AK345">
        <v>2.4</v>
      </c>
    </row>
    <row r="346" spans="31:37" x14ac:dyDescent="0.25">
      <c r="AE346" s="43" t="s">
        <v>52</v>
      </c>
      <c r="AF346" s="43" t="s">
        <v>26</v>
      </c>
      <c r="AG346" s="43" t="s">
        <v>36</v>
      </c>
      <c r="AH346">
        <v>3</v>
      </c>
      <c r="AI346" t="s">
        <v>317</v>
      </c>
      <c r="AJ346" s="43" t="s">
        <v>309</v>
      </c>
      <c r="AK346">
        <v>7.7</v>
      </c>
    </row>
    <row r="347" spans="31:37" x14ac:dyDescent="0.25">
      <c r="AE347" s="43" t="s">
        <v>52</v>
      </c>
      <c r="AF347" s="43" t="s">
        <v>26</v>
      </c>
      <c r="AG347" s="43" t="s">
        <v>36</v>
      </c>
      <c r="AH347">
        <v>3</v>
      </c>
      <c r="AI347" t="s">
        <v>317</v>
      </c>
      <c r="AJ347" s="43" t="s">
        <v>268</v>
      </c>
      <c r="AK347">
        <v>10.1</v>
      </c>
    </row>
    <row r="348" spans="31:37" x14ac:dyDescent="0.25">
      <c r="AE348" s="43" t="s">
        <v>52</v>
      </c>
      <c r="AF348" s="43" t="s">
        <v>26</v>
      </c>
      <c r="AG348" s="43" t="s">
        <v>36</v>
      </c>
      <c r="AH348">
        <v>3</v>
      </c>
      <c r="AI348" t="s">
        <v>325</v>
      </c>
      <c r="AJ348" s="43" t="s">
        <v>308</v>
      </c>
      <c r="AK348">
        <v>0</v>
      </c>
    </row>
    <row r="349" spans="31:37" x14ac:dyDescent="0.25">
      <c r="AE349" s="43" t="s">
        <v>52</v>
      </c>
      <c r="AF349" s="43" t="s">
        <v>26</v>
      </c>
      <c r="AG349" s="43" t="s">
        <v>36</v>
      </c>
      <c r="AH349">
        <v>3</v>
      </c>
      <c r="AI349" t="s">
        <v>325</v>
      </c>
      <c r="AJ349" s="43" t="s">
        <v>309</v>
      </c>
      <c r="AK349">
        <v>0</v>
      </c>
    </row>
    <row r="350" spans="31:37" x14ac:dyDescent="0.25">
      <c r="AE350" s="43" t="s">
        <v>52</v>
      </c>
      <c r="AF350" s="43" t="s">
        <v>26</v>
      </c>
      <c r="AG350" s="43" t="s">
        <v>36</v>
      </c>
      <c r="AH350">
        <v>3</v>
      </c>
      <c r="AI350" t="s">
        <v>325</v>
      </c>
      <c r="AJ350" s="43" t="s">
        <v>268</v>
      </c>
      <c r="AK350">
        <v>0</v>
      </c>
    </row>
    <row r="351" spans="31:37" x14ac:dyDescent="0.25">
      <c r="AE351" s="43" t="s">
        <v>52</v>
      </c>
      <c r="AF351" s="43" t="s">
        <v>26</v>
      </c>
      <c r="AG351" s="43" t="s">
        <v>36</v>
      </c>
      <c r="AH351">
        <v>3</v>
      </c>
      <c r="AI351" t="s">
        <v>330</v>
      </c>
      <c r="AJ351" s="43" t="s">
        <v>308</v>
      </c>
      <c r="AK351">
        <v>1.6</v>
      </c>
    </row>
    <row r="352" spans="31:37" x14ac:dyDescent="0.25">
      <c r="AE352" s="43" t="s">
        <v>52</v>
      </c>
      <c r="AF352" s="43" t="s">
        <v>26</v>
      </c>
      <c r="AG352" s="43" t="s">
        <v>36</v>
      </c>
      <c r="AH352">
        <v>3</v>
      </c>
      <c r="AI352" t="s">
        <v>330</v>
      </c>
      <c r="AJ352" s="43" t="s">
        <v>309</v>
      </c>
      <c r="AK352">
        <v>9.4499999999999993</v>
      </c>
    </row>
    <row r="353" spans="31:37" x14ac:dyDescent="0.25">
      <c r="AE353" s="43" t="s">
        <v>52</v>
      </c>
      <c r="AF353" s="43" t="s">
        <v>26</v>
      </c>
      <c r="AG353" s="43" t="s">
        <v>36</v>
      </c>
      <c r="AH353">
        <v>3</v>
      </c>
      <c r="AI353" t="s">
        <v>330</v>
      </c>
      <c r="AJ353" s="43" t="s">
        <v>268</v>
      </c>
      <c r="AK353">
        <v>11.05</v>
      </c>
    </row>
    <row r="354" spans="31:37" x14ac:dyDescent="0.25">
      <c r="AE354" s="43" t="s">
        <v>52</v>
      </c>
      <c r="AF354" s="43" t="s">
        <v>26</v>
      </c>
      <c r="AG354" s="43" t="s">
        <v>36</v>
      </c>
      <c r="AH354">
        <v>3</v>
      </c>
      <c r="AI354" t="s">
        <v>331</v>
      </c>
      <c r="AJ354" s="43" t="s">
        <v>308</v>
      </c>
      <c r="AK354">
        <v>2.4</v>
      </c>
    </row>
    <row r="355" spans="31:37" x14ac:dyDescent="0.25">
      <c r="AE355" s="43" t="s">
        <v>52</v>
      </c>
      <c r="AF355" s="43" t="s">
        <v>26</v>
      </c>
      <c r="AG355" s="43" t="s">
        <v>36</v>
      </c>
      <c r="AH355">
        <v>3</v>
      </c>
      <c r="AI355" t="s">
        <v>331</v>
      </c>
      <c r="AJ355" s="43" t="s">
        <v>309</v>
      </c>
      <c r="AK355">
        <v>8.1999999999999993</v>
      </c>
    </row>
    <row r="356" spans="31:37" x14ac:dyDescent="0.25">
      <c r="AE356" s="43" t="s">
        <v>52</v>
      </c>
      <c r="AF356" s="43" t="s">
        <v>26</v>
      </c>
      <c r="AG356" s="43" t="s">
        <v>36</v>
      </c>
      <c r="AH356">
        <v>3</v>
      </c>
      <c r="AI356" t="s">
        <v>331</v>
      </c>
      <c r="AJ356" s="43" t="s">
        <v>268</v>
      </c>
      <c r="AK356">
        <v>10.6</v>
      </c>
    </row>
    <row r="357" spans="31:37" x14ac:dyDescent="0.25">
      <c r="AE357" s="43" t="s">
        <v>52</v>
      </c>
      <c r="AF357" s="43" t="s">
        <v>26</v>
      </c>
      <c r="AG357" s="43" t="s">
        <v>36</v>
      </c>
      <c r="AH357">
        <v>3</v>
      </c>
      <c r="AI357" t="s">
        <v>341</v>
      </c>
      <c r="AJ357" s="43" t="s">
        <v>308</v>
      </c>
      <c r="AK357">
        <v>6.4</v>
      </c>
    </row>
    <row r="358" spans="31:37" x14ac:dyDescent="0.25">
      <c r="AE358" s="43" t="s">
        <v>52</v>
      </c>
      <c r="AF358" s="43" t="s">
        <v>26</v>
      </c>
      <c r="AG358" s="43" t="s">
        <v>36</v>
      </c>
      <c r="AH358">
        <v>3</v>
      </c>
      <c r="AI358" t="s">
        <v>341</v>
      </c>
      <c r="AJ358" s="43" t="s">
        <v>309</v>
      </c>
      <c r="AK358">
        <v>25.349999999999998</v>
      </c>
    </row>
    <row r="359" spans="31:37" x14ac:dyDescent="0.25">
      <c r="AE359" s="43" t="s">
        <v>52</v>
      </c>
      <c r="AF359" s="43" t="s">
        <v>26</v>
      </c>
      <c r="AG359" s="43" t="s">
        <v>36</v>
      </c>
      <c r="AH359">
        <v>3</v>
      </c>
      <c r="AI359" t="s">
        <v>341</v>
      </c>
      <c r="AJ359" s="43" t="s">
        <v>268</v>
      </c>
      <c r="AK359">
        <v>31.75</v>
      </c>
    </row>
    <row r="360" spans="31:37" x14ac:dyDescent="0.25">
      <c r="AE360" s="43" t="s">
        <v>52</v>
      </c>
      <c r="AF360" s="43" t="s">
        <v>26</v>
      </c>
      <c r="AG360" s="43" t="s">
        <v>36</v>
      </c>
      <c r="AH360">
        <v>3</v>
      </c>
      <c r="AI360" t="s">
        <v>273</v>
      </c>
      <c r="AJ360" s="43" t="s">
        <v>308</v>
      </c>
      <c r="AK360">
        <v>2.1333333333333333</v>
      </c>
    </row>
    <row r="361" spans="31:37" x14ac:dyDescent="0.25">
      <c r="AE361" s="43" t="s">
        <v>52</v>
      </c>
      <c r="AF361" s="43" t="s">
        <v>26</v>
      </c>
      <c r="AG361" s="43" t="s">
        <v>36</v>
      </c>
      <c r="AH361">
        <v>3</v>
      </c>
      <c r="AI361" t="s">
        <v>273</v>
      </c>
      <c r="AJ361" s="43" t="s">
        <v>309</v>
      </c>
      <c r="AK361">
        <v>8.4499999999999993</v>
      </c>
    </row>
    <row r="362" spans="31:37" x14ac:dyDescent="0.25">
      <c r="AE362" s="43" t="s">
        <v>52</v>
      </c>
      <c r="AF362" s="43" t="s">
        <v>26</v>
      </c>
      <c r="AG362" s="43" t="s">
        <v>36</v>
      </c>
      <c r="AH362">
        <v>3</v>
      </c>
      <c r="AI362" t="s">
        <v>273</v>
      </c>
      <c r="AJ362" s="43" t="s">
        <v>268</v>
      </c>
      <c r="AK362">
        <v>10.583333333333334</v>
      </c>
    </row>
    <row r="363" spans="31:37" x14ac:dyDescent="0.25">
      <c r="AE363" s="43" t="s">
        <v>46</v>
      </c>
      <c r="AF363" s="43" t="s">
        <v>26</v>
      </c>
      <c r="AG363" s="43" t="s">
        <v>36</v>
      </c>
      <c r="AH363">
        <v>3</v>
      </c>
      <c r="AI363" t="s">
        <v>317</v>
      </c>
      <c r="AJ363" s="43" t="s">
        <v>308</v>
      </c>
      <c r="AK363">
        <v>0</v>
      </c>
    </row>
    <row r="364" spans="31:37" x14ac:dyDescent="0.25">
      <c r="AE364" s="43" t="s">
        <v>46</v>
      </c>
      <c r="AF364" s="43" t="s">
        <v>26</v>
      </c>
      <c r="AG364" s="43" t="s">
        <v>36</v>
      </c>
      <c r="AH364">
        <v>3</v>
      </c>
      <c r="AI364" t="s">
        <v>317</v>
      </c>
      <c r="AJ364" s="43" t="s">
        <v>309</v>
      </c>
      <c r="AK364">
        <v>0</v>
      </c>
    </row>
    <row r="365" spans="31:37" x14ac:dyDescent="0.25">
      <c r="AE365" s="43" t="s">
        <v>46</v>
      </c>
      <c r="AF365" s="43" t="s">
        <v>26</v>
      </c>
      <c r="AG365" s="43" t="s">
        <v>36</v>
      </c>
      <c r="AH365">
        <v>3</v>
      </c>
      <c r="AI365" t="s">
        <v>317</v>
      </c>
      <c r="AJ365" s="43" t="s">
        <v>268</v>
      </c>
      <c r="AK365">
        <v>0</v>
      </c>
    </row>
    <row r="366" spans="31:37" x14ac:dyDescent="0.25">
      <c r="AE366" s="43" t="s">
        <v>46</v>
      </c>
      <c r="AF366" s="43" t="s">
        <v>26</v>
      </c>
      <c r="AG366" s="43" t="s">
        <v>36</v>
      </c>
      <c r="AH366">
        <v>3</v>
      </c>
      <c r="AI366" t="s">
        <v>325</v>
      </c>
      <c r="AJ366" s="43" t="s">
        <v>308</v>
      </c>
      <c r="AK366">
        <v>1.6</v>
      </c>
    </row>
    <row r="367" spans="31:37" x14ac:dyDescent="0.25">
      <c r="AE367" s="43" t="s">
        <v>46</v>
      </c>
      <c r="AF367" s="43" t="s">
        <v>26</v>
      </c>
      <c r="AG367" s="43" t="s">
        <v>36</v>
      </c>
      <c r="AH367">
        <v>3</v>
      </c>
      <c r="AI367" t="s">
        <v>325</v>
      </c>
      <c r="AJ367" s="43" t="s">
        <v>309</v>
      </c>
      <c r="AK367">
        <v>9</v>
      </c>
    </row>
    <row r="368" spans="31:37" x14ac:dyDescent="0.25">
      <c r="AE368" s="43" t="s">
        <v>46</v>
      </c>
      <c r="AF368" s="43" t="s">
        <v>26</v>
      </c>
      <c r="AG368" s="43" t="s">
        <v>36</v>
      </c>
      <c r="AH368">
        <v>3</v>
      </c>
      <c r="AI368" t="s">
        <v>325</v>
      </c>
      <c r="AJ368" s="43" t="s">
        <v>268</v>
      </c>
      <c r="AK368">
        <v>10.6</v>
      </c>
    </row>
    <row r="369" spans="31:37" x14ac:dyDescent="0.25">
      <c r="AE369" s="43" t="s">
        <v>46</v>
      </c>
      <c r="AF369" s="43" t="s">
        <v>26</v>
      </c>
      <c r="AG369" s="43" t="s">
        <v>36</v>
      </c>
      <c r="AH369">
        <v>3</v>
      </c>
      <c r="AI369" t="s">
        <v>330</v>
      </c>
      <c r="AJ369" s="43" t="s">
        <v>308</v>
      </c>
      <c r="AK369">
        <v>1.6</v>
      </c>
    </row>
    <row r="370" spans="31:37" x14ac:dyDescent="0.25">
      <c r="AE370" s="43" t="s">
        <v>46</v>
      </c>
      <c r="AF370" s="43" t="s">
        <v>26</v>
      </c>
      <c r="AG370" s="43" t="s">
        <v>36</v>
      </c>
      <c r="AH370">
        <v>3</v>
      </c>
      <c r="AI370" t="s">
        <v>330</v>
      </c>
      <c r="AJ370" s="43" t="s">
        <v>309</v>
      </c>
      <c r="AK370">
        <v>9</v>
      </c>
    </row>
    <row r="371" spans="31:37" x14ac:dyDescent="0.25">
      <c r="AE371" s="43" t="s">
        <v>46</v>
      </c>
      <c r="AF371" s="43" t="s">
        <v>26</v>
      </c>
      <c r="AG371" s="43" t="s">
        <v>36</v>
      </c>
      <c r="AH371">
        <v>3</v>
      </c>
      <c r="AI371" t="s">
        <v>330</v>
      </c>
      <c r="AJ371" s="43" t="s">
        <v>268</v>
      </c>
      <c r="AK371">
        <v>10.6</v>
      </c>
    </row>
    <row r="372" spans="31:37" x14ac:dyDescent="0.25">
      <c r="AE372" s="43" t="s">
        <v>46</v>
      </c>
      <c r="AF372" s="43" t="s">
        <v>26</v>
      </c>
      <c r="AG372" s="43" t="s">
        <v>36</v>
      </c>
      <c r="AH372">
        <v>3</v>
      </c>
      <c r="AI372" t="s">
        <v>331</v>
      </c>
      <c r="AJ372" s="43" t="s">
        <v>308</v>
      </c>
      <c r="AK372">
        <v>1.6</v>
      </c>
    </row>
    <row r="373" spans="31:37" x14ac:dyDescent="0.25">
      <c r="AE373" s="43" t="s">
        <v>46</v>
      </c>
      <c r="AF373" s="43" t="s">
        <v>26</v>
      </c>
      <c r="AG373" s="43" t="s">
        <v>36</v>
      </c>
      <c r="AH373">
        <v>3</v>
      </c>
      <c r="AI373" t="s">
        <v>331</v>
      </c>
      <c r="AJ373" s="43" t="s">
        <v>309</v>
      </c>
      <c r="AK373">
        <v>8.8000000000000007</v>
      </c>
    </row>
    <row r="374" spans="31:37" x14ac:dyDescent="0.25">
      <c r="AE374" s="43" t="s">
        <v>46</v>
      </c>
      <c r="AF374" s="43" t="s">
        <v>26</v>
      </c>
      <c r="AG374" s="43" t="s">
        <v>36</v>
      </c>
      <c r="AH374">
        <v>3</v>
      </c>
      <c r="AI374" t="s">
        <v>331</v>
      </c>
      <c r="AJ374" s="43" t="s">
        <v>268</v>
      </c>
      <c r="AK374">
        <v>10.4</v>
      </c>
    </row>
    <row r="375" spans="31:37" x14ac:dyDescent="0.25">
      <c r="AE375" s="43" t="s">
        <v>46</v>
      </c>
      <c r="AF375" s="43" t="s">
        <v>26</v>
      </c>
      <c r="AG375" s="43" t="s">
        <v>36</v>
      </c>
      <c r="AH375">
        <v>3</v>
      </c>
      <c r="AI375" t="s">
        <v>341</v>
      </c>
      <c r="AJ375" s="43" t="s">
        <v>308</v>
      </c>
      <c r="AK375">
        <v>4.8000000000000007</v>
      </c>
    </row>
    <row r="376" spans="31:37" x14ac:dyDescent="0.25">
      <c r="AE376" s="43" t="s">
        <v>46</v>
      </c>
      <c r="AF376" s="43" t="s">
        <v>26</v>
      </c>
      <c r="AG376" s="43" t="s">
        <v>36</v>
      </c>
      <c r="AH376">
        <v>3</v>
      </c>
      <c r="AI376" t="s">
        <v>341</v>
      </c>
      <c r="AJ376" s="43" t="s">
        <v>309</v>
      </c>
      <c r="AK376">
        <v>26.8</v>
      </c>
    </row>
    <row r="377" spans="31:37" x14ac:dyDescent="0.25">
      <c r="AE377" s="43" t="s">
        <v>46</v>
      </c>
      <c r="AF377" s="43" t="s">
        <v>26</v>
      </c>
      <c r="AG377" s="43" t="s">
        <v>36</v>
      </c>
      <c r="AH377">
        <v>3</v>
      </c>
      <c r="AI377" t="s">
        <v>341</v>
      </c>
      <c r="AJ377" s="43" t="s">
        <v>268</v>
      </c>
      <c r="AK377">
        <v>31.6</v>
      </c>
    </row>
    <row r="378" spans="31:37" x14ac:dyDescent="0.25">
      <c r="AE378" s="43" t="s">
        <v>46</v>
      </c>
      <c r="AF378" s="43" t="s">
        <v>26</v>
      </c>
      <c r="AG378" s="43" t="s">
        <v>36</v>
      </c>
      <c r="AH378">
        <v>3</v>
      </c>
      <c r="AI378" t="s">
        <v>273</v>
      </c>
      <c r="AJ378" s="43" t="s">
        <v>308</v>
      </c>
      <c r="AK378">
        <v>1.6000000000000003</v>
      </c>
    </row>
    <row r="379" spans="31:37" x14ac:dyDescent="0.25">
      <c r="AE379" s="43" t="s">
        <v>46</v>
      </c>
      <c r="AF379" s="43" t="s">
        <v>26</v>
      </c>
      <c r="AG379" s="43" t="s">
        <v>36</v>
      </c>
      <c r="AH379">
        <v>3</v>
      </c>
      <c r="AI379" t="s">
        <v>273</v>
      </c>
      <c r="AJ379" s="43" t="s">
        <v>309</v>
      </c>
      <c r="AK379">
        <v>8.9333333333333336</v>
      </c>
    </row>
    <row r="380" spans="31:37" x14ac:dyDescent="0.25">
      <c r="AE380" s="43" t="s">
        <v>46</v>
      </c>
      <c r="AF380" s="43" t="s">
        <v>26</v>
      </c>
      <c r="AG380" s="43" t="s">
        <v>36</v>
      </c>
      <c r="AH380">
        <v>3</v>
      </c>
      <c r="AI380" t="s">
        <v>273</v>
      </c>
      <c r="AJ380" s="43" t="s">
        <v>268</v>
      </c>
      <c r="AK380">
        <v>10.533333333333333</v>
      </c>
    </row>
    <row r="381" spans="31:37" x14ac:dyDescent="0.25">
      <c r="AE381" s="43" t="s">
        <v>92</v>
      </c>
      <c r="AF381" s="43" t="s">
        <v>60</v>
      </c>
      <c r="AG381" s="43" t="s">
        <v>39</v>
      </c>
      <c r="AH381">
        <v>2</v>
      </c>
      <c r="AI381" t="s">
        <v>317</v>
      </c>
      <c r="AJ381" s="43" t="s">
        <v>308</v>
      </c>
      <c r="AK381">
        <v>0</v>
      </c>
    </row>
    <row r="382" spans="31:37" x14ac:dyDescent="0.25">
      <c r="AE382" s="43" t="s">
        <v>92</v>
      </c>
      <c r="AF382" s="43" t="s">
        <v>60</v>
      </c>
      <c r="AG382" s="43" t="s">
        <v>39</v>
      </c>
      <c r="AH382">
        <v>2</v>
      </c>
      <c r="AI382" t="s">
        <v>317</v>
      </c>
      <c r="AJ382" s="43" t="s">
        <v>309</v>
      </c>
      <c r="AK382">
        <v>0</v>
      </c>
    </row>
    <row r="383" spans="31:37" x14ac:dyDescent="0.25">
      <c r="AE383" s="43" t="s">
        <v>92</v>
      </c>
      <c r="AF383" s="43" t="s">
        <v>60</v>
      </c>
      <c r="AG383" s="43" t="s">
        <v>39</v>
      </c>
      <c r="AH383">
        <v>2</v>
      </c>
      <c r="AI383" t="s">
        <v>317</v>
      </c>
      <c r="AJ383" s="43" t="s">
        <v>268</v>
      </c>
      <c r="AK383">
        <v>0</v>
      </c>
    </row>
    <row r="384" spans="31:37" x14ac:dyDescent="0.25">
      <c r="AE384" s="43" t="s">
        <v>92</v>
      </c>
      <c r="AF384" s="43" t="s">
        <v>60</v>
      </c>
      <c r="AG384" s="43" t="s">
        <v>39</v>
      </c>
      <c r="AH384">
        <v>2</v>
      </c>
      <c r="AI384" t="s">
        <v>325</v>
      </c>
      <c r="AJ384" s="43" t="s">
        <v>308</v>
      </c>
      <c r="AK384">
        <v>4</v>
      </c>
    </row>
    <row r="385" spans="31:37" x14ac:dyDescent="0.25">
      <c r="AE385" s="43" t="s">
        <v>92</v>
      </c>
      <c r="AF385" s="43" t="s">
        <v>60</v>
      </c>
      <c r="AG385" s="43" t="s">
        <v>39</v>
      </c>
      <c r="AH385">
        <v>2</v>
      </c>
      <c r="AI385" t="s">
        <v>325</v>
      </c>
      <c r="AJ385" s="43" t="s">
        <v>309</v>
      </c>
      <c r="AK385">
        <v>8.9</v>
      </c>
    </row>
    <row r="386" spans="31:37" x14ac:dyDescent="0.25">
      <c r="AE386" s="43" t="s">
        <v>92</v>
      </c>
      <c r="AF386" s="43" t="s">
        <v>60</v>
      </c>
      <c r="AG386" s="43" t="s">
        <v>39</v>
      </c>
      <c r="AH386">
        <v>2</v>
      </c>
      <c r="AI386" t="s">
        <v>325</v>
      </c>
      <c r="AJ386" s="43" t="s">
        <v>268</v>
      </c>
      <c r="AK386">
        <v>12.9</v>
      </c>
    </row>
    <row r="387" spans="31:37" x14ac:dyDescent="0.25">
      <c r="AE387" s="43" t="s">
        <v>92</v>
      </c>
      <c r="AF387" s="43" t="s">
        <v>60</v>
      </c>
      <c r="AG387" s="43" t="s">
        <v>39</v>
      </c>
      <c r="AH387">
        <v>2</v>
      </c>
      <c r="AI387" t="s">
        <v>330</v>
      </c>
      <c r="AJ387" s="43" t="s">
        <v>308</v>
      </c>
      <c r="AK387">
        <v>4.4000000000000004</v>
      </c>
    </row>
    <row r="388" spans="31:37" x14ac:dyDescent="0.25">
      <c r="AE388" s="43" t="s">
        <v>92</v>
      </c>
      <c r="AF388" s="43" t="s">
        <v>60</v>
      </c>
      <c r="AG388" s="43" t="s">
        <v>39</v>
      </c>
      <c r="AH388">
        <v>2</v>
      </c>
      <c r="AI388" t="s">
        <v>330</v>
      </c>
      <c r="AJ388" s="43" t="s">
        <v>309</v>
      </c>
      <c r="AK388">
        <v>9.35</v>
      </c>
    </row>
    <row r="389" spans="31:37" x14ac:dyDescent="0.25">
      <c r="AE389" s="43" t="s">
        <v>92</v>
      </c>
      <c r="AF389" s="43" t="s">
        <v>60</v>
      </c>
      <c r="AG389" s="43" t="s">
        <v>39</v>
      </c>
      <c r="AH389">
        <v>2</v>
      </c>
      <c r="AI389" t="s">
        <v>330</v>
      </c>
      <c r="AJ389" s="43" t="s">
        <v>268</v>
      </c>
      <c r="AK389">
        <v>13.75</v>
      </c>
    </row>
    <row r="390" spans="31:37" x14ac:dyDescent="0.25">
      <c r="AE390" s="43" t="s">
        <v>92</v>
      </c>
      <c r="AF390" s="43" t="s">
        <v>60</v>
      </c>
      <c r="AG390" s="43" t="s">
        <v>39</v>
      </c>
      <c r="AH390">
        <v>2</v>
      </c>
      <c r="AI390" t="s">
        <v>331</v>
      </c>
      <c r="AJ390" s="43" t="s">
        <v>308</v>
      </c>
      <c r="AK390">
        <v>0</v>
      </c>
    </row>
    <row r="391" spans="31:37" x14ac:dyDescent="0.25">
      <c r="AE391" s="43" t="s">
        <v>92</v>
      </c>
      <c r="AF391" s="43" t="s">
        <v>60</v>
      </c>
      <c r="AG391" s="43" t="s">
        <v>39</v>
      </c>
      <c r="AH391">
        <v>2</v>
      </c>
      <c r="AI391" t="s">
        <v>331</v>
      </c>
      <c r="AJ391" s="43" t="s">
        <v>309</v>
      </c>
      <c r="AK391">
        <v>0</v>
      </c>
    </row>
    <row r="392" spans="31:37" x14ac:dyDescent="0.25">
      <c r="AE392" s="43" t="s">
        <v>92</v>
      </c>
      <c r="AF392" s="43" t="s">
        <v>60</v>
      </c>
      <c r="AG392" s="43" t="s">
        <v>39</v>
      </c>
      <c r="AH392">
        <v>2</v>
      </c>
      <c r="AI392" t="s">
        <v>331</v>
      </c>
      <c r="AJ392" s="43" t="s">
        <v>268</v>
      </c>
      <c r="AK392">
        <v>0</v>
      </c>
    </row>
    <row r="393" spans="31:37" x14ac:dyDescent="0.25">
      <c r="AE393" s="43" t="s">
        <v>92</v>
      </c>
      <c r="AF393" s="43" t="s">
        <v>60</v>
      </c>
      <c r="AG393" s="43" t="s">
        <v>39</v>
      </c>
      <c r="AH393">
        <v>2</v>
      </c>
      <c r="AI393" t="s">
        <v>341</v>
      </c>
      <c r="AJ393" s="43" t="s">
        <v>308</v>
      </c>
      <c r="AK393">
        <v>8.4</v>
      </c>
    </row>
    <row r="394" spans="31:37" x14ac:dyDescent="0.25">
      <c r="AE394" s="43" t="s">
        <v>92</v>
      </c>
      <c r="AF394" s="43" t="s">
        <v>60</v>
      </c>
      <c r="AG394" s="43" t="s">
        <v>39</v>
      </c>
      <c r="AH394">
        <v>2</v>
      </c>
      <c r="AI394" t="s">
        <v>341</v>
      </c>
      <c r="AJ394" s="43" t="s">
        <v>309</v>
      </c>
      <c r="AK394">
        <v>18.25</v>
      </c>
    </row>
    <row r="395" spans="31:37" x14ac:dyDescent="0.25">
      <c r="AE395" s="43" t="s">
        <v>92</v>
      </c>
      <c r="AF395" s="43" t="s">
        <v>60</v>
      </c>
      <c r="AG395" s="43" t="s">
        <v>39</v>
      </c>
      <c r="AH395">
        <v>2</v>
      </c>
      <c r="AI395" t="s">
        <v>341</v>
      </c>
      <c r="AJ395" s="43" t="s">
        <v>268</v>
      </c>
      <c r="AK395">
        <v>26.65</v>
      </c>
    </row>
    <row r="396" spans="31:37" x14ac:dyDescent="0.25">
      <c r="AE396" s="43" t="s">
        <v>92</v>
      </c>
      <c r="AF396" s="43" t="s">
        <v>60</v>
      </c>
      <c r="AG396" s="43" t="s">
        <v>39</v>
      </c>
      <c r="AH396">
        <v>2</v>
      </c>
      <c r="AI396" t="s">
        <v>273</v>
      </c>
      <c r="AJ396" s="43" t="s">
        <v>308</v>
      </c>
      <c r="AK396">
        <v>0</v>
      </c>
    </row>
    <row r="397" spans="31:37" x14ac:dyDescent="0.25">
      <c r="AE397" s="43" t="s">
        <v>92</v>
      </c>
      <c r="AF397" s="43" t="s">
        <v>60</v>
      </c>
      <c r="AG397" s="43" t="s">
        <v>39</v>
      </c>
      <c r="AH397">
        <v>2</v>
      </c>
      <c r="AI397" t="s">
        <v>273</v>
      </c>
      <c r="AJ397" s="43" t="s">
        <v>309</v>
      </c>
      <c r="AK397">
        <v>0</v>
      </c>
    </row>
    <row r="398" spans="31:37" x14ac:dyDescent="0.25">
      <c r="AE398" s="43" t="s">
        <v>92</v>
      </c>
      <c r="AF398" s="43" t="s">
        <v>60</v>
      </c>
      <c r="AG398" s="43" t="s">
        <v>39</v>
      </c>
      <c r="AH398">
        <v>2</v>
      </c>
      <c r="AI398" t="s">
        <v>273</v>
      </c>
      <c r="AJ398" s="43" t="s">
        <v>268</v>
      </c>
      <c r="AK398">
        <v>0</v>
      </c>
    </row>
    <row r="399" spans="31:37" x14ac:dyDescent="0.25">
      <c r="AE399" s="43" t="s">
        <v>116</v>
      </c>
      <c r="AF399" s="43" t="s">
        <v>60</v>
      </c>
      <c r="AG399" s="43" t="s">
        <v>62</v>
      </c>
      <c r="AH399">
        <v>2</v>
      </c>
      <c r="AI399" t="s">
        <v>317</v>
      </c>
      <c r="AJ399" s="43" t="s">
        <v>308</v>
      </c>
      <c r="AK399">
        <v>0</v>
      </c>
    </row>
    <row r="400" spans="31:37" x14ac:dyDescent="0.25">
      <c r="AE400" s="43" t="s">
        <v>116</v>
      </c>
      <c r="AF400" s="43" t="s">
        <v>60</v>
      </c>
      <c r="AG400" s="43" t="s">
        <v>62</v>
      </c>
      <c r="AH400">
        <v>2</v>
      </c>
      <c r="AI400" t="s">
        <v>317</v>
      </c>
      <c r="AJ400" s="43" t="s">
        <v>309</v>
      </c>
      <c r="AK400">
        <v>0</v>
      </c>
    </row>
    <row r="401" spans="31:37" x14ac:dyDescent="0.25">
      <c r="AE401" s="43" t="s">
        <v>116</v>
      </c>
      <c r="AF401" s="43" t="s">
        <v>60</v>
      </c>
      <c r="AG401" s="43" t="s">
        <v>62</v>
      </c>
      <c r="AH401">
        <v>2</v>
      </c>
      <c r="AI401" t="s">
        <v>317</v>
      </c>
      <c r="AJ401" s="43" t="s">
        <v>268</v>
      </c>
      <c r="AK401">
        <v>0</v>
      </c>
    </row>
    <row r="402" spans="31:37" x14ac:dyDescent="0.25">
      <c r="AE402" s="43" t="s">
        <v>116</v>
      </c>
      <c r="AF402" s="43" t="s">
        <v>60</v>
      </c>
      <c r="AG402" s="43" t="s">
        <v>62</v>
      </c>
      <c r="AH402">
        <v>2</v>
      </c>
      <c r="AI402" t="s">
        <v>325</v>
      </c>
      <c r="AJ402" s="43" t="s">
        <v>308</v>
      </c>
      <c r="AK402">
        <v>0</v>
      </c>
    </row>
    <row r="403" spans="31:37" x14ac:dyDescent="0.25">
      <c r="AE403" s="43" t="s">
        <v>116</v>
      </c>
      <c r="AF403" s="43" t="s">
        <v>60</v>
      </c>
      <c r="AG403" s="43" t="s">
        <v>62</v>
      </c>
      <c r="AH403">
        <v>2</v>
      </c>
      <c r="AI403" t="s">
        <v>325</v>
      </c>
      <c r="AJ403" s="43" t="s">
        <v>309</v>
      </c>
      <c r="AK403">
        <v>0</v>
      </c>
    </row>
    <row r="404" spans="31:37" x14ac:dyDescent="0.25">
      <c r="AE404" s="43" t="s">
        <v>116</v>
      </c>
      <c r="AF404" s="43" t="s">
        <v>60</v>
      </c>
      <c r="AG404" s="43" t="s">
        <v>62</v>
      </c>
      <c r="AH404">
        <v>2</v>
      </c>
      <c r="AI404" t="s">
        <v>325</v>
      </c>
      <c r="AJ404" s="43" t="s">
        <v>268</v>
      </c>
      <c r="AK404">
        <v>0</v>
      </c>
    </row>
    <row r="405" spans="31:37" x14ac:dyDescent="0.25">
      <c r="AE405" s="43" t="s">
        <v>116</v>
      </c>
      <c r="AF405" s="43" t="s">
        <v>60</v>
      </c>
      <c r="AG405" s="43" t="s">
        <v>62</v>
      </c>
      <c r="AH405">
        <v>2</v>
      </c>
      <c r="AI405" t="s">
        <v>330</v>
      </c>
      <c r="AJ405" s="43" t="s">
        <v>308</v>
      </c>
      <c r="AK405">
        <v>5.2</v>
      </c>
    </row>
    <row r="406" spans="31:37" x14ac:dyDescent="0.25">
      <c r="AE406" s="43" t="s">
        <v>116</v>
      </c>
      <c r="AF406" s="43" t="s">
        <v>60</v>
      </c>
      <c r="AG406" s="43" t="s">
        <v>62</v>
      </c>
      <c r="AH406">
        <v>2</v>
      </c>
      <c r="AI406" t="s">
        <v>330</v>
      </c>
      <c r="AJ406" s="43" t="s">
        <v>309</v>
      </c>
      <c r="AK406">
        <v>8.1</v>
      </c>
    </row>
    <row r="407" spans="31:37" x14ac:dyDescent="0.25">
      <c r="AE407" s="43" t="s">
        <v>116</v>
      </c>
      <c r="AF407" s="43" t="s">
        <v>60</v>
      </c>
      <c r="AG407" s="43" t="s">
        <v>62</v>
      </c>
      <c r="AH407">
        <v>2</v>
      </c>
      <c r="AI407" t="s">
        <v>330</v>
      </c>
      <c r="AJ407" s="43" t="s">
        <v>268</v>
      </c>
      <c r="AK407">
        <v>13.3</v>
      </c>
    </row>
    <row r="408" spans="31:37" x14ac:dyDescent="0.25">
      <c r="AE408" s="43" t="s">
        <v>116</v>
      </c>
      <c r="AF408" s="43" t="s">
        <v>60</v>
      </c>
      <c r="AG408" s="43" t="s">
        <v>62</v>
      </c>
      <c r="AH408">
        <v>2</v>
      </c>
      <c r="AI408" t="s">
        <v>331</v>
      </c>
      <c r="AJ408" s="43" t="s">
        <v>308</v>
      </c>
      <c r="AK408">
        <v>5.2</v>
      </c>
    </row>
    <row r="409" spans="31:37" x14ac:dyDescent="0.25">
      <c r="AE409" s="43" t="s">
        <v>116</v>
      </c>
      <c r="AF409" s="43" t="s">
        <v>60</v>
      </c>
      <c r="AG409" s="43" t="s">
        <v>62</v>
      </c>
      <c r="AH409">
        <v>2</v>
      </c>
      <c r="AI409" t="s">
        <v>331</v>
      </c>
      <c r="AJ409" s="43" t="s">
        <v>309</v>
      </c>
      <c r="AK409">
        <v>8</v>
      </c>
    </row>
    <row r="410" spans="31:37" x14ac:dyDescent="0.25">
      <c r="AE410" s="43" t="s">
        <v>116</v>
      </c>
      <c r="AF410" s="43" t="s">
        <v>60</v>
      </c>
      <c r="AG410" s="43" t="s">
        <v>62</v>
      </c>
      <c r="AH410">
        <v>2</v>
      </c>
      <c r="AI410" t="s">
        <v>331</v>
      </c>
      <c r="AJ410" s="43" t="s">
        <v>268</v>
      </c>
      <c r="AK410">
        <v>13.2</v>
      </c>
    </row>
    <row r="411" spans="31:37" x14ac:dyDescent="0.25">
      <c r="AE411" s="43" t="s">
        <v>116</v>
      </c>
      <c r="AF411" s="43" t="s">
        <v>60</v>
      </c>
      <c r="AG411" s="43" t="s">
        <v>62</v>
      </c>
      <c r="AH411">
        <v>2</v>
      </c>
      <c r="AI411" t="s">
        <v>341</v>
      </c>
      <c r="AJ411" s="43" t="s">
        <v>308</v>
      </c>
      <c r="AK411">
        <v>10.4</v>
      </c>
    </row>
    <row r="412" spans="31:37" x14ac:dyDescent="0.25">
      <c r="AE412" s="43" t="s">
        <v>116</v>
      </c>
      <c r="AF412" s="43" t="s">
        <v>60</v>
      </c>
      <c r="AG412" s="43" t="s">
        <v>62</v>
      </c>
      <c r="AH412">
        <v>2</v>
      </c>
      <c r="AI412" t="s">
        <v>341</v>
      </c>
      <c r="AJ412" s="43" t="s">
        <v>309</v>
      </c>
      <c r="AK412">
        <v>16.100000000000001</v>
      </c>
    </row>
    <row r="413" spans="31:37" x14ac:dyDescent="0.25">
      <c r="AE413" s="43" t="s">
        <v>116</v>
      </c>
      <c r="AF413" s="43" t="s">
        <v>60</v>
      </c>
      <c r="AG413" s="43" t="s">
        <v>62</v>
      </c>
      <c r="AH413">
        <v>2</v>
      </c>
      <c r="AI413" t="s">
        <v>341</v>
      </c>
      <c r="AJ413" s="43" t="s">
        <v>268</v>
      </c>
      <c r="AK413">
        <v>26.5</v>
      </c>
    </row>
    <row r="414" spans="31:37" x14ac:dyDescent="0.25">
      <c r="AE414" s="43" t="s">
        <v>116</v>
      </c>
      <c r="AF414" s="43" t="s">
        <v>60</v>
      </c>
      <c r="AG414" s="43" t="s">
        <v>62</v>
      </c>
      <c r="AH414">
        <v>2</v>
      </c>
      <c r="AI414" t="s">
        <v>273</v>
      </c>
      <c r="AJ414" s="43" t="s">
        <v>308</v>
      </c>
      <c r="AK414">
        <v>0</v>
      </c>
    </row>
    <row r="415" spans="31:37" x14ac:dyDescent="0.25">
      <c r="AE415" s="43" t="s">
        <v>116</v>
      </c>
      <c r="AF415" s="43" t="s">
        <v>60</v>
      </c>
      <c r="AG415" s="43" t="s">
        <v>62</v>
      </c>
      <c r="AH415">
        <v>2</v>
      </c>
      <c r="AI415" t="s">
        <v>273</v>
      </c>
      <c r="AJ415" s="43" t="s">
        <v>309</v>
      </c>
      <c r="AK415">
        <v>0</v>
      </c>
    </row>
    <row r="416" spans="31:37" x14ac:dyDescent="0.25">
      <c r="AE416" s="43" t="s">
        <v>116</v>
      </c>
      <c r="AF416" s="43" t="s">
        <v>60</v>
      </c>
      <c r="AG416" s="43" t="s">
        <v>62</v>
      </c>
      <c r="AH416">
        <v>2</v>
      </c>
      <c r="AI416" t="s">
        <v>273</v>
      </c>
      <c r="AJ416" s="43" t="s">
        <v>268</v>
      </c>
      <c r="AK416">
        <v>0</v>
      </c>
    </row>
    <row r="417" spans="31:37" x14ac:dyDescent="0.25">
      <c r="AE417" s="43" t="s">
        <v>70</v>
      </c>
      <c r="AF417" s="43" t="s">
        <v>60</v>
      </c>
      <c r="AG417" s="43" t="s">
        <v>72</v>
      </c>
      <c r="AH417">
        <v>2</v>
      </c>
      <c r="AI417" t="s">
        <v>317</v>
      </c>
      <c r="AJ417" s="43" t="s">
        <v>308</v>
      </c>
      <c r="AK417">
        <v>0</v>
      </c>
    </row>
    <row r="418" spans="31:37" x14ac:dyDescent="0.25">
      <c r="AE418" s="43" t="s">
        <v>70</v>
      </c>
      <c r="AF418" s="43" t="s">
        <v>60</v>
      </c>
      <c r="AG418" s="43" t="s">
        <v>72</v>
      </c>
      <c r="AH418">
        <v>2</v>
      </c>
      <c r="AI418" t="s">
        <v>317</v>
      </c>
      <c r="AJ418" s="43" t="s">
        <v>309</v>
      </c>
      <c r="AK418">
        <v>0</v>
      </c>
    </row>
    <row r="419" spans="31:37" x14ac:dyDescent="0.25">
      <c r="AE419" s="43" t="s">
        <v>70</v>
      </c>
      <c r="AF419" s="43" t="s">
        <v>60</v>
      </c>
      <c r="AG419" s="43" t="s">
        <v>72</v>
      </c>
      <c r="AH419">
        <v>2</v>
      </c>
      <c r="AI419" t="s">
        <v>317</v>
      </c>
      <c r="AJ419" s="43" t="s">
        <v>268</v>
      </c>
      <c r="AK419">
        <v>0</v>
      </c>
    </row>
    <row r="420" spans="31:37" x14ac:dyDescent="0.25">
      <c r="AE420" s="43" t="s">
        <v>70</v>
      </c>
      <c r="AF420" s="43" t="s">
        <v>60</v>
      </c>
      <c r="AG420" s="43" t="s">
        <v>72</v>
      </c>
      <c r="AH420">
        <v>2</v>
      </c>
      <c r="AI420" t="s">
        <v>325</v>
      </c>
      <c r="AJ420" s="43" t="s">
        <v>308</v>
      </c>
      <c r="AK420">
        <v>5.2</v>
      </c>
    </row>
    <row r="421" spans="31:37" x14ac:dyDescent="0.25">
      <c r="AE421" s="43" t="s">
        <v>70</v>
      </c>
      <c r="AF421" s="43" t="s">
        <v>60</v>
      </c>
      <c r="AG421" s="43" t="s">
        <v>72</v>
      </c>
      <c r="AH421">
        <v>2</v>
      </c>
      <c r="AI421" t="s">
        <v>325</v>
      </c>
      <c r="AJ421" s="43" t="s">
        <v>309</v>
      </c>
      <c r="AK421">
        <v>8.25</v>
      </c>
    </row>
    <row r="422" spans="31:37" x14ac:dyDescent="0.25">
      <c r="AE422" s="43" t="s">
        <v>70</v>
      </c>
      <c r="AF422" s="43" t="s">
        <v>60</v>
      </c>
      <c r="AG422" s="43" t="s">
        <v>72</v>
      </c>
      <c r="AH422">
        <v>2</v>
      </c>
      <c r="AI422" t="s">
        <v>325</v>
      </c>
      <c r="AJ422" s="43" t="s">
        <v>268</v>
      </c>
      <c r="AK422">
        <v>13.45</v>
      </c>
    </row>
    <row r="423" spans="31:37" x14ac:dyDescent="0.25">
      <c r="AE423" s="43" t="s">
        <v>70</v>
      </c>
      <c r="AF423" s="43" t="s">
        <v>60</v>
      </c>
      <c r="AG423" s="43" t="s">
        <v>72</v>
      </c>
      <c r="AH423">
        <v>2</v>
      </c>
      <c r="AI423" t="s">
        <v>330</v>
      </c>
      <c r="AJ423" s="43" t="s">
        <v>308</v>
      </c>
      <c r="AK423">
        <v>5.2</v>
      </c>
    </row>
    <row r="424" spans="31:37" x14ac:dyDescent="0.25">
      <c r="AE424" s="43" t="s">
        <v>70</v>
      </c>
      <c r="AF424" s="43" t="s">
        <v>60</v>
      </c>
      <c r="AG424" s="43" t="s">
        <v>72</v>
      </c>
      <c r="AH424">
        <v>2</v>
      </c>
      <c r="AI424" t="s">
        <v>330</v>
      </c>
      <c r="AJ424" s="43" t="s">
        <v>309</v>
      </c>
      <c r="AK424">
        <v>7.65</v>
      </c>
    </row>
    <row r="425" spans="31:37" x14ac:dyDescent="0.25">
      <c r="AE425" s="43" t="s">
        <v>70</v>
      </c>
      <c r="AF425" s="43" t="s">
        <v>60</v>
      </c>
      <c r="AG425" s="43" t="s">
        <v>72</v>
      </c>
      <c r="AH425">
        <v>2</v>
      </c>
      <c r="AI425" t="s">
        <v>330</v>
      </c>
      <c r="AJ425" s="43" t="s">
        <v>268</v>
      </c>
      <c r="AK425">
        <v>12.85</v>
      </c>
    </row>
    <row r="426" spans="31:37" x14ac:dyDescent="0.25">
      <c r="AE426" s="43" t="s">
        <v>70</v>
      </c>
      <c r="AF426" s="43" t="s">
        <v>60</v>
      </c>
      <c r="AG426" s="43" t="s">
        <v>72</v>
      </c>
      <c r="AH426">
        <v>2</v>
      </c>
      <c r="AI426" t="s">
        <v>331</v>
      </c>
      <c r="AJ426" s="43" t="s">
        <v>308</v>
      </c>
      <c r="AK426">
        <v>0</v>
      </c>
    </row>
    <row r="427" spans="31:37" x14ac:dyDescent="0.25">
      <c r="AE427" s="43" t="s">
        <v>70</v>
      </c>
      <c r="AF427" s="43" t="s">
        <v>60</v>
      </c>
      <c r="AG427" s="43" t="s">
        <v>72</v>
      </c>
      <c r="AH427">
        <v>2</v>
      </c>
      <c r="AI427" t="s">
        <v>331</v>
      </c>
      <c r="AJ427" s="43" t="s">
        <v>309</v>
      </c>
      <c r="AK427">
        <v>0</v>
      </c>
    </row>
    <row r="428" spans="31:37" x14ac:dyDescent="0.25">
      <c r="AE428" s="43" t="s">
        <v>70</v>
      </c>
      <c r="AF428" s="43" t="s">
        <v>60</v>
      </c>
      <c r="AG428" s="43" t="s">
        <v>72</v>
      </c>
      <c r="AH428">
        <v>2</v>
      </c>
      <c r="AI428" t="s">
        <v>331</v>
      </c>
      <c r="AJ428" s="43" t="s">
        <v>268</v>
      </c>
      <c r="AK428">
        <v>0</v>
      </c>
    </row>
    <row r="429" spans="31:37" x14ac:dyDescent="0.25">
      <c r="AE429" s="43" t="s">
        <v>70</v>
      </c>
      <c r="AF429" s="43" t="s">
        <v>60</v>
      </c>
      <c r="AG429" s="43" t="s">
        <v>72</v>
      </c>
      <c r="AH429">
        <v>2</v>
      </c>
      <c r="AI429" t="s">
        <v>341</v>
      </c>
      <c r="AJ429" s="43" t="s">
        <v>308</v>
      </c>
      <c r="AK429">
        <v>10.4</v>
      </c>
    </row>
    <row r="430" spans="31:37" x14ac:dyDescent="0.25">
      <c r="AE430" s="43" t="s">
        <v>70</v>
      </c>
      <c r="AF430" s="43" t="s">
        <v>60</v>
      </c>
      <c r="AG430" s="43" t="s">
        <v>72</v>
      </c>
      <c r="AH430">
        <v>2</v>
      </c>
      <c r="AI430" t="s">
        <v>341</v>
      </c>
      <c r="AJ430" s="43" t="s">
        <v>309</v>
      </c>
      <c r="AK430">
        <v>15.9</v>
      </c>
    </row>
    <row r="431" spans="31:37" x14ac:dyDescent="0.25">
      <c r="AE431" s="43" t="s">
        <v>70</v>
      </c>
      <c r="AF431" s="43" t="s">
        <v>60</v>
      </c>
      <c r="AG431" s="43" t="s">
        <v>72</v>
      </c>
      <c r="AH431">
        <v>2</v>
      </c>
      <c r="AI431" t="s">
        <v>341</v>
      </c>
      <c r="AJ431" s="43" t="s">
        <v>268</v>
      </c>
      <c r="AK431">
        <v>26.299999999999997</v>
      </c>
    </row>
    <row r="432" spans="31:37" x14ac:dyDescent="0.25">
      <c r="AE432" s="43" t="s">
        <v>70</v>
      </c>
      <c r="AF432" s="43" t="s">
        <v>60</v>
      </c>
      <c r="AG432" s="43" t="s">
        <v>72</v>
      </c>
      <c r="AH432">
        <v>2</v>
      </c>
      <c r="AI432" t="s">
        <v>273</v>
      </c>
      <c r="AJ432" s="43" t="s">
        <v>308</v>
      </c>
      <c r="AK432">
        <v>0</v>
      </c>
    </row>
    <row r="433" spans="31:37" x14ac:dyDescent="0.25">
      <c r="AE433" s="43" t="s">
        <v>70</v>
      </c>
      <c r="AF433" s="43" t="s">
        <v>60</v>
      </c>
      <c r="AG433" s="43" t="s">
        <v>72</v>
      </c>
      <c r="AH433">
        <v>2</v>
      </c>
      <c r="AI433" t="s">
        <v>273</v>
      </c>
      <c r="AJ433" s="43" t="s">
        <v>309</v>
      </c>
      <c r="AK433">
        <v>0</v>
      </c>
    </row>
    <row r="434" spans="31:37" x14ac:dyDescent="0.25">
      <c r="AE434" s="43" t="s">
        <v>70</v>
      </c>
      <c r="AF434" s="43" t="s">
        <v>60</v>
      </c>
      <c r="AG434" s="43" t="s">
        <v>72</v>
      </c>
      <c r="AH434">
        <v>2</v>
      </c>
      <c r="AI434" t="s">
        <v>273</v>
      </c>
      <c r="AJ434" s="43" t="s">
        <v>268</v>
      </c>
      <c r="AK434">
        <v>0</v>
      </c>
    </row>
    <row r="435" spans="31:37" x14ac:dyDescent="0.25">
      <c r="AE435" s="43" t="s">
        <v>127</v>
      </c>
      <c r="AF435" s="43" t="s">
        <v>60</v>
      </c>
      <c r="AG435" s="43" t="s">
        <v>72</v>
      </c>
      <c r="AH435">
        <v>2</v>
      </c>
      <c r="AI435" t="s">
        <v>317</v>
      </c>
      <c r="AJ435" s="43" t="s">
        <v>308</v>
      </c>
      <c r="AK435">
        <v>4</v>
      </c>
    </row>
    <row r="436" spans="31:37" x14ac:dyDescent="0.25">
      <c r="AE436" s="43" t="s">
        <v>127</v>
      </c>
      <c r="AF436" s="43" t="s">
        <v>60</v>
      </c>
      <c r="AG436" s="43" t="s">
        <v>72</v>
      </c>
      <c r="AH436">
        <v>2</v>
      </c>
      <c r="AI436" t="s">
        <v>317</v>
      </c>
      <c r="AJ436" s="43" t="s">
        <v>309</v>
      </c>
      <c r="AK436">
        <v>9</v>
      </c>
    </row>
    <row r="437" spans="31:37" x14ac:dyDescent="0.25">
      <c r="AE437" s="43" t="s">
        <v>127</v>
      </c>
      <c r="AF437" s="43" t="s">
        <v>60</v>
      </c>
      <c r="AG437" s="43" t="s">
        <v>72</v>
      </c>
      <c r="AH437">
        <v>2</v>
      </c>
      <c r="AI437" t="s">
        <v>317</v>
      </c>
      <c r="AJ437" s="43" t="s">
        <v>268</v>
      </c>
      <c r="AK437">
        <v>13</v>
      </c>
    </row>
    <row r="438" spans="31:37" x14ac:dyDescent="0.25">
      <c r="AE438" s="43" t="s">
        <v>127</v>
      </c>
      <c r="AF438" s="43" t="s">
        <v>60</v>
      </c>
      <c r="AG438" s="43" t="s">
        <v>72</v>
      </c>
      <c r="AH438">
        <v>2</v>
      </c>
      <c r="AI438" t="s">
        <v>325</v>
      </c>
      <c r="AJ438" s="43" t="s">
        <v>308</v>
      </c>
      <c r="AK438">
        <v>0</v>
      </c>
    </row>
    <row r="439" spans="31:37" x14ac:dyDescent="0.25">
      <c r="AE439" s="43" t="s">
        <v>127</v>
      </c>
      <c r="AF439" s="43" t="s">
        <v>60</v>
      </c>
      <c r="AG439" s="43" t="s">
        <v>72</v>
      </c>
      <c r="AH439">
        <v>2</v>
      </c>
      <c r="AI439" t="s">
        <v>325</v>
      </c>
      <c r="AJ439" s="43" t="s">
        <v>309</v>
      </c>
      <c r="AK439">
        <v>0</v>
      </c>
    </row>
    <row r="440" spans="31:37" x14ac:dyDescent="0.25">
      <c r="AE440" s="43" t="s">
        <v>127</v>
      </c>
      <c r="AF440" s="43" t="s">
        <v>60</v>
      </c>
      <c r="AG440" s="43" t="s">
        <v>72</v>
      </c>
      <c r="AH440">
        <v>2</v>
      </c>
      <c r="AI440" t="s">
        <v>325</v>
      </c>
      <c r="AJ440" s="43" t="s">
        <v>268</v>
      </c>
      <c r="AK440">
        <v>0</v>
      </c>
    </row>
    <row r="441" spans="31:37" x14ac:dyDescent="0.25">
      <c r="AE441" s="43" t="s">
        <v>127</v>
      </c>
      <c r="AF441" s="43" t="s">
        <v>60</v>
      </c>
      <c r="AG441" s="43" t="s">
        <v>72</v>
      </c>
      <c r="AH441">
        <v>2</v>
      </c>
      <c r="AI441" t="s">
        <v>330</v>
      </c>
      <c r="AJ441" s="43" t="s">
        <v>308</v>
      </c>
      <c r="AK441">
        <v>4</v>
      </c>
    </row>
    <row r="442" spans="31:37" x14ac:dyDescent="0.25">
      <c r="AE442" s="43" t="s">
        <v>127</v>
      </c>
      <c r="AF442" s="43" t="s">
        <v>60</v>
      </c>
      <c r="AG442" s="43" t="s">
        <v>72</v>
      </c>
      <c r="AH442">
        <v>2</v>
      </c>
      <c r="AI442" t="s">
        <v>330</v>
      </c>
      <c r="AJ442" s="43" t="s">
        <v>309</v>
      </c>
      <c r="AK442">
        <v>9.15</v>
      </c>
    </row>
    <row r="443" spans="31:37" x14ac:dyDescent="0.25">
      <c r="AE443" s="43" t="s">
        <v>127</v>
      </c>
      <c r="AF443" s="43" t="s">
        <v>60</v>
      </c>
      <c r="AG443" s="43" t="s">
        <v>72</v>
      </c>
      <c r="AH443">
        <v>2</v>
      </c>
      <c r="AI443" t="s">
        <v>330</v>
      </c>
      <c r="AJ443" s="43" t="s">
        <v>268</v>
      </c>
      <c r="AK443">
        <v>13.15</v>
      </c>
    </row>
    <row r="444" spans="31:37" x14ac:dyDescent="0.25">
      <c r="AE444" s="43" t="s">
        <v>127</v>
      </c>
      <c r="AF444" s="43" t="s">
        <v>60</v>
      </c>
      <c r="AG444" s="43" t="s">
        <v>72</v>
      </c>
      <c r="AH444">
        <v>2</v>
      </c>
      <c r="AI444" t="s">
        <v>331</v>
      </c>
      <c r="AJ444" s="43" t="s">
        <v>308</v>
      </c>
      <c r="AK444">
        <v>0</v>
      </c>
    </row>
    <row r="445" spans="31:37" x14ac:dyDescent="0.25">
      <c r="AE445" s="43" t="s">
        <v>127</v>
      </c>
      <c r="AF445" s="43" t="s">
        <v>60</v>
      </c>
      <c r="AG445" s="43" t="s">
        <v>72</v>
      </c>
      <c r="AH445">
        <v>2</v>
      </c>
      <c r="AI445" t="s">
        <v>331</v>
      </c>
      <c r="AJ445" s="43" t="s">
        <v>309</v>
      </c>
      <c r="AK445">
        <v>0</v>
      </c>
    </row>
    <row r="446" spans="31:37" x14ac:dyDescent="0.25">
      <c r="AE446" s="43" t="s">
        <v>127</v>
      </c>
      <c r="AF446" s="43" t="s">
        <v>60</v>
      </c>
      <c r="AG446" s="43" t="s">
        <v>72</v>
      </c>
      <c r="AH446">
        <v>2</v>
      </c>
      <c r="AI446" t="s">
        <v>331</v>
      </c>
      <c r="AJ446" s="43" t="s">
        <v>268</v>
      </c>
      <c r="AK446">
        <v>0</v>
      </c>
    </row>
    <row r="447" spans="31:37" x14ac:dyDescent="0.25">
      <c r="AE447" s="43" t="s">
        <v>127</v>
      </c>
      <c r="AF447" s="43" t="s">
        <v>60</v>
      </c>
      <c r="AG447" s="43" t="s">
        <v>72</v>
      </c>
      <c r="AH447">
        <v>2</v>
      </c>
      <c r="AI447" t="s">
        <v>341</v>
      </c>
      <c r="AJ447" s="43" t="s">
        <v>308</v>
      </c>
      <c r="AK447">
        <v>8</v>
      </c>
    </row>
    <row r="448" spans="31:37" x14ac:dyDescent="0.25">
      <c r="AE448" s="43" t="s">
        <v>127</v>
      </c>
      <c r="AF448" s="43" t="s">
        <v>60</v>
      </c>
      <c r="AG448" s="43" t="s">
        <v>72</v>
      </c>
      <c r="AH448">
        <v>2</v>
      </c>
      <c r="AI448" t="s">
        <v>341</v>
      </c>
      <c r="AJ448" s="43" t="s">
        <v>309</v>
      </c>
      <c r="AK448">
        <v>18.149999999999999</v>
      </c>
    </row>
    <row r="449" spans="31:37" x14ac:dyDescent="0.25">
      <c r="AE449" s="43" t="s">
        <v>127</v>
      </c>
      <c r="AF449" s="43" t="s">
        <v>60</v>
      </c>
      <c r="AG449" s="43" t="s">
        <v>72</v>
      </c>
      <c r="AH449">
        <v>2</v>
      </c>
      <c r="AI449" t="s">
        <v>341</v>
      </c>
      <c r="AJ449" s="43" t="s">
        <v>268</v>
      </c>
      <c r="AK449">
        <v>26.15</v>
      </c>
    </row>
    <row r="450" spans="31:37" x14ac:dyDescent="0.25">
      <c r="AE450" s="43" t="s">
        <v>127</v>
      </c>
      <c r="AF450" s="43" t="s">
        <v>60</v>
      </c>
      <c r="AG450" s="43" t="s">
        <v>72</v>
      </c>
      <c r="AH450">
        <v>2</v>
      </c>
      <c r="AI450" t="s">
        <v>273</v>
      </c>
      <c r="AJ450" s="43" t="s">
        <v>308</v>
      </c>
      <c r="AK450">
        <v>0</v>
      </c>
    </row>
    <row r="451" spans="31:37" x14ac:dyDescent="0.25">
      <c r="AE451" s="43" t="s">
        <v>127</v>
      </c>
      <c r="AF451" s="43" t="s">
        <v>60</v>
      </c>
      <c r="AG451" s="43" t="s">
        <v>72</v>
      </c>
      <c r="AH451">
        <v>2</v>
      </c>
      <c r="AI451" t="s">
        <v>273</v>
      </c>
      <c r="AJ451" s="43" t="s">
        <v>309</v>
      </c>
      <c r="AK451">
        <v>0</v>
      </c>
    </row>
    <row r="452" spans="31:37" x14ac:dyDescent="0.25">
      <c r="AE452" s="43" t="s">
        <v>127</v>
      </c>
      <c r="AF452" s="43" t="s">
        <v>60</v>
      </c>
      <c r="AG452" s="43" t="s">
        <v>72</v>
      </c>
      <c r="AH452">
        <v>2</v>
      </c>
      <c r="AI452" t="s">
        <v>273</v>
      </c>
      <c r="AJ452" s="43" t="s">
        <v>268</v>
      </c>
      <c r="AK452">
        <v>0</v>
      </c>
    </row>
    <row r="453" spans="31:37" x14ac:dyDescent="0.25">
      <c r="AE453" s="43" t="s">
        <v>65</v>
      </c>
      <c r="AF453" s="43" t="s">
        <v>60</v>
      </c>
      <c r="AG453" s="43" t="s">
        <v>67</v>
      </c>
      <c r="AH453">
        <v>2</v>
      </c>
      <c r="AI453" t="s">
        <v>317</v>
      </c>
      <c r="AJ453" s="43" t="s">
        <v>308</v>
      </c>
      <c r="AK453">
        <v>0</v>
      </c>
    </row>
    <row r="454" spans="31:37" x14ac:dyDescent="0.25">
      <c r="AE454" s="43" t="s">
        <v>65</v>
      </c>
      <c r="AF454" s="43" t="s">
        <v>60</v>
      </c>
      <c r="AG454" s="43" t="s">
        <v>67</v>
      </c>
      <c r="AH454">
        <v>2</v>
      </c>
      <c r="AI454" t="s">
        <v>317</v>
      </c>
      <c r="AJ454" s="43" t="s">
        <v>309</v>
      </c>
      <c r="AK454">
        <v>0</v>
      </c>
    </row>
    <row r="455" spans="31:37" x14ac:dyDescent="0.25">
      <c r="AE455" s="43" t="s">
        <v>65</v>
      </c>
      <c r="AF455" s="43" t="s">
        <v>60</v>
      </c>
      <c r="AG455" s="43" t="s">
        <v>67</v>
      </c>
      <c r="AH455">
        <v>2</v>
      </c>
      <c r="AI455" t="s">
        <v>317</v>
      </c>
      <c r="AJ455" s="43" t="s">
        <v>268</v>
      </c>
      <c r="AK455">
        <v>0</v>
      </c>
    </row>
    <row r="456" spans="31:37" x14ac:dyDescent="0.25">
      <c r="AE456" s="43" t="s">
        <v>65</v>
      </c>
      <c r="AF456" s="43" t="s">
        <v>60</v>
      </c>
      <c r="AG456" s="43" t="s">
        <v>67</v>
      </c>
      <c r="AH456">
        <v>2</v>
      </c>
      <c r="AI456" t="s">
        <v>325</v>
      </c>
      <c r="AJ456" s="43" t="s">
        <v>308</v>
      </c>
      <c r="AK456">
        <v>4</v>
      </c>
    </row>
    <row r="457" spans="31:37" x14ac:dyDescent="0.25">
      <c r="AE457" s="43" t="s">
        <v>65</v>
      </c>
      <c r="AF457" s="43" t="s">
        <v>60</v>
      </c>
      <c r="AG457" s="43" t="s">
        <v>67</v>
      </c>
      <c r="AH457">
        <v>2</v>
      </c>
      <c r="AI457" t="s">
        <v>325</v>
      </c>
      <c r="AJ457" s="43" t="s">
        <v>309</v>
      </c>
      <c r="AK457">
        <v>9.1</v>
      </c>
    </row>
    <row r="458" spans="31:37" x14ac:dyDescent="0.25">
      <c r="AE458" s="43" t="s">
        <v>65</v>
      </c>
      <c r="AF458" s="43" t="s">
        <v>60</v>
      </c>
      <c r="AG458" s="43" t="s">
        <v>67</v>
      </c>
      <c r="AH458">
        <v>2</v>
      </c>
      <c r="AI458" t="s">
        <v>325</v>
      </c>
      <c r="AJ458" s="43" t="s">
        <v>268</v>
      </c>
      <c r="AK458">
        <v>13.1</v>
      </c>
    </row>
    <row r="459" spans="31:37" x14ac:dyDescent="0.25">
      <c r="AE459" s="43" t="s">
        <v>65</v>
      </c>
      <c r="AF459" s="43" t="s">
        <v>60</v>
      </c>
      <c r="AG459" s="43" t="s">
        <v>67</v>
      </c>
      <c r="AH459">
        <v>2</v>
      </c>
      <c r="AI459" t="s">
        <v>330</v>
      </c>
      <c r="AJ459" s="43" t="s">
        <v>308</v>
      </c>
      <c r="AK459">
        <v>0</v>
      </c>
    </row>
    <row r="460" spans="31:37" x14ac:dyDescent="0.25">
      <c r="AE460" s="43" t="s">
        <v>65</v>
      </c>
      <c r="AF460" s="43" t="s">
        <v>60</v>
      </c>
      <c r="AG460" s="43" t="s">
        <v>67</v>
      </c>
      <c r="AH460">
        <v>2</v>
      </c>
      <c r="AI460" t="s">
        <v>330</v>
      </c>
      <c r="AJ460" s="43" t="s">
        <v>309</v>
      </c>
      <c r="AK460">
        <v>0</v>
      </c>
    </row>
    <row r="461" spans="31:37" x14ac:dyDescent="0.25">
      <c r="AE461" s="43" t="s">
        <v>65</v>
      </c>
      <c r="AF461" s="43" t="s">
        <v>60</v>
      </c>
      <c r="AG461" s="43" t="s">
        <v>67</v>
      </c>
      <c r="AH461">
        <v>2</v>
      </c>
      <c r="AI461" t="s">
        <v>330</v>
      </c>
      <c r="AJ461" s="43" t="s">
        <v>268</v>
      </c>
      <c r="AK461">
        <v>0</v>
      </c>
    </row>
    <row r="462" spans="31:37" x14ac:dyDescent="0.25">
      <c r="AE462" s="43" t="s">
        <v>65</v>
      </c>
      <c r="AF462" s="43" t="s">
        <v>60</v>
      </c>
      <c r="AG462" s="43" t="s">
        <v>67</v>
      </c>
      <c r="AH462">
        <v>2</v>
      </c>
      <c r="AI462" t="s">
        <v>331</v>
      </c>
      <c r="AJ462" s="43" t="s">
        <v>308</v>
      </c>
      <c r="AK462">
        <v>4</v>
      </c>
    </row>
    <row r="463" spans="31:37" x14ac:dyDescent="0.25">
      <c r="AE463" s="43" t="s">
        <v>65</v>
      </c>
      <c r="AF463" s="43" t="s">
        <v>60</v>
      </c>
      <c r="AG463" s="43" t="s">
        <v>67</v>
      </c>
      <c r="AH463">
        <v>2</v>
      </c>
      <c r="AI463" t="s">
        <v>331</v>
      </c>
      <c r="AJ463" s="43" t="s">
        <v>309</v>
      </c>
      <c r="AK463">
        <v>8.6999999999999993</v>
      </c>
    </row>
    <row r="464" spans="31:37" x14ac:dyDescent="0.25">
      <c r="AE464" s="43" t="s">
        <v>65</v>
      </c>
      <c r="AF464" s="43" t="s">
        <v>60</v>
      </c>
      <c r="AG464" s="43" t="s">
        <v>67</v>
      </c>
      <c r="AH464">
        <v>2</v>
      </c>
      <c r="AI464" t="s">
        <v>331</v>
      </c>
      <c r="AJ464" s="43" t="s">
        <v>268</v>
      </c>
      <c r="AK464">
        <v>12.7</v>
      </c>
    </row>
    <row r="465" spans="31:37" x14ac:dyDescent="0.25">
      <c r="AE465" s="43" t="s">
        <v>65</v>
      </c>
      <c r="AF465" s="43" t="s">
        <v>60</v>
      </c>
      <c r="AG465" s="43" t="s">
        <v>67</v>
      </c>
      <c r="AH465">
        <v>2</v>
      </c>
      <c r="AI465" t="s">
        <v>341</v>
      </c>
      <c r="AJ465" s="43" t="s">
        <v>308</v>
      </c>
      <c r="AK465">
        <v>8</v>
      </c>
    </row>
    <row r="466" spans="31:37" x14ac:dyDescent="0.25">
      <c r="AE466" s="43" t="s">
        <v>65</v>
      </c>
      <c r="AF466" s="43" t="s">
        <v>60</v>
      </c>
      <c r="AG466" s="43" t="s">
        <v>67</v>
      </c>
      <c r="AH466">
        <v>2</v>
      </c>
      <c r="AI466" t="s">
        <v>341</v>
      </c>
      <c r="AJ466" s="43" t="s">
        <v>309</v>
      </c>
      <c r="AK466">
        <v>17.799999999999997</v>
      </c>
    </row>
    <row r="467" spans="31:37" x14ac:dyDescent="0.25">
      <c r="AE467" s="43" t="s">
        <v>65</v>
      </c>
      <c r="AF467" s="43" t="s">
        <v>60</v>
      </c>
      <c r="AG467" s="43" t="s">
        <v>67</v>
      </c>
      <c r="AH467">
        <v>2</v>
      </c>
      <c r="AI467" t="s">
        <v>341</v>
      </c>
      <c r="AJ467" s="43" t="s">
        <v>268</v>
      </c>
      <c r="AK467">
        <v>25.799999999999997</v>
      </c>
    </row>
    <row r="468" spans="31:37" x14ac:dyDescent="0.25">
      <c r="AE468" s="43" t="s">
        <v>65</v>
      </c>
      <c r="AF468" s="43" t="s">
        <v>60</v>
      </c>
      <c r="AG468" s="43" t="s">
        <v>67</v>
      </c>
      <c r="AH468">
        <v>2</v>
      </c>
      <c r="AI468" t="s">
        <v>273</v>
      </c>
      <c r="AJ468" s="43" t="s">
        <v>308</v>
      </c>
      <c r="AK468">
        <v>0</v>
      </c>
    </row>
    <row r="469" spans="31:37" x14ac:dyDescent="0.25">
      <c r="AE469" s="43" t="s">
        <v>65</v>
      </c>
      <c r="AF469" s="43" t="s">
        <v>60</v>
      </c>
      <c r="AG469" s="43" t="s">
        <v>67</v>
      </c>
      <c r="AH469">
        <v>2</v>
      </c>
      <c r="AI469" t="s">
        <v>273</v>
      </c>
      <c r="AJ469" s="43" t="s">
        <v>309</v>
      </c>
      <c r="AK469">
        <v>0</v>
      </c>
    </row>
    <row r="470" spans="31:37" x14ac:dyDescent="0.25">
      <c r="AE470" s="43" t="s">
        <v>65</v>
      </c>
      <c r="AF470" s="43" t="s">
        <v>60</v>
      </c>
      <c r="AG470" s="43" t="s">
        <v>67</v>
      </c>
      <c r="AH470">
        <v>2</v>
      </c>
      <c r="AI470" t="s">
        <v>273</v>
      </c>
      <c r="AJ470" s="43" t="s">
        <v>268</v>
      </c>
      <c r="AK470">
        <v>0</v>
      </c>
    </row>
    <row r="471" spans="31:37" x14ac:dyDescent="0.25">
      <c r="AE471" s="43" t="s">
        <v>112</v>
      </c>
      <c r="AF471" s="43" t="s">
        <v>26</v>
      </c>
      <c r="AG471" s="43" t="s">
        <v>31</v>
      </c>
      <c r="AH471">
        <v>2</v>
      </c>
      <c r="AI471" t="s">
        <v>317</v>
      </c>
      <c r="AJ471" s="43" t="s">
        <v>308</v>
      </c>
      <c r="AK471">
        <v>4</v>
      </c>
    </row>
    <row r="472" spans="31:37" x14ac:dyDescent="0.25">
      <c r="AE472" s="43" t="s">
        <v>112</v>
      </c>
      <c r="AF472" s="43" t="s">
        <v>26</v>
      </c>
      <c r="AG472" s="43" t="s">
        <v>31</v>
      </c>
      <c r="AH472">
        <v>2</v>
      </c>
      <c r="AI472" t="s">
        <v>317</v>
      </c>
      <c r="AJ472" s="43" t="s">
        <v>309</v>
      </c>
      <c r="AK472">
        <v>8.5</v>
      </c>
    </row>
    <row r="473" spans="31:37" x14ac:dyDescent="0.25">
      <c r="AE473" s="43" t="s">
        <v>112</v>
      </c>
      <c r="AF473" s="43" t="s">
        <v>26</v>
      </c>
      <c r="AG473" s="43" t="s">
        <v>31</v>
      </c>
      <c r="AH473">
        <v>2</v>
      </c>
      <c r="AI473" t="s">
        <v>317</v>
      </c>
      <c r="AJ473" s="43" t="s">
        <v>268</v>
      </c>
      <c r="AK473">
        <v>12.5</v>
      </c>
    </row>
    <row r="474" spans="31:37" x14ac:dyDescent="0.25">
      <c r="AE474" s="43" t="s">
        <v>112</v>
      </c>
      <c r="AF474" s="43" t="s">
        <v>26</v>
      </c>
      <c r="AG474" s="43" t="s">
        <v>31</v>
      </c>
      <c r="AH474">
        <v>2</v>
      </c>
      <c r="AI474" t="s">
        <v>325</v>
      </c>
      <c r="AJ474" s="43" t="s">
        <v>308</v>
      </c>
      <c r="AK474">
        <v>0</v>
      </c>
    </row>
    <row r="475" spans="31:37" x14ac:dyDescent="0.25">
      <c r="AE475" s="43" t="s">
        <v>112</v>
      </c>
      <c r="AF475" s="43" t="s">
        <v>26</v>
      </c>
      <c r="AG475" s="43" t="s">
        <v>31</v>
      </c>
      <c r="AH475">
        <v>2</v>
      </c>
      <c r="AI475" t="s">
        <v>325</v>
      </c>
      <c r="AJ475" s="43" t="s">
        <v>309</v>
      </c>
      <c r="AK475">
        <v>0</v>
      </c>
    </row>
    <row r="476" spans="31:37" x14ac:dyDescent="0.25">
      <c r="AE476" s="43" t="s">
        <v>112</v>
      </c>
      <c r="AF476" s="43" t="s">
        <v>26</v>
      </c>
      <c r="AG476" s="43" t="s">
        <v>31</v>
      </c>
      <c r="AH476">
        <v>2</v>
      </c>
      <c r="AI476" t="s">
        <v>325</v>
      </c>
      <c r="AJ476" s="43" t="s">
        <v>268</v>
      </c>
      <c r="AK476">
        <v>0</v>
      </c>
    </row>
    <row r="477" spans="31:37" x14ac:dyDescent="0.25">
      <c r="AE477" s="43" t="s">
        <v>112</v>
      </c>
      <c r="AF477" s="43" t="s">
        <v>26</v>
      </c>
      <c r="AG477" s="43" t="s">
        <v>31</v>
      </c>
      <c r="AH477">
        <v>2</v>
      </c>
      <c r="AI477" t="s">
        <v>330</v>
      </c>
      <c r="AJ477" s="43" t="s">
        <v>308</v>
      </c>
      <c r="AK477">
        <v>0</v>
      </c>
    </row>
    <row r="478" spans="31:37" x14ac:dyDescent="0.25">
      <c r="AE478" s="43" t="s">
        <v>112</v>
      </c>
      <c r="AF478" s="43" t="s">
        <v>26</v>
      </c>
      <c r="AG478" s="43" t="s">
        <v>31</v>
      </c>
      <c r="AH478">
        <v>2</v>
      </c>
      <c r="AI478" t="s">
        <v>330</v>
      </c>
      <c r="AJ478" s="43" t="s">
        <v>309</v>
      </c>
      <c r="AK478">
        <v>0</v>
      </c>
    </row>
    <row r="479" spans="31:37" x14ac:dyDescent="0.25">
      <c r="AE479" s="43" t="s">
        <v>112</v>
      </c>
      <c r="AF479" s="43" t="s">
        <v>26</v>
      </c>
      <c r="AG479" s="43" t="s">
        <v>31</v>
      </c>
      <c r="AH479">
        <v>2</v>
      </c>
      <c r="AI479" t="s">
        <v>330</v>
      </c>
      <c r="AJ479" s="43" t="s">
        <v>268</v>
      </c>
      <c r="AK479">
        <v>0</v>
      </c>
    </row>
    <row r="480" spans="31:37" x14ac:dyDescent="0.25">
      <c r="AE480" s="43" t="s">
        <v>112</v>
      </c>
      <c r="AF480" s="43" t="s">
        <v>26</v>
      </c>
      <c r="AG480" s="43" t="s">
        <v>31</v>
      </c>
      <c r="AH480">
        <v>2</v>
      </c>
      <c r="AI480" t="s">
        <v>331</v>
      </c>
      <c r="AJ480" s="43" t="s">
        <v>308</v>
      </c>
      <c r="AK480">
        <v>4</v>
      </c>
    </row>
    <row r="481" spans="31:37" x14ac:dyDescent="0.25">
      <c r="AE481" s="43" t="s">
        <v>112</v>
      </c>
      <c r="AF481" s="43" t="s">
        <v>26</v>
      </c>
      <c r="AG481" s="43" t="s">
        <v>31</v>
      </c>
      <c r="AH481">
        <v>2</v>
      </c>
      <c r="AI481" t="s">
        <v>331</v>
      </c>
      <c r="AJ481" s="43" t="s">
        <v>309</v>
      </c>
      <c r="AK481">
        <v>8.9</v>
      </c>
    </row>
    <row r="482" spans="31:37" x14ac:dyDescent="0.25">
      <c r="AE482" s="43" t="s">
        <v>112</v>
      </c>
      <c r="AF482" s="43" t="s">
        <v>26</v>
      </c>
      <c r="AG482" s="43" t="s">
        <v>31</v>
      </c>
      <c r="AH482">
        <v>2</v>
      </c>
      <c r="AI482" t="s">
        <v>331</v>
      </c>
      <c r="AJ482" s="43" t="s">
        <v>268</v>
      </c>
      <c r="AK482">
        <v>12.9</v>
      </c>
    </row>
    <row r="483" spans="31:37" x14ac:dyDescent="0.25">
      <c r="AE483" s="43" t="s">
        <v>112</v>
      </c>
      <c r="AF483" s="43" t="s">
        <v>26</v>
      </c>
      <c r="AG483" s="43" t="s">
        <v>31</v>
      </c>
      <c r="AH483">
        <v>2</v>
      </c>
      <c r="AI483" t="s">
        <v>341</v>
      </c>
      <c r="AJ483" s="43" t="s">
        <v>308</v>
      </c>
      <c r="AK483">
        <v>8</v>
      </c>
    </row>
    <row r="484" spans="31:37" x14ac:dyDescent="0.25">
      <c r="AE484" s="43" t="s">
        <v>112</v>
      </c>
      <c r="AF484" s="43" t="s">
        <v>26</v>
      </c>
      <c r="AG484" s="43" t="s">
        <v>31</v>
      </c>
      <c r="AH484">
        <v>2</v>
      </c>
      <c r="AI484" t="s">
        <v>341</v>
      </c>
      <c r="AJ484" s="43" t="s">
        <v>309</v>
      </c>
      <c r="AK484">
        <v>17.399999999999999</v>
      </c>
    </row>
    <row r="485" spans="31:37" x14ac:dyDescent="0.25">
      <c r="AE485" s="43" t="s">
        <v>112</v>
      </c>
      <c r="AF485" s="43" t="s">
        <v>26</v>
      </c>
      <c r="AG485" s="43" t="s">
        <v>31</v>
      </c>
      <c r="AH485">
        <v>2</v>
      </c>
      <c r="AI485" t="s">
        <v>341</v>
      </c>
      <c r="AJ485" s="43" t="s">
        <v>268</v>
      </c>
      <c r="AK485">
        <v>25.4</v>
      </c>
    </row>
    <row r="486" spans="31:37" x14ac:dyDescent="0.25">
      <c r="AE486" s="43" t="s">
        <v>112</v>
      </c>
      <c r="AF486" s="43" t="s">
        <v>26</v>
      </c>
      <c r="AG486" s="43" t="s">
        <v>31</v>
      </c>
      <c r="AH486">
        <v>2</v>
      </c>
      <c r="AI486" t="s">
        <v>273</v>
      </c>
      <c r="AJ486" s="43" t="s">
        <v>308</v>
      </c>
      <c r="AK486">
        <v>0</v>
      </c>
    </row>
    <row r="487" spans="31:37" x14ac:dyDescent="0.25">
      <c r="AE487" s="43" t="s">
        <v>112</v>
      </c>
      <c r="AF487" s="43" t="s">
        <v>26</v>
      </c>
      <c r="AG487" s="43" t="s">
        <v>31</v>
      </c>
      <c r="AH487">
        <v>2</v>
      </c>
      <c r="AI487" t="s">
        <v>273</v>
      </c>
      <c r="AJ487" s="43" t="s">
        <v>309</v>
      </c>
      <c r="AK487">
        <v>0</v>
      </c>
    </row>
    <row r="488" spans="31:37" x14ac:dyDescent="0.25">
      <c r="AE488" s="43" t="s">
        <v>112</v>
      </c>
      <c r="AF488" s="43" t="s">
        <v>26</v>
      </c>
      <c r="AG488" s="43" t="s">
        <v>31</v>
      </c>
      <c r="AH488">
        <v>2</v>
      </c>
      <c r="AI488" t="s">
        <v>273</v>
      </c>
      <c r="AJ488" s="43" t="s">
        <v>268</v>
      </c>
      <c r="AK488">
        <v>0</v>
      </c>
    </row>
    <row r="489" spans="31:37" x14ac:dyDescent="0.25">
      <c r="AE489" s="43" t="s">
        <v>75</v>
      </c>
      <c r="AF489" s="43" t="s">
        <v>60</v>
      </c>
      <c r="AG489" s="43" t="s">
        <v>28</v>
      </c>
      <c r="AH489">
        <v>2</v>
      </c>
      <c r="AI489" t="s">
        <v>317</v>
      </c>
      <c r="AJ489" s="43" t="s">
        <v>308</v>
      </c>
      <c r="AK489">
        <v>0</v>
      </c>
    </row>
    <row r="490" spans="31:37" x14ac:dyDescent="0.25">
      <c r="AE490" s="43" t="s">
        <v>75</v>
      </c>
      <c r="AF490" s="43" t="s">
        <v>60</v>
      </c>
      <c r="AG490" s="43" t="s">
        <v>28</v>
      </c>
      <c r="AH490">
        <v>2</v>
      </c>
      <c r="AI490" t="s">
        <v>317</v>
      </c>
      <c r="AJ490" s="43" t="s">
        <v>309</v>
      </c>
      <c r="AK490">
        <v>0</v>
      </c>
    </row>
    <row r="491" spans="31:37" x14ac:dyDescent="0.25">
      <c r="AE491" s="43" t="s">
        <v>75</v>
      </c>
      <c r="AF491" s="43" t="s">
        <v>60</v>
      </c>
      <c r="AG491" s="43" t="s">
        <v>28</v>
      </c>
      <c r="AH491">
        <v>2</v>
      </c>
      <c r="AI491" t="s">
        <v>317</v>
      </c>
      <c r="AJ491" s="43" t="s">
        <v>268</v>
      </c>
      <c r="AK491">
        <v>0</v>
      </c>
    </row>
    <row r="492" spans="31:37" x14ac:dyDescent="0.25">
      <c r="AE492" s="43" t="s">
        <v>75</v>
      </c>
      <c r="AF492" s="43" t="s">
        <v>60</v>
      </c>
      <c r="AG492" s="43" t="s">
        <v>28</v>
      </c>
      <c r="AH492">
        <v>2</v>
      </c>
      <c r="AI492" t="s">
        <v>325</v>
      </c>
      <c r="AJ492" s="43" t="s">
        <v>308</v>
      </c>
      <c r="AK492">
        <v>3.2</v>
      </c>
    </row>
    <row r="493" spans="31:37" x14ac:dyDescent="0.25">
      <c r="AE493" s="43" t="s">
        <v>75</v>
      </c>
      <c r="AF493" s="43" t="s">
        <v>60</v>
      </c>
      <c r="AG493" s="43" t="s">
        <v>28</v>
      </c>
      <c r="AH493">
        <v>2</v>
      </c>
      <c r="AI493" t="s">
        <v>325</v>
      </c>
      <c r="AJ493" s="43" t="s">
        <v>309</v>
      </c>
      <c r="AK493">
        <v>9.4499999999999993</v>
      </c>
    </row>
    <row r="494" spans="31:37" x14ac:dyDescent="0.25">
      <c r="AE494" s="43" t="s">
        <v>75</v>
      </c>
      <c r="AF494" s="43" t="s">
        <v>60</v>
      </c>
      <c r="AG494" s="43" t="s">
        <v>28</v>
      </c>
      <c r="AH494">
        <v>2</v>
      </c>
      <c r="AI494" t="s">
        <v>325</v>
      </c>
      <c r="AJ494" s="43" t="s">
        <v>268</v>
      </c>
      <c r="AK494">
        <v>12.65</v>
      </c>
    </row>
    <row r="495" spans="31:37" x14ac:dyDescent="0.25">
      <c r="AE495" s="43" t="s">
        <v>75</v>
      </c>
      <c r="AF495" s="43" t="s">
        <v>60</v>
      </c>
      <c r="AG495" s="43" t="s">
        <v>28</v>
      </c>
      <c r="AH495">
        <v>2</v>
      </c>
      <c r="AI495" t="s">
        <v>330</v>
      </c>
      <c r="AJ495" s="43" t="s">
        <v>308</v>
      </c>
      <c r="AK495">
        <v>3.2</v>
      </c>
    </row>
    <row r="496" spans="31:37" x14ac:dyDescent="0.25">
      <c r="AE496" s="43" t="s">
        <v>75</v>
      </c>
      <c r="AF496" s="43" t="s">
        <v>60</v>
      </c>
      <c r="AG496" s="43" t="s">
        <v>28</v>
      </c>
      <c r="AH496">
        <v>2</v>
      </c>
      <c r="AI496" t="s">
        <v>330</v>
      </c>
      <c r="AJ496" s="43" t="s">
        <v>309</v>
      </c>
      <c r="AK496">
        <v>9.0500000000000007</v>
      </c>
    </row>
    <row r="497" spans="31:37" x14ac:dyDescent="0.25">
      <c r="AE497" s="43" t="s">
        <v>75</v>
      </c>
      <c r="AF497" s="43" t="s">
        <v>60</v>
      </c>
      <c r="AG497" s="43" t="s">
        <v>28</v>
      </c>
      <c r="AH497">
        <v>2</v>
      </c>
      <c r="AI497" t="s">
        <v>330</v>
      </c>
      <c r="AJ497" s="43" t="s">
        <v>268</v>
      </c>
      <c r="AK497">
        <v>12.25</v>
      </c>
    </row>
    <row r="498" spans="31:37" x14ac:dyDescent="0.25">
      <c r="AE498" s="43" t="s">
        <v>75</v>
      </c>
      <c r="AF498" s="43" t="s">
        <v>60</v>
      </c>
      <c r="AG498" s="43" t="s">
        <v>28</v>
      </c>
      <c r="AH498">
        <v>2</v>
      </c>
      <c r="AI498" t="s">
        <v>331</v>
      </c>
      <c r="AJ498" s="43" t="s">
        <v>308</v>
      </c>
      <c r="AK498">
        <v>0</v>
      </c>
    </row>
    <row r="499" spans="31:37" x14ac:dyDescent="0.25">
      <c r="AE499" s="43" t="s">
        <v>75</v>
      </c>
      <c r="AF499" s="43" t="s">
        <v>60</v>
      </c>
      <c r="AG499" s="43" t="s">
        <v>28</v>
      </c>
      <c r="AH499">
        <v>2</v>
      </c>
      <c r="AI499" t="s">
        <v>331</v>
      </c>
      <c r="AJ499" s="43" t="s">
        <v>309</v>
      </c>
      <c r="AK499">
        <v>0</v>
      </c>
    </row>
    <row r="500" spans="31:37" x14ac:dyDescent="0.25">
      <c r="AE500" s="43" t="s">
        <v>75</v>
      </c>
      <c r="AF500" s="43" t="s">
        <v>60</v>
      </c>
      <c r="AG500" s="43" t="s">
        <v>28</v>
      </c>
      <c r="AH500">
        <v>2</v>
      </c>
      <c r="AI500" t="s">
        <v>331</v>
      </c>
      <c r="AJ500" s="43" t="s">
        <v>268</v>
      </c>
      <c r="AK500">
        <v>0</v>
      </c>
    </row>
    <row r="501" spans="31:37" x14ac:dyDescent="0.25">
      <c r="AE501" s="43" t="s">
        <v>75</v>
      </c>
      <c r="AF501" s="43" t="s">
        <v>60</v>
      </c>
      <c r="AG501" s="43" t="s">
        <v>28</v>
      </c>
      <c r="AH501">
        <v>2</v>
      </c>
      <c r="AI501" t="s">
        <v>341</v>
      </c>
      <c r="AJ501" s="43" t="s">
        <v>308</v>
      </c>
      <c r="AK501">
        <v>6.4</v>
      </c>
    </row>
    <row r="502" spans="31:37" x14ac:dyDescent="0.25">
      <c r="AE502" s="43" t="s">
        <v>75</v>
      </c>
      <c r="AF502" s="43" t="s">
        <v>60</v>
      </c>
      <c r="AG502" s="43" t="s">
        <v>28</v>
      </c>
      <c r="AH502">
        <v>2</v>
      </c>
      <c r="AI502" t="s">
        <v>341</v>
      </c>
      <c r="AJ502" s="43" t="s">
        <v>309</v>
      </c>
      <c r="AK502">
        <v>18.5</v>
      </c>
    </row>
    <row r="503" spans="31:37" x14ac:dyDescent="0.25">
      <c r="AE503" s="43" t="s">
        <v>75</v>
      </c>
      <c r="AF503" s="43" t="s">
        <v>60</v>
      </c>
      <c r="AG503" s="43" t="s">
        <v>28</v>
      </c>
      <c r="AH503">
        <v>2</v>
      </c>
      <c r="AI503" t="s">
        <v>341</v>
      </c>
      <c r="AJ503" s="43" t="s">
        <v>268</v>
      </c>
      <c r="AK503">
        <v>24.9</v>
      </c>
    </row>
    <row r="504" spans="31:37" x14ac:dyDescent="0.25">
      <c r="AE504" s="43" t="s">
        <v>75</v>
      </c>
      <c r="AF504" s="43" t="s">
        <v>60</v>
      </c>
      <c r="AG504" s="43" t="s">
        <v>28</v>
      </c>
      <c r="AH504">
        <v>2</v>
      </c>
      <c r="AI504" t="s">
        <v>273</v>
      </c>
      <c r="AJ504" s="43" t="s">
        <v>308</v>
      </c>
      <c r="AK504">
        <v>0</v>
      </c>
    </row>
    <row r="505" spans="31:37" x14ac:dyDescent="0.25">
      <c r="AE505" s="43" t="s">
        <v>75</v>
      </c>
      <c r="AF505" s="43" t="s">
        <v>60</v>
      </c>
      <c r="AG505" s="43" t="s">
        <v>28</v>
      </c>
      <c r="AH505">
        <v>2</v>
      </c>
      <c r="AI505" t="s">
        <v>273</v>
      </c>
      <c r="AJ505" s="43" t="s">
        <v>309</v>
      </c>
      <c r="AK505">
        <v>0</v>
      </c>
    </row>
    <row r="506" spans="31:37" x14ac:dyDescent="0.25">
      <c r="AE506" s="43" t="s">
        <v>75</v>
      </c>
      <c r="AF506" s="43" t="s">
        <v>60</v>
      </c>
      <c r="AG506" s="43" t="s">
        <v>28</v>
      </c>
      <c r="AH506">
        <v>2</v>
      </c>
      <c r="AI506" t="s">
        <v>273</v>
      </c>
      <c r="AJ506" s="43" t="s">
        <v>268</v>
      </c>
      <c r="AK506">
        <v>0</v>
      </c>
    </row>
    <row r="507" spans="31:37" x14ac:dyDescent="0.25">
      <c r="AE507" s="43" t="s">
        <v>94</v>
      </c>
      <c r="AF507" s="43" t="s">
        <v>60</v>
      </c>
      <c r="AG507" s="43" t="s">
        <v>72</v>
      </c>
      <c r="AH507">
        <v>2</v>
      </c>
      <c r="AI507" t="s">
        <v>317</v>
      </c>
      <c r="AJ507" s="43" t="s">
        <v>308</v>
      </c>
      <c r="AK507">
        <v>0</v>
      </c>
    </row>
    <row r="508" spans="31:37" x14ac:dyDescent="0.25">
      <c r="AE508" s="43" t="s">
        <v>94</v>
      </c>
      <c r="AF508" s="43" t="s">
        <v>60</v>
      </c>
      <c r="AG508" s="43" t="s">
        <v>72</v>
      </c>
      <c r="AH508">
        <v>2</v>
      </c>
      <c r="AI508" t="s">
        <v>317</v>
      </c>
      <c r="AJ508" s="43" t="s">
        <v>309</v>
      </c>
      <c r="AK508">
        <v>0</v>
      </c>
    </row>
    <row r="509" spans="31:37" x14ac:dyDescent="0.25">
      <c r="AE509" s="43" t="s">
        <v>94</v>
      </c>
      <c r="AF509" s="43" t="s">
        <v>60</v>
      </c>
      <c r="AG509" s="43" t="s">
        <v>72</v>
      </c>
      <c r="AH509">
        <v>2</v>
      </c>
      <c r="AI509" t="s">
        <v>317</v>
      </c>
      <c r="AJ509" s="43" t="s">
        <v>268</v>
      </c>
      <c r="AK509">
        <v>0</v>
      </c>
    </row>
    <row r="510" spans="31:37" x14ac:dyDescent="0.25">
      <c r="AE510" s="43" t="s">
        <v>94</v>
      </c>
      <c r="AF510" s="43" t="s">
        <v>60</v>
      </c>
      <c r="AG510" s="43" t="s">
        <v>72</v>
      </c>
      <c r="AH510">
        <v>2</v>
      </c>
      <c r="AI510" t="s">
        <v>325</v>
      </c>
      <c r="AJ510" s="43" t="s">
        <v>308</v>
      </c>
      <c r="AK510">
        <v>2.8</v>
      </c>
    </row>
    <row r="511" spans="31:37" x14ac:dyDescent="0.25">
      <c r="AE511" s="43" t="s">
        <v>94</v>
      </c>
      <c r="AF511" s="43" t="s">
        <v>60</v>
      </c>
      <c r="AG511" s="43" t="s">
        <v>72</v>
      </c>
      <c r="AH511">
        <v>2</v>
      </c>
      <c r="AI511" t="s">
        <v>325</v>
      </c>
      <c r="AJ511" s="43" t="s">
        <v>309</v>
      </c>
      <c r="AK511">
        <v>9.4</v>
      </c>
    </row>
    <row r="512" spans="31:37" x14ac:dyDescent="0.25">
      <c r="AE512" s="43" t="s">
        <v>94</v>
      </c>
      <c r="AF512" s="43" t="s">
        <v>60</v>
      </c>
      <c r="AG512" s="43" t="s">
        <v>72</v>
      </c>
      <c r="AH512">
        <v>2</v>
      </c>
      <c r="AI512" t="s">
        <v>325</v>
      </c>
      <c r="AJ512" s="43" t="s">
        <v>268</v>
      </c>
      <c r="AK512">
        <v>12.2</v>
      </c>
    </row>
    <row r="513" spans="31:37" x14ac:dyDescent="0.25">
      <c r="AE513" s="43" t="s">
        <v>94</v>
      </c>
      <c r="AF513" s="43" t="s">
        <v>60</v>
      </c>
      <c r="AG513" s="43" t="s">
        <v>72</v>
      </c>
      <c r="AH513">
        <v>2</v>
      </c>
      <c r="AI513" t="s">
        <v>330</v>
      </c>
      <c r="AJ513" s="43" t="s">
        <v>308</v>
      </c>
      <c r="AK513">
        <v>2.8</v>
      </c>
    </row>
    <row r="514" spans="31:37" x14ac:dyDescent="0.25">
      <c r="AE514" s="43" t="s">
        <v>94</v>
      </c>
      <c r="AF514" s="43" t="s">
        <v>60</v>
      </c>
      <c r="AG514" s="43" t="s">
        <v>72</v>
      </c>
      <c r="AH514">
        <v>2</v>
      </c>
      <c r="AI514" t="s">
        <v>330</v>
      </c>
      <c r="AJ514" s="43" t="s">
        <v>309</v>
      </c>
      <c r="AK514">
        <v>9.1</v>
      </c>
    </row>
    <row r="515" spans="31:37" x14ac:dyDescent="0.25">
      <c r="AE515" s="43" t="s">
        <v>94</v>
      </c>
      <c r="AF515" s="43" t="s">
        <v>60</v>
      </c>
      <c r="AG515" s="43" t="s">
        <v>72</v>
      </c>
      <c r="AH515">
        <v>2</v>
      </c>
      <c r="AI515" t="s">
        <v>330</v>
      </c>
      <c r="AJ515" s="43" t="s">
        <v>268</v>
      </c>
      <c r="AK515">
        <v>11.9</v>
      </c>
    </row>
    <row r="516" spans="31:37" x14ac:dyDescent="0.25">
      <c r="AE516" s="43" t="s">
        <v>94</v>
      </c>
      <c r="AF516" s="43" t="s">
        <v>60</v>
      </c>
      <c r="AG516" s="43" t="s">
        <v>72</v>
      </c>
      <c r="AH516">
        <v>2</v>
      </c>
      <c r="AI516" t="s">
        <v>331</v>
      </c>
      <c r="AJ516" s="43" t="s">
        <v>308</v>
      </c>
      <c r="AK516">
        <v>0</v>
      </c>
    </row>
    <row r="517" spans="31:37" x14ac:dyDescent="0.25">
      <c r="AE517" s="43" t="s">
        <v>94</v>
      </c>
      <c r="AF517" s="43" t="s">
        <v>60</v>
      </c>
      <c r="AG517" s="43" t="s">
        <v>72</v>
      </c>
      <c r="AH517">
        <v>2</v>
      </c>
      <c r="AI517" t="s">
        <v>331</v>
      </c>
      <c r="AJ517" s="43" t="s">
        <v>309</v>
      </c>
      <c r="AK517">
        <v>0</v>
      </c>
    </row>
    <row r="518" spans="31:37" x14ac:dyDescent="0.25">
      <c r="AE518" s="43" t="s">
        <v>94</v>
      </c>
      <c r="AF518" s="43" t="s">
        <v>60</v>
      </c>
      <c r="AG518" s="43" t="s">
        <v>72</v>
      </c>
      <c r="AH518">
        <v>2</v>
      </c>
      <c r="AI518" t="s">
        <v>331</v>
      </c>
      <c r="AJ518" s="43" t="s">
        <v>268</v>
      </c>
      <c r="AK518">
        <v>0</v>
      </c>
    </row>
    <row r="519" spans="31:37" x14ac:dyDescent="0.25">
      <c r="AE519" s="43" t="s">
        <v>94</v>
      </c>
      <c r="AF519" s="43" t="s">
        <v>60</v>
      </c>
      <c r="AG519" s="43" t="s">
        <v>72</v>
      </c>
      <c r="AH519">
        <v>2</v>
      </c>
      <c r="AI519" t="s">
        <v>341</v>
      </c>
      <c r="AJ519" s="43" t="s">
        <v>308</v>
      </c>
      <c r="AK519">
        <v>5.6</v>
      </c>
    </row>
    <row r="520" spans="31:37" x14ac:dyDescent="0.25">
      <c r="AE520" s="43" t="s">
        <v>94</v>
      </c>
      <c r="AF520" s="43" t="s">
        <v>60</v>
      </c>
      <c r="AG520" s="43" t="s">
        <v>72</v>
      </c>
      <c r="AH520">
        <v>2</v>
      </c>
      <c r="AI520" t="s">
        <v>341</v>
      </c>
      <c r="AJ520" s="43" t="s">
        <v>309</v>
      </c>
      <c r="AK520">
        <v>18.5</v>
      </c>
    </row>
    <row r="521" spans="31:37" x14ac:dyDescent="0.25">
      <c r="AE521" s="43" t="s">
        <v>94</v>
      </c>
      <c r="AF521" s="43" t="s">
        <v>60</v>
      </c>
      <c r="AG521" s="43" t="s">
        <v>72</v>
      </c>
      <c r="AH521">
        <v>2</v>
      </c>
      <c r="AI521" t="s">
        <v>341</v>
      </c>
      <c r="AJ521" s="43" t="s">
        <v>268</v>
      </c>
      <c r="AK521">
        <v>24.1</v>
      </c>
    </row>
    <row r="522" spans="31:37" x14ac:dyDescent="0.25">
      <c r="AE522" s="43" t="s">
        <v>94</v>
      </c>
      <c r="AF522" s="43" t="s">
        <v>60</v>
      </c>
      <c r="AG522" s="43" t="s">
        <v>72</v>
      </c>
      <c r="AH522">
        <v>2</v>
      </c>
      <c r="AI522" t="s">
        <v>273</v>
      </c>
      <c r="AJ522" s="43" t="s">
        <v>308</v>
      </c>
      <c r="AK522">
        <v>0</v>
      </c>
    </row>
    <row r="523" spans="31:37" x14ac:dyDescent="0.25">
      <c r="AE523" s="43" t="s">
        <v>94</v>
      </c>
      <c r="AF523" s="43" t="s">
        <v>60</v>
      </c>
      <c r="AG523" s="43" t="s">
        <v>72</v>
      </c>
      <c r="AH523">
        <v>2</v>
      </c>
      <c r="AI523" t="s">
        <v>273</v>
      </c>
      <c r="AJ523" s="43" t="s">
        <v>309</v>
      </c>
      <c r="AK523">
        <v>0</v>
      </c>
    </row>
    <row r="524" spans="31:37" x14ac:dyDescent="0.25">
      <c r="AE524" s="43" t="s">
        <v>94</v>
      </c>
      <c r="AF524" s="43" t="s">
        <v>60</v>
      </c>
      <c r="AG524" s="43" t="s">
        <v>72</v>
      </c>
      <c r="AH524">
        <v>2</v>
      </c>
      <c r="AI524" t="s">
        <v>273</v>
      </c>
      <c r="AJ524" s="43" t="s">
        <v>268</v>
      </c>
      <c r="AK524">
        <v>0</v>
      </c>
    </row>
    <row r="525" spans="31:37" x14ac:dyDescent="0.25">
      <c r="AE525" s="43" t="s">
        <v>86</v>
      </c>
      <c r="AF525" s="43" t="s">
        <v>60</v>
      </c>
      <c r="AG525" s="43" t="s">
        <v>72</v>
      </c>
      <c r="AH525">
        <v>2</v>
      </c>
      <c r="AI525" t="s">
        <v>317</v>
      </c>
      <c r="AJ525" s="43" t="s">
        <v>308</v>
      </c>
      <c r="AK525">
        <v>2.8</v>
      </c>
    </row>
    <row r="526" spans="31:37" x14ac:dyDescent="0.25">
      <c r="AE526" s="43" t="s">
        <v>86</v>
      </c>
      <c r="AF526" s="43" t="s">
        <v>60</v>
      </c>
      <c r="AG526" s="43" t="s">
        <v>72</v>
      </c>
      <c r="AH526">
        <v>2</v>
      </c>
      <c r="AI526" t="s">
        <v>317</v>
      </c>
      <c r="AJ526" s="43" t="s">
        <v>309</v>
      </c>
      <c r="AK526">
        <v>9.1999999999999993</v>
      </c>
    </row>
    <row r="527" spans="31:37" x14ac:dyDescent="0.25">
      <c r="AE527" s="43" t="s">
        <v>86</v>
      </c>
      <c r="AF527" s="43" t="s">
        <v>60</v>
      </c>
      <c r="AG527" s="43" t="s">
        <v>72</v>
      </c>
      <c r="AH527">
        <v>2</v>
      </c>
      <c r="AI527" t="s">
        <v>317</v>
      </c>
      <c r="AJ527" s="43" t="s">
        <v>268</v>
      </c>
      <c r="AK527">
        <v>12</v>
      </c>
    </row>
    <row r="528" spans="31:37" x14ac:dyDescent="0.25">
      <c r="AE528" s="43" t="s">
        <v>86</v>
      </c>
      <c r="AF528" s="43" t="s">
        <v>60</v>
      </c>
      <c r="AG528" s="43" t="s">
        <v>72</v>
      </c>
      <c r="AH528">
        <v>2</v>
      </c>
      <c r="AI528" t="s">
        <v>325</v>
      </c>
      <c r="AJ528" s="43" t="s">
        <v>308</v>
      </c>
      <c r="AK528">
        <v>0</v>
      </c>
    </row>
    <row r="529" spans="31:37" x14ac:dyDescent="0.25">
      <c r="AE529" s="43" t="s">
        <v>86</v>
      </c>
      <c r="AF529" s="43" t="s">
        <v>60</v>
      </c>
      <c r="AG529" s="43" t="s">
        <v>72</v>
      </c>
      <c r="AH529">
        <v>2</v>
      </c>
      <c r="AI529" t="s">
        <v>325</v>
      </c>
      <c r="AJ529" s="43" t="s">
        <v>309</v>
      </c>
      <c r="AK529">
        <v>0</v>
      </c>
    </row>
    <row r="530" spans="31:37" x14ac:dyDescent="0.25">
      <c r="AE530" s="43" t="s">
        <v>86</v>
      </c>
      <c r="AF530" s="43" t="s">
        <v>60</v>
      </c>
      <c r="AG530" s="43" t="s">
        <v>72</v>
      </c>
      <c r="AH530">
        <v>2</v>
      </c>
      <c r="AI530" t="s">
        <v>325</v>
      </c>
      <c r="AJ530" s="43" t="s">
        <v>268</v>
      </c>
      <c r="AK530">
        <v>0</v>
      </c>
    </row>
    <row r="531" spans="31:37" x14ac:dyDescent="0.25">
      <c r="AE531" s="43" t="s">
        <v>86</v>
      </c>
      <c r="AF531" s="43" t="s">
        <v>60</v>
      </c>
      <c r="AG531" s="43" t="s">
        <v>72</v>
      </c>
      <c r="AH531">
        <v>2</v>
      </c>
      <c r="AI531" t="s">
        <v>330</v>
      </c>
      <c r="AJ531" s="43" t="s">
        <v>308</v>
      </c>
      <c r="AK531">
        <v>0</v>
      </c>
    </row>
    <row r="532" spans="31:37" x14ac:dyDescent="0.25">
      <c r="AE532" s="43" t="s">
        <v>86</v>
      </c>
      <c r="AF532" s="43" t="s">
        <v>60</v>
      </c>
      <c r="AG532" s="43" t="s">
        <v>72</v>
      </c>
      <c r="AH532">
        <v>2</v>
      </c>
      <c r="AI532" t="s">
        <v>330</v>
      </c>
      <c r="AJ532" s="43" t="s">
        <v>309</v>
      </c>
      <c r="AK532">
        <v>0</v>
      </c>
    </row>
    <row r="533" spans="31:37" x14ac:dyDescent="0.25">
      <c r="AE533" s="43" t="s">
        <v>86</v>
      </c>
      <c r="AF533" s="43" t="s">
        <v>60</v>
      </c>
      <c r="AG533" s="43" t="s">
        <v>72</v>
      </c>
      <c r="AH533">
        <v>2</v>
      </c>
      <c r="AI533" t="s">
        <v>330</v>
      </c>
      <c r="AJ533" s="43" t="s">
        <v>268</v>
      </c>
      <c r="AK533">
        <v>0</v>
      </c>
    </row>
    <row r="534" spans="31:37" x14ac:dyDescent="0.25">
      <c r="AE534" s="43" t="s">
        <v>86</v>
      </c>
      <c r="AF534" s="43" t="s">
        <v>60</v>
      </c>
      <c r="AG534" s="43" t="s">
        <v>72</v>
      </c>
      <c r="AH534">
        <v>2</v>
      </c>
      <c r="AI534" t="s">
        <v>331</v>
      </c>
      <c r="AJ534" s="43" t="s">
        <v>308</v>
      </c>
      <c r="AK534">
        <v>2.8</v>
      </c>
    </row>
    <row r="535" spans="31:37" x14ac:dyDescent="0.25">
      <c r="AE535" s="43" t="s">
        <v>86</v>
      </c>
      <c r="AF535" s="43" t="s">
        <v>60</v>
      </c>
      <c r="AG535" s="43" t="s">
        <v>72</v>
      </c>
      <c r="AH535">
        <v>2</v>
      </c>
      <c r="AI535" t="s">
        <v>331</v>
      </c>
      <c r="AJ535" s="43" t="s">
        <v>309</v>
      </c>
      <c r="AK535">
        <v>8.3000000000000007</v>
      </c>
    </row>
    <row r="536" spans="31:37" x14ac:dyDescent="0.25">
      <c r="AE536" s="43" t="s">
        <v>86</v>
      </c>
      <c r="AF536" s="43" t="s">
        <v>60</v>
      </c>
      <c r="AG536" s="43" t="s">
        <v>72</v>
      </c>
      <c r="AH536">
        <v>2</v>
      </c>
      <c r="AI536" t="s">
        <v>331</v>
      </c>
      <c r="AJ536" s="43" t="s">
        <v>268</v>
      </c>
      <c r="AK536">
        <v>11.1</v>
      </c>
    </row>
    <row r="537" spans="31:37" x14ac:dyDescent="0.25">
      <c r="AE537" s="43" t="s">
        <v>86</v>
      </c>
      <c r="AF537" s="43" t="s">
        <v>60</v>
      </c>
      <c r="AG537" s="43" t="s">
        <v>72</v>
      </c>
      <c r="AH537">
        <v>2</v>
      </c>
      <c r="AI537" t="s">
        <v>341</v>
      </c>
      <c r="AJ537" s="43" t="s">
        <v>308</v>
      </c>
      <c r="AK537">
        <v>5.6</v>
      </c>
    </row>
    <row r="538" spans="31:37" x14ac:dyDescent="0.25">
      <c r="AE538" s="43" t="s">
        <v>86</v>
      </c>
      <c r="AF538" s="43" t="s">
        <v>60</v>
      </c>
      <c r="AG538" s="43" t="s">
        <v>72</v>
      </c>
      <c r="AH538">
        <v>2</v>
      </c>
      <c r="AI538" t="s">
        <v>341</v>
      </c>
      <c r="AJ538" s="43" t="s">
        <v>309</v>
      </c>
      <c r="AK538">
        <v>17.5</v>
      </c>
    </row>
    <row r="539" spans="31:37" x14ac:dyDescent="0.25">
      <c r="AE539" s="43" t="s">
        <v>86</v>
      </c>
      <c r="AF539" s="43" t="s">
        <v>60</v>
      </c>
      <c r="AG539" s="43" t="s">
        <v>72</v>
      </c>
      <c r="AH539">
        <v>2</v>
      </c>
      <c r="AI539" t="s">
        <v>341</v>
      </c>
      <c r="AJ539" s="43" t="s">
        <v>268</v>
      </c>
      <c r="AK539">
        <v>23.1</v>
      </c>
    </row>
    <row r="540" spans="31:37" x14ac:dyDescent="0.25">
      <c r="AE540" s="43" t="s">
        <v>86</v>
      </c>
      <c r="AF540" s="43" t="s">
        <v>60</v>
      </c>
      <c r="AG540" s="43" t="s">
        <v>72</v>
      </c>
      <c r="AH540">
        <v>2</v>
      </c>
      <c r="AI540" t="s">
        <v>273</v>
      </c>
      <c r="AJ540" s="43" t="s">
        <v>308</v>
      </c>
      <c r="AK540">
        <v>0</v>
      </c>
    </row>
    <row r="541" spans="31:37" x14ac:dyDescent="0.25">
      <c r="AE541" s="43" t="s">
        <v>86</v>
      </c>
      <c r="AF541" s="43" t="s">
        <v>60</v>
      </c>
      <c r="AG541" s="43" t="s">
        <v>72</v>
      </c>
      <c r="AH541">
        <v>2</v>
      </c>
      <c r="AI541" t="s">
        <v>273</v>
      </c>
      <c r="AJ541" s="43" t="s">
        <v>309</v>
      </c>
      <c r="AK541">
        <v>0</v>
      </c>
    </row>
    <row r="542" spans="31:37" x14ac:dyDescent="0.25">
      <c r="AE542" s="43" t="s">
        <v>86</v>
      </c>
      <c r="AF542" s="43" t="s">
        <v>60</v>
      </c>
      <c r="AG542" s="43" t="s">
        <v>72</v>
      </c>
      <c r="AH542">
        <v>2</v>
      </c>
      <c r="AI542" t="s">
        <v>273</v>
      </c>
      <c r="AJ542" s="43" t="s">
        <v>268</v>
      </c>
      <c r="AK542">
        <v>0</v>
      </c>
    </row>
    <row r="543" spans="31:37" x14ac:dyDescent="0.25">
      <c r="AE543" s="43" t="s">
        <v>106</v>
      </c>
      <c r="AF543" s="43" t="s">
        <v>60</v>
      </c>
      <c r="AG543" s="43" t="s">
        <v>31</v>
      </c>
      <c r="AH543">
        <v>2</v>
      </c>
      <c r="AI543" t="s">
        <v>317</v>
      </c>
      <c r="AJ543" s="43" t="s">
        <v>308</v>
      </c>
      <c r="AK543">
        <v>0</v>
      </c>
    </row>
    <row r="544" spans="31:37" x14ac:dyDescent="0.25">
      <c r="AE544" s="43" t="s">
        <v>106</v>
      </c>
      <c r="AF544" s="43" t="s">
        <v>60</v>
      </c>
      <c r="AG544" s="43" t="s">
        <v>31</v>
      </c>
      <c r="AH544">
        <v>2</v>
      </c>
      <c r="AI544" t="s">
        <v>317</v>
      </c>
      <c r="AJ544" s="43" t="s">
        <v>309</v>
      </c>
      <c r="AK544">
        <v>0</v>
      </c>
    </row>
    <row r="545" spans="31:37" x14ac:dyDescent="0.25">
      <c r="AE545" s="43" t="s">
        <v>106</v>
      </c>
      <c r="AF545" s="43" t="s">
        <v>60</v>
      </c>
      <c r="AG545" s="43" t="s">
        <v>31</v>
      </c>
      <c r="AH545">
        <v>2</v>
      </c>
      <c r="AI545" t="s">
        <v>317</v>
      </c>
      <c r="AJ545" s="43" t="s">
        <v>268</v>
      </c>
      <c r="AK545">
        <v>0</v>
      </c>
    </row>
    <row r="546" spans="31:37" x14ac:dyDescent="0.25">
      <c r="AE546" s="43" t="s">
        <v>106</v>
      </c>
      <c r="AF546" s="43" t="s">
        <v>60</v>
      </c>
      <c r="AG546" s="43" t="s">
        <v>31</v>
      </c>
      <c r="AH546">
        <v>2</v>
      </c>
      <c r="AI546" t="s">
        <v>325</v>
      </c>
      <c r="AJ546" s="43" t="s">
        <v>308</v>
      </c>
      <c r="AK546">
        <v>3.2</v>
      </c>
    </row>
    <row r="547" spans="31:37" x14ac:dyDescent="0.25">
      <c r="AE547" s="43" t="s">
        <v>106</v>
      </c>
      <c r="AF547" s="43" t="s">
        <v>60</v>
      </c>
      <c r="AG547" s="43" t="s">
        <v>31</v>
      </c>
      <c r="AH547">
        <v>2</v>
      </c>
      <c r="AI547" t="s">
        <v>325</v>
      </c>
      <c r="AJ547" s="43" t="s">
        <v>309</v>
      </c>
      <c r="AK547">
        <v>9.0500000000000007</v>
      </c>
    </row>
    <row r="548" spans="31:37" x14ac:dyDescent="0.25">
      <c r="AE548" s="43" t="s">
        <v>106</v>
      </c>
      <c r="AF548" s="43" t="s">
        <v>60</v>
      </c>
      <c r="AG548" s="43" t="s">
        <v>31</v>
      </c>
      <c r="AH548">
        <v>2</v>
      </c>
      <c r="AI548" t="s">
        <v>325</v>
      </c>
      <c r="AJ548" s="43" t="s">
        <v>268</v>
      </c>
      <c r="AK548">
        <v>12.25</v>
      </c>
    </row>
    <row r="549" spans="31:37" x14ac:dyDescent="0.25">
      <c r="AE549" s="43" t="s">
        <v>106</v>
      </c>
      <c r="AF549" s="43" t="s">
        <v>60</v>
      </c>
      <c r="AG549" s="43" t="s">
        <v>31</v>
      </c>
      <c r="AH549">
        <v>2</v>
      </c>
      <c r="AI549" t="s">
        <v>330</v>
      </c>
      <c r="AJ549" s="43" t="s">
        <v>308</v>
      </c>
      <c r="AK549">
        <v>3.2</v>
      </c>
    </row>
    <row r="550" spans="31:37" x14ac:dyDescent="0.25">
      <c r="AE550" s="43" t="s">
        <v>106</v>
      </c>
      <c r="AF550" s="43" t="s">
        <v>60</v>
      </c>
      <c r="AG550" s="43" t="s">
        <v>31</v>
      </c>
      <c r="AH550">
        <v>2</v>
      </c>
      <c r="AI550" t="s">
        <v>330</v>
      </c>
      <c r="AJ550" s="43" t="s">
        <v>309</v>
      </c>
      <c r="AK550">
        <v>7.4</v>
      </c>
    </row>
    <row r="551" spans="31:37" x14ac:dyDescent="0.25">
      <c r="AE551" s="43" t="s">
        <v>106</v>
      </c>
      <c r="AF551" s="43" t="s">
        <v>60</v>
      </c>
      <c r="AG551" s="43" t="s">
        <v>31</v>
      </c>
      <c r="AH551">
        <v>2</v>
      </c>
      <c r="AI551" t="s">
        <v>330</v>
      </c>
      <c r="AJ551" s="43" t="s">
        <v>268</v>
      </c>
      <c r="AK551">
        <v>10.6</v>
      </c>
    </row>
    <row r="552" spans="31:37" x14ac:dyDescent="0.25">
      <c r="AE552" s="43" t="s">
        <v>106</v>
      </c>
      <c r="AF552" s="43" t="s">
        <v>60</v>
      </c>
      <c r="AG552" s="43" t="s">
        <v>31</v>
      </c>
      <c r="AH552">
        <v>2</v>
      </c>
      <c r="AI552" t="s">
        <v>331</v>
      </c>
      <c r="AJ552" s="43" t="s">
        <v>308</v>
      </c>
      <c r="AK552">
        <v>0</v>
      </c>
    </row>
    <row r="553" spans="31:37" x14ac:dyDescent="0.25">
      <c r="AE553" s="43" t="s">
        <v>106</v>
      </c>
      <c r="AF553" s="43" t="s">
        <v>60</v>
      </c>
      <c r="AG553" s="43" t="s">
        <v>31</v>
      </c>
      <c r="AH553">
        <v>2</v>
      </c>
      <c r="AI553" t="s">
        <v>331</v>
      </c>
      <c r="AJ553" s="43" t="s">
        <v>309</v>
      </c>
      <c r="AK553">
        <v>0</v>
      </c>
    </row>
    <row r="554" spans="31:37" x14ac:dyDescent="0.25">
      <c r="AE554" s="43" t="s">
        <v>106</v>
      </c>
      <c r="AF554" s="43" t="s">
        <v>60</v>
      </c>
      <c r="AG554" s="43" t="s">
        <v>31</v>
      </c>
      <c r="AH554">
        <v>2</v>
      </c>
      <c r="AI554" t="s">
        <v>331</v>
      </c>
      <c r="AJ554" s="43" t="s">
        <v>268</v>
      </c>
      <c r="AK554">
        <v>0</v>
      </c>
    </row>
    <row r="555" spans="31:37" x14ac:dyDescent="0.25">
      <c r="AE555" s="43" t="s">
        <v>106</v>
      </c>
      <c r="AF555" s="43" t="s">
        <v>60</v>
      </c>
      <c r="AG555" s="43" t="s">
        <v>31</v>
      </c>
      <c r="AH555">
        <v>2</v>
      </c>
      <c r="AI555" t="s">
        <v>341</v>
      </c>
      <c r="AJ555" s="43" t="s">
        <v>308</v>
      </c>
      <c r="AK555">
        <v>6.4</v>
      </c>
    </row>
    <row r="556" spans="31:37" x14ac:dyDescent="0.25">
      <c r="AE556" s="43" t="s">
        <v>106</v>
      </c>
      <c r="AF556" s="43" t="s">
        <v>60</v>
      </c>
      <c r="AG556" s="43" t="s">
        <v>31</v>
      </c>
      <c r="AH556">
        <v>2</v>
      </c>
      <c r="AI556" t="s">
        <v>341</v>
      </c>
      <c r="AJ556" s="43" t="s">
        <v>309</v>
      </c>
      <c r="AK556">
        <v>16.450000000000003</v>
      </c>
    </row>
    <row r="557" spans="31:37" x14ac:dyDescent="0.25">
      <c r="AE557" s="43" t="s">
        <v>106</v>
      </c>
      <c r="AF557" s="43" t="s">
        <v>60</v>
      </c>
      <c r="AG557" s="43" t="s">
        <v>31</v>
      </c>
      <c r="AH557">
        <v>2</v>
      </c>
      <c r="AI557" t="s">
        <v>341</v>
      </c>
      <c r="AJ557" s="43" t="s">
        <v>268</v>
      </c>
      <c r="AK557">
        <v>22.85</v>
      </c>
    </row>
    <row r="558" spans="31:37" x14ac:dyDescent="0.25">
      <c r="AE558" s="43" t="s">
        <v>106</v>
      </c>
      <c r="AF558" s="43" t="s">
        <v>60</v>
      </c>
      <c r="AG558" s="43" t="s">
        <v>31</v>
      </c>
      <c r="AH558">
        <v>2</v>
      </c>
      <c r="AI558" t="s">
        <v>273</v>
      </c>
      <c r="AJ558" s="43" t="s">
        <v>308</v>
      </c>
      <c r="AK558">
        <v>0</v>
      </c>
    </row>
    <row r="559" spans="31:37" x14ac:dyDescent="0.25">
      <c r="AE559" s="43" t="s">
        <v>106</v>
      </c>
      <c r="AF559" s="43" t="s">
        <v>60</v>
      </c>
      <c r="AG559" s="43" t="s">
        <v>31</v>
      </c>
      <c r="AH559">
        <v>2</v>
      </c>
      <c r="AI559" t="s">
        <v>273</v>
      </c>
      <c r="AJ559" s="43" t="s">
        <v>309</v>
      </c>
      <c r="AK559">
        <v>0</v>
      </c>
    </row>
    <row r="560" spans="31:37" x14ac:dyDescent="0.25">
      <c r="AE560" s="43" t="s">
        <v>106</v>
      </c>
      <c r="AF560" s="43" t="s">
        <v>60</v>
      </c>
      <c r="AG560" s="43" t="s">
        <v>31</v>
      </c>
      <c r="AH560">
        <v>2</v>
      </c>
      <c r="AI560" t="s">
        <v>273</v>
      </c>
      <c r="AJ560" s="43" t="s">
        <v>268</v>
      </c>
      <c r="AK560">
        <v>0</v>
      </c>
    </row>
    <row r="561" spans="31:37" x14ac:dyDescent="0.25">
      <c r="AE561" s="43" t="s">
        <v>120</v>
      </c>
      <c r="AF561" s="43" t="s">
        <v>26</v>
      </c>
      <c r="AG561" s="43" t="s">
        <v>39</v>
      </c>
      <c r="AH561">
        <v>2</v>
      </c>
      <c r="AI561" t="s">
        <v>317</v>
      </c>
      <c r="AJ561" s="43" t="s">
        <v>308</v>
      </c>
      <c r="AK561">
        <v>3.2</v>
      </c>
    </row>
    <row r="562" spans="31:37" x14ac:dyDescent="0.25">
      <c r="AE562" s="43" t="s">
        <v>120</v>
      </c>
      <c r="AF562" s="43" t="s">
        <v>26</v>
      </c>
      <c r="AG562" s="43" t="s">
        <v>39</v>
      </c>
      <c r="AH562">
        <v>2</v>
      </c>
      <c r="AI562" t="s">
        <v>317</v>
      </c>
      <c r="AJ562" s="43" t="s">
        <v>309</v>
      </c>
      <c r="AK562">
        <v>9</v>
      </c>
    </row>
    <row r="563" spans="31:37" x14ac:dyDescent="0.25">
      <c r="AE563" s="43" t="s">
        <v>120</v>
      </c>
      <c r="AF563" s="43" t="s">
        <v>26</v>
      </c>
      <c r="AG563" s="43" t="s">
        <v>39</v>
      </c>
      <c r="AH563">
        <v>2</v>
      </c>
      <c r="AI563" t="s">
        <v>317</v>
      </c>
      <c r="AJ563" s="43" t="s">
        <v>268</v>
      </c>
      <c r="AK563">
        <v>12.2</v>
      </c>
    </row>
    <row r="564" spans="31:37" x14ac:dyDescent="0.25">
      <c r="AE564" s="43" t="s">
        <v>120</v>
      </c>
      <c r="AF564" s="43" t="s">
        <v>26</v>
      </c>
      <c r="AG564" s="43" t="s">
        <v>39</v>
      </c>
      <c r="AH564">
        <v>2</v>
      </c>
      <c r="AI564" t="s">
        <v>325</v>
      </c>
      <c r="AJ564" s="43" t="s">
        <v>308</v>
      </c>
      <c r="AK564">
        <v>0</v>
      </c>
    </row>
    <row r="565" spans="31:37" x14ac:dyDescent="0.25">
      <c r="AE565" s="43" t="s">
        <v>120</v>
      </c>
      <c r="AF565" s="43" t="s">
        <v>26</v>
      </c>
      <c r="AG565" s="43" t="s">
        <v>39</v>
      </c>
      <c r="AH565">
        <v>2</v>
      </c>
      <c r="AI565" t="s">
        <v>325</v>
      </c>
      <c r="AJ565" s="43" t="s">
        <v>309</v>
      </c>
      <c r="AK565">
        <v>0</v>
      </c>
    </row>
    <row r="566" spans="31:37" x14ac:dyDescent="0.25">
      <c r="AE566" s="43" t="s">
        <v>120</v>
      </c>
      <c r="AF566" s="43" t="s">
        <v>26</v>
      </c>
      <c r="AG566" s="43" t="s">
        <v>39</v>
      </c>
      <c r="AH566">
        <v>2</v>
      </c>
      <c r="AI566" t="s">
        <v>325</v>
      </c>
      <c r="AJ566" s="43" t="s">
        <v>268</v>
      </c>
      <c r="AK566">
        <v>0</v>
      </c>
    </row>
    <row r="567" spans="31:37" x14ac:dyDescent="0.25">
      <c r="AE567" s="43" t="s">
        <v>120</v>
      </c>
      <c r="AF567" s="43" t="s">
        <v>26</v>
      </c>
      <c r="AG567" s="43" t="s">
        <v>39</v>
      </c>
      <c r="AH567">
        <v>2</v>
      </c>
      <c r="AI567" t="s">
        <v>330</v>
      </c>
      <c r="AJ567" s="43" t="s">
        <v>308</v>
      </c>
      <c r="AK567">
        <v>2.4</v>
      </c>
    </row>
    <row r="568" spans="31:37" x14ac:dyDescent="0.25">
      <c r="AE568" s="43" t="s">
        <v>120</v>
      </c>
      <c r="AF568" s="43" t="s">
        <v>26</v>
      </c>
      <c r="AG568" s="43" t="s">
        <v>39</v>
      </c>
      <c r="AH568">
        <v>2</v>
      </c>
      <c r="AI568" t="s">
        <v>330</v>
      </c>
      <c r="AJ568" s="43" t="s">
        <v>309</v>
      </c>
      <c r="AK568">
        <v>7.8</v>
      </c>
    </row>
    <row r="569" spans="31:37" x14ac:dyDescent="0.25">
      <c r="AE569" s="43" t="s">
        <v>120</v>
      </c>
      <c r="AF569" s="43" t="s">
        <v>26</v>
      </c>
      <c r="AG569" s="43" t="s">
        <v>39</v>
      </c>
      <c r="AH569">
        <v>2</v>
      </c>
      <c r="AI569" t="s">
        <v>330</v>
      </c>
      <c r="AJ569" s="43" t="s">
        <v>268</v>
      </c>
      <c r="AK569">
        <v>10.199999999999999</v>
      </c>
    </row>
    <row r="570" spans="31:37" x14ac:dyDescent="0.25">
      <c r="AE570" s="43" t="s">
        <v>120</v>
      </c>
      <c r="AF570" s="43" t="s">
        <v>26</v>
      </c>
      <c r="AG570" s="43" t="s">
        <v>39</v>
      </c>
      <c r="AH570">
        <v>2</v>
      </c>
      <c r="AI570" t="s">
        <v>331</v>
      </c>
      <c r="AJ570" s="43" t="s">
        <v>308</v>
      </c>
      <c r="AK570">
        <v>0</v>
      </c>
    </row>
    <row r="571" spans="31:37" x14ac:dyDescent="0.25">
      <c r="AE571" s="43" t="s">
        <v>120</v>
      </c>
      <c r="AF571" s="43" t="s">
        <v>26</v>
      </c>
      <c r="AG571" s="43" t="s">
        <v>39</v>
      </c>
      <c r="AH571">
        <v>2</v>
      </c>
      <c r="AI571" t="s">
        <v>331</v>
      </c>
      <c r="AJ571" s="43" t="s">
        <v>309</v>
      </c>
      <c r="AK571">
        <v>0</v>
      </c>
    </row>
    <row r="572" spans="31:37" x14ac:dyDescent="0.25">
      <c r="AE572" s="43" t="s">
        <v>120</v>
      </c>
      <c r="AF572" s="43" t="s">
        <v>26</v>
      </c>
      <c r="AG572" s="43" t="s">
        <v>39</v>
      </c>
      <c r="AH572">
        <v>2</v>
      </c>
      <c r="AI572" t="s">
        <v>331</v>
      </c>
      <c r="AJ572" s="43" t="s">
        <v>268</v>
      </c>
      <c r="AK572">
        <v>0</v>
      </c>
    </row>
    <row r="573" spans="31:37" x14ac:dyDescent="0.25">
      <c r="AE573" s="43" t="s">
        <v>120</v>
      </c>
      <c r="AF573" s="43" t="s">
        <v>26</v>
      </c>
      <c r="AG573" s="43" t="s">
        <v>39</v>
      </c>
      <c r="AH573">
        <v>2</v>
      </c>
      <c r="AI573" t="s">
        <v>341</v>
      </c>
      <c r="AJ573" s="43" t="s">
        <v>308</v>
      </c>
      <c r="AK573">
        <v>5.6</v>
      </c>
    </row>
    <row r="574" spans="31:37" x14ac:dyDescent="0.25">
      <c r="AE574" s="43" t="s">
        <v>120</v>
      </c>
      <c r="AF574" s="43" t="s">
        <v>26</v>
      </c>
      <c r="AG574" s="43" t="s">
        <v>39</v>
      </c>
      <c r="AH574">
        <v>2</v>
      </c>
      <c r="AI574" t="s">
        <v>341</v>
      </c>
      <c r="AJ574" s="43" t="s">
        <v>309</v>
      </c>
      <c r="AK574">
        <v>16.8</v>
      </c>
    </row>
    <row r="575" spans="31:37" x14ac:dyDescent="0.25">
      <c r="AE575" s="43" t="s">
        <v>120</v>
      </c>
      <c r="AF575" s="43" t="s">
        <v>26</v>
      </c>
      <c r="AG575" s="43" t="s">
        <v>39</v>
      </c>
      <c r="AH575">
        <v>2</v>
      </c>
      <c r="AI575" t="s">
        <v>341</v>
      </c>
      <c r="AJ575" s="43" t="s">
        <v>268</v>
      </c>
      <c r="AK575">
        <v>22.4</v>
      </c>
    </row>
    <row r="576" spans="31:37" x14ac:dyDescent="0.25">
      <c r="AE576" s="43" t="s">
        <v>120</v>
      </c>
      <c r="AF576" s="43" t="s">
        <v>26</v>
      </c>
      <c r="AG576" s="43" t="s">
        <v>39</v>
      </c>
      <c r="AH576">
        <v>2</v>
      </c>
      <c r="AI576" t="s">
        <v>273</v>
      </c>
      <c r="AJ576" s="43" t="s">
        <v>308</v>
      </c>
      <c r="AK576">
        <v>0</v>
      </c>
    </row>
    <row r="577" spans="31:37" x14ac:dyDescent="0.25">
      <c r="AE577" s="43" t="s">
        <v>120</v>
      </c>
      <c r="AF577" s="43" t="s">
        <v>26</v>
      </c>
      <c r="AG577" s="43" t="s">
        <v>39</v>
      </c>
      <c r="AH577">
        <v>2</v>
      </c>
      <c r="AI577" t="s">
        <v>273</v>
      </c>
      <c r="AJ577" s="43" t="s">
        <v>309</v>
      </c>
      <c r="AK577">
        <v>0</v>
      </c>
    </row>
    <row r="578" spans="31:37" x14ac:dyDescent="0.25">
      <c r="AE578" s="43" t="s">
        <v>120</v>
      </c>
      <c r="AF578" s="43" t="s">
        <v>26</v>
      </c>
      <c r="AG578" s="43" t="s">
        <v>39</v>
      </c>
      <c r="AH578">
        <v>2</v>
      </c>
      <c r="AI578" t="s">
        <v>273</v>
      </c>
      <c r="AJ578" s="43" t="s">
        <v>268</v>
      </c>
      <c r="AK578">
        <v>0</v>
      </c>
    </row>
    <row r="579" spans="31:37" x14ac:dyDescent="0.25">
      <c r="AE579" s="43" t="s">
        <v>118</v>
      </c>
      <c r="AF579" s="43" t="s">
        <v>60</v>
      </c>
      <c r="AG579" s="43" t="s">
        <v>31</v>
      </c>
      <c r="AH579">
        <v>1</v>
      </c>
      <c r="AI579" t="s">
        <v>317</v>
      </c>
      <c r="AJ579" s="43" t="s">
        <v>308</v>
      </c>
      <c r="AK579">
        <v>0</v>
      </c>
    </row>
    <row r="580" spans="31:37" x14ac:dyDescent="0.25">
      <c r="AE580" s="43" t="s">
        <v>118</v>
      </c>
      <c r="AF580" s="43" t="s">
        <v>60</v>
      </c>
      <c r="AG580" s="43" t="s">
        <v>31</v>
      </c>
      <c r="AH580">
        <v>1</v>
      </c>
      <c r="AI580" t="s">
        <v>317</v>
      </c>
      <c r="AJ580" s="43" t="s">
        <v>309</v>
      </c>
      <c r="AK580">
        <v>0</v>
      </c>
    </row>
    <row r="581" spans="31:37" x14ac:dyDescent="0.25">
      <c r="AE581" s="43" t="s">
        <v>118</v>
      </c>
      <c r="AF581" s="43" t="s">
        <v>60</v>
      </c>
      <c r="AG581" s="43" t="s">
        <v>31</v>
      </c>
      <c r="AH581">
        <v>1</v>
      </c>
      <c r="AI581" t="s">
        <v>317</v>
      </c>
      <c r="AJ581" s="43" t="s">
        <v>268</v>
      </c>
      <c r="AK581">
        <v>0</v>
      </c>
    </row>
    <row r="582" spans="31:37" x14ac:dyDescent="0.25">
      <c r="AE582" s="43" t="s">
        <v>118</v>
      </c>
      <c r="AF582" s="43" t="s">
        <v>60</v>
      </c>
      <c r="AG582" s="43" t="s">
        <v>31</v>
      </c>
      <c r="AH582">
        <v>1</v>
      </c>
      <c r="AI582" t="s">
        <v>325</v>
      </c>
      <c r="AJ582" s="43" t="s">
        <v>308</v>
      </c>
      <c r="AK582">
        <v>0</v>
      </c>
    </row>
    <row r="583" spans="31:37" x14ac:dyDescent="0.25">
      <c r="AE583" s="43" t="s">
        <v>118</v>
      </c>
      <c r="AF583" s="43" t="s">
        <v>60</v>
      </c>
      <c r="AG583" s="43" t="s">
        <v>31</v>
      </c>
      <c r="AH583">
        <v>1</v>
      </c>
      <c r="AI583" t="s">
        <v>325</v>
      </c>
      <c r="AJ583" s="43" t="s">
        <v>309</v>
      </c>
      <c r="AK583">
        <v>0</v>
      </c>
    </row>
    <row r="584" spans="31:37" x14ac:dyDescent="0.25">
      <c r="AE584" s="43" t="s">
        <v>118</v>
      </c>
      <c r="AF584" s="43" t="s">
        <v>60</v>
      </c>
      <c r="AG584" s="43" t="s">
        <v>31</v>
      </c>
      <c r="AH584">
        <v>1</v>
      </c>
      <c r="AI584" t="s">
        <v>325</v>
      </c>
      <c r="AJ584" s="43" t="s">
        <v>268</v>
      </c>
      <c r="AK584">
        <v>0</v>
      </c>
    </row>
    <row r="585" spans="31:37" x14ac:dyDescent="0.25">
      <c r="AE585" s="43" t="s">
        <v>118</v>
      </c>
      <c r="AF585" s="43" t="s">
        <v>60</v>
      </c>
      <c r="AG585" s="43" t="s">
        <v>31</v>
      </c>
      <c r="AH585">
        <v>1</v>
      </c>
      <c r="AI585" t="s">
        <v>330</v>
      </c>
      <c r="AJ585" s="43" t="s">
        <v>308</v>
      </c>
      <c r="AK585">
        <v>4</v>
      </c>
    </row>
    <row r="586" spans="31:37" x14ac:dyDescent="0.25">
      <c r="AE586" s="43" t="s">
        <v>118</v>
      </c>
      <c r="AF586" s="43" t="s">
        <v>60</v>
      </c>
      <c r="AG586" s="43" t="s">
        <v>31</v>
      </c>
      <c r="AH586">
        <v>1</v>
      </c>
      <c r="AI586" t="s">
        <v>330</v>
      </c>
      <c r="AJ586" s="43" t="s">
        <v>309</v>
      </c>
      <c r="AK586">
        <v>9.3000000000000007</v>
      </c>
    </row>
    <row r="587" spans="31:37" x14ac:dyDescent="0.25">
      <c r="AE587" s="43" t="s">
        <v>118</v>
      </c>
      <c r="AF587" s="43" t="s">
        <v>60</v>
      </c>
      <c r="AG587" s="43" t="s">
        <v>31</v>
      </c>
      <c r="AH587">
        <v>1</v>
      </c>
      <c r="AI587" t="s">
        <v>330</v>
      </c>
      <c r="AJ587" s="43" t="s">
        <v>268</v>
      </c>
      <c r="AK587">
        <v>13.3</v>
      </c>
    </row>
    <row r="588" spans="31:37" x14ac:dyDescent="0.25">
      <c r="AE588" s="43" t="s">
        <v>118</v>
      </c>
      <c r="AF588" s="43" t="s">
        <v>60</v>
      </c>
      <c r="AG588" s="43" t="s">
        <v>31</v>
      </c>
      <c r="AH588">
        <v>1</v>
      </c>
      <c r="AI588" t="s">
        <v>331</v>
      </c>
      <c r="AJ588" s="43" t="s">
        <v>308</v>
      </c>
      <c r="AK588">
        <v>0</v>
      </c>
    </row>
    <row r="589" spans="31:37" x14ac:dyDescent="0.25">
      <c r="AE589" s="43" t="s">
        <v>118</v>
      </c>
      <c r="AF589" s="43" t="s">
        <v>60</v>
      </c>
      <c r="AG589" s="43" t="s">
        <v>31</v>
      </c>
      <c r="AH589">
        <v>1</v>
      </c>
      <c r="AI589" t="s">
        <v>331</v>
      </c>
      <c r="AJ589" s="43" t="s">
        <v>309</v>
      </c>
      <c r="AK589">
        <v>0</v>
      </c>
    </row>
    <row r="590" spans="31:37" x14ac:dyDescent="0.25">
      <c r="AE590" s="43" t="s">
        <v>118</v>
      </c>
      <c r="AF590" s="43" t="s">
        <v>60</v>
      </c>
      <c r="AG590" s="43" t="s">
        <v>31</v>
      </c>
      <c r="AH590">
        <v>1</v>
      </c>
      <c r="AI590" t="s">
        <v>331</v>
      </c>
      <c r="AJ590" s="43" t="s">
        <v>268</v>
      </c>
      <c r="AK590">
        <v>0</v>
      </c>
    </row>
    <row r="591" spans="31:37" x14ac:dyDescent="0.25">
      <c r="AE591" s="43" t="s">
        <v>118</v>
      </c>
      <c r="AF591" s="43" t="s">
        <v>60</v>
      </c>
      <c r="AG591" s="43" t="s">
        <v>31</v>
      </c>
      <c r="AH591">
        <v>1</v>
      </c>
      <c r="AI591" t="s">
        <v>341</v>
      </c>
      <c r="AJ591" s="43" t="s">
        <v>308</v>
      </c>
      <c r="AK591">
        <v>4</v>
      </c>
    </row>
    <row r="592" spans="31:37" x14ac:dyDescent="0.25">
      <c r="AE592" s="43" t="s">
        <v>118</v>
      </c>
      <c r="AF592" s="43" t="s">
        <v>60</v>
      </c>
      <c r="AG592" s="43" t="s">
        <v>31</v>
      </c>
      <c r="AH592">
        <v>1</v>
      </c>
      <c r="AI592" t="s">
        <v>341</v>
      </c>
      <c r="AJ592" s="43" t="s">
        <v>309</v>
      </c>
      <c r="AK592">
        <v>9.3000000000000007</v>
      </c>
    </row>
    <row r="593" spans="31:37" x14ac:dyDescent="0.25">
      <c r="AE593" s="43" t="s">
        <v>118</v>
      </c>
      <c r="AF593" s="43" t="s">
        <v>60</v>
      </c>
      <c r="AG593" s="43" t="s">
        <v>31</v>
      </c>
      <c r="AH593">
        <v>1</v>
      </c>
      <c r="AI593" t="s">
        <v>341</v>
      </c>
      <c r="AJ593" s="43" t="s">
        <v>268</v>
      </c>
      <c r="AK593">
        <v>13.3</v>
      </c>
    </row>
    <row r="594" spans="31:37" x14ac:dyDescent="0.25">
      <c r="AE594" s="43" t="s">
        <v>118</v>
      </c>
      <c r="AF594" s="43" t="s">
        <v>60</v>
      </c>
      <c r="AG594" s="43" t="s">
        <v>31</v>
      </c>
      <c r="AH594">
        <v>1</v>
      </c>
      <c r="AI594" t="s">
        <v>273</v>
      </c>
      <c r="AJ594" s="43" t="s">
        <v>308</v>
      </c>
      <c r="AK594">
        <v>0</v>
      </c>
    </row>
    <row r="595" spans="31:37" x14ac:dyDescent="0.25">
      <c r="AE595" s="43" t="s">
        <v>118</v>
      </c>
      <c r="AF595" s="43" t="s">
        <v>60</v>
      </c>
      <c r="AG595" s="43" t="s">
        <v>31</v>
      </c>
      <c r="AH595">
        <v>1</v>
      </c>
      <c r="AI595" t="s">
        <v>273</v>
      </c>
      <c r="AJ595" s="43" t="s">
        <v>309</v>
      </c>
      <c r="AK595">
        <v>0</v>
      </c>
    </row>
    <row r="596" spans="31:37" x14ac:dyDescent="0.25">
      <c r="AE596" s="43" t="s">
        <v>118</v>
      </c>
      <c r="AF596" s="43" t="s">
        <v>60</v>
      </c>
      <c r="AG596" s="43" t="s">
        <v>31</v>
      </c>
      <c r="AH596">
        <v>1</v>
      </c>
      <c r="AI596" t="s">
        <v>273</v>
      </c>
      <c r="AJ596" s="43" t="s">
        <v>268</v>
      </c>
      <c r="AK596">
        <v>0</v>
      </c>
    </row>
    <row r="597" spans="31:37" x14ac:dyDescent="0.25">
      <c r="AE597" s="43" t="s">
        <v>102</v>
      </c>
      <c r="AF597" s="43" t="s">
        <v>60</v>
      </c>
      <c r="AG597" s="43" t="s">
        <v>31</v>
      </c>
      <c r="AH597">
        <v>1</v>
      </c>
      <c r="AI597" t="s">
        <v>317</v>
      </c>
      <c r="AJ597" s="43" t="s">
        <v>308</v>
      </c>
      <c r="AK597">
        <v>0</v>
      </c>
    </row>
    <row r="598" spans="31:37" x14ac:dyDescent="0.25">
      <c r="AE598" s="43" t="s">
        <v>102</v>
      </c>
      <c r="AF598" s="43" t="s">
        <v>60</v>
      </c>
      <c r="AG598" s="43" t="s">
        <v>31</v>
      </c>
      <c r="AH598">
        <v>1</v>
      </c>
      <c r="AI598" t="s">
        <v>317</v>
      </c>
      <c r="AJ598" s="43" t="s">
        <v>309</v>
      </c>
      <c r="AK598">
        <v>0</v>
      </c>
    </row>
    <row r="599" spans="31:37" x14ac:dyDescent="0.25">
      <c r="AE599" s="43" t="s">
        <v>102</v>
      </c>
      <c r="AF599" s="43" t="s">
        <v>60</v>
      </c>
      <c r="AG599" s="43" t="s">
        <v>31</v>
      </c>
      <c r="AH599">
        <v>1</v>
      </c>
      <c r="AI599" t="s">
        <v>317</v>
      </c>
      <c r="AJ599" s="43" t="s">
        <v>268</v>
      </c>
      <c r="AK599">
        <v>0</v>
      </c>
    </row>
    <row r="600" spans="31:37" x14ac:dyDescent="0.25">
      <c r="AE600" s="43" t="s">
        <v>102</v>
      </c>
      <c r="AF600" s="43" t="s">
        <v>60</v>
      </c>
      <c r="AG600" s="43" t="s">
        <v>31</v>
      </c>
      <c r="AH600">
        <v>1</v>
      </c>
      <c r="AI600" t="s">
        <v>325</v>
      </c>
      <c r="AJ600" s="43" t="s">
        <v>308</v>
      </c>
      <c r="AK600">
        <v>4</v>
      </c>
    </row>
    <row r="601" spans="31:37" x14ac:dyDescent="0.25">
      <c r="AE601" s="43" t="s">
        <v>102</v>
      </c>
      <c r="AF601" s="43" t="s">
        <v>60</v>
      </c>
      <c r="AG601" s="43" t="s">
        <v>31</v>
      </c>
      <c r="AH601">
        <v>1</v>
      </c>
      <c r="AI601" t="s">
        <v>325</v>
      </c>
      <c r="AJ601" s="43" t="s">
        <v>309</v>
      </c>
      <c r="AK601">
        <v>8.85</v>
      </c>
    </row>
    <row r="602" spans="31:37" x14ac:dyDescent="0.25">
      <c r="AE602" s="43" t="s">
        <v>102</v>
      </c>
      <c r="AF602" s="43" t="s">
        <v>60</v>
      </c>
      <c r="AG602" s="43" t="s">
        <v>31</v>
      </c>
      <c r="AH602">
        <v>1</v>
      </c>
      <c r="AI602" t="s">
        <v>325</v>
      </c>
      <c r="AJ602" s="43" t="s">
        <v>268</v>
      </c>
      <c r="AK602">
        <v>12.85</v>
      </c>
    </row>
    <row r="603" spans="31:37" x14ac:dyDescent="0.25">
      <c r="AE603" s="43" t="s">
        <v>102</v>
      </c>
      <c r="AF603" s="43" t="s">
        <v>60</v>
      </c>
      <c r="AG603" s="43" t="s">
        <v>31</v>
      </c>
      <c r="AH603">
        <v>1</v>
      </c>
      <c r="AI603" t="s">
        <v>330</v>
      </c>
      <c r="AJ603" s="43" t="s">
        <v>308</v>
      </c>
      <c r="AK603">
        <v>0</v>
      </c>
    </row>
    <row r="604" spans="31:37" x14ac:dyDescent="0.25">
      <c r="AE604" s="43" t="s">
        <v>102</v>
      </c>
      <c r="AF604" s="43" t="s">
        <v>60</v>
      </c>
      <c r="AG604" s="43" t="s">
        <v>31</v>
      </c>
      <c r="AH604">
        <v>1</v>
      </c>
      <c r="AI604" t="s">
        <v>330</v>
      </c>
      <c r="AJ604" s="43" t="s">
        <v>309</v>
      </c>
      <c r="AK604">
        <v>0</v>
      </c>
    </row>
    <row r="605" spans="31:37" x14ac:dyDescent="0.25">
      <c r="AE605" s="43" t="s">
        <v>102</v>
      </c>
      <c r="AF605" s="43" t="s">
        <v>60</v>
      </c>
      <c r="AG605" s="43" t="s">
        <v>31</v>
      </c>
      <c r="AH605">
        <v>1</v>
      </c>
      <c r="AI605" t="s">
        <v>330</v>
      </c>
      <c r="AJ605" s="43" t="s">
        <v>268</v>
      </c>
      <c r="AK605">
        <v>0</v>
      </c>
    </row>
    <row r="606" spans="31:37" x14ac:dyDescent="0.25">
      <c r="AE606" s="43" t="s">
        <v>102</v>
      </c>
      <c r="AF606" s="43" t="s">
        <v>60</v>
      </c>
      <c r="AG606" s="43" t="s">
        <v>31</v>
      </c>
      <c r="AH606">
        <v>1</v>
      </c>
      <c r="AI606" t="s">
        <v>331</v>
      </c>
      <c r="AJ606" s="43" t="s">
        <v>308</v>
      </c>
      <c r="AK606">
        <v>0</v>
      </c>
    </row>
    <row r="607" spans="31:37" x14ac:dyDescent="0.25">
      <c r="AE607" s="43" t="s">
        <v>102</v>
      </c>
      <c r="AF607" s="43" t="s">
        <v>60</v>
      </c>
      <c r="AG607" s="43" t="s">
        <v>31</v>
      </c>
      <c r="AH607">
        <v>1</v>
      </c>
      <c r="AI607" t="s">
        <v>331</v>
      </c>
      <c r="AJ607" s="43" t="s">
        <v>309</v>
      </c>
      <c r="AK607">
        <v>0</v>
      </c>
    </row>
    <row r="608" spans="31:37" x14ac:dyDescent="0.25">
      <c r="AE608" s="43" t="s">
        <v>102</v>
      </c>
      <c r="AF608" s="43" t="s">
        <v>60</v>
      </c>
      <c r="AG608" s="43" t="s">
        <v>31</v>
      </c>
      <c r="AH608">
        <v>1</v>
      </c>
      <c r="AI608" t="s">
        <v>331</v>
      </c>
      <c r="AJ608" s="43" t="s">
        <v>268</v>
      </c>
      <c r="AK608">
        <v>0</v>
      </c>
    </row>
    <row r="609" spans="31:37" x14ac:dyDescent="0.25">
      <c r="AE609" s="43" t="s">
        <v>102</v>
      </c>
      <c r="AF609" s="43" t="s">
        <v>60</v>
      </c>
      <c r="AG609" s="43" t="s">
        <v>31</v>
      </c>
      <c r="AH609">
        <v>1</v>
      </c>
      <c r="AI609" t="s">
        <v>341</v>
      </c>
      <c r="AJ609" s="43" t="s">
        <v>308</v>
      </c>
      <c r="AK609">
        <v>4</v>
      </c>
    </row>
    <row r="610" spans="31:37" x14ac:dyDescent="0.25">
      <c r="AE610" s="43" t="s">
        <v>102</v>
      </c>
      <c r="AF610" s="43" t="s">
        <v>60</v>
      </c>
      <c r="AG610" s="43" t="s">
        <v>31</v>
      </c>
      <c r="AH610">
        <v>1</v>
      </c>
      <c r="AI610" t="s">
        <v>341</v>
      </c>
      <c r="AJ610" s="43" t="s">
        <v>309</v>
      </c>
      <c r="AK610">
        <v>8.85</v>
      </c>
    </row>
    <row r="611" spans="31:37" x14ac:dyDescent="0.25">
      <c r="AE611" s="43" t="s">
        <v>102</v>
      </c>
      <c r="AF611" s="43" t="s">
        <v>60</v>
      </c>
      <c r="AG611" s="43" t="s">
        <v>31</v>
      </c>
      <c r="AH611">
        <v>1</v>
      </c>
      <c r="AI611" t="s">
        <v>341</v>
      </c>
      <c r="AJ611" s="43" t="s">
        <v>268</v>
      </c>
      <c r="AK611">
        <v>12.85</v>
      </c>
    </row>
    <row r="612" spans="31:37" x14ac:dyDescent="0.25">
      <c r="AE612" s="43" t="s">
        <v>102</v>
      </c>
      <c r="AF612" s="43" t="s">
        <v>60</v>
      </c>
      <c r="AG612" s="43" t="s">
        <v>31</v>
      </c>
      <c r="AH612">
        <v>1</v>
      </c>
      <c r="AI612" t="s">
        <v>273</v>
      </c>
      <c r="AJ612" s="43" t="s">
        <v>308</v>
      </c>
      <c r="AK612">
        <v>0</v>
      </c>
    </row>
    <row r="613" spans="31:37" x14ac:dyDescent="0.25">
      <c r="AE613" s="43" t="s">
        <v>102</v>
      </c>
      <c r="AF613" s="43" t="s">
        <v>60</v>
      </c>
      <c r="AG613" s="43" t="s">
        <v>31</v>
      </c>
      <c r="AH613">
        <v>1</v>
      </c>
      <c r="AI613" t="s">
        <v>273</v>
      </c>
      <c r="AJ613" s="43" t="s">
        <v>309</v>
      </c>
      <c r="AK613">
        <v>0</v>
      </c>
    </row>
    <row r="614" spans="31:37" x14ac:dyDescent="0.25">
      <c r="AE614" s="43" t="s">
        <v>102</v>
      </c>
      <c r="AF614" s="43" t="s">
        <v>60</v>
      </c>
      <c r="AG614" s="43" t="s">
        <v>31</v>
      </c>
      <c r="AH614">
        <v>1</v>
      </c>
      <c r="AI614" t="s">
        <v>273</v>
      </c>
      <c r="AJ614" s="43" t="s">
        <v>268</v>
      </c>
      <c r="AK614">
        <v>0</v>
      </c>
    </row>
    <row r="615" spans="31:37" x14ac:dyDescent="0.25">
      <c r="AE615" s="43" t="s">
        <v>142</v>
      </c>
      <c r="AF615" s="43" t="s">
        <v>60</v>
      </c>
      <c r="AG615" s="43" t="s">
        <v>62</v>
      </c>
      <c r="AH615">
        <v>1</v>
      </c>
      <c r="AI615" t="s">
        <v>317</v>
      </c>
      <c r="AJ615" s="43" t="s">
        <v>308</v>
      </c>
      <c r="AK615">
        <v>3.2</v>
      </c>
    </row>
    <row r="616" spans="31:37" x14ac:dyDescent="0.25">
      <c r="AE616" s="43" t="s">
        <v>142</v>
      </c>
      <c r="AF616" s="43" t="s">
        <v>60</v>
      </c>
      <c r="AG616" s="43" t="s">
        <v>62</v>
      </c>
      <c r="AH616">
        <v>1</v>
      </c>
      <c r="AI616" t="s">
        <v>317</v>
      </c>
      <c r="AJ616" s="43" t="s">
        <v>309</v>
      </c>
      <c r="AK616">
        <v>9.5</v>
      </c>
    </row>
    <row r="617" spans="31:37" x14ac:dyDescent="0.25">
      <c r="AE617" s="43" t="s">
        <v>142</v>
      </c>
      <c r="AF617" s="43" t="s">
        <v>60</v>
      </c>
      <c r="AG617" s="43" t="s">
        <v>62</v>
      </c>
      <c r="AH617">
        <v>1</v>
      </c>
      <c r="AI617" t="s">
        <v>317</v>
      </c>
      <c r="AJ617" s="43" t="s">
        <v>268</v>
      </c>
      <c r="AK617">
        <v>12.7</v>
      </c>
    </row>
    <row r="618" spans="31:37" x14ac:dyDescent="0.25">
      <c r="AE618" s="43" t="s">
        <v>142</v>
      </c>
      <c r="AF618" s="43" t="s">
        <v>60</v>
      </c>
      <c r="AG618" s="43" t="s">
        <v>62</v>
      </c>
      <c r="AH618">
        <v>1</v>
      </c>
      <c r="AI618" t="s">
        <v>325</v>
      </c>
      <c r="AJ618" s="43" t="s">
        <v>308</v>
      </c>
      <c r="AK618">
        <v>0</v>
      </c>
    </row>
    <row r="619" spans="31:37" x14ac:dyDescent="0.25">
      <c r="AE619" s="43" t="s">
        <v>142</v>
      </c>
      <c r="AF619" s="43" t="s">
        <v>60</v>
      </c>
      <c r="AG619" s="43" t="s">
        <v>62</v>
      </c>
      <c r="AH619">
        <v>1</v>
      </c>
      <c r="AI619" t="s">
        <v>325</v>
      </c>
      <c r="AJ619" s="43" t="s">
        <v>309</v>
      </c>
      <c r="AK619">
        <v>0</v>
      </c>
    </row>
    <row r="620" spans="31:37" x14ac:dyDescent="0.25">
      <c r="AE620" s="43" t="s">
        <v>142</v>
      </c>
      <c r="AF620" s="43" t="s">
        <v>60</v>
      </c>
      <c r="AG620" s="43" t="s">
        <v>62</v>
      </c>
      <c r="AH620">
        <v>1</v>
      </c>
      <c r="AI620" t="s">
        <v>325</v>
      </c>
      <c r="AJ620" s="43" t="s">
        <v>268</v>
      </c>
      <c r="AK620">
        <v>0</v>
      </c>
    </row>
    <row r="621" spans="31:37" x14ac:dyDescent="0.25">
      <c r="AE621" s="43" t="s">
        <v>142</v>
      </c>
      <c r="AF621" s="43" t="s">
        <v>60</v>
      </c>
      <c r="AG621" s="43" t="s">
        <v>62</v>
      </c>
      <c r="AH621">
        <v>1</v>
      </c>
      <c r="AI621" t="s">
        <v>330</v>
      </c>
      <c r="AJ621" s="43" t="s">
        <v>308</v>
      </c>
      <c r="AK621">
        <v>0</v>
      </c>
    </row>
    <row r="622" spans="31:37" x14ac:dyDescent="0.25">
      <c r="AE622" s="43" t="s">
        <v>142</v>
      </c>
      <c r="AF622" s="43" t="s">
        <v>60</v>
      </c>
      <c r="AG622" s="43" t="s">
        <v>62</v>
      </c>
      <c r="AH622">
        <v>1</v>
      </c>
      <c r="AI622" t="s">
        <v>330</v>
      </c>
      <c r="AJ622" s="43" t="s">
        <v>309</v>
      </c>
      <c r="AK622">
        <v>0</v>
      </c>
    </row>
    <row r="623" spans="31:37" x14ac:dyDescent="0.25">
      <c r="AE623" s="43" t="s">
        <v>142</v>
      </c>
      <c r="AF623" s="43" t="s">
        <v>60</v>
      </c>
      <c r="AG623" s="43" t="s">
        <v>62</v>
      </c>
      <c r="AH623">
        <v>1</v>
      </c>
      <c r="AI623" t="s">
        <v>330</v>
      </c>
      <c r="AJ623" s="43" t="s">
        <v>268</v>
      </c>
      <c r="AK623">
        <v>0</v>
      </c>
    </row>
    <row r="624" spans="31:37" x14ac:dyDescent="0.25">
      <c r="AE624" s="43" t="s">
        <v>142</v>
      </c>
      <c r="AF624" s="43" t="s">
        <v>60</v>
      </c>
      <c r="AG624" s="43" t="s">
        <v>62</v>
      </c>
      <c r="AH624">
        <v>1</v>
      </c>
      <c r="AI624" t="s">
        <v>331</v>
      </c>
      <c r="AJ624" s="43" t="s">
        <v>308</v>
      </c>
      <c r="AK624">
        <v>0</v>
      </c>
    </row>
    <row r="625" spans="31:37" x14ac:dyDescent="0.25">
      <c r="AE625" s="43" t="s">
        <v>142</v>
      </c>
      <c r="AF625" s="43" t="s">
        <v>60</v>
      </c>
      <c r="AG625" s="43" t="s">
        <v>62</v>
      </c>
      <c r="AH625">
        <v>1</v>
      </c>
      <c r="AI625" t="s">
        <v>331</v>
      </c>
      <c r="AJ625" s="43" t="s">
        <v>309</v>
      </c>
      <c r="AK625">
        <v>0</v>
      </c>
    </row>
    <row r="626" spans="31:37" x14ac:dyDescent="0.25">
      <c r="AE626" s="43" t="s">
        <v>142</v>
      </c>
      <c r="AF626" s="43" t="s">
        <v>60</v>
      </c>
      <c r="AG626" s="43" t="s">
        <v>62</v>
      </c>
      <c r="AH626">
        <v>1</v>
      </c>
      <c r="AI626" t="s">
        <v>331</v>
      </c>
      <c r="AJ626" s="43" t="s">
        <v>268</v>
      </c>
      <c r="AK626">
        <v>0</v>
      </c>
    </row>
    <row r="627" spans="31:37" x14ac:dyDescent="0.25">
      <c r="AE627" s="43" t="s">
        <v>142</v>
      </c>
      <c r="AF627" s="43" t="s">
        <v>60</v>
      </c>
      <c r="AG627" s="43" t="s">
        <v>62</v>
      </c>
      <c r="AH627">
        <v>1</v>
      </c>
      <c r="AI627" t="s">
        <v>341</v>
      </c>
      <c r="AJ627" s="43" t="s">
        <v>308</v>
      </c>
      <c r="AK627">
        <v>3.2</v>
      </c>
    </row>
    <row r="628" spans="31:37" x14ac:dyDescent="0.25">
      <c r="AE628" s="43" t="s">
        <v>142</v>
      </c>
      <c r="AF628" s="43" t="s">
        <v>60</v>
      </c>
      <c r="AG628" s="43" t="s">
        <v>62</v>
      </c>
      <c r="AH628">
        <v>1</v>
      </c>
      <c r="AI628" t="s">
        <v>341</v>
      </c>
      <c r="AJ628" s="43" t="s">
        <v>309</v>
      </c>
      <c r="AK628">
        <v>9.5</v>
      </c>
    </row>
    <row r="629" spans="31:37" x14ac:dyDescent="0.25">
      <c r="AE629" s="43" t="s">
        <v>142</v>
      </c>
      <c r="AF629" s="43" t="s">
        <v>60</v>
      </c>
      <c r="AG629" s="43" t="s">
        <v>62</v>
      </c>
      <c r="AH629">
        <v>1</v>
      </c>
      <c r="AI629" t="s">
        <v>341</v>
      </c>
      <c r="AJ629" s="43" t="s">
        <v>268</v>
      </c>
      <c r="AK629">
        <v>12.7</v>
      </c>
    </row>
    <row r="630" spans="31:37" x14ac:dyDescent="0.25">
      <c r="AE630" s="43" t="s">
        <v>142</v>
      </c>
      <c r="AF630" s="43" t="s">
        <v>60</v>
      </c>
      <c r="AG630" s="43" t="s">
        <v>62</v>
      </c>
      <c r="AH630">
        <v>1</v>
      </c>
      <c r="AI630" t="s">
        <v>273</v>
      </c>
      <c r="AJ630" s="43" t="s">
        <v>308</v>
      </c>
      <c r="AK630">
        <v>0</v>
      </c>
    </row>
    <row r="631" spans="31:37" x14ac:dyDescent="0.25">
      <c r="AE631" s="43" t="s">
        <v>142</v>
      </c>
      <c r="AF631" s="43" t="s">
        <v>60</v>
      </c>
      <c r="AG631" s="43" t="s">
        <v>62</v>
      </c>
      <c r="AH631">
        <v>1</v>
      </c>
      <c r="AI631" t="s">
        <v>273</v>
      </c>
      <c r="AJ631" s="43" t="s">
        <v>309</v>
      </c>
      <c r="AK631">
        <v>0</v>
      </c>
    </row>
    <row r="632" spans="31:37" x14ac:dyDescent="0.25">
      <c r="AE632" s="43" t="s">
        <v>142</v>
      </c>
      <c r="AF632" s="43" t="s">
        <v>60</v>
      </c>
      <c r="AG632" s="43" t="s">
        <v>62</v>
      </c>
      <c r="AH632">
        <v>1</v>
      </c>
      <c r="AI632" t="s">
        <v>273</v>
      </c>
      <c r="AJ632" s="43" t="s">
        <v>268</v>
      </c>
      <c r="AK632">
        <v>0</v>
      </c>
    </row>
    <row r="633" spans="31:37" x14ac:dyDescent="0.25">
      <c r="AE633" s="43" t="s">
        <v>104</v>
      </c>
      <c r="AF633" s="43" t="s">
        <v>60</v>
      </c>
      <c r="AG633" s="43" t="s">
        <v>28</v>
      </c>
      <c r="AH633">
        <v>1</v>
      </c>
      <c r="AI633" t="s">
        <v>317</v>
      </c>
      <c r="AJ633" s="43" t="s">
        <v>308</v>
      </c>
      <c r="AK633">
        <v>0</v>
      </c>
    </row>
    <row r="634" spans="31:37" x14ac:dyDescent="0.25">
      <c r="AE634" s="43" t="s">
        <v>104</v>
      </c>
      <c r="AF634" s="43" t="s">
        <v>60</v>
      </c>
      <c r="AG634" s="43" t="s">
        <v>28</v>
      </c>
      <c r="AH634">
        <v>1</v>
      </c>
      <c r="AI634" t="s">
        <v>317</v>
      </c>
      <c r="AJ634" s="43" t="s">
        <v>309</v>
      </c>
      <c r="AK634">
        <v>0</v>
      </c>
    </row>
    <row r="635" spans="31:37" x14ac:dyDescent="0.25">
      <c r="AE635" s="43" t="s">
        <v>104</v>
      </c>
      <c r="AF635" s="43" t="s">
        <v>60</v>
      </c>
      <c r="AG635" s="43" t="s">
        <v>28</v>
      </c>
      <c r="AH635">
        <v>1</v>
      </c>
      <c r="AI635" t="s">
        <v>317</v>
      </c>
      <c r="AJ635" s="43" t="s">
        <v>268</v>
      </c>
      <c r="AK635">
        <v>0</v>
      </c>
    </row>
    <row r="636" spans="31:37" x14ac:dyDescent="0.25">
      <c r="AE636" s="43" t="s">
        <v>104</v>
      </c>
      <c r="AF636" s="43" t="s">
        <v>60</v>
      </c>
      <c r="AG636" s="43" t="s">
        <v>28</v>
      </c>
      <c r="AH636">
        <v>1</v>
      </c>
      <c r="AI636" t="s">
        <v>325</v>
      </c>
      <c r="AJ636" s="43" t="s">
        <v>308</v>
      </c>
      <c r="AK636">
        <v>3.2</v>
      </c>
    </row>
    <row r="637" spans="31:37" x14ac:dyDescent="0.25">
      <c r="AE637" s="43" t="s">
        <v>104</v>
      </c>
      <c r="AF637" s="43" t="s">
        <v>60</v>
      </c>
      <c r="AG637" s="43" t="s">
        <v>28</v>
      </c>
      <c r="AH637">
        <v>1</v>
      </c>
      <c r="AI637" t="s">
        <v>325</v>
      </c>
      <c r="AJ637" s="43" t="s">
        <v>309</v>
      </c>
      <c r="AK637">
        <v>8.8000000000000007</v>
      </c>
    </row>
    <row r="638" spans="31:37" x14ac:dyDescent="0.25">
      <c r="AE638" s="43" t="s">
        <v>104</v>
      </c>
      <c r="AF638" s="43" t="s">
        <v>60</v>
      </c>
      <c r="AG638" s="43" t="s">
        <v>28</v>
      </c>
      <c r="AH638">
        <v>1</v>
      </c>
      <c r="AI638" t="s">
        <v>325</v>
      </c>
      <c r="AJ638" s="43" t="s">
        <v>268</v>
      </c>
      <c r="AK638">
        <v>12</v>
      </c>
    </row>
    <row r="639" spans="31:37" x14ac:dyDescent="0.25">
      <c r="AE639" s="43" t="s">
        <v>104</v>
      </c>
      <c r="AF639" s="43" t="s">
        <v>60</v>
      </c>
      <c r="AG639" s="43" t="s">
        <v>28</v>
      </c>
      <c r="AH639">
        <v>1</v>
      </c>
      <c r="AI639" t="s">
        <v>330</v>
      </c>
      <c r="AJ639" s="43" t="s">
        <v>308</v>
      </c>
      <c r="AK639">
        <v>0</v>
      </c>
    </row>
    <row r="640" spans="31:37" x14ac:dyDescent="0.25">
      <c r="AE640" s="43" t="s">
        <v>104</v>
      </c>
      <c r="AF640" s="43" t="s">
        <v>60</v>
      </c>
      <c r="AG640" s="43" t="s">
        <v>28</v>
      </c>
      <c r="AH640">
        <v>1</v>
      </c>
      <c r="AI640" t="s">
        <v>330</v>
      </c>
      <c r="AJ640" s="43" t="s">
        <v>309</v>
      </c>
      <c r="AK640">
        <v>0</v>
      </c>
    </row>
    <row r="641" spans="31:37" x14ac:dyDescent="0.25">
      <c r="AE641" s="43" t="s">
        <v>104</v>
      </c>
      <c r="AF641" s="43" t="s">
        <v>60</v>
      </c>
      <c r="AG641" s="43" t="s">
        <v>28</v>
      </c>
      <c r="AH641">
        <v>1</v>
      </c>
      <c r="AI641" t="s">
        <v>330</v>
      </c>
      <c r="AJ641" s="43" t="s">
        <v>268</v>
      </c>
      <c r="AK641">
        <v>0</v>
      </c>
    </row>
    <row r="642" spans="31:37" x14ac:dyDescent="0.25">
      <c r="AE642" s="43" t="s">
        <v>104</v>
      </c>
      <c r="AF642" s="43" t="s">
        <v>60</v>
      </c>
      <c r="AG642" s="43" t="s">
        <v>28</v>
      </c>
      <c r="AH642">
        <v>1</v>
      </c>
      <c r="AI642" t="s">
        <v>331</v>
      </c>
      <c r="AJ642" s="43" t="s">
        <v>308</v>
      </c>
      <c r="AK642">
        <v>0</v>
      </c>
    </row>
    <row r="643" spans="31:37" x14ac:dyDescent="0.25">
      <c r="AE643" s="43" t="s">
        <v>104</v>
      </c>
      <c r="AF643" s="43" t="s">
        <v>60</v>
      </c>
      <c r="AG643" s="43" t="s">
        <v>28</v>
      </c>
      <c r="AH643">
        <v>1</v>
      </c>
      <c r="AI643" t="s">
        <v>331</v>
      </c>
      <c r="AJ643" s="43" t="s">
        <v>309</v>
      </c>
      <c r="AK643">
        <v>0</v>
      </c>
    </row>
    <row r="644" spans="31:37" x14ac:dyDescent="0.25">
      <c r="AE644" s="43" t="s">
        <v>104</v>
      </c>
      <c r="AF644" s="43" t="s">
        <v>60</v>
      </c>
      <c r="AG644" s="43" t="s">
        <v>28</v>
      </c>
      <c r="AH644">
        <v>1</v>
      </c>
      <c r="AI644" t="s">
        <v>331</v>
      </c>
      <c r="AJ644" s="43" t="s">
        <v>268</v>
      </c>
      <c r="AK644">
        <v>0</v>
      </c>
    </row>
    <row r="645" spans="31:37" x14ac:dyDescent="0.25">
      <c r="AE645" s="43" t="s">
        <v>104</v>
      </c>
      <c r="AF645" s="43" t="s">
        <v>60</v>
      </c>
      <c r="AG645" s="43" t="s">
        <v>28</v>
      </c>
      <c r="AH645">
        <v>1</v>
      </c>
      <c r="AI645" t="s">
        <v>341</v>
      </c>
      <c r="AJ645" s="43" t="s">
        <v>308</v>
      </c>
      <c r="AK645">
        <v>3.2</v>
      </c>
    </row>
    <row r="646" spans="31:37" x14ac:dyDescent="0.25">
      <c r="AE646" s="43" t="s">
        <v>104</v>
      </c>
      <c r="AF646" s="43" t="s">
        <v>60</v>
      </c>
      <c r="AG646" s="43" t="s">
        <v>28</v>
      </c>
      <c r="AH646">
        <v>1</v>
      </c>
      <c r="AI646" t="s">
        <v>341</v>
      </c>
      <c r="AJ646" s="43" t="s">
        <v>309</v>
      </c>
      <c r="AK646">
        <v>8.8000000000000007</v>
      </c>
    </row>
    <row r="647" spans="31:37" x14ac:dyDescent="0.25">
      <c r="AE647" s="43" t="s">
        <v>104</v>
      </c>
      <c r="AF647" s="43" t="s">
        <v>60</v>
      </c>
      <c r="AG647" s="43" t="s">
        <v>28</v>
      </c>
      <c r="AH647">
        <v>1</v>
      </c>
      <c r="AI647" t="s">
        <v>341</v>
      </c>
      <c r="AJ647" s="43" t="s">
        <v>268</v>
      </c>
      <c r="AK647">
        <v>12</v>
      </c>
    </row>
    <row r="648" spans="31:37" x14ac:dyDescent="0.25">
      <c r="AE648" s="43" t="s">
        <v>104</v>
      </c>
      <c r="AF648" s="43" t="s">
        <v>60</v>
      </c>
      <c r="AG648" s="43" t="s">
        <v>28</v>
      </c>
      <c r="AH648">
        <v>1</v>
      </c>
      <c r="AI648" t="s">
        <v>273</v>
      </c>
      <c r="AJ648" s="43" t="s">
        <v>308</v>
      </c>
      <c r="AK648">
        <v>0</v>
      </c>
    </row>
    <row r="649" spans="31:37" x14ac:dyDescent="0.25">
      <c r="AE649" s="43" t="s">
        <v>104</v>
      </c>
      <c r="AF649" s="43" t="s">
        <v>60</v>
      </c>
      <c r="AG649" s="43" t="s">
        <v>28</v>
      </c>
      <c r="AH649">
        <v>1</v>
      </c>
      <c r="AI649" t="s">
        <v>273</v>
      </c>
      <c r="AJ649" s="43" t="s">
        <v>309</v>
      </c>
      <c r="AK649">
        <v>0</v>
      </c>
    </row>
    <row r="650" spans="31:37" x14ac:dyDescent="0.25">
      <c r="AE650" s="43" t="s">
        <v>104</v>
      </c>
      <c r="AF650" s="43" t="s">
        <v>60</v>
      </c>
      <c r="AG650" s="43" t="s">
        <v>28</v>
      </c>
      <c r="AH650">
        <v>1</v>
      </c>
      <c r="AI650" t="s">
        <v>273</v>
      </c>
      <c r="AJ650" s="43" t="s">
        <v>268</v>
      </c>
      <c r="AK650">
        <v>0</v>
      </c>
    </row>
    <row r="651" spans="31:37" x14ac:dyDescent="0.25">
      <c r="AE651" s="43" t="s">
        <v>125</v>
      </c>
      <c r="AF651" s="43" t="s">
        <v>26</v>
      </c>
      <c r="AG651" s="43" t="s">
        <v>67</v>
      </c>
      <c r="AH651">
        <v>1</v>
      </c>
      <c r="AI651" t="s">
        <v>317</v>
      </c>
      <c r="AJ651" s="43" t="s">
        <v>308</v>
      </c>
      <c r="AK651">
        <v>0</v>
      </c>
    </row>
    <row r="652" spans="31:37" x14ac:dyDescent="0.25">
      <c r="AE652" s="43" t="s">
        <v>125</v>
      </c>
      <c r="AF652" s="43" t="s">
        <v>26</v>
      </c>
      <c r="AG652" s="43" t="s">
        <v>67</v>
      </c>
      <c r="AH652">
        <v>1</v>
      </c>
      <c r="AI652" t="s">
        <v>317</v>
      </c>
      <c r="AJ652" s="43" t="s">
        <v>309</v>
      </c>
      <c r="AK652">
        <v>0</v>
      </c>
    </row>
    <row r="653" spans="31:37" x14ac:dyDescent="0.25">
      <c r="AE653" s="43" t="s">
        <v>125</v>
      </c>
      <c r="AF653" s="43" t="s">
        <v>26</v>
      </c>
      <c r="AG653" s="43" t="s">
        <v>67</v>
      </c>
      <c r="AH653">
        <v>1</v>
      </c>
      <c r="AI653" t="s">
        <v>317</v>
      </c>
      <c r="AJ653" s="43" t="s">
        <v>268</v>
      </c>
      <c r="AK653">
        <v>0</v>
      </c>
    </row>
    <row r="654" spans="31:37" x14ac:dyDescent="0.25">
      <c r="AE654" s="43" t="s">
        <v>125</v>
      </c>
      <c r="AF654" s="43" t="s">
        <v>26</v>
      </c>
      <c r="AG654" s="43" t="s">
        <v>67</v>
      </c>
      <c r="AH654">
        <v>1</v>
      </c>
      <c r="AI654" t="s">
        <v>325</v>
      </c>
      <c r="AJ654" s="43" t="s">
        <v>308</v>
      </c>
      <c r="AK654">
        <v>0</v>
      </c>
    </row>
    <row r="655" spans="31:37" x14ac:dyDescent="0.25">
      <c r="AE655" s="43" t="s">
        <v>125</v>
      </c>
      <c r="AF655" s="43" t="s">
        <v>26</v>
      </c>
      <c r="AG655" s="43" t="s">
        <v>67</v>
      </c>
      <c r="AH655">
        <v>1</v>
      </c>
      <c r="AI655" t="s">
        <v>325</v>
      </c>
      <c r="AJ655" s="43" t="s">
        <v>309</v>
      </c>
      <c r="AK655">
        <v>0</v>
      </c>
    </row>
    <row r="656" spans="31:37" x14ac:dyDescent="0.25">
      <c r="AE656" s="43" t="s">
        <v>125</v>
      </c>
      <c r="AF656" s="43" t="s">
        <v>26</v>
      </c>
      <c r="AG656" s="43" t="s">
        <v>67</v>
      </c>
      <c r="AH656">
        <v>1</v>
      </c>
      <c r="AI656" t="s">
        <v>325</v>
      </c>
      <c r="AJ656" s="43" t="s">
        <v>268</v>
      </c>
      <c r="AK656">
        <v>0</v>
      </c>
    </row>
    <row r="657" spans="31:37" x14ac:dyDescent="0.25">
      <c r="AE657" s="43" t="s">
        <v>125</v>
      </c>
      <c r="AF657" s="43" t="s">
        <v>26</v>
      </c>
      <c r="AG657" s="43" t="s">
        <v>67</v>
      </c>
      <c r="AH657">
        <v>1</v>
      </c>
      <c r="AI657" t="s">
        <v>330</v>
      </c>
      <c r="AJ657" s="43" t="s">
        <v>308</v>
      </c>
      <c r="AK657">
        <v>3.2</v>
      </c>
    </row>
    <row r="658" spans="31:37" x14ac:dyDescent="0.25">
      <c r="AE658" s="43" t="s">
        <v>125</v>
      </c>
      <c r="AF658" s="43" t="s">
        <v>26</v>
      </c>
      <c r="AG658" s="43" t="s">
        <v>67</v>
      </c>
      <c r="AH658">
        <v>1</v>
      </c>
      <c r="AI658" t="s">
        <v>330</v>
      </c>
      <c r="AJ658" s="43" t="s">
        <v>309</v>
      </c>
      <c r="AK658">
        <v>8.1999999999999993</v>
      </c>
    </row>
    <row r="659" spans="31:37" x14ac:dyDescent="0.25">
      <c r="AE659" s="43" t="s">
        <v>125</v>
      </c>
      <c r="AF659" s="43" t="s">
        <v>26</v>
      </c>
      <c r="AG659" s="43" t="s">
        <v>67</v>
      </c>
      <c r="AH659">
        <v>1</v>
      </c>
      <c r="AI659" t="s">
        <v>330</v>
      </c>
      <c r="AJ659" s="43" t="s">
        <v>268</v>
      </c>
      <c r="AK659">
        <v>11.4</v>
      </c>
    </row>
    <row r="660" spans="31:37" x14ac:dyDescent="0.25">
      <c r="AE660" s="43" t="s">
        <v>125</v>
      </c>
      <c r="AF660" s="43" t="s">
        <v>26</v>
      </c>
      <c r="AG660" s="43" t="s">
        <v>67</v>
      </c>
      <c r="AH660">
        <v>1</v>
      </c>
      <c r="AI660" t="s">
        <v>331</v>
      </c>
      <c r="AJ660" s="43" t="s">
        <v>308</v>
      </c>
      <c r="AK660">
        <v>0</v>
      </c>
    </row>
    <row r="661" spans="31:37" x14ac:dyDescent="0.25">
      <c r="AE661" s="43" t="s">
        <v>125</v>
      </c>
      <c r="AF661" s="43" t="s">
        <v>26</v>
      </c>
      <c r="AG661" s="43" t="s">
        <v>67</v>
      </c>
      <c r="AH661">
        <v>1</v>
      </c>
      <c r="AI661" t="s">
        <v>331</v>
      </c>
      <c r="AJ661" s="43" t="s">
        <v>309</v>
      </c>
      <c r="AK661">
        <v>0</v>
      </c>
    </row>
    <row r="662" spans="31:37" x14ac:dyDescent="0.25">
      <c r="AE662" s="43" t="s">
        <v>125</v>
      </c>
      <c r="AF662" s="43" t="s">
        <v>26</v>
      </c>
      <c r="AG662" s="43" t="s">
        <v>67</v>
      </c>
      <c r="AH662">
        <v>1</v>
      </c>
      <c r="AI662" t="s">
        <v>331</v>
      </c>
      <c r="AJ662" s="43" t="s">
        <v>268</v>
      </c>
      <c r="AK662">
        <v>0</v>
      </c>
    </row>
    <row r="663" spans="31:37" x14ac:dyDescent="0.25">
      <c r="AE663" s="43" t="s">
        <v>125</v>
      </c>
      <c r="AF663" s="43" t="s">
        <v>26</v>
      </c>
      <c r="AG663" s="43" t="s">
        <v>67</v>
      </c>
      <c r="AH663">
        <v>1</v>
      </c>
      <c r="AI663" t="s">
        <v>341</v>
      </c>
      <c r="AJ663" s="43" t="s">
        <v>308</v>
      </c>
      <c r="AK663">
        <v>3.2</v>
      </c>
    </row>
    <row r="664" spans="31:37" x14ac:dyDescent="0.25">
      <c r="AE664" s="43" t="s">
        <v>125</v>
      </c>
      <c r="AF664" s="43" t="s">
        <v>26</v>
      </c>
      <c r="AG664" s="43" t="s">
        <v>67</v>
      </c>
      <c r="AH664">
        <v>1</v>
      </c>
      <c r="AI664" t="s">
        <v>341</v>
      </c>
      <c r="AJ664" s="43" t="s">
        <v>309</v>
      </c>
      <c r="AK664">
        <v>8.1999999999999993</v>
      </c>
    </row>
    <row r="665" spans="31:37" x14ac:dyDescent="0.25">
      <c r="AE665" s="43" t="s">
        <v>125</v>
      </c>
      <c r="AF665" s="43" t="s">
        <v>26</v>
      </c>
      <c r="AG665" s="43" t="s">
        <v>67</v>
      </c>
      <c r="AH665">
        <v>1</v>
      </c>
      <c r="AI665" t="s">
        <v>341</v>
      </c>
      <c r="AJ665" s="43" t="s">
        <v>268</v>
      </c>
      <c r="AK665">
        <v>11.4</v>
      </c>
    </row>
    <row r="666" spans="31:37" x14ac:dyDescent="0.25">
      <c r="AE666" s="43" t="s">
        <v>125</v>
      </c>
      <c r="AF666" s="43" t="s">
        <v>26</v>
      </c>
      <c r="AG666" s="43" t="s">
        <v>67</v>
      </c>
      <c r="AH666">
        <v>1</v>
      </c>
      <c r="AI666" t="s">
        <v>273</v>
      </c>
      <c r="AJ666" s="43" t="s">
        <v>308</v>
      </c>
      <c r="AK666">
        <v>0</v>
      </c>
    </row>
    <row r="667" spans="31:37" x14ac:dyDescent="0.25">
      <c r="AE667" s="43" t="s">
        <v>125</v>
      </c>
      <c r="AF667" s="43" t="s">
        <v>26</v>
      </c>
      <c r="AG667" s="43" t="s">
        <v>67</v>
      </c>
      <c r="AH667">
        <v>1</v>
      </c>
      <c r="AI667" t="s">
        <v>273</v>
      </c>
      <c r="AJ667" s="43" t="s">
        <v>309</v>
      </c>
      <c r="AK667">
        <v>0</v>
      </c>
    </row>
    <row r="668" spans="31:37" x14ac:dyDescent="0.25">
      <c r="AE668" s="43" t="s">
        <v>125</v>
      </c>
      <c r="AF668" s="43" t="s">
        <v>26</v>
      </c>
      <c r="AG668" s="43" t="s">
        <v>67</v>
      </c>
      <c r="AH668">
        <v>1</v>
      </c>
      <c r="AI668" t="s">
        <v>273</v>
      </c>
      <c r="AJ668" s="43" t="s">
        <v>268</v>
      </c>
      <c r="AK668">
        <v>0</v>
      </c>
    </row>
    <row r="669" spans="31:37" x14ac:dyDescent="0.25">
      <c r="AE669" s="43" t="s">
        <v>129</v>
      </c>
      <c r="AF669" s="43" t="s">
        <v>60</v>
      </c>
      <c r="AG669" s="43" t="s">
        <v>72</v>
      </c>
      <c r="AH669">
        <v>1</v>
      </c>
      <c r="AI669" t="s">
        <v>317</v>
      </c>
      <c r="AJ669" s="43" t="s">
        <v>308</v>
      </c>
      <c r="AK669">
        <v>0</v>
      </c>
    </row>
    <row r="670" spans="31:37" x14ac:dyDescent="0.25">
      <c r="AE670" s="43" t="s">
        <v>129</v>
      </c>
      <c r="AF670" s="43" t="s">
        <v>60</v>
      </c>
      <c r="AG670" s="43" t="s">
        <v>72</v>
      </c>
      <c r="AH670">
        <v>1</v>
      </c>
      <c r="AI670" t="s">
        <v>317</v>
      </c>
      <c r="AJ670" s="43" t="s">
        <v>309</v>
      </c>
      <c r="AK670">
        <v>0</v>
      </c>
    </row>
    <row r="671" spans="31:37" x14ac:dyDescent="0.25">
      <c r="AE671" s="43" t="s">
        <v>129</v>
      </c>
      <c r="AF671" s="43" t="s">
        <v>60</v>
      </c>
      <c r="AG671" s="43" t="s">
        <v>72</v>
      </c>
      <c r="AH671">
        <v>1</v>
      </c>
      <c r="AI671" t="s">
        <v>317</v>
      </c>
      <c r="AJ671" s="43" t="s">
        <v>268</v>
      </c>
      <c r="AK671">
        <v>0</v>
      </c>
    </row>
    <row r="672" spans="31:37" x14ac:dyDescent="0.25">
      <c r="AE672" s="43" t="s">
        <v>129</v>
      </c>
      <c r="AF672" s="43" t="s">
        <v>60</v>
      </c>
      <c r="AG672" s="43" t="s">
        <v>72</v>
      </c>
      <c r="AH672">
        <v>1</v>
      </c>
      <c r="AI672" t="s">
        <v>325</v>
      </c>
      <c r="AJ672" s="43" t="s">
        <v>308</v>
      </c>
      <c r="AK672">
        <v>0</v>
      </c>
    </row>
    <row r="673" spans="31:37" x14ac:dyDescent="0.25">
      <c r="AE673" s="43" t="s">
        <v>129</v>
      </c>
      <c r="AF673" s="43" t="s">
        <v>60</v>
      </c>
      <c r="AG673" s="43" t="s">
        <v>72</v>
      </c>
      <c r="AH673">
        <v>1</v>
      </c>
      <c r="AI673" t="s">
        <v>325</v>
      </c>
      <c r="AJ673" s="43" t="s">
        <v>309</v>
      </c>
      <c r="AK673">
        <v>0</v>
      </c>
    </row>
    <row r="674" spans="31:37" x14ac:dyDescent="0.25">
      <c r="AE674" s="43" t="s">
        <v>129</v>
      </c>
      <c r="AF674" s="43" t="s">
        <v>60</v>
      </c>
      <c r="AG674" s="43" t="s">
        <v>72</v>
      </c>
      <c r="AH674">
        <v>1</v>
      </c>
      <c r="AI674" t="s">
        <v>325</v>
      </c>
      <c r="AJ674" s="43" t="s">
        <v>268</v>
      </c>
      <c r="AK674">
        <v>0</v>
      </c>
    </row>
    <row r="675" spans="31:37" x14ac:dyDescent="0.25">
      <c r="AE675" s="43" t="s">
        <v>129</v>
      </c>
      <c r="AF675" s="43" t="s">
        <v>60</v>
      </c>
      <c r="AG675" s="43" t="s">
        <v>72</v>
      </c>
      <c r="AH675">
        <v>1</v>
      </c>
      <c r="AI675" t="s">
        <v>330</v>
      </c>
      <c r="AJ675" s="43" t="s">
        <v>308</v>
      </c>
      <c r="AK675">
        <v>2.8</v>
      </c>
    </row>
    <row r="676" spans="31:37" x14ac:dyDescent="0.25">
      <c r="AE676" s="43" t="s">
        <v>129</v>
      </c>
      <c r="AF676" s="43" t="s">
        <v>60</v>
      </c>
      <c r="AG676" s="43" t="s">
        <v>72</v>
      </c>
      <c r="AH676">
        <v>1</v>
      </c>
      <c r="AI676" t="s">
        <v>330</v>
      </c>
      <c r="AJ676" s="43" t="s">
        <v>309</v>
      </c>
      <c r="AK676">
        <v>8.5500000000000007</v>
      </c>
    </row>
    <row r="677" spans="31:37" x14ac:dyDescent="0.25">
      <c r="AE677" s="43" t="s">
        <v>129</v>
      </c>
      <c r="AF677" s="43" t="s">
        <v>60</v>
      </c>
      <c r="AG677" s="43" t="s">
        <v>72</v>
      </c>
      <c r="AH677">
        <v>1</v>
      </c>
      <c r="AI677" t="s">
        <v>330</v>
      </c>
      <c r="AJ677" s="43" t="s">
        <v>268</v>
      </c>
      <c r="AK677">
        <v>11.35</v>
      </c>
    </row>
    <row r="678" spans="31:37" x14ac:dyDescent="0.25">
      <c r="AE678" s="43" t="s">
        <v>129</v>
      </c>
      <c r="AF678" s="43" t="s">
        <v>60</v>
      </c>
      <c r="AG678" s="43" t="s">
        <v>72</v>
      </c>
      <c r="AH678">
        <v>1</v>
      </c>
      <c r="AI678" t="s">
        <v>331</v>
      </c>
      <c r="AJ678" s="43" t="s">
        <v>308</v>
      </c>
      <c r="AK678">
        <v>0</v>
      </c>
    </row>
    <row r="679" spans="31:37" x14ac:dyDescent="0.25">
      <c r="AE679" s="43" t="s">
        <v>129</v>
      </c>
      <c r="AF679" s="43" t="s">
        <v>60</v>
      </c>
      <c r="AG679" s="43" t="s">
        <v>72</v>
      </c>
      <c r="AH679">
        <v>1</v>
      </c>
      <c r="AI679" t="s">
        <v>331</v>
      </c>
      <c r="AJ679" s="43" t="s">
        <v>309</v>
      </c>
      <c r="AK679">
        <v>0</v>
      </c>
    </row>
    <row r="680" spans="31:37" x14ac:dyDescent="0.25">
      <c r="AE680" s="43" t="s">
        <v>129</v>
      </c>
      <c r="AF680" s="43" t="s">
        <v>60</v>
      </c>
      <c r="AG680" s="43" t="s">
        <v>72</v>
      </c>
      <c r="AH680">
        <v>1</v>
      </c>
      <c r="AI680" t="s">
        <v>331</v>
      </c>
      <c r="AJ680" s="43" t="s">
        <v>268</v>
      </c>
      <c r="AK680">
        <v>0</v>
      </c>
    </row>
    <row r="681" spans="31:37" x14ac:dyDescent="0.25">
      <c r="AE681" s="43" t="s">
        <v>129</v>
      </c>
      <c r="AF681" s="43" t="s">
        <v>60</v>
      </c>
      <c r="AG681" s="43" t="s">
        <v>72</v>
      </c>
      <c r="AH681">
        <v>1</v>
      </c>
      <c r="AI681" t="s">
        <v>341</v>
      </c>
      <c r="AJ681" s="43" t="s">
        <v>308</v>
      </c>
      <c r="AK681">
        <v>2.8</v>
      </c>
    </row>
    <row r="682" spans="31:37" x14ac:dyDescent="0.25">
      <c r="AE682" s="43" t="s">
        <v>129</v>
      </c>
      <c r="AF682" s="43" t="s">
        <v>60</v>
      </c>
      <c r="AG682" s="43" t="s">
        <v>72</v>
      </c>
      <c r="AH682">
        <v>1</v>
      </c>
      <c r="AI682" t="s">
        <v>341</v>
      </c>
      <c r="AJ682" s="43" t="s">
        <v>309</v>
      </c>
      <c r="AK682">
        <v>8.5500000000000007</v>
      </c>
    </row>
    <row r="683" spans="31:37" x14ac:dyDescent="0.25">
      <c r="AE683" s="43" t="s">
        <v>129</v>
      </c>
      <c r="AF683" s="43" t="s">
        <v>60</v>
      </c>
      <c r="AG683" s="43" t="s">
        <v>72</v>
      </c>
      <c r="AH683">
        <v>1</v>
      </c>
      <c r="AI683" t="s">
        <v>341</v>
      </c>
      <c r="AJ683" s="43" t="s">
        <v>268</v>
      </c>
      <c r="AK683">
        <v>11.35</v>
      </c>
    </row>
    <row r="684" spans="31:37" x14ac:dyDescent="0.25">
      <c r="AE684" s="43" t="s">
        <v>129</v>
      </c>
      <c r="AF684" s="43" t="s">
        <v>60</v>
      </c>
      <c r="AG684" s="43" t="s">
        <v>72</v>
      </c>
      <c r="AH684">
        <v>1</v>
      </c>
      <c r="AI684" t="s">
        <v>273</v>
      </c>
      <c r="AJ684" s="43" t="s">
        <v>308</v>
      </c>
      <c r="AK684">
        <v>0</v>
      </c>
    </row>
    <row r="685" spans="31:37" x14ac:dyDescent="0.25">
      <c r="AE685" s="43" t="s">
        <v>129</v>
      </c>
      <c r="AF685" s="43" t="s">
        <v>60</v>
      </c>
      <c r="AG685" s="43" t="s">
        <v>72</v>
      </c>
      <c r="AH685">
        <v>1</v>
      </c>
      <c r="AI685" t="s">
        <v>273</v>
      </c>
      <c r="AJ685" s="43" t="s">
        <v>309</v>
      </c>
      <c r="AK685">
        <v>0</v>
      </c>
    </row>
    <row r="686" spans="31:37" x14ac:dyDescent="0.25">
      <c r="AE686" s="43" t="s">
        <v>129</v>
      </c>
      <c r="AF686" s="43" t="s">
        <v>60</v>
      </c>
      <c r="AG686" s="43" t="s">
        <v>72</v>
      </c>
      <c r="AH686">
        <v>1</v>
      </c>
      <c r="AI686" t="s">
        <v>273</v>
      </c>
      <c r="AJ686" s="43" t="s">
        <v>268</v>
      </c>
      <c r="AK686">
        <v>0</v>
      </c>
    </row>
    <row r="687" spans="31:37" x14ac:dyDescent="0.25">
      <c r="AE687" s="43" t="s">
        <v>132</v>
      </c>
      <c r="AF687" s="43" t="s">
        <v>26</v>
      </c>
      <c r="AG687" s="43" t="s">
        <v>39</v>
      </c>
      <c r="AH687">
        <v>1</v>
      </c>
      <c r="AI687" t="s">
        <v>317</v>
      </c>
      <c r="AJ687" s="43" t="s">
        <v>308</v>
      </c>
      <c r="AK687">
        <v>2.2000000000000002</v>
      </c>
    </row>
    <row r="688" spans="31:37" x14ac:dyDescent="0.25">
      <c r="AE688" s="43" t="s">
        <v>132</v>
      </c>
      <c r="AF688" s="43" t="s">
        <v>26</v>
      </c>
      <c r="AG688" s="43" t="s">
        <v>39</v>
      </c>
      <c r="AH688">
        <v>1</v>
      </c>
      <c r="AI688" t="s">
        <v>317</v>
      </c>
      <c r="AJ688" s="43" t="s">
        <v>309</v>
      </c>
      <c r="AK688">
        <v>9.1</v>
      </c>
    </row>
    <row r="689" spans="31:37" x14ac:dyDescent="0.25">
      <c r="AE689" s="43" t="s">
        <v>132</v>
      </c>
      <c r="AF689" s="43" t="s">
        <v>26</v>
      </c>
      <c r="AG689" s="43" t="s">
        <v>39</v>
      </c>
      <c r="AH689">
        <v>1</v>
      </c>
      <c r="AI689" t="s">
        <v>317</v>
      </c>
      <c r="AJ689" s="43" t="s">
        <v>268</v>
      </c>
      <c r="AK689">
        <v>11.3</v>
      </c>
    </row>
    <row r="690" spans="31:37" x14ac:dyDescent="0.25">
      <c r="AE690" s="43" t="s">
        <v>132</v>
      </c>
      <c r="AF690" s="43" t="s">
        <v>26</v>
      </c>
      <c r="AG690" s="43" t="s">
        <v>39</v>
      </c>
      <c r="AH690">
        <v>1</v>
      </c>
      <c r="AI690" t="s">
        <v>325</v>
      </c>
      <c r="AJ690" s="43" t="s">
        <v>308</v>
      </c>
      <c r="AK690">
        <v>0</v>
      </c>
    </row>
    <row r="691" spans="31:37" x14ac:dyDescent="0.25">
      <c r="AE691" s="43" t="s">
        <v>132</v>
      </c>
      <c r="AF691" s="43" t="s">
        <v>26</v>
      </c>
      <c r="AG691" s="43" t="s">
        <v>39</v>
      </c>
      <c r="AH691">
        <v>1</v>
      </c>
      <c r="AI691" t="s">
        <v>325</v>
      </c>
      <c r="AJ691" s="43" t="s">
        <v>309</v>
      </c>
      <c r="AK691">
        <v>0</v>
      </c>
    </row>
    <row r="692" spans="31:37" x14ac:dyDescent="0.25">
      <c r="AE692" s="43" t="s">
        <v>132</v>
      </c>
      <c r="AF692" s="43" t="s">
        <v>26</v>
      </c>
      <c r="AG692" s="43" t="s">
        <v>39</v>
      </c>
      <c r="AH692">
        <v>1</v>
      </c>
      <c r="AI692" t="s">
        <v>325</v>
      </c>
      <c r="AJ692" s="43" t="s">
        <v>268</v>
      </c>
      <c r="AK692">
        <v>0</v>
      </c>
    </row>
    <row r="693" spans="31:37" x14ac:dyDescent="0.25">
      <c r="AE693" s="43" t="s">
        <v>132</v>
      </c>
      <c r="AF693" s="43" t="s">
        <v>26</v>
      </c>
      <c r="AG693" s="43" t="s">
        <v>39</v>
      </c>
      <c r="AH693">
        <v>1</v>
      </c>
      <c r="AI693" t="s">
        <v>330</v>
      </c>
      <c r="AJ693" s="43" t="s">
        <v>308</v>
      </c>
      <c r="AK693">
        <v>0</v>
      </c>
    </row>
    <row r="694" spans="31:37" x14ac:dyDescent="0.25">
      <c r="AE694" s="43" t="s">
        <v>132</v>
      </c>
      <c r="AF694" s="43" t="s">
        <v>26</v>
      </c>
      <c r="AG694" s="43" t="s">
        <v>39</v>
      </c>
      <c r="AH694">
        <v>1</v>
      </c>
      <c r="AI694" t="s">
        <v>330</v>
      </c>
      <c r="AJ694" s="43" t="s">
        <v>309</v>
      </c>
      <c r="AK694">
        <v>0</v>
      </c>
    </row>
    <row r="695" spans="31:37" x14ac:dyDescent="0.25">
      <c r="AE695" s="43" t="s">
        <v>132</v>
      </c>
      <c r="AF695" s="43" t="s">
        <v>26</v>
      </c>
      <c r="AG695" s="43" t="s">
        <v>39</v>
      </c>
      <c r="AH695">
        <v>1</v>
      </c>
      <c r="AI695" t="s">
        <v>330</v>
      </c>
      <c r="AJ695" s="43" t="s">
        <v>268</v>
      </c>
      <c r="AK695">
        <v>0</v>
      </c>
    </row>
    <row r="696" spans="31:37" x14ac:dyDescent="0.25">
      <c r="AE696" s="43" t="s">
        <v>132</v>
      </c>
      <c r="AF696" s="43" t="s">
        <v>26</v>
      </c>
      <c r="AG696" s="43" t="s">
        <v>39</v>
      </c>
      <c r="AH696">
        <v>1</v>
      </c>
      <c r="AI696" t="s">
        <v>331</v>
      </c>
      <c r="AJ696" s="43" t="s">
        <v>308</v>
      </c>
      <c r="AK696">
        <v>0</v>
      </c>
    </row>
    <row r="697" spans="31:37" x14ac:dyDescent="0.25">
      <c r="AE697" s="43" t="s">
        <v>132</v>
      </c>
      <c r="AF697" s="43" t="s">
        <v>26</v>
      </c>
      <c r="AG697" s="43" t="s">
        <v>39</v>
      </c>
      <c r="AH697">
        <v>1</v>
      </c>
      <c r="AI697" t="s">
        <v>331</v>
      </c>
      <c r="AJ697" s="43" t="s">
        <v>309</v>
      </c>
      <c r="AK697">
        <v>0</v>
      </c>
    </row>
    <row r="698" spans="31:37" x14ac:dyDescent="0.25">
      <c r="AE698" s="43" t="s">
        <v>132</v>
      </c>
      <c r="AF698" s="43" t="s">
        <v>26</v>
      </c>
      <c r="AG698" s="43" t="s">
        <v>39</v>
      </c>
      <c r="AH698">
        <v>1</v>
      </c>
      <c r="AI698" t="s">
        <v>331</v>
      </c>
      <c r="AJ698" s="43" t="s">
        <v>268</v>
      </c>
      <c r="AK698">
        <v>0</v>
      </c>
    </row>
    <row r="699" spans="31:37" x14ac:dyDescent="0.25">
      <c r="AE699" s="43" t="s">
        <v>132</v>
      </c>
      <c r="AF699" s="43" t="s">
        <v>26</v>
      </c>
      <c r="AG699" s="43" t="s">
        <v>39</v>
      </c>
      <c r="AH699">
        <v>1</v>
      </c>
      <c r="AI699" t="s">
        <v>341</v>
      </c>
      <c r="AJ699" s="43" t="s">
        <v>308</v>
      </c>
      <c r="AK699">
        <v>2.2000000000000002</v>
      </c>
    </row>
    <row r="700" spans="31:37" x14ac:dyDescent="0.25">
      <c r="AE700" s="43" t="s">
        <v>132</v>
      </c>
      <c r="AF700" s="43" t="s">
        <v>26</v>
      </c>
      <c r="AG700" s="43" t="s">
        <v>39</v>
      </c>
      <c r="AH700">
        <v>1</v>
      </c>
      <c r="AI700" t="s">
        <v>341</v>
      </c>
      <c r="AJ700" s="43" t="s">
        <v>309</v>
      </c>
      <c r="AK700">
        <v>9.1</v>
      </c>
    </row>
    <row r="701" spans="31:37" x14ac:dyDescent="0.25">
      <c r="AE701" s="43" t="s">
        <v>132</v>
      </c>
      <c r="AF701" s="43" t="s">
        <v>26</v>
      </c>
      <c r="AG701" s="43" t="s">
        <v>39</v>
      </c>
      <c r="AH701">
        <v>1</v>
      </c>
      <c r="AI701" t="s">
        <v>341</v>
      </c>
      <c r="AJ701" s="43" t="s">
        <v>268</v>
      </c>
      <c r="AK701">
        <v>11.3</v>
      </c>
    </row>
    <row r="702" spans="31:37" x14ac:dyDescent="0.25">
      <c r="AE702" s="43" t="s">
        <v>132</v>
      </c>
      <c r="AF702" s="43" t="s">
        <v>26</v>
      </c>
      <c r="AG702" s="43" t="s">
        <v>39</v>
      </c>
      <c r="AH702">
        <v>1</v>
      </c>
      <c r="AI702" t="s">
        <v>273</v>
      </c>
      <c r="AJ702" s="43" t="s">
        <v>308</v>
      </c>
      <c r="AK702">
        <v>0</v>
      </c>
    </row>
    <row r="703" spans="31:37" x14ac:dyDescent="0.25">
      <c r="AE703" s="43" t="s">
        <v>132</v>
      </c>
      <c r="AF703" s="43" t="s">
        <v>26</v>
      </c>
      <c r="AG703" s="43" t="s">
        <v>39</v>
      </c>
      <c r="AH703">
        <v>1</v>
      </c>
      <c r="AI703" t="s">
        <v>273</v>
      </c>
      <c r="AJ703" s="43" t="s">
        <v>309</v>
      </c>
      <c r="AK703">
        <v>0</v>
      </c>
    </row>
    <row r="704" spans="31:37" x14ac:dyDescent="0.25">
      <c r="AE704" s="43" t="s">
        <v>132</v>
      </c>
      <c r="AF704" s="43" t="s">
        <v>26</v>
      </c>
      <c r="AG704" s="43" t="s">
        <v>39</v>
      </c>
      <c r="AH704">
        <v>1</v>
      </c>
      <c r="AI704" t="s">
        <v>273</v>
      </c>
      <c r="AJ704" s="43" t="s">
        <v>268</v>
      </c>
      <c r="AK704">
        <v>0</v>
      </c>
    </row>
    <row r="705" spans="31:37" x14ac:dyDescent="0.25">
      <c r="AE705" s="43" t="s">
        <v>100</v>
      </c>
      <c r="AF705" s="43" t="s">
        <v>60</v>
      </c>
      <c r="AG705" s="43" t="s">
        <v>31</v>
      </c>
      <c r="AH705">
        <v>1</v>
      </c>
      <c r="AI705" t="s">
        <v>317</v>
      </c>
      <c r="AJ705" s="43" t="s">
        <v>308</v>
      </c>
      <c r="AK705">
        <v>3.2</v>
      </c>
    </row>
    <row r="706" spans="31:37" x14ac:dyDescent="0.25">
      <c r="AE706" s="43" t="s">
        <v>100</v>
      </c>
      <c r="AF706" s="43" t="s">
        <v>60</v>
      </c>
      <c r="AG706" s="43" t="s">
        <v>31</v>
      </c>
      <c r="AH706">
        <v>1</v>
      </c>
      <c r="AI706" t="s">
        <v>317</v>
      </c>
      <c r="AJ706" s="43" t="s">
        <v>309</v>
      </c>
      <c r="AK706">
        <v>7.8</v>
      </c>
    </row>
    <row r="707" spans="31:37" x14ac:dyDescent="0.25">
      <c r="AE707" s="43" t="s">
        <v>100</v>
      </c>
      <c r="AF707" s="43" t="s">
        <v>60</v>
      </c>
      <c r="AG707" s="43" t="s">
        <v>31</v>
      </c>
      <c r="AH707">
        <v>1</v>
      </c>
      <c r="AI707" t="s">
        <v>317</v>
      </c>
      <c r="AJ707" s="43" t="s">
        <v>268</v>
      </c>
      <c r="AK707">
        <v>11</v>
      </c>
    </row>
    <row r="708" spans="31:37" x14ac:dyDescent="0.25">
      <c r="AE708" s="43" t="s">
        <v>100</v>
      </c>
      <c r="AF708" s="43" t="s">
        <v>60</v>
      </c>
      <c r="AG708" s="43" t="s">
        <v>31</v>
      </c>
      <c r="AH708">
        <v>1</v>
      </c>
      <c r="AI708" t="s">
        <v>325</v>
      </c>
      <c r="AJ708" s="43" t="s">
        <v>308</v>
      </c>
      <c r="AK708">
        <v>0</v>
      </c>
    </row>
    <row r="709" spans="31:37" x14ac:dyDescent="0.25">
      <c r="AE709" s="43" t="s">
        <v>100</v>
      </c>
      <c r="AF709" s="43" t="s">
        <v>60</v>
      </c>
      <c r="AG709" s="43" t="s">
        <v>31</v>
      </c>
      <c r="AH709">
        <v>1</v>
      </c>
      <c r="AI709" t="s">
        <v>325</v>
      </c>
      <c r="AJ709" s="43" t="s">
        <v>309</v>
      </c>
      <c r="AK709">
        <v>0</v>
      </c>
    </row>
    <row r="710" spans="31:37" x14ac:dyDescent="0.25">
      <c r="AE710" s="43" t="s">
        <v>100</v>
      </c>
      <c r="AF710" s="43" t="s">
        <v>60</v>
      </c>
      <c r="AG710" s="43" t="s">
        <v>31</v>
      </c>
      <c r="AH710">
        <v>1</v>
      </c>
      <c r="AI710" t="s">
        <v>325</v>
      </c>
      <c r="AJ710" s="43" t="s">
        <v>268</v>
      </c>
      <c r="AK710">
        <v>0</v>
      </c>
    </row>
    <row r="711" spans="31:37" x14ac:dyDescent="0.25">
      <c r="AE711" s="43" t="s">
        <v>100</v>
      </c>
      <c r="AF711" s="43" t="s">
        <v>60</v>
      </c>
      <c r="AG711" s="43" t="s">
        <v>31</v>
      </c>
      <c r="AH711">
        <v>1</v>
      </c>
      <c r="AI711" t="s">
        <v>330</v>
      </c>
      <c r="AJ711" s="43" t="s">
        <v>308</v>
      </c>
      <c r="AK711">
        <v>0</v>
      </c>
    </row>
    <row r="712" spans="31:37" x14ac:dyDescent="0.25">
      <c r="AE712" s="43" t="s">
        <v>100</v>
      </c>
      <c r="AF712" s="43" t="s">
        <v>60</v>
      </c>
      <c r="AG712" s="43" t="s">
        <v>31</v>
      </c>
      <c r="AH712">
        <v>1</v>
      </c>
      <c r="AI712" t="s">
        <v>330</v>
      </c>
      <c r="AJ712" s="43" t="s">
        <v>309</v>
      </c>
      <c r="AK712">
        <v>0</v>
      </c>
    </row>
    <row r="713" spans="31:37" x14ac:dyDescent="0.25">
      <c r="AE713" s="43" t="s">
        <v>100</v>
      </c>
      <c r="AF713" s="43" t="s">
        <v>60</v>
      </c>
      <c r="AG713" s="43" t="s">
        <v>31</v>
      </c>
      <c r="AH713">
        <v>1</v>
      </c>
      <c r="AI713" t="s">
        <v>330</v>
      </c>
      <c r="AJ713" s="43" t="s">
        <v>268</v>
      </c>
      <c r="AK713">
        <v>0</v>
      </c>
    </row>
    <row r="714" spans="31:37" x14ac:dyDescent="0.25">
      <c r="AE714" s="43" t="s">
        <v>100</v>
      </c>
      <c r="AF714" s="43" t="s">
        <v>60</v>
      </c>
      <c r="AG714" s="43" t="s">
        <v>31</v>
      </c>
      <c r="AH714">
        <v>1</v>
      </c>
      <c r="AI714" t="s">
        <v>331</v>
      </c>
      <c r="AJ714" s="43" t="s">
        <v>308</v>
      </c>
      <c r="AK714">
        <v>0</v>
      </c>
    </row>
    <row r="715" spans="31:37" x14ac:dyDescent="0.25">
      <c r="AE715" s="43" t="s">
        <v>100</v>
      </c>
      <c r="AF715" s="43" t="s">
        <v>60</v>
      </c>
      <c r="AG715" s="43" t="s">
        <v>31</v>
      </c>
      <c r="AH715">
        <v>1</v>
      </c>
      <c r="AI715" t="s">
        <v>331</v>
      </c>
      <c r="AJ715" s="43" t="s">
        <v>309</v>
      </c>
      <c r="AK715">
        <v>0</v>
      </c>
    </row>
    <row r="716" spans="31:37" x14ac:dyDescent="0.25">
      <c r="AE716" s="43" t="s">
        <v>100</v>
      </c>
      <c r="AF716" s="43" t="s">
        <v>60</v>
      </c>
      <c r="AG716" s="43" t="s">
        <v>31</v>
      </c>
      <c r="AH716">
        <v>1</v>
      </c>
      <c r="AI716" t="s">
        <v>331</v>
      </c>
      <c r="AJ716" s="43" t="s">
        <v>268</v>
      </c>
      <c r="AK716">
        <v>0</v>
      </c>
    </row>
    <row r="717" spans="31:37" x14ac:dyDescent="0.25">
      <c r="AE717" s="43" t="s">
        <v>100</v>
      </c>
      <c r="AF717" s="43" t="s">
        <v>60</v>
      </c>
      <c r="AG717" s="43" t="s">
        <v>31</v>
      </c>
      <c r="AH717">
        <v>1</v>
      </c>
      <c r="AI717" t="s">
        <v>341</v>
      </c>
      <c r="AJ717" s="43" t="s">
        <v>308</v>
      </c>
      <c r="AK717">
        <v>3.2</v>
      </c>
    </row>
    <row r="718" spans="31:37" x14ac:dyDescent="0.25">
      <c r="AE718" s="43" t="s">
        <v>100</v>
      </c>
      <c r="AF718" s="43" t="s">
        <v>60</v>
      </c>
      <c r="AG718" s="43" t="s">
        <v>31</v>
      </c>
      <c r="AH718">
        <v>1</v>
      </c>
      <c r="AI718" t="s">
        <v>341</v>
      </c>
      <c r="AJ718" s="43" t="s">
        <v>309</v>
      </c>
      <c r="AK718">
        <v>7.8</v>
      </c>
    </row>
    <row r="719" spans="31:37" x14ac:dyDescent="0.25">
      <c r="AE719" s="43" t="s">
        <v>100</v>
      </c>
      <c r="AF719" s="43" t="s">
        <v>60</v>
      </c>
      <c r="AG719" s="43" t="s">
        <v>31</v>
      </c>
      <c r="AH719">
        <v>1</v>
      </c>
      <c r="AI719" t="s">
        <v>341</v>
      </c>
      <c r="AJ719" s="43" t="s">
        <v>268</v>
      </c>
      <c r="AK719">
        <v>11</v>
      </c>
    </row>
    <row r="720" spans="31:37" x14ac:dyDescent="0.25">
      <c r="AE720" s="43" t="s">
        <v>100</v>
      </c>
      <c r="AF720" s="43" t="s">
        <v>60</v>
      </c>
      <c r="AG720" s="43" t="s">
        <v>31</v>
      </c>
      <c r="AH720">
        <v>1</v>
      </c>
      <c r="AI720" t="s">
        <v>273</v>
      </c>
      <c r="AJ720" s="43" t="s">
        <v>308</v>
      </c>
      <c r="AK720">
        <v>0</v>
      </c>
    </row>
    <row r="721" spans="31:37" x14ac:dyDescent="0.25">
      <c r="AE721" s="43" t="s">
        <v>100</v>
      </c>
      <c r="AF721" s="43" t="s">
        <v>60</v>
      </c>
      <c r="AG721" s="43" t="s">
        <v>31</v>
      </c>
      <c r="AH721">
        <v>1</v>
      </c>
      <c r="AI721" t="s">
        <v>273</v>
      </c>
      <c r="AJ721" s="43" t="s">
        <v>309</v>
      </c>
      <c r="AK721">
        <v>0</v>
      </c>
    </row>
    <row r="722" spans="31:37" x14ac:dyDescent="0.25">
      <c r="AE722" s="43" t="s">
        <v>100</v>
      </c>
      <c r="AF722" s="43" t="s">
        <v>60</v>
      </c>
      <c r="AG722" s="43" t="s">
        <v>31</v>
      </c>
      <c r="AH722">
        <v>1</v>
      </c>
      <c r="AI722" t="s">
        <v>273</v>
      </c>
      <c r="AJ722" s="43" t="s">
        <v>268</v>
      </c>
      <c r="AK722">
        <v>0</v>
      </c>
    </row>
    <row r="723" spans="31:37" x14ac:dyDescent="0.25">
      <c r="AE723" s="43" t="s">
        <v>122</v>
      </c>
      <c r="AF723" s="43" t="s">
        <v>26</v>
      </c>
      <c r="AG723" s="43" t="s">
        <v>124</v>
      </c>
      <c r="AH723">
        <v>1</v>
      </c>
      <c r="AI723" t="s">
        <v>317</v>
      </c>
      <c r="AJ723" s="43" t="s">
        <v>308</v>
      </c>
      <c r="AK723">
        <v>0</v>
      </c>
    </row>
    <row r="724" spans="31:37" x14ac:dyDescent="0.25">
      <c r="AE724" s="43" t="s">
        <v>122</v>
      </c>
      <c r="AF724" s="43" t="s">
        <v>26</v>
      </c>
      <c r="AG724" s="43" t="s">
        <v>124</v>
      </c>
      <c r="AH724">
        <v>1</v>
      </c>
      <c r="AI724" t="s">
        <v>317</v>
      </c>
      <c r="AJ724" s="43" t="s">
        <v>309</v>
      </c>
      <c r="AK724">
        <v>0</v>
      </c>
    </row>
    <row r="725" spans="31:37" x14ac:dyDescent="0.25">
      <c r="AE725" s="43" t="s">
        <v>122</v>
      </c>
      <c r="AF725" s="43" t="s">
        <v>26</v>
      </c>
      <c r="AG725" s="43" t="s">
        <v>124</v>
      </c>
      <c r="AH725">
        <v>1</v>
      </c>
      <c r="AI725" t="s">
        <v>317</v>
      </c>
      <c r="AJ725" s="43" t="s">
        <v>268</v>
      </c>
      <c r="AK725">
        <v>0</v>
      </c>
    </row>
    <row r="726" spans="31:37" x14ac:dyDescent="0.25">
      <c r="AE726" s="43" t="s">
        <v>122</v>
      </c>
      <c r="AF726" s="43" t="s">
        <v>26</v>
      </c>
      <c r="AG726" s="43" t="s">
        <v>124</v>
      </c>
      <c r="AH726">
        <v>1</v>
      </c>
      <c r="AI726" t="s">
        <v>325</v>
      </c>
      <c r="AJ726" s="43" t="s">
        <v>308</v>
      </c>
      <c r="AK726">
        <v>0</v>
      </c>
    </row>
    <row r="727" spans="31:37" x14ac:dyDescent="0.25">
      <c r="AE727" s="43" t="s">
        <v>122</v>
      </c>
      <c r="AF727" s="43" t="s">
        <v>26</v>
      </c>
      <c r="AG727" s="43" t="s">
        <v>124</v>
      </c>
      <c r="AH727">
        <v>1</v>
      </c>
      <c r="AI727" t="s">
        <v>325</v>
      </c>
      <c r="AJ727" s="43" t="s">
        <v>309</v>
      </c>
      <c r="AK727">
        <v>0</v>
      </c>
    </row>
    <row r="728" spans="31:37" x14ac:dyDescent="0.25">
      <c r="AE728" s="43" t="s">
        <v>122</v>
      </c>
      <c r="AF728" s="43" t="s">
        <v>26</v>
      </c>
      <c r="AG728" s="43" t="s">
        <v>124</v>
      </c>
      <c r="AH728">
        <v>1</v>
      </c>
      <c r="AI728" t="s">
        <v>325</v>
      </c>
      <c r="AJ728" s="43" t="s">
        <v>268</v>
      </c>
      <c r="AK728">
        <v>0</v>
      </c>
    </row>
    <row r="729" spans="31:37" x14ac:dyDescent="0.25">
      <c r="AE729" s="43" t="s">
        <v>122</v>
      </c>
      <c r="AF729" s="43" t="s">
        <v>26</v>
      </c>
      <c r="AG729" s="43" t="s">
        <v>124</v>
      </c>
      <c r="AH729">
        <v>1</v>
      </c>
      <c r="AI729" t="s">
        <v>330</v>
      </c>
      <c r="AJ729" s="43" t="s">
        <v>308</v>
      </c>
      <c r="AK729">
        <v>2.2000000000000002</v>
      </c>
    </row>
    <row r="730" spans="31:37" x14ac:dyDescent="0.25">
      <c r="AE730" s="43" t="s">
        <v>122</v>
      </c>
      <c r="AF730" s="43" t="s">
        <v>26</v>
      </c>
      <c r="AG730" s="43" t="s">
        <v>124</v>
      </c>
      <c r="AH730">
        <v>1</v>
      </c>
      <c r="AI730" t="s">
        <v>330</v>
      </c>
      <c r="AJ730" s="43" t="s">
        <v>309</v>
      </c>
      <c r="AK730">
        <v>8.8000000000000007</v>
      </c>
    </row>
    <row r="731" spans="31:37" x14ac:dyDescent="0.25">
      <c r="AE731" s="43" t="s">
        <v>122</v>
      </c>
      <c r="AF731" s="43" t="s">
        <v>26</v>
      </c>
      <c r="AG731" s="43" t="s">
        <v>124</v>
      </c>
      <c r="AH731">
        <v>1</v>
      </c>
      <c r="AI731" t="s">
        <v>330</v>
      </c>
      <c r="AJ731" s="43" t="s">
        <v>268</v>
      </c>
      <c r="AK731">
        <v>11</v>
      </c>
    </row>
    <row r="732" spans="31:37" x14ac:dyDescent="0.25">
      <c r="AE732" s="43" t="s">
        <v>122</v>
      </c>
      <c r="AF732" s="43" t="s">
        <v>26</v>
      </c>
      <c r="AG732" s="43" t="s">
        <v>124</v>
      </c>
      <c r="AH732">
        <v>1</v>
      </c>
      <c r="AI732" t="s">
        <v>331</v>
      </c>
      <c r="AJ732" s="43" t="s">
        <v>308</v>
      </c>
      <c r="AK732">
        <v>0</v>
      </c>
    </row>
    <row r="733" spans="31:37" x14ac:dyDescent="0.25">
      <c r="AE733" s="43" t="s">
        <v>122</v>
      </c>
      <c r="AF733" s="43" t="s">
        <v>26</v>
      </c>
      <c r="AG733" s="43" t="s">
        <v>124</v>
      </c>
      <c r="AH733">
        <v>1</v>
      </c>
      <c r="AI733" t="s">
        <v>331</v>
      </c>
      <c r="AJ733" s="43" t="s">
        <v>309</v>
      </c>
      <c r="AK733">
        <v>0</v>
      </c>
    </row>
    <row r="734" spans="31:37" x14ac:dyDescent="0.25">
      <c r="AE734" s="43" t="s">
        <v>122</v>
      </c>
      <c r="AF734" s="43" t="s">
        <v>26</v>
      </c>
      <c r="AG734" s="43" t="s">
        <v>124</v>
      </c>
      <c r="AH734">
        <v>1</v>
      </c>
      <c r="AI734" t="s">
        <v>331</v>
      </c>
      <c r="AJ734" s="43" t="s">
        <v>268</v>
      </c>
      <c r="AK734">
        <v>0</v>
      </c>
    </row>
    <row r="735" spans="31:37" x14ac:dyDescent="0.25">
      <c r="AE735" s="43" t="s">
        <v>122</v>
      </c>
      <c r="AF735" s="43" t="s">
        <v>26</v>
      </c>
      <c r="AG735" s="43" t="s">
        <v>124</v>
      </c>
      <c r="AH735">
        <v>1</v>
      </c>
      <c r="AI735" t="s">
        <v>341</v>
      </c>
      <c r="AJ735" s="43" t="s">
        <v>308</v>
      </c>
      <c r="AK735">
        <v>2.2000000000000002</v>
      </c>
    </row>
    <row r="736" spans="31:37" x14ac:dyDescent="0.25">
      <c r="AE736" s="43" t="s">
        <v>122</v>
      </c>
      <c r="AF736" s="43" t="s">
        <v>26</v>
      </c>
      <c r="AG736" s="43" t="s">
        <v>124</v>
      </c>
      <c r="AH736">
        <v>1</v>
      </c>
      <c r="AI736" t="s">
        <v>341</v>
      </c>
      <c r="AJ736" s="43" t="s">
        <v>309</v>
      </c>
      <c r="AK736">
        <v>8.8000000000000007</v>
      </c>
    </row>
    <row r="737" spans="31:37" x14ac:dyDescent="0.25">
      <c r="AE737" s="43" t="s">
        <v>122</v>
      </c>
      <c r="AF737" s="43" t="s">
        <v>26</v>
      </c>
      <c r="AG737" s="43" t="s">
        <v>124</v>
      </c>
      <c r="AH737">
        <v>1</v>
      </c>
      <c r="AI737" t="s">
        <v>341</v>
      </c>
      <c r="AJ737" s="43" t="s">
        <v>268</v>
      </c>
      <c r="AK737">
        <v>11</v>
      </c>
    </row>
    <row r="738" spans="31:37" x14ac:dyDescent="0.25">
      <c r="AE738" s="43" t="s">
        <v>122</v>
      </c>
      <c r="AF738" s="43" t="s">
        <v>26</v>
      </c>
      <c r="AG738" s="43" t="s">
        <v>124</v>
      </c>
      <c r="AH738">
        <v>1</v>
      </c>
      <c r="AI738" t="s">
        <v>273</v>
      </c>
      <c r="AJ738" s="43" t="s">
        <v>308</v>
      </c>
      <c r="AK738">
        <v>0</v>
      </c>
    </row>
    <row r="739" spans="31:37" x14ac:dyDescent="0.25">
      <c r="AE739" s="43" t="s">
        <v>122</v>
      </c>
      <c r="AF739" s="43" t="s">
        <v>26</v>
      </c>
      <c r="AG739" s="43" t="s">
        <v>124</v>
      </c>
      <c r="AH739">
        <v>1</v>
      </c>
      <c r="AI739" t="s">
        <v>273</v>
      </c>
      <c r="AJ739" s="43" t="s">
        <v>309</v>
      </c>
      <c r="AK739">
        <v>0</v>
      </c>
    </row>
    <row r="740" spans="31:37" x14ac:dyDescent="0.25">
      <c r="AE740" s="43" t="s">
        <v>122</v>
      </c>
      <c r="AF740" s="43" t="s">
        <v>26</v>
      </c>
      <c r="AG740" s="43" t="s">
        <v>124</v>
      </c>
      <c r="AH740">
        <v>1</v>
      </c>
      <c r="AI740" t="s">
        <v>273</v>
      </c>
      <c r="AJ740" s="43" t="s">
        <v>268</v>
      </c>
      <c r="AK740">
        <v>0</v>
      </c>
    </row>
    <row r="741" spans="31:37" x14ac:dyDescent="0.25">
      <c r="AE741" s="43" t="s">
        <v>137</v>
      </c>
      <c r="AF741" s="43" t="s">
        <v>26</v>
      </c>
      <c r="AG741" s="43" t="s">
        <v>124</v>
      </c>
      <c r="AH741">
        <v>1</v>
      </c>
      <c r="AI741" t="s">
        <v>317</v>
      </c>
      <c r="AJ741" s="43" t="s">
        <v>308</v>
      </c>
      <c r="AK741">
        <v>1.6</v>
      </c>
    </row>
    <row r="742" spans="31:37" x14ac:dyDescent="0.25">
      <c r="AE742" s="43" t="s">
        <v>137</v>
      </c>
      <c r="AF742" s="43" t="s">
        <v>26</v>
      </c>
      <c r="AG742" s="43" t="s">
        <v>124</v>
      </c>
      <c r="AH742">
        <v>1</v>
      </c>
      <c r="AI742" t="s">
        <v>317</v>
      </c>
      <c r="AJ742" s="43" t="s">
        <v>309</v>
      </c>
      <c r="AK742">
        <v>9</v>
      </c>
    </row>
    <row r="743" spans="31:37" x14ac:dyDescent="0.25">
      <c r="AE743" s="43" t="s">
        <v>137</v>
      </c>
      <c r="AF743" s="43" t="s">
        <v>26</v>
      </c>
      <c r="AG743" s="43" t="s">
        <v>124</v>
      </c>
      <c r="AH743">
        <v>1</v>
      </c>
      <c r="AI743" t="s">
        <v>317</v>
      </c>
      <c r="AJ743" s="43" t="s">
        <v>268</v>
      </c>
      <c r="AK743">
        <v>10.6</v>
      </c>
    </row>
    <row r="744" spans="31:37" x14ac:dyDescent="0.25">
      <c r="AE744" s="43" t="s">
        <v>137</v>
      </c>
      <c r="AF744" s="43" t="s">
        <v>26</v>
      </c>
      <c r="AG744" s="43" t="s">
        <v>124</v>
      </c>
      <c r="AH744">
        <v>1</v>
      </c>
      <c r="AI744" t="s">
        <v>325</v>
      </c>
      <c r="AJ744" s="43" t="s">
        <v>308</v>
      </c>
      <c r="AK744">
        <v>0</v>
      </c>
    </row>
    <row r="745" spans="31:37" x14ac:dyDescent="0.25">
      <c r="AE745" s="43" t="s">
        <v>137</v>
      </c>
      <c r="AF745" s="43" t="s">
        <v>26</v>
      </c>
      <c r="AG745" s="43" t="s">
        <v>124</v>
      </c>
      <c r="AH745">
        <v>1</v>
      </c>
      <c r="AI745" t="s">
        <v>325</v>
      </c>
      <c r="AJ745" s="43" t="s">
        <v>309</v>
      </c>
      <c r="AK745">
        <v>0</v>
      </c>
    </row>
    <row r="746" spans="31:37" x14ac:dyDescent="0.25">
      <c r="AE746" s="43" t="s">
        <v>137</v>
      </c>
      <c r="AF746" s="43" t="s">
        <v>26</v>
      </c>
      <c r="AG746" s="43" t="s">
        <v>124</v>
      </c>
      <c r="AH746">
        <v>1</v>
      </c>
      <c r="AI746" t="s">
        <v>325</v>
      </c>
      <c r="AJ746" s="43" t="s">
        <v>268</v>
      </c>
      <c r="AK746">
        <v>0</v>
      </c>
    </row>
    <row r="747" spans="31:37" x14ac:dyDescent="0.25">
      <c r="AE747" s="43" t="s">
        <v>137</v>
      </c>
      <c r="AF747" s="43" t="s">
        <v>26</v>
      </c>
      <c r="AG747" s="43" t="s">
        <v>124</v>
      </c>
      <c r="AH747">
        <v>1</v>
      </c>
      <c r="AI747" t="s">
        <v>330</v>
      </c>
      <c r="AJ747" s="43" t="s">
        <v>308</v>
      </c>
      <c r="AK747">
        <v>0</v>
      </c>
    </row>
    <row r="748" spans="31:37" x14ac:dyDescent="0.25">
      <c r="AE748" s="43" t="s">
        <v>137</v>
      </c>
      <c r="AF748" s="43" t="s">
        <v>26</v>
      </c>
      <c r="AG748" s="43" t="s">
        <v>124</v>
      </c>
      <c r="AH748">
        <v>1</v>
      </c>
      <c r="AI748" t="s">
        <v>330</v>
      </c>
      <c r="AJ748" s="43" t="s">
        <v>309</v>
      </c>
      <c r="AK748">
        <v>0</v>
      </c>
    </row>
    <row r="749" spans="31:37" x14ac:dyDescent="0.25">
      <c r="AE749" s="43" t="s">
        <v>137</v>
      </c>
      <c r="AF749" s="43" t="s">
        <v>26</v>
      </c>
      <c r="AG749" s="43" t="s">
        <v>124</v>
      </c>
      <c r="AH749">
        <v>1</v>
      </c>
      <c r="AI749" t="s">
        <v>330</v>
      </c>
      <c r="AJ749" s="43" t="s">
        <v>268</v>
      </c>
      <c r="AK749">
        <v>0</v>
      </c>
    </row>
    <row r="750" spans="31:37" x14ac:dyDescent="0.25">
      <c r="AE750" s="43" t="s">
        <v>137</v>
      </c>
      <c r="AF750" s="43" t="s">
        <v>26</v>
      </c>
      <c r="AG750" s="43" t="s">
        <v>124</v>
      </c>
      <c r="AH750">
        <v>1</v>
      </c>
      <c r="AI750" t="s">
        <v>331</v>
      </c>
      <c r="AJ750" s="43" t="s">
        <v>308</v>
      </c>
      <c r="AK750">
        <v>0</v>
      </c>
    </row>
    <row r="751" spans="31:37" x14ac:dyDescent="0.25">
      <c r="AE751" s="43" t="s">
        <v>137</v>
      </c>
      <c r="AF751" s="43" t="s">
        <v>26</v>
      </c>
      <c r="AG751" s="43" t="s">
        <v>124</v>
      </c>
      <c r="AH751">
        <v>1</v>
      </c>
      <c r="AI751" t="s">
        <v>331</v>
      </c>
      <c r="AJ751" s="43" t="s">
        <v>309</v>
      </c>
      <c r="AK751">
        <v>0</v>
      </c>
    </row>
    <row r="752" spans="31:37" x14ac:dyDescent="0.25">
      <c r="AE752" s="43" t="s">
        <v>137</v>
      </c>
      <c r="AF752" s="43" t="s">
        <v>26</v>
      </c>
      <c r="AG752" s="43" t="s">
        <v>124</v>
      </c>
      <c r="AH752">
        <v>1</v>
      </c>
      <c r="AI752" t="s">
        <v>331</v>
      </c>
      <c r="AJ752" s="43" t="s">
        <v>268</v>
      </c>
      <c r="AK752">
        <v>0</v>
      </c>
    </row>
    <row r="753" spans="31:37" x14ac:dyDescent="0.25">
      <c r="AE753" s="43" t="s">
        <v>137</v>
      </c>
      <c r="AF753" s="43" t="s">
        <v>26</v>
      </c>
      <c r="AG753" s="43" t="s">
        <v>124</v>
      </c>
      <c r="AH753">
        <v>1</v>
      </c>
      <c r="AI753" t="s">
        <v>341</v>
      </c>
      <c r="AJ753" s="43" t="s">
        <v>308</v>
      </c>
      <c r="AK753">
        <v>1.6</v>
      </c>
    </row>
    <row r="754" spans="31:37" x14ac:dyDescent="0.25">
      <c r="AE754" s="43" t="s">
        <v>137</v>
      </c>
      <c r="AF754" s="43" t="s">
        <v>26</v>
      </c>
      <c r="AG754" s="43" t="s">
        <v>124</v>
      </c>
      <c r="AH754">
        <v>1</v>
      </c>
      <c r="AI754" t="s">
        <v>341</v>
      </c>
      <c r="AJ754" s="43" t="s">
        <v>309</v>
      </c>
      <c r="AK754">
        <v>9</v>
      </c>
    </row>
    <row r="755" spans="31:37" x14ac:dyDescent="0.25">
      <c r="AE755" s="43" t="s">
        <v>137</v>
      </c>
      <c r="AF755" s="43" t="s">
        <v>26</v>
      </c>
      <c r="AG755" s="43" t="s">
        <v>124</v>
      </c>
      <c r="AH755">
        <v>1</v>
      </c>
      <c r="AI755" t="s">
        <v>341</v>
      </c>
      <c r="AJ755" s="43" t="s">
        <v>268</v>
      </c>
      <c r="AK755">
        <v>10.6</v>
      </c>
    </row>
    <row r="756" spans="31:37" x14ac:dyDescent="0.25">
      <c r="AE756" s="43" t="s">
        <v>137</v>
      </c>
      <c r="AF756" s="43" t="s">
        <v>26</v>
      </c>
      <c r="AG756" s="43" t="s">
        <v>124</v>
      </c>
      <c r="AH756">
        <v>1</v>
      </c>
      <c r="AI756" t="s">
        <v>273</v>
      </c>
      <c r="AJ756" s="43" t="s">
        <v>308</v>
      </c>
      <c r="AK756">
        <v>0</v>
      </c>
    </row>
    <row r="757" spans="31:37" x14ac:dyDescent="0.25">
      <c r="AE757" s="43" t="s">
        <v>137</v>
      </c>
      <c r="AF757" s="43" t="s">
        <v>26</v>
      </c>
      <c r="AG757" s="43" t="s">
        <v>124</v>
      </c>
      <c r="AH757">
        <v>1</v>
      </c>
      <c r="AI757" t="s">
        <v>273</v>
      </c>
      <c r="AJ757" s="43" t="s">
        <v>309</v>
      </c>
      <c r="AK757">
        <v>0</v>
      </c>
    </row>
    <row r="758" spans="31:37" x14ac:dyDescent="0.25">
      <c r="AE758" s="43" t="s">
        <v>137</v>
      </c>
      <c r="AF758" s="43" t="s">
        <v>26</v>
      </c>
      <c r="AG758" s="43" t="s">
        <v>124</v>
      </c>
      <c r="AH758">
        <v>1</v>
      </c>
      <c r="AI758" t="s">
        <v>273</v>
      </c>
      <c r="AJ758" s="43" t="s">
        <v>268</v>
      </c>
      <c r="AK758">
        <v>0</v>
      </c>
    </row>
    <row r="759" spans="31:37" x14ac:dyDescent="0.25">
      <c r="AE759" s="43" t="s">
        <v>88</v>
      </c>
      <c r="AF759" s="43" t="s">
        <v>60</v>
      </c>
      <c r="AG759" s="43" t="s">
        <v>36</v>
      </c>
      <c r="AH759">
        <v>1</v>
      </c>
      <c r="AI759" t="s">
        <v>317</v>
      </c>
      <c r="AJ759" s="43" t="s">
        <v>308</v>
      </c>
      <c r="AK759">
        <v>0</v>
      </c>
    </row>
    <row r="760" spans="31:37" x14ac:dyDescent="0.25">
      <c r="AE760" s="43" t="s">
        <v>88</v>
      </c>
      <c r="AF760" s="43" t="s">
        <v>60</v>
      </c>
      <c r="AG760" s="43" t="s">
        <v>36</v>
      </c>
      <c r="AH760">
        <v>1</v>
      </c>
      <c r="AI760" t="s">
        <v>317</v>
      </c>
      <c r="AJ760" s="43" t="s">
        <v>309</v>
      </c>
      <c r="AK760">
        <v>0</v>
      </c>
    </row>
    <row r="761" spans="31:37" x14ac:dyDescent="0.25">
      <c r="AE761" s="43" t="s">
        <v>88</v>
      </c>
      <c r="AF761" s="43" t="s">
        <v>60</v>
      </c>
      <c r="AG761" s="43" t="s">
        <v>36</v>
      </c>
      <c r="AH761">
        <v>1</v>
      </c>
      <c r="AI761" t="s">
        <v>317</v>
      </c>
      <c r="AJ761" s="43" t="s">
        <v>268</v>
      </c>
      <c r="AK761">
        <v>0</v>
      </c>
    </row>
    <row r="762" spans="31:37" x14ac:dyDescent="0.25">
      <c r="AE762" s="43" t="s">
        <v>88</v>
      </c>
      <c r="AF762" s="43" t="s">
        <v>60</v>
      </c>
      <c r="AG762" s="43" t="s">
        <v>36</v>
      </c>
      <c r="AH762">
        <v>1</v>
      </c>
      <c r="AI762" t="s">
        <v>325</v>
      </c>
      <c r="AJ762" s="43" t="s">
        <v>308</v>
      </c>
      <c r="AK762">
        <v>0</v>
      </c>
    </row>
    <row r="763" spans="31:37" x14ac:dyDescent="0.25">
      <c r="AE763" s="43" t="s">
        <v>88</v>
      </c>
      <c r="AF763" s="43" t="s">
        <v>60</v>
      </c>
      <c r="AG763" s="43" t="s">
        <v>36</v>
      </c>
      <c r="AH763">
        <v>1</v>
      </c>
      <c r="AI763" t="s">
        <v>325</v>
      </c>
      <c r="AJ763" s="43" t="s">
        <v>309</v>
      </c>
      <c r="AK763">
        <v>0</v>
      </c>
    </row>
    <row r="764" spans="31:37" x14ac:dyDescent="0.25">
      <c r="AE764" s="43" t="s">
        <v>88</v>
      </c>
      <c r="AF764" s="43" t="s">
        <v>60</v>
      </c>
      <c r="AG764" s="43" t="s">
        <v>36</v>
      </c>
      <c r="AH764">
        <v>1</v>
      </c>
      <c r="AI764" t="s">
        <v>325</v>
      </c>
      <c r="AJ764" s="43" t="s">
        <v>268</v>
      </c>
      <c r="AK764">
        <v>0</v>
      </c>
    </row>
    <row r="765" spans="31:37" x14ac:dyDescent="0.25">
      <c r="AE765" s="43" t="s">
        <v>88</v>
      </c>
      <c r="AF765" s="43" t="s">
        <v>60</v>
      </c>
      <c r="AG765" s="43" t="s">
        <v>36</v>
      </c>
      <c r="AH765">
        <v>1</v>
      </c>
      <c r="AI765" t="s">
        <v>330</v>
      </c>
      <c r="AJ765" s="43" t="s">
        <v>308</v>
      </c>
      <c r="AK765">
        <v>0</v>
      </c>
    </row>
    <row r="766" spans="31:37" x14ac:dyDescent="0.25">
      <c r="AE766" s="43" t="s">
        <v>88</v>
      </c>
      <c r="AF766" s="43" t="s">
        <v>60</v>
      </c>
      <c r="AG766" s="43" t="s">
        <v>36</v>
      </c>
      <c r="AH766">
        <v>1</v>
      </c>
      <c r="AI766" t="s">
        <v>330</v>
      </c>
      <c r="AJ766" s="43" t="s">
        <v>309</v>
      </c>
      <c r="AK766">
        <v>0</v>
      </c>
    </row>
    <row r="767" spans="31:37" x14ac:dyDescent="0.25">
      <c r="AE767" s="43" t="s">
        <v>88</v>
      </c>
      <c r="AF767" s="43" t="s">
        <v>60</v>
      </c>
      <c r="AG767" s="43" t="s">
        <v>36</v>
      </c>
      <c r="AH767">
        <v>1</v>
      </c>
      <c r="AI767" t="s">
        <v>330</v>
      </c>
      <c r="AJ767" s="43" t="s">
        <v>268</v>
      </c>
      <c r="AK767">
        <v>0</v>
      </c>
    </row>
    <row r="768" spans="31:37" x14ac:dyDescent="0.25">
      <c r="AE768" s="43" t="s">
        <v>88</v>
      </c>
      <c r="AF768" s="43" t="s">
        <v>60</v>
      </c>
      <c r="AG768" s="43" t="s">
        <v>36</v>
      </c>
      <c r="AH768">
        <v>1</v>
      </c>
      <c r="AI768" t="s">
        <v>331</v>
      </c>
      <c r="AJ768" s="43" t="s">
        <v>308</v>
      </c>
      <c r="AK768">
        <v>2.4</v>
      </c>
    </row>
    <row r="769" spans="31:37" x14ac:dyDescent="0.25">
      <c r="AE769" s="43" t="s">
        <v>88</v>
      </c>
      <c r="AF769" s="43" t="s">
        <v>60</v>
      </c>
      <c r="AG769" s="43" t="s">
        <v>36</v>
      </c>
      <c r="AH769">
        <v>1</v>
      </c>
      <c r="AI769" t="s">
        <v>331</v>
      </c>
      <c r="AJ769" s="43" t="s">
        <v>309</v>
      </c>
      <c r="AK769">
        <v>8</v>
      </c>
    </row>
    <row r="770" spans="31:37" x14ac:dyDescent="0.25">
      <c r="AE770" s="43" t="s">
        <v>88</v>
      </c>
      <c r="AF770" s="43" t="s">
        <v>60</v>
      </c>
      <c r="AG770" s="43" t="s">
        <v>36</v>
      </c>
      <c r="AH770">
        <v>1</v>
      </c>
      <c r="AI770" t="s">
        <v>331</v>
      </c>
      <c r="AJ770" s="43" t="s">
        <v>268</v>
      </c>
      <c r="AK770">
        <v>10.4</v>
      </c>
    </row>
    <row r="771" spans="31:37" x14ac:dyDescent="0.25">
      <c r="AE771" s="43" t="s">
        <v>88</v>
      </c>
      <c r="AF771" s="43" t="s">
        <v>60</v>
      </c>
      <c r="AG771" s="43" t="s">
        <v>36</v>
      </c>
      <c r="AH771">
        <v>1</v>
      </c>
      <c r="AI771" t="s">
        <v>341</v>
      </c>
      <c r="AJ771" s="43" t="s">
        <v>308</v>
      </c>
      <c r="AK771">
        <v>2.4</v>
      </c>
    </row>
    <row r="772" spans="31:37" x14ac:dyDescent="0.25">
      <c r="AE772" s="43" t="s">
        <v>88</v>
      </c>
      <c r="AF772" s="43" t="s">
        <v>60</v>
      </c>
      <c r="AG772" s="43" t="s">
        <v>36</v>
      </c>
      <c r="AH772">
        <v>1</v>
      </c>
      <c r="AI772" t="s">
        <v>341</v>
      </c>
      <c r="AJ772" s="43" t="s">
        <v>309</v>
      </c>
      <c r="AK772">
        <v>8</v>
      </c>
    </row>
    <row r="773" spans="31:37" x14ac:dyDescent="0.25">
      <c r="AE773" s="43" t="s">
        <v>88</v>
      </c>
      <c r="AF773" s="43" t="s">
        <v>60</v>
      </c>
      <c r="AG773" s="43" t="s">
        <v>36</v>
      </c>
      <c r="AH773">
        <v>1</v>
      </c>
      <c r="AI773" t="s">
        <v>341</v>
      </c>
      <c r="AJ773" s="43" t="s">
        <v>268</v>
      </c>
      <c r="AK773">
        <v>10.4</v>
      </c>
    </row>
    <row r="774" spans="31:37" x14ac:dyDescent="0.25">
      <c r="AE774" s="43" t="s">
        <v>88</v>
      </c>
      <c r="AF774" s="43" t="s">
        <v>60</v>
      </c>
      <c r="AG774" s="43" t="s">
        <v>36</v>
      </c>
      <c r="AH774">
        <v>1</v>
      </c>
      <c r="AI774" t="s">
        <v>273</v>
      </c>
      <c r="AJ774" s="43" t="s">
        <v>308</v>
      </c>
      <c r="AK774">
        <v>0</v>
      </c>
    </row>
    <row r="775" spans="31:37" x14ac:dyDescent="0.25">
      <c r="AE775" s="43" t="s">
        <v>88</v>
      </c>
      <c r="AF775" s="43" t="s">
        <v>60</v>
      </c>
      <c r="AG775" s="43" t="s">
        <v>36</v>
      </c>
      <c r="AH775">
        <v>1</v>
      </c>
      <c r="AI775" t="s">
        <v>273</v>
      </c>
      <c r="AJ775" s="43" t="s">
        <v>309</v>
      </c>
      <c r="AK775">
        <v>0</v>
      </c>
    </row>
    <row r="776" spans="31:37" x14ac:dyDescent="0.25">
      <c r="AE776" s="43" t="s">
        <v>88</v>
      </c>
      <c r="AF776" s="43" t="s">
        <v>60</v>
      </c>
      <c r="AG776" s="43" t="s">
        <v>36</v>
      </c>
      <c r="AH776">
        <v>1</v>
      </c>
      <c r="AI776" t="s">
        <v>273</v>
      </c>
      <c r="AJ776" s="43" t="s">
        <v>268</v>
      </c>
      <c r="AK776">
        <v>0</v>
      </c>
    </row>
    <row r="777" spans="31:37" x14ac:dyDescent="0.25">
      <c r="AE777" s="43" t="s">
        <v>57</v>
      </c>
      <c r="AF777" s="43" t="s">
        <v>26</v>
      </c>
      <c r="AG777" s="43" t="s">
        <v>36</v>
      </c>
      <c r="AH777">
        <v>1</v>
      </c>
      <c r="AI777" t="s">
        <v>317</v>
      </c>
      <c r="AJ777" s="43" t="s">
        <v>308</v>
      </c>
      <c r="AK777">
        <v>1.6</v>
      </c>
    </row>
    <row r="778" spans="31:37" x14ac:dyDescent="0.25">
      <c r="AE778" s="43" t="s">
        <v>57</v>
      </c>
      <c r="AF778" s="43" t="s">
        <v>26</v>
      </c>
      <c r="AG778" s="43" t="s">
        <v>36</v>
      </c>
      <c r="AH778">
        <v>1</v>
      </c>
      <c r="AI778" t="s">
        <v>317</v>
      </c>
      <c r="AJ778" s="43" t="s">
        <v>309</v>
      </c>
      <c r="AK778">
        <v>8.6999999999999993</v>
      </c>
    </row>
    <row r="779" spans="31:37" x14ac:dyDescent="0.25">
      <c r="AE779" s="43" t="s">
        <v>57</v>
      </c>
      <c r="AF779" s="43" t="s">
        <v>26</v>
      </c>
      <c r="AG779" s="43" t="s">
        <v>36</v>
      </c>
      <c r="AH779">
        <v>1</v>
      </c>
      <c r="AI779" t="s">
        <v>317</v>
      </c>
      <c r="AJ779" s="43" t="s">
        <v>268</v>
      </c>
      <c r="AK779">
        <v>10.3</v>
      </c>
    </row>
    <row r="780" spans="31:37" x14ac:dyDescent="0.25">
      <c r="AE780" s="43" t="s">
        <v>57</v>
      </c>
      <c r="AF780" s="43" t="s">
        <v>26</v>
      </c>
      <c r="AG780" s="43" t="s">
        <v>36</v>
      </c>
      <c r="AH780">
        <v>1</v>
      </c>
      <c r="AI780" t="s">
        <v>325</v>
      </c>
      <c r="AJ780" s="43" t="s">
        <v>308</v>
      </c>
      <c r="AK780">
        <v>0</v>
      </c>
    </row>
    <row r="781" spans="31:37" x14ac:dyDescent="0.25">
      <c r="AE781" s="43" t="s">
        <v>57</v>
      </c>
      <c r="AF781" s="43" t="s">
        <v>26</v>
      </c>
      <c r="AG781" s="43" t="s">
        <v>36</v>
      </c>
      <c r="AH781">
        <v>1</v>
      </c>
      <c r="AI781" t="s">
        <v>325</v>
      </c>
      <c r="AJ781" s="43" t="s">
        <v>309</v>
      </c>
      <c r="AK781">
        <v>0</v>
      </c>
    </row>
    <row r="782" spans="31:37" x14ac:dyDescent="0.25">
      <c r="AE782" s="43" t="s">
        <v>57</v>
      </c>
      <c r="AF782" s="43" t="s">
        <v>26</v>
      </c>
      <c r="AG782" s="43" t="s">
        <v>36</v>
      </c>
      <c r="AH782">
        <v>1</v>
      </c>
      <c r="AI782" t="s">
        <v>325</v>
      </c>
      <c r="AJ782" s="43" t="s">
        <v>268</v>
      </c>
      <c r="AK782">
        <v>0</v>
      </c>
    </row>
    <row r="783" spans="31:37" x14ac:dyDescent="0.25">
      <c r="AE783" s="43" t="s">
        <v>57</v>
      </c>
      <c r="AF783" s="43" t="s">
        <v>26</v>
      </c>
      <c r="AG783" s="43" t="s">
        <v>36</v>
      </c>
      <c r="AH783">
        <v>1</v>
      </c>
      <c r="AI783" t="s">
        <v>330</v>
      </c>
      <c r="AJ783" s="43" t="s">
        <v>308</v>
      </c>
      <c r="AK783">
        <v>0</v>
      </c>
    </row>
    <row r="784" spans="31:37" x14ac:dyDescent="0.25">
      <c r="AE784" s="43" t="s">
        <v>57</v>
      </c>
      <c r="AF784" s="43" t="s">
        <v>26</v>
      </c>
      <c r="AG784" s="43" t="s">
        <v>36</v>
      </c>
      <c r="AH784">
        <v>1</v>
      </c>
      <c r="AI784" t="s">
        <v>330</v>
      </c>
      <c r="AJ784" s="43" t="s">
        <v>309</v>
      </c>
      <c r="AK784">
        <v>0</v>
      </c>
    </row>
    <row r="785" spans="31:37" x14ac:dyDescent="0.25">
      <c r="AE785" s="43" t="s">
        <v>57</v>
      </c>
      <c r="AF785" s="43" t="s">
        <v>26</v>
      </c>
      <c r="AG785" s="43" t="s">
        <v>36</v>
      </c>
      <c r="AH785">
        <v>1</v>
      </c>
      <c r="AI785" t="s">
        <v>330</v>
      </c>
      <c r="AJ785" s="43" t="s">
        <v>268</v>
      </c>
      <c r="AK785">
        <v>0</v>
      </c>
    </row>
    <row r="786" spans="31:37" x14ac:dyDescent="0.25">
      <c r="AE786" s="43" t="s">
        <v>57</v>
      </c>
      <c r="AF786" s="43" t="s">
        <v>26</v>
      </c>
      <c r="AG786" s="43" t="s">
        <v>36</v>
      </c>
      <c r="AH786">
        <v>1</v>
      </c>
      <c r="AI786" t="s">
        <v>331</v>
      </c>
      <c r="AJ786" s="43" t="s">
        <v>308</v>
      </c>
      <c r="AK786">
        <v>0</v>
      </c>
    </row>
    <row r="787" spans="31:37" x14ac:dyDescent="0.25">
      <c r="AE787" s="43" t="s">
        <v>57</v>
      </c>
      <c r="AF787" s="43" t="s">
        <v>26</v>
      </c>
      <c r="AG787" s="43" t="s">
        <v>36</v>
      </c>
      <c r="AH787">
        <v>1</v>
      </c>
      <c r="AI787" t="s">
        <v>331</v>
      </c>
      <c r="AJ787" s="43" t="s">
        <v>309</v>
      </c>
      <c r="AK787">
        <v>0</v>
      </c>
    </row>
    <row r="788" spans="31:37" x14ac:dyDescent="0.25">
      <c r="AE788" s="43" t="s">
        <v>57</v>
      </c>
      <c r="AF788" s="43" t="s">
        <v>26</v>
      </c>
      <c r="AG788" s="43" t="s">
        <v>36</v>
      </c>
      <c r="AH788">
        <v>1</v>
      </c>
      <c r="AI788" t="s">
        <v>331</v>
      </c>
      <c r="AJ788" s="43" t="s">
        <v>268</v>
      </c>
      <c r="AK788">
        <v>0</v>
      </c>
    </row>
    <row r="789" spans="31:37" x14ac:dyDescent="0.25">
      <c r="AE789" s="43" t="s">
        <v>57</v>
      </c>
      <c r="AF789" s="43" t="s">
        <v>26</v>
      </c>
      <c r="AG789" s="43" t="s">
        <v>36</v>
      </c>
      <c r="AH789">
        <v>1</v>
      </c>
      <c r="AI789" t="s">
        <v>341</v>
      </c>
      <c r="AJ789" s="43" t="s">
        <v>308</v>
      </c>
      <c r="AK789">
        <v>1.6</v>
      </c>
    </row>
    <row r="790" spans="31:37" x14ac:dyDescent="0.25">
      <c r="AE790" s="43" t="s">
        <v>57</v>
      </c>
      <c r="AF790" s="43" t="s">
        <v>26</v>
      </c>
      <c r="AG790" s="43" t="s">
        <v>36</v>
      </c>
      <c r="AH790">
        <v>1</v>
      </c>
      <c r="AI790" t="s">
        <v>341</v>
      </c>
      <c r="AJ790" s="43" t="s">
        <v>309</v>
      </c>
      <c r="AK790">
        <v>8.6999999999999993</v>
      </c>
    </row>
    <row r="791" spans="31:37" x14ac:dyDescent="0.25">
      <c r="AE791" s="43" t="s">
        <v>57</v>
      </c>
      <c r="AF791" s="43" t="s">
        <v>26</v>
      </c>
      <c r="AG791" s="43" t="s">
        <v>36</v>
      </c>
      <c r="AH791">
        <v>1</v>
      </c>
      <c r="AI791" t="s">
        <v>341</v>
      </c>
      <c r="AJ791" s="43" t="s">
        <v>268</v>
      </c>
      <c r="AK791">
        <v>10.3</v>
      </c>
    </row>
    <row r="792" spans="31:37" x14ac:dyDescent="0.25">
      <c r="AE792" s="43" t="s">
        <v>57</v>
      </c>
      <c r="AF792" s="43" t="s">
        <v>26</v>
      </c>
      <c r="AG792" s="43" t="s">
        <v>36</v>
      </c>
      <c r="AH792">
        <v>1</v>
      </c>
      <c r="AI792" t="s">
        <v>273</v>
      </c>
      <c r="AJ792" s="43" t="s">
        <v>308</v>
      </c>
      <c r="AK792">
        <v>0</v>
      </c>
    </row>
    <row r="793" spans="31:37" x14ac:dyDescent="0.25">
      <c r="AE793" s="43" t="s">
        <v>57</v>
      </c>
      <c r="AF793" s="43" t="s">
        <v>26</v>
      </c>
      <c r="AG793" s="43" t="s">
        <v>36</v>
      </c>
      <c r="AH793">
        <v>1</v>
      </c>
      <c r="AI793" t="s">
        <v>273</v>
      </c>
      <c r="AJ793" s="43" t="s">
        <v>309</v>
      </c>
      <c r="AK793">
        <v>0</v>
      </c>
    </row>
    <row r="794" spans="31:37" x14ac:dyDescent="0.25">
      <c r="AE794" s="43" t="s">
        <v>57</v>
      </c>
      <c r="AF794" s="43" t="s">
        <v>26</v>
      </c>
      <c r="AG794" s="43" t="s">
        <v>36</v>
      </c>
      <c r="AH794">
        <v>1</v>
      </c>
      <c r="AI794" t="s">
        <v>273</v>
      </c>
      <c r="AJ794" s="43" t="s">
        <v>268</v>
      </c>
      <c r="AK794">
        <v>0</v>
      </c>
    </row>
    <row r="795" spans="31:37" x14ac:dyDescent="0.25">
      <c r="AE795" s="43" t="s">
        <v>135</v>
      </c>
      <c r="AF795" s="43" t="s">
        <v>26</v>
      </c>
      <c r="AG795" s="43" t="s">
        <v>124</v>
      </c>
      <c r="AH795">
        <v>1</v>
      </c>
      <c r="AI795" t="s">
        <v>317</v>
      </c>
      <c r="AJ795" s="43" t="s">
        <v>308</v>
      </c>
      <c r="AK795">
        <v>2.4</v>
      </c>
    </row>
    <row r="796" spans="31:37" x14ac:dyDescent="0.25">
      <c r="AE796" s="43" t="s">
        <v>135</v>
      </c>
      <c r="AF796" s="43" t="s">
        <v>26</v>
      </c>
      <c r="AG796" s="43" t="s">
        <v>124</v>
      </c>
      <c r="AH796">
        <v>1</v>
      </c>
      <c r="AI796" t="s">
        <v>317</v>
      </c>
      <c r="AJ796" s="43" t="s">
        <v>309</v>
      </c>
      <c r="AK796">
        <v>7.5</v>
      </c>
    </row>
    <row r="797" spans="31:37" x14ac:dyDescent="0.25">
      <c r="AE797" s="43" t="s">
        <v>135</v>
      </c>
      <c r="AF797" s="43" t="s">
        <v>26</v>
      </c>
      <c r="AG797" s="43" t="s">
        <v>124</v>
      </c>
      <c r="AH797">
        <v>1</v>
      </c>
      <c r="AI797" t="s">
        <v>317</v>
      </c>
      <c r="AJ797" s="43" t="s">
        <v>268</v>
      </c>
      <c r="AK797">
        <v>9.9</v>
      </c>
    </row>
    <row r="798" spans="31:37" x14ac:dyDescent="0.25">
      <c r="AE798" s="43" t="s">
        <v>135</v>
      </c>
      <c r="AF798" s="43" t="s">
        <v>26</v>
      </c>
      <c r="AG798" s="43" t="s">
        <v>124</v>
      </c>
      <c r="AH798">
        <v>1</v>
      </c>
      <c r="AI798" t="s">
        <v>325</v>
      </c>
      <c r="AJ798" s="43" t="s">
        <v>308</v>
      </c>
      <c r="AK798">
        <v>0</v>
      </c>
    </row>
    <row r="799" spans="31:37" x14ac:dyDescent="0.25">
      <c r="AE799" s="43" t="s">
        <v>135</v>
      </c>
      <c r="AF799" s="43" t="s">
        <v>26</v>
      </c>
      <c r="AG799" s="43" t="s">
        <v>124</v>
      </c>
      <c r="AH799">
        <v>1</v>
      </c>
      <c r="AI799" t="s">
        <v>325</v>
      </c>
      <c r="AJ799" s="43" t="s">
        <v>309</v>
      </c>
      <c r="AK799">
        <v>0</v>
      </c>
    </row>
    <row r="800" spans="31:37" x14ac:dyDescent="0.25">
      <c r="AE800" s="43" t="s">
        <v>135</v>
      </c>
      <c r="AF800" s="43" t="s">
        <v>26</v>
      </c>
      <c r="AG800" s="43" t="s">
        <v>124</v>
      </c>
      <c r="AH800">
        <v>1</v>
      </c>
      <c r="AI800" t="s">
        <v>325</v>
      </c>
      <c r="AJ800" s="43" t="s">
        <v>268</v>
      </c>
      <c r="AK800">
        <v>0</v>
      </c>
    </row>
    <row r="801" spans="31:37" x14ac:dyDescent="0.25">
      <c r="AE801" s="43" t="s">
        <v>135</v>
      </c>
      <c r="AF801" s="43" t="s">
        <v>26</v>
      </c>
      <c r="AG801" s="43" t="s">
        <v>124</v>
      </c>
      <c r="AH801">
        <v>1</v>
      </c>
      <c r="AI801" t="s">
        <v>330</v>
      </c>
      <c r="AJ801" s="43" t="s">
        <v>308</v>
      </c>
      <c r="AK801">
        <v>0</v>
      </c>
    </row>
    <row r="802" spans="31:37" x14ac:dyDescent="0.25">
      <c r="AE802" s="43" t="s">
        <v>135</v>
      </c>
      <c r="AF802" s="43" t="s">
        <v>26</v>
      </c>
      <c r="AG802" s="43" t="s">
        <v>124</v>
      </c>
      <c r="AH802">
        <v>1</v>
      </c>
      <c r="AI802" t="s">
        <v>330</v>
      </c>
      <c r="AJ802" s="43" t="s">
        <v>309</v>
      </c>
      <c r="AK802">
        <v>0</v>
      </c>
    </row>
    <row r="803" spans="31:37" x14ac:dyDescent="0.25">
      <c r="AE803" s="43" t="s">
        <v>135</v>
      </c>
      <c r="AF803" s="43" t="s">
        <v>26</v>
      </c>
      <c r="AG803" s="43" t="s">
        <v>124</v>
      </c>
      <c r="AH803">
        <v>1</v>
      </c>
      <c r="AI803" t="s">
        <v>330</v>
      </c>
      <c r="AJ803" s="43" t="s">
        <v>268</v>
      </c>
      <c r="AK803">
        <v>0</v>
      </c>
    </row>
    <row r="804" spans="31:37" x14ac:dyDescent="0.25">
      <c r="AE804" s="43" t="s">
        <v>135</v>
      </c>
      <c r="AF804" s="43" t="s">
        <v>26</v>
      </c>
      <c r="AG804" s="43" t="s">
        <v>124</v>
      </c>
      <c r="AH804">
        <v>1</v>
      </c>
      <c r="AI804" t="s">
        <v>331</v>
      </c>
      <c r="AJ804" s="43" t="s">
        <v>308</v>
      </c>
      <c r="AK804">
        <v>0</v>
      </c>
    </row>
    <row r="805" spans="31:37" x14ac:dyDescent="0.25">
      <c r="AE805" s="43" t="s">
        <v>135</v>
      </c>
      <c r="AF805" s="43" t="s">
        <v>26</v>
      </c>
      <c r="AG805" s="43" t="s">
        <v>124</v>
      </c>
      <c r="AH805">
        <v>1</v>
      </c>
      <c r="AI805" t="s">
        <v>331</v>
      </c>
      <c r="AJ805" s="43" t="s">
        <v>309</v>
      </c>
      <c r="AK805">
        <v>0</v>
      </c>
    </row>
    <row r="806" spans="31:37" x14ac:dyDescent="0.25">
      <c r="AE806" s="43" t="s">
        <v>135</v>
      </c>
      <c r="AF806" s="43" t="s">
        <v>26</v>
      </c>
      <c r="AG806" s="43" t="s">
        <v>124</v>
      </c>
      <c r="AH806">
        <v>1</v>
      </c>
      <c r="AI806" t="s">
        <v>331</v>
      </c>
      <c r="AJ806" s="43" t="s">
        <v>268</v>
      </c>
      <c r="AK806">
        <v>0</v>
      </c>
    </row>
    <row r="807" spans="31:37" x14ac:dyDescent="0.25">
      <c r="AE807" s="43" t="s">
        <v>135</v>
      </c>
      <c r="AF807" s="43" t="s">
        <v>26</v>
      </c>
      <c r="AG807" s="43" t="s">
        <v>124</v>
      </c>
      <c r="AH807">
        <v>1</v>
      </c>
      <c r="AI807" t="s">
        <v>341</v>
      </c>
      <c r="AJ807" s="43" t="s">
        <v>308</v>
      </c>
      <c r="AK807">
        <v>2.4</v>
      </c>
    </row>
    <row r="808" spans="31:37" x14ac:dyDescent="0.25">
      <c r="AE808" s="43" t="s">
        <v>135</v>
      </c>
      <c r="AF808" s="43" t="s">
        <v>26</v>
      </c>
      <c r="AG808" s="43" t="s">
        <v>124</v>
      </c>
      <c r="AH808">
        <v>1</v>
      </c>
      <c r="AI808" t="s">
        <v>341</v>
      </c>
      <c r="AJ808" s="43" t="s">
        <v>309</v>
      </c>
      <c r="AK808">
        <v>7.5</v>
      </c>
    </row>
    <row r="809" spans="31:37" x14ac:dyDescent="0.25">
      <c r="AE809" s="43" t="s">
        <v>135</v>
      </c>
      <c r="AF809" s="43" t="s">
        <v>26</v>
      </c>
      <c r="AG809" s="43" t="s">
        <v>124</v>
      </c>
      <c r="AH809">
        <v>1</v>
      </c>
      <c r="AI809" t="s">
        <v>341</v>
      </c>
      <c r="AJ809" s="43" t="s">
        <v>268</v>
      </c>
      <c r="AK809">
        <v>9.9</v>
      </c>
    </row>
    <row r="810" spans="31:37" x14ac:dyDescent="0.25">
      <c r="AE810" s="43" t="s">
        <v>135</v>
      </c>
      <c r="AF810" s="43" t="s">
        <v>26</v>
      </c>
      <c r="AG810" s="43" t="s">
        <v>124</v>
      </c>
      <c r="AH810">
        <v>1</v>
      </c>
      <c r="AI810" t="s">
        <v>273</v>
      </c>
      <c r="AJ810" s="43" t="s">
        <v>308</v>
      </c>
      <c r="AK810">
        <v>0</v>
      </c>
    </row>
    <row r="811" spans="31:37" x14ac:dyDescent="0.25">
      <c r="AE811" s="43" t="s">
        <v>135</v>
      </c>
      <c r="AF811" s="43" t="s">
        <v>26</v>
      </c>
      <c r="AG811" s="43" t="s">
        <v>124</v>
      </c>
      <c r="AH811">
        <v>1</v>
      </c>
      <c r="AI811" t="s">
        <v>273</v>
      </c>
      <c r="AJ811" s="43" t="s">
        <v>309</v>
      </c>
      <c r="AK811">
        <v>0</v>
      </c>
    </row>
    <row r="812" spans="31:37" x14ac:dyDescent="0.25">
      <c r="AE812" s="43" t="s">
        <v>135</v>
      </c>
      <c r="AF812" s="43" t="s">
        <v>26</v>
      </c>
      <c r="AG812" s="43" t="s">
        <v>124</v>
      </c>
      <c r="AH812">
        <v>1</v>
      </c>
      <c r="AI812" t="s">
        <v>273</v>
      </c>
      <c r="AJ812" s="43" t="s">
        <v>268</v>
      </c>
      <c r="AK812">
        <v>0</v>
      </c>
    </row>
    <row r="813" spans="31:37" x14ac:dyDescent="0.25">
      <c r="AE813" s="43" t="s">
        <v>54</v>
      </c>
      <c r="AF813" s="43" t="s">
        <v>26</v>
      </c>
      <c r="AG813" s="43" t="s">
        <v>56</v>
      </c>
      <c r="AH813">
        <v>1</v>
      </c>
      <c r="AI813" t="s">
        <v>317</v>
      </c>
      <c r="AJ813" s="43" t="s">
        <v>308</v>
      </c>
      <c r="AK813">
        <v>0</v>
      </c>
    </row>
    <row r="814" spans="31:37" x14ac:dyDescent="0.25">
      <c r="AE814" s="43" t="s">
        <v>54</v>
      </c>
      <c r="AF814" s="43" t="s">
        <v>26</v>
      </c>
      <c r="AG814" s="43" t="s">
        <v>56</v>
      </c>
      <c r="AH814">
        <v>1</v>
      </c>
      <c r="AI814" t="s">
        <v>317</v>
      </c>
      <c r="AJ814" s="43" t="s">
        <v>309</v>
      </c>
      <c r="AK814">
        <v>0</v>
      </c>
    </row>
    <row r="815" spans="31:37" x14ac:dyDescent="0.25">
      <c r="AE815" s="43" t="s">
        <v>54</v>
      </c>
      <c r="AF815" s="43" t="s">
        <v>26</v>
      </c>
      <c r="AG815" s="43" t="s">
        <v>56</v>
      </c>
      <c r="AH815">
        <v>1</v>
      </c>
      <c r="AI815" t="s">
        <v>317</v>
      </c>
      <c r="AJ815" s="43" t="s">
        <v>268</v>
      </c>
      <c r="AK815">
        <v>0</v>
      </c>
    </row>
    <row r="816" spans="31:37" x14ac:dyDescent="0.25">
      <c r="AE816" s="43" t="s">
        <v>54</v>
      </c>
      <c r="AF816" s="43" t="s">
        <v>26</v>
      </c>
      <c r="AG816" s="43" t="s">
        <v>56</v>
      </c>
      <c r="AH816">
        <v>1</v>
      </c>
      <c r="AI816" t="s">
        <v>325</v>
      </c>
      <c r="AJ816" s="43" t="s">
        <v>308</v>
      </c>
      <c r="AK816">
        <v>1.6</v>
      </c>
    </row>
    <row r="817" spans="31:37" x14ac:dyDescent="0.25">
      <c r="AE817" s="43" t="s">
        <v>54</v>
      </c>
      <c r="AF817" s="43" t="s">
        <v>26</v>
      </c>
      <c r="AG817" s="43" t="s">
        <v>56</v>
      </c>
      <c r="AH817">
        <v>1</v>
      </c>
      <c r="AI817" t="s">
        <v>325</v>
      </c>
      <c r="AJ817" s="43" t="s">
        <v>309</v>
      </c>
      <c r="AK817">
        <v>8.3000000000000007</v>
      </c>
    </row>
    <row r="818" spans="31:37" x14ac:dyDescent="0.25">
      <c r="AE818" s="43" t="s">
        <v>54</v>
      </c>
      <c r="AF818" s="43" t="s">
        <v>26</v>
      </c>
      <c r="AG818" s="43" t="s">
        <v>56</v>
      </c>
      <c r="AH818">
        <v>1</v>
      </c>
      <c r="AI818" t="s">
        <v>325</v>
      </c>
      <c r="AJ818" s="43" t="s">
        <v>268</v>
      </c>
      <c r="AK818">
        <v>9.9</v>
      </c>
    </row>
    <row r="819" spans="31:37" x14ac:dyDescent="0.25">
      <c r="AE819" s="43" t="s">
        <v>54</v>
      </c>
      <c r="AF819" s="43" t="s">
        <v>26</v>
      </c>
      <c r="AG819" s="43" t="s">
        <v>56</v>
      </c>
      <c r="AH819">
        <v>1</v>
      </c>
      <c r="AI819" t="s">
        <v>330</v>
      </c>
      <c r="AJ819" s="43" t="s">
        <v>308</v>
      </c>
      <c r="AK819">
        <v>0</v>
      </c>
    </row>
    <row r="820" spans="31:37" x14ac:dyDescent="0.25">
      <c r="AE820" s="43" t="s">
        <v>54</v>
      </c>
      <c r="AF820" s="43" t="s">
        <v>26</v>
      </c>
      <c r="AG820" s="43" t="s">
        <v>56</v>
      </c>
      <c r="AH820">
        <v>1</v>
      </c>
      <c r="AI820" t="s">
        <v>330</v>
      </c>
      <c r="AJ820" s="43" t="s">
        <v>309</v>
      </c>
      <c r="AK820">
        <v>0</v>
      </c>
    </row>
    <row r="821" spans="31:37" x14ac:dyDescent="0.25">
      <c r="AE821" s="43" t="s">
        <v>54</v>
      </c>
      <c r="AF821" s="43" t="s">
        <v>26</v>
      </c>
      <c r="AG821" s="43" t="s">
        <v>56</v>
      </c>
      <c r="AH821">
        <v>1</v>
      </c>
      <c r="AI821" t="s">
        <v>330</v>
      </c>
      <c r="AJ821" s="43" t="s">
        <v>268</v>
      </c>
      <c r="AK821">
        <v>0</v>
      </c>
    </row>
    <row r="822" spans="31:37" x14ac:dyDescent="0.25">
      <c r="AE822" s="43" t="s">
        <v>54</v>
      </c>
      <c r="AF822" s="43" t="s">
        <v>26</v>
      </c>
      <c r="AG822" s="43" t="s">
        <v>56</v>
      </c>
      <c r="AH822">
        <v>1</v>
      </c>
      <c r="AI822" t="s">
        <v>331</v>
      </c>
      <c r="AJ822" s="43" t="s">
        <v>308</v>
      </c>
      <c r="AK822">
        <v>0</v>
      </c>
    </row>
    <row r="823" spans="31:37" x14ac:dyDescent="0.25">
      <c r="AE823" s="43" t="s">
        <v>54</v>
      </c>
      <c r="AF823" s="43" t="s">
        <v>26</v>
      </c>
      <c r="AG823" s="43" t="s">
        <v>56</v>
      </c>
      <c r="AH823">
        <v>1</v>
      </c>
      <c r="AI823" t="s">
        <v>331</v>
      </c>
      <c r="AJ823" s="43" t="s">
        <v>309</v>
      </c>
      <c r="AK823">
        <v>0</v>
      </c>
    </row>
    <row r="824" spans="31:37" x14ac:dyDescent="0.25">
      <c r="AE824" s="43" t="s">
        <v>54</v>
      </c>
      <c r="AF824" s="43" t="s">
        <v>26</v>
      </c>
      <c r="AG824" s="43" t="s">
        <v>56</v>
      </c>
      <c r="AH824">
        <v>1</v>
      </c>
      <c r="AI824" t="s">
        <v>331</v>
      </c>
      <c r="AJ824" s="43" t="s">
        <v>268</v>
      </c>
      <c r="AK824">
        <v>0</v>
      </c>
    </row>
    <row r="825" spans="31:37" x14ac:dyDescent="0.25">
      <c r="AE825" s="43" t="s">
        <v>54</v>
      </c>
      <c r="AF825" s="43" t="s">
        <v>26</v>
      </c>
      <c r="AG825" s="43" t="s">
        <v>56</v>
      </c>
      <c r="AH825">
        <v>1</v>
      </c>
      <c r="AI825" t="s">
        <v>341</v>
      </c>
      <c r="AJ825" s="43" t="s">
        <v>308</v>
      </c>
      <c r="AK825">
        <v>1.6</v>
      </c>
    </row>
    <row r="826" spans="31:37" x14ac:dyDescent="0.25">
      <c r="AE826" s="43" t="s">
        <v>54</v>
      </c>
      <c r="AF826" s="43" t="s">
        <v>26</v>
      </c>
      <c r="AG826" s="43" t="s">
        <v>56</v>
      </c>
      <c r="AH826">
        <v>1</v>
      </c>
      <c r="AI826" t="s">
        <v>341</v>
      </c>
      <c r="AJ826" s="43" t="s">
        <v>309</v>
      </c>
      <c r="AK826">
        <v>8.3000000000000007</v>
      </c>
    </row>
    <row r="827" spans="31:37" x14ac:dyDescent="0.25">
      <c r="AE827" s="43" t="s">
        <v>54</v>
      </c>
      <c r="AF827" s="43" t="s">
        <v>26</v>
      </c>
      <c r="AG827" s="43" t="s">
        <v>56</v>
      </c>
      <c r="AH827">
        <v>1</v>
      </c>
      <c r="AI827" t="s">
        <v>341</v>
      </c>
      <c r="AJ827" s="43" t="s">
        <v>268</v>
      </c>
      <c r="AK827">
        <v>9.9</v>
      </c>
    </row>
    <row r="828" spans="31:37" x14ac:dyDescent="0.25">
      <c r="AE828" s="43" t="s">
        <v>54</v>
      </c>
      <c r="AF828" s="43" t="s">
        <v>26</v>
      </c>
      <c r="AG828" s="43" t="s">
        <v>56</v>
      </c>
      <c r="AH828">
        <v>1</v>
      </c>
      <c r="AI828" t="s">
        <v>273</v>
      </c>
      <c r="AJ828" s="43" t="s">
        <v>308</v>
      </c>
      <c r="AK828">
        <v>0</v>
      </c>
    </row>
    <row r="829" spans="31:37" x14ac:dyDescent="0.25">
      <c r="AE829" s="43" t="s">
        <v>54</v>
      </c>
      <c r="AF829" s="43" t="s">
        <v>26</v>
      </c>
      <c r="AG829" s="43" t="s">
        <v>56</v>
      </c>
      <c r="AH829">
        <v>1</v>
      </c>
      <c r="AI829" t="s">
        <v>273</v>
      </c>
      <c r="AJ829" s="43" t="s">
        <v>309</v>
      </c>
      <c r="AK829">
        <v>0</v>
      </c>
    </row>
    <row r="830" spans="31:37" x14ac:dyDescent="0.25">
      <c r="AE830" s="43" t="s">
        <v>54</v>
      </c>
      <c r="AF830" s="43" t="s">
        <v>26</v>
      </c>
      <c r="AG830" s="43" t="s">
        <v>56</v>
      </c>
      <c r="AH830">
        <v>1</v>
      </c>
      <c r="AI830" t="s">
        <v>273</v>
      </c>
      <c r="AJ830" s="43" t="s">
        <v>268</v>
      </c>
      <c r="AK830">
        <v>0</v>
      </c>
    </row>
  </sheetData>
  <mergeCells count="2">
    <mergeCell ref="Y2:Y7"/>
    <mergeCell ref="Y8:Y13"/>
  </mergeCells>
  <conditionalFormatting sqref="A2:A47">
    <cfRule type="expression" dxfId="546" priority="1">
      <formula>IF($B2="junior",$T2=MAX(_xlfn._xlws.FILTER($T$2:$T$47,$B$2:$B$47="junior")),$T2=MAX(_xlfn._xlws.FILTER($T$2:$T$47,$B$2:$B$47="senior")))</formula>
    </cfRule>
    <cfRule type="expression" dxfId="545" priority="2">
      <formula>IF($B2="junior",$T2=LARGE(_xlfn._xlws.FILTER($T$2:$T$47,$B$2:$B$47="junior"),2),$T2=LARGE(_xlfn._xlws.FILTER($T$2:$T$47,$B$2:$B$47="senior"),2))</formula>
    </cfRule>
    <cfRule type="expression" dxfId="544" priority="3">
      <formula>IF($B2="junior",$T2=LARGE(_xlfn._xlws.FILTER($T$2:$T$47,$B$2:$B$47="junior"),3),$T2=LARGE(_xlfn._xlws.FILTER($T$2:$T$47,$B$2:$B$47="senior"),3))</formula>
    </cfRule>
    <cfRule type="expression" dxfId="543" priority="4">
      <formula>IF($B2="junior",$R2=MAX(_xlfn._xlws.FILTER($R$2:$R$47,$B$2:$B$47="junior")),$R2=MAX(_xlfn._xlws.FILTER($R$2:$R$47,$B$2:$B$47="senior")))</formula>
    </cfRule>
    <cfRule type="expression" dxfId="542" priority="5">
      <formula>IF($B2="junior",$S2=MAX(_xlfn._xlws.FILTER($S$2:$S$47,$B$2:$B$47="junior")),$S2=MAX(_xlfn._xlws.FILTER($S$2:$S$47,$B$2:$B$47="senior")))</formula>
    </cfRule>
  </conditionalFormatting>
  <conditionalFormatting sqref="F2:F47 I2:I47 L2:L47 O2:O47 U2:U47">
    <cfRule type="expression" dxfId="541" priority="10">
      <formula>IF($B2="junior",F2&gt;=($AA$8+$AB$8),F2&gt;=($AA$2+$AB$2))</formula>
    </cfRule>
  </conditionalFormatting>
  <conditionalFormatting sqref="F2:F47 I2:I47 L2:L47 O2:O47">
    <cfRule type="expression" dxfId="540" priority="14">
      <formula>AND(AND($B2="junior",F2&lt;2.6),F2&gt;0)</formula>
    </cfRule>
    <cfRule type="expression" dxfId="539" priority="15">
      <formula>AND(AND($B2="senior",F2&lt;2.9),F2&gt;0)</formula>
    </cfRule>
  </conditionalFormatting>
  <conditionalFormatting sqref="F2:W47">
    <cfRule type="cellIs" dxfId="538" priority="16" operator="equal">
      <formula>0</formula>
    </cfRule>
  </conditionalFormatting>
  <conditionalFormatting sqref="H2:H47 K2:K47 N2:N47 Q2:Q47 W2:W47">
    <cfRule type="expression" dxfId="537" priority="11">
      <formula>IF($B2="junior",H2&gt;=($AA$10+$AB$10),H2&gt;=($AA$4+$AB$4))</formula>
    </cfRule>
  </conditionalFormatting>
  <conditionalFormatting sqref="H2:H47 K2:K47 N2:N47 Q2:Q47">
    <cfRule type="expression" dxfId="536" priority="8">
      <formula>IF($B2="junior",H2&gt;=$AC$10,H2&gt;=$AC$4)</formula>
    </cfRule>
  </conditionalFormatting>
  <conditionalFormatting sqref="R2:R47">
    <cfRule type="expression" dxfId="535" priority="9">
      <formula>IF($B2="junior",R2&gt;=($AA$11+$AB$11),R2&gt;=($AA$5+$AB$5))</formula>
    </cfRule>
  </conditionalFormatting>
  <conditionalFormatting sqref="S2:S47">
    <cfRule type="expression" dxfId="534" priority="13">
      <formula>IF($B2="junior",S2&gt;=$AA$12+$AB$12,S2&gt;=$AA$6+$AB$6)</formula>
    </cfRule>
  </conditionalFormatting>
  <conditionalFormatting sqref="T2:T47">
    <cfRule type="expression" dxfId="533" priority="7">
      <formula>IF($B2="junior",T2&gt;=$AC$13,T2&gt;=$AC$7)</formula>
    </cfRule>
    <cfRule type="expression" dxfId="532" priority="12">
      <formula>IF($B2="junior",T2&gt;=($AA$13+$AB$13),T2&gt;=($AA$7+$AB$7))</formula>
    </cfRule>
  </conditionalFormatting>
  <conditionalFormatting sqref="V2:V47">
    <cfRule type="expression" dxfId="531" priority="6">
      <formula>IF($B2="junior",V2&gt;=$AA$9+$AB$9,V2&gt;=$AA$3+$AB$3)</formula>
    </cfRule>
  </conditionalFormatting>
  <pageMargins left="0.7" right="0.7" top="0.75" bottom="0.75" header="0.3" footer="0.3"/>
  <drawing r:id="rId2"/>
  <tableParts count="3">
    <tablePart r:id="rId3"/>
    <tablePart r:id="rId4"/>
    <tablePart r:id="rId5"/>
  </tablePart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533EC-A124-5142-B101-5C47086843CB}">
  <sheetPr codeName="Arkusz10">
    <tabColor theme="5" tint="0.39997558519241921"/>
  </sheetPr>
  <dimension ref="A1:AL775"/>
  <sheetViews>
    <sheetView topLeftCell="P19" zoomScale="75" zoomScaleNormal="75" workbookViewId="0">
      <selection activeCell="AA30" sqref="AA30"/>
    </sheetView>
  </sheetViews>
  <sheetFormatPr defaultColWidth="11" defaultRowHeight="15.75" x14ac:dyDescent="0.25"/>
  <cols>
    <col min="1" max="1" width="21.125" bestFit="1" customWidth="1"/>
    <col min="2" max="2" width="18.5" style="2" bestFit="1" customWidth="1"/>
    <col min="3" max="3" width="17" style="2" bestFit="1" customWidth="1"/>
    <col min="4" max="4" width="25.125" bestFit="1" customWidth="1"/>
    <col min="5" max="5" width="8.125" style="2" customWidth="1"/>
    <col min="6" max="6" width="25" style="4" bestFit="1" customWidth="1"/>
    <col min="7" max="8" width="8.125" style="7" customWidth="1"/>
    <col min="9" max="9" width="8.125" style="4" customWidth="1"/>
    <col min="10" max="11" width="8.125" style="7" customWidth="1"/>
    <col min="12" max="12" width="22.25" style="4" bestFit="1" customWidth="1"/>
    <col min="13" max="13" width="22" style="7" bestFit="1" customWidth="1"/>
    <col min="14" max="14" width="8.125" style="7" customWidth="1"/>
    <col min="15" max="15" width="8.125" style="4" customWidth="1"/>
    <col min="16" max="16" width="22" style="7" bestFit="1" customWidth="1"/>
    <col min="17" max="17" width="17" style="7" customWidth="1"/>
    <col min="18" max="23" width="8.125" style="2" customWidth="1"/>
    <col min="25" max="25" width="18.5" bestFit="1" customWidth="1"/>
    <col min="26" max="26" width="17.125" bestFit="1" customWidth="1"/>
    <col min="27" max="27" width="14" bestFit="1" customWidth="1"/>
    <col min="28" max="28" width="8.125" bestFit="1" customWidth="1"/>
    <col min="29" max="29" width="14" bestFit="1" customWidth="1"/>
  </cols>
  <sheetData>
    <row r="1" spans="1:38" s="2" customFormat="1" x14ac:dyDescent="0.25">
      <c r="A1" s="7" t="s">
        <v>1</v>
      </c>
      <c r="B1" s="2" t="s">
        <v>2</v>
      </c>
      <c r="C1" s="2" t="s">
        <v>4</v>
      </c>
      <c r="D1" s="2" t="s">
        <v>5</v>
      </c>
      <c r="E1" s="2" t="s">
        <v>227</v>
      </c>
      <c r="F1" s="2" t="s">
        <v>193</v>
      </c>
      <c r="G1" s="2" t="s">
        <v>194</v>
      </c>
      <c r="H1" s="7" t="s">
        <v>195</v>
      </c>
      <c r="I1" s="2" t="s">
        <v>196</v>
      </c>
      <c r="J1" s="2" t="s">
        <v>197</v>
      </c>
      <c r="K1" s="2" t="s">
        <v>198</v>
      </c>
      <c r="L1" s="2" t="s">
        <v>199</v>
      </c>
      <c r="M1" s="2" t="s">
        <v>200</v>
      </c>
      <c r="N1" s="2" t="s">
        <v>201</v>
      </c>
      <c r="O1" s="2" t="s">
        <v>202</v>
      </c>
      <c r="P1" s="2" t="s">
        <v>203</v>
      </c>
      <c r="Q1" s="2" t="s">
        <v>204</v>
      </c>
      <c r="R1" s="2" t="s">
        <v>219</v>
      </c>
      <c r="S1" s="2" t="s">
        <v>220</v>
      </c>
      <c r="T1" s="2" t="s">
        <v>221</v>
      </c>
      <c r="U1" s="2" t="s">
        <v>235</v>
      </c>
      <c r="V1" s="2" t="s">
        <v>236</v>
      </c>
      <c r="W1" s="2" t="s">
        <v>237</v>
      </c>
      <c r="AA1" s="20" t="s">
        <v>273</v>
      </c>
      <c r="AB1" s="20" t="s">
        <v>272</v>
      </c>
      <c r="AC1" s="20" t="s">
        <v>274</v>
      </c>
      <c r="AE1" t="s">
        <v>1</v>
      </c>
      <c r="AF1" t="s">
        <v>2</v>
      </c>
      <c r="AG1" t="s">
        <v>4</v>
      </c>
      <c r="AH1" t="s">
        <v>5</v>
      </c>
      <c r="AI1" t="s">
        <v>227</v>
      </c>
      <c r="AJ1" t="s">
        <v>333</v>
      </c>
      <c r="AK1" t="s">
        <v>266</v>
      </c>
      <c r="AL1" t="s">
        <v>307</v>
      </c>
    </row>
    <row r="2" spans="1:38" x14ac:dyDescent="0.25">
      <c r="A2" t="s">
        <v>63</v>
      </c>
      <c r="B2" s="2" t="s">
        <v>60</v>
      </c>
      <c r="C2" s="2" t="s">
        <v>64</v>
      </c>
      <c r="D2" t="s">
        <v>39</v>
      </c>
      <c r="E2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2" s="4">
        <v>4.2</v>
      </c>
      <c r="G2" s="7">
        <v>8.6</v>
      </c>
      <c r="H2" s="7">
        <v>12.8</v>
      </c>
      <c r="I2" s="4">
        <v>4.2</v>
      </c>
      <c r="J2" s="7">
        <v>8.1999999999999993</v>
      </c>
      <c r="K2" s="7">
        <v>12.4</v>
      </c>
      <c r="L2" s="4">
        <v>4.2</v>
      </c>
      <c r="M2" s="7">
        <v>8.8000000000000007</v>
      </c>
      <c r="N2" s="7">
        <v>13</v>
      </c>
      <c r="O2" s="4">
        <v>4.2</v>
      </c>
      <c r="P2" s="7">
        <v>9.1999999999999993</v>
      </c>
      <c r="Q2" s="7">
        <v>13.4</v>
      </c>
      <c r="R2" s="4">
        <f>LARGE(CHOOSE({1;2;3;4},F2,I2,L2,O2),1)+LARGE(CHOOSE({1;2;3;4},F2,I2,L2,O2),2)+LARGE(CHOOSE({1;2;3;4},F2,I2,L2,O2),3)</f>
        <v>12.600000000000001</v>
      </c>
      <c r="S2" s="7">
        <f>LARGE(CHOOSE({1;2;3;4},G2,J2,M2,P2),1)+LARGE(CHOOSE({1;2;3;4},G2,J2,M2,P2),2)+LARGE(CHOOSE({1;2;3;4},G2,J2,M2,P2),3)</f>
        <v>26.6</v>
      </c>
      <c r="T2" s="7">
        <f>LARGE(CHOOSE({1;2;3;4},H2,K2,N2,Q2),1)+LARGE(CHOOSE({1;2;3;4},H2,K2,N2,Q2),2)+LARGE(CHOOSE({1;2;3;4},H2,K2,N2,Q2),3)</f>
        <v>39.200000000000003</v>
      </c>
      <c r="U2" s="4" cm="1">
        <f t="array" ref="U2">IF(PB[[#This Row],[Number_of_competition]:[Number_of_competition]]&gt;=3,(LARGE(CHOOSE({1;2;3;4},F2,I2,L2,O2),1)+LARGE(CHOOSE({1;2;3;4},F2,I2,L2,O2),2)+LARGE(CHOOSE({1;2;3;4},F2,I2,L2,O2),3))/3,0)</f>
        <v>4.2</v>
      </c>
      <c r="V2" s="7" cm="1">
        <f t="array" ref="V2">IF(PB[[#This Row],[Number_of_competition]:[Number_of_competition]]&gt;=3,(LARGE(CHOOSE({1;2;3;4},G2,J2,M2,P2),1)+LARGE(CHOOSE({1;2;3;4},G2,J2,M2,P2),2)+LARGE(CHOOSE({1;2;3;4},G2,J2,M2,P2),3))/3,0)</f>
        <v>8.8666666666666671</v>
      </c>
      <c r="W2" s="7" cm="1">
        <f t="array" ref="W2">IF(PB[[#This Row],[Number_of_competition]:[Number_of_competition]]&gt;=3,(LARGE(CHOOSE({1;2;3;4},H2,K2,N2,Q2),1)+LARGE(CHOOSE({1;2;3;4},H2,K2,N2,Q2),2)+LARGE(CHOOSE({1;2;3;4},H2,K2,N2,Q2),3))/3,0)</f>
        <v>13.066666666666668</v>
      </c>
      <c r="Y2" s="39" t="s">
        <v>60</v>
      </c>
      <c r="Z2" s="20" t="s">
        <v>269</v>
      </c>
      <c r="AA2" s="21" cm="1">
        <f t="array" ref="AA2">SUM(_xlfn._xlws.FILTER(PB[bydgoszcz_PB_Dscore],PB[Category]="senior"),_xlfn._xlws.FILTER(PB[zabrze_PB_Dscore],PB[Category]="senior"),_xlfn._xlws.FILTER(PB[cracow_PB_Dscore],PB[Category]="senior"),_xlfn._xlws.FILTER(PB[gdansk_PB_Dscore],PB[Category]="senior"))/(COUNTIFS(PB[bydgoszcz_PB_Dscore],"&gt;0",PB[Category],"senior")+COUNTIFS(PB[zabrze_PB_Dscore],"&gt;0",PB[Category],"senior")+COUNTIFS(PB[cracow_PB_Dscore],"&gt;0",PB[Category],"senior")+COUNTIFS(PB[gdansk_PB_Dscore],"&gt;0",PB[Category],"senior"))</f>
        <v>3.5206896551724132</v>
      </c>
      <c r="AB2" s="21" cm="1">
        <f t="array" ref="AB2">_xlfn.STDEV.S(_xlfn._xlws.FILTER(PB[bydgoszcz_PB_Dscore],(PB[Category]="senior")*(PB[bydgoszcz_PB_Dscore])&gt;0),_xlfn._xlws.FILTER(PB[zabrze_PB_Dscore],(PB[Category]="senior")*(PB[zabrze_PB_Dscore])&gt;0),_xlfn._xlws.FILTER(PB[cracow_PB_Dscore],(PB[Category]="senior")*(PB[cracow_PB_Dscore])&gt;0),_xlfn._xlws.FILTER(PB[gdansk_PB_Dscore],(PB[Category]="senior")*(PB[gdansk_PB_Dscore])&gt;0))</f>
        <v>0.73859958068825293</v>
      </c>
      <c r="AC2" s="21" cm="1">
        <f t="array" ref="AC2">MAX(_xlfn._xlws.FILTER(PB[bydgoszcz_PB_Dscore],PB[Category]="senior"),_xlfn._xlws.FILTER(PB[zabrze_PB_Dscore],PB[Category]="senior"),_xlfn._xlws.FILTER(PB[cracow_PB_Dscore],PB[Category]="senior"),_xlfn._xlws.FILTER(PB[gdansk_PB_Dscore],PB[Category]="senior"))</f>
        <v>5.3</v>
      </c>
      <c r="AE2" s="43" t="s">
        <v>63</v>
      </c>
      <c r="AF2" s="43" t="s">
        <v>60</v>
      </c>
      <c r="AG2" s="43" t="s">
        <v>64</v>
      </c>
      <c r="AH2" s="43" t="s">
        <v>39</v>
      </c>
      <c r="AI2">
        <v>4</v>
      </c>
      <c r="AJ2" t="s">
        <v>317</v>
      </c>
      <c r="AK2" s="43" t="s">
        <v>308</v>
      </c>
      <c r="AL2">
        <v>4.2</v>
      </c>
    </row>
    <row r="3" spans="1:38" x14ac:dyDescent="0.25">
      <c r="A3" t="s">
        <v>25</v>
      </c>
      <c r="B3" s="2" t="s">
        <v>26</v>
      </c>
      <c r="C3" s="2" t="s">
        <v>27</v>
      </c>
      <c r="D3" t="s">
        <v>28</v>
      </c>
      <c r="E3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3" s="4">
        <v>4.0999999999999996</v>
      </c>
      <c r="G3" s="7">
        <v>8.5500000000000007</v>
      </c>
      <c r="H3" s="7">
        <v>12.65</v>
      </c>
      <c r="I3" s="4">
        <v>4.2</v>
      </c>
      <c r="J3" s="7">
        <v>9.1</v>
      </c>
      <c r="K3" s="7">
        <v>13.3</v>
      </c>
      <c r="L3" s="4">
        <v>4.2</v>
      </c>
      <c r="M3" s="7">
        <v>8.6</v>
      </c>
      <c r="N3" s="7">
        <v>12.8</v>
      </c>
      <c r="O3" s="4">
        <v>4.2</v>
      </c>
      <c r="P3" s="7">
        <v>7.7</v>
      </c>
      <c r="Q3" s="7">
        <v>11.9</v>
      </c>
      <c r="R3" s="4">
        <f>LARGE(CHOOSE({1;2;3;4},F3,I3,L3,O3),1)+LARGE(CHOOSE({1;2;3;4},F3,I3,L3,O3),2)+LARGE(CHOOSE({1;2;3;4},F3,I3,L3,O3),3)</f>
        <v>12.600000000000001</v>
      </c>
      <c r="S3" s="7">
        <f>LARGE(CHOOSE({1;2;3;4},G3,J3,M3,P3),1)+LARGE(CHOOSE({1;2;3;4},G3,J3,M3,P3),2)+LARGE(CHOOSE({1;2;3;4},G3,J3,M3,P3),3)</f>
        <v>26.25</v>
      </c>
      <c r="T3" s="7">
        <f>LARGE(CHOOSE({1;2;3;4},H3,K3,N3,Q3),1)+LARGE(CHOOSE({1;2;3;4},H3,K3,N3,Q3),2)+LARGE(CHOOSE({1;2;3;4},H3,K3,N3,Q3),3)</f>
        <v>38.75</v>
      </c>
      <c r="U3" s="4" cm="1">
        <f t="array" ref="U3">IF(PB[[#This Row],[Number_of_competition]:[Number_of_competition]]&gt;=3,(LARGE(CHOOSE({1;2;3;4},F3,I3,L3,O3),1)+LARGE(CHOOSE({1;2;3;4},F3,I3,L3,O3),2)+LARGE(CHOOSE({1;2;3;4},F3,I3,L3,O3),3))/3,0)</f>
        <v>4.2</v>
      </c>
      <c r="V3" s="7" cm="1">
        <f t="array" ref="V3">IF(PB[[#This Row],[Number_of_competition]:[Number_of_competition]]&gt;=3,(LARGE(CHOOSE({1;2;3;4},G3,J3,M3,P3),1)+LARGE(CHOOSE({1;2;3;4},G3,J3,M3,P3),2)+LARGE(CHOOSE({1;2;3;4},G3,J3,M3,P3),3))/3,0)</f>
        <v>8.75</v>
      </c>
      <c r="W3" s="7" cm="1">
        <f t="array" ref="W3">IF(PB[[#This Row],[Number_of_competition]:[Number_of_competition]]&gt;=3,(LARGE(CHOOSE({1;2;3;4},H3,K3,N3,Q3),1)+LARGE(CHOOSE({1;2;3;4},H3,K3,N3,Q3),2)+LARGE(CHOOSE({1;2;3;4},H3,K3,N3,Q3),3))/3,0)</f>
        <v>12.916666666666666</v>
      </c>
      <c r="Y3" s="40"/>
      <c r="Z3" s="20" t="s">
        <v>267</v>
      </c>
      <c r="AA3" s="22" cm="1">
        <f t="array" ref="AA3">SUM(_xlfn._xlws.FILTER(PB[bydgoszcz_PB_Escore],PB[Category]="senior"),_xlfn._xlws.FILTER(PB[zabrze_PB_Escore],PB[Category]="senior"),_xlfn._xlws.FILTER(PB[cracow_PB_Escore],PB[Category]="senior"),_xlfn._xlws.FILTER(PB[gdansk_PB_Escore],PB[Category]="senior"))/(COUNTIFS(PB[bydgoszcz_PB_Escore],"&gt;0",PB[Category],"senior")+COUNTIFS(PB[zabrze_PB_Escore],"&gt;0",PB[Category],"senior")+COUNTIFS(PB[cracow_PB_Escore],"&gt;0",PB[Category],"senior")+COUNTIFS(PB[gdansk_PB_Escore],"&gt;0",PB[Category],"senior"))</f>
        <v>7.8043103448275852</v>
      </c>
      <c r="AB3" s="22" cm="1">
        <f t="array" ref="AB3">_xlfn.STDEV.S(_xlfn._xlws.FILTER(PB[bydgoszcz_PB_Escore],(PB[Category]="senior")*(PB[bydgoszcz_PB_Escore])&gt;0),_xlfn._xlws.FILTER(PB[zabrze_PB_Escore],(PB[Category]="senior")*(PB[zabrze_PB_Escore])&gt;0),_xlfn._xlws.FILTER(PB[cracow_PB_Escore],(PB[Category]="senior")*(PB[cracow_PB_Escore])&gt;0),_xlfn._xlws.FILTER(PB[gdansk_PB_Escore],(PB[Category]="senior")*(PB[gdansk_PB_Escore])&gt;0))</f>
        <v>1.0093112330467156</v>
      </c>
      <c r="AC3" s="22" cm="1">
        <f t="array" ref="AC3">MAX(_xlfn._xlws.FILTER(PB[bydgoszcz_PB_Escore],PB[Category]="senior"),_xlfn._xlws.FILTER(PB[zabrze_PB_Escore],PB[Category]="senior"),_xlfn._xlws.FILTER(PB[cracow_PB_Escore],PB[Category]="senior"),_xlfn._xlws.FILTER(PB[gdansk_PB_Escore],PB[Category]="senior"))</f>
        <v>9.35</v>
      </c>
      <c r="AE3" s="43" t="s">
        <v>63</v>
      </c>
      <c r="AF3" s="43" t="s">
        <v>60</v>
      </c>
      <c r="AG3" s="43" t="s">
        <v>64</v>
      </c>
      <c r="AH3" s="43" t="s">
        <v>39</v>
      </c>
      <c r="AI3">
        <v>4</v>
      </c>
      <c r="AJ3" t="s">
        <v>317</v>
      </c>
      <c r="AK3" s="43" t="s">
        <v>309</v>
      </c>
      <c r="AL3">
        <v>8.6</v>
      </c>
    </row>
    <row r="4" spans="1:38" x14ac:dyDescent="0.25">
      <c r="A4" t="s">
        <v>80</v>
      </c>
      <c r="B4" s="2" t="s">
        <v>60</v>
      </c>
      <c r="C4" s="2" t="s">
        <v>81</v>
      </c>
      <c r="D4" t="s">
        <v>62</v>
      </c>
      <c r="E4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4" s="4">
        <v>3.7</v>
      </c>
      <c r="G4" s="7">
        <v>8.4499999999999993</v>
      </c>
      <c r="H4" s="7">
        <v>12.15</v>
      </c>
      <c r="I4" s="4">
        <v>3.6</v>
      </c>
      <c r="J4" s="7">
        <v>8.65</v>
      </c>
      <c r="K4" s="7">
        <v>12.25</v>
      </c>
      <c r="L4" s="4">
        <v>4</v>
      </c>
      <c r="M4" s="7">
        <v>8.85</v>
      </c>
      <c r="N4" s="7">
        <v>12.85</v>
      </c>
      <c r="O4" s="4">
        <v>2.7</v>
      </c>
      <c r="P4" s="7">
        <v>6</v>
      </c>
      <c r="Q4" s="7">
        <v>8.6999999999999993</v>
      </c>
      <c r="R4" s="4">
        <f>LARGE(CHOOSE({1;2;3;4},F4,I4,L4,O4),1)+LARGE(CHOOSE({1;2;3;4},F4,I4,L4,O4),2)+LARGE(CHOOSE({1;2;3;4},F4,I4,L4,O4),3)</f>
        <v>11.3</v>
      </c>
      <c r="S4" s="7">
        <f>LARGE(CHOOSE({1;2;3;4},G4,J4,M4,P4),1)+LARGE(CHOOSE({1;2;3;4},G4,J4,M4,P4),2)+LARGE(CHOOSE({1;2;3;4},G4,J4,M4,P4),3)</f>
        <v>25.95</v>
      </c>
      <c r="T4" s="7">
        <f>LARGE(CHOOSE({1;2;3;4},H4,K4,N4,Q4),1)+LARGE(CHOOSE({1;2;3;4},H4,K4,N4,Q4),2)+LARGE(CHOOSE({1;2;3;4},H4,K4,N4,Q4),3)</f>
        <v>37.25</v>
      </c>
      <c r="U4" s="4" cm="1">
        <f t="array" ref="U4">IF(PB[[#This Row],[Number_of_competition]:[Number_of_competition]]&gt;=3,(LARGE(CHOOSE({1;2;3;4},F4,I4,L4,O4),1)+LARGE(CHOOSE({1;2;3;4},F4,I4,L4,O4),2)+LARGE(CHOOSE({1;2;3;4},F4,I4,L4,O4),3))/3,0)</f>
        <v>3.7666666666666671</v>
      </c>
      <c r="V4" s="7" cm="1">
        <f t="array" ref="V4">IF(PB[[#This Row],[Number_of_competition]:[Number_of_competition]]&gt;=3,(LARGE(CHOOSE({1;2;3;4},G4,J4,M4,P4),1)+LARGE(CHOOSE({1;2;3;4},G4,J4,M4,P4),2)+LARGE(CHOOSE({1;2;3;4},G4,J4,M4,P4),3))/3,0)</f>
        <v>8.65</v>
      </c>
      <c r="W4" s="7" cm="1">
        <f t="array" ref="W4">IF(PB[[#This Row],[Number_of_competition]:[Number_of_competition]]&gt;=3,(LARGE(CHOOSE({1;2;3;4},H4,K4,N4,Q4),1)+LARGE(CHOOSE({1;2;3;4},H4,K4,N4,Q4),2)+LARGE(CHOOSE({1;2;3;4},H4,K4,N4,Q4),3))/3,0)</f>
        <v>12.416666666666666</v>
      </c>
      <c r="Y4" s="40"/>
      <c r="Z4" s="20" t="s">
        <v>268</v>
      </c>
      <c r="AA4" s="22" cm="1">
        <f t="array" ref="AA4">SUM(_xlfn._xlws.FILTER(PB[bydgoszcz_PB_Total_Score],PB[Category]="senior"),_xlfn._xlws.FILTER(PB[zabrze_PB_Total_Score],PB[Category]="senior"),_xlfn._xlws.FILTER(PB[cracow_PB_Total_Score],PB[Category]="senior"),_xlfn._xlws.FILTER(PB[gdansk_PB_Total_Score],PB[Category]="senior"))/(COUNTIFS(PB[bydgoszcz_PB_Total_Score],"&gt;0",PB[Category],"senior")+COUNTIFS(PB[zabrze_PB_Total_Score],"&gt;0",PB[Category],"senior")+COUNTIFS(PB[cracow_PB_Total_Score],"&gt;0",PB[Category],"senior")+COUNTIFS(PB[gdansk_PB_Total_Score],"&gt;0",PB[Category],"senior"))</f>
        <v>11.324999999999996</v>
      </c>
      <c r="AB4" s="22" cm="1">
        <f t="array" ref="AB4">_xlfn.STDEV.S(_xlfn._xlws.FILTER(PB[bydgoszcz_PB_Total_Score],(PB[Category]="senior")*(PB[bydgoszcz_PB_Total_Score])&gt;0),_xlfn._xlws.FILTER(PB[zabrze_PB_Total_Score],(PB[Category]="senior")*(PB[zabrze_PB_Total_Score])&gt;0),_xlfn._xlws.FILTER(PB[cracow_PB_Total_Score],(PB[Category]="senior")*(PB[cracow_PB_Total_Score])&gt;0),_xlfn._xlws.FILTER(PB[gdansk_PB_Total_Score],(PB[Category]="senior")*(PB[gdansk_PB_Total_Score])&gt;0))</f>
        <v>1.2791941679425909</v>
      </c>
      <c r="AC4" s="22" cm="1">
        <f t="array" ref="AC4">MAX(_xlfn._xlws.FILTER(PB[bydgoszcz_PB_Total_Score],PB[Category]="senior"),_xlfn._xlws.FILTER(PB[zabrze_PB_Total_Score],PB[Category]="senior"),_xlfn._xlws.FILTER(PB[cracow_PB_Total_Score],PB[Category]="senior"),_xlfn._xlws.FILTER(PB[gdansk_PB_Total_Score],PB[Category]="senior"))</f>
        <v>13.4</v>
      </c>
      <c r="AE4" s="43" t="s">
        <v>63</v>
      </c>
      <c r="AF4" s="43" t="s">
        <v>60</v>
      </c>
      <c r="AG4" s="43" t="s">
        <v>64</v>
      </c>
      <c r="AH4" s="43" t="s">
        <v>39</v>
      </c>
      <c r="AI4">
        <v>4</v>
      </c>
      <c r="AJ4" t="s">
        <v>317</v>
      </c>
      <c r="AK4" s="43" t="s">
        <v>268</v>
      </c>
      <c r="AL4">
        <v>12.8</v>
      </c>
    </row>
    <row r="5" spans="1:38" x14ac:dyDescent="0.25">
      <c r="A5" t="s">
        <v>77</v>
      </c>
      <c r="B5" s="2" t="s">
        <v>60</v>
      </c>
      <c r="C5" s="2" t="s">
        <v>78</v>
      </c>
      <c r="D5" t="s">
        <v>79</v>
      </c>
      <c r="E5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5" s="4">
        <v>4</v>
      </c>
      <c r="G5" s="7">
        <v>8.15</v>
      </c>
      <c r="H5" s="7">
        <v>12.15</v>
      </c>
      <c r="I5" s="4">
        <v>3.8</v>
      </c>
      <c r="J5" s="7">
        <v>8.75</v>
      </c>
      <c r="K5" s="7">
        <v>12.55</v>
      </c>
      <c r="L5" s="4">
        <v>3.8</v>
      </c>
      <c r="M5" s="7">
        <v>8.5</v>
      </c>
      <c r="N5" s="7">
        <v>12.3</v>
      </c>
      <c r="O5" s="4">
        <v>3.1</v>
      </c>
      <c r="P5" s="7">
        <v>6.9</v>
      </c>
      <c r="Q5" s="7">
        <v>10</v>
      </c>
      <c r="R5" s="4">
        <f>LARGE(CHOOSE({1;2;3;4},F5,I5,L5,O5),1)+LARGE(CHOOSE({1;2;3;4},F5,I5,L5,O5),2)+LARGE(CHOOSE({1;2;3;4},F5,I5,L5,O5),3)</f>
        <v>11.6</v>
      </c>
      <c r="S5" s="7">
        <f>LARGE(CHOOSE({1;2;3;4},G5,J5,M5,P5),1)+LARGE(CHOOSE({1;2;3;4},G5,J5,M5,P5),2)+LARGE(CHOOSE({1;2;3;4},G5,J5,M5,P5),3)</f>
        <v>25.4</v>
      </c>
      <c r="T5" s="7">
        <f>LARGE(CHOOSE({1;2;3;4},H5,K5,N5,Q5),1)+LARGE(CHOOSE({1;2;3;4},H5,K5,N5,Q5),2)+LARGE(CHOOSE({1;2;3;4},H5,K5,N5,Q5),3)</f>
        <v>37</v>
      </c>
      <c r="U5" s="4" cm="1">
        <f t="array" ref="U5">IF(PB[[#This Row],[Number_of_competition]:[Number_of_competition]]&gt;=3,(LARGE(CHOOSE({1;2;3;4},F5,I5,L5,O5),1)+LARGE(CHOOSE({1;2;3;4},F5,I5,L5,O5),2)+LARGE(CHOOSE({1;2;3;4},F5,I5,L5,O5),3))/3,0)</f>
        <v>3.8666666666666667</v>
      </c>
      <c r="V5" s="7" cm="1">
        <f t="array" ref="V5">IF(PB[[#This Row],[Number_of_competition]:[Number_of_competition]]&gt;=3,(LARGE(CHOOSE({1;2;3;4},G5,J5,M5,P5),1)+LARGE(CHOOSE({1;2;3;4},G5,J5,M5,P5),2)+LARGE(CHOOSE({1;2;3;4},G5,J5,M5,P5),3))/3,0)</f>
        <v>8.4666666666666668</v>
      </c>
      <c r="W5" s="7" cm="1">
        <f t="array" ref="W5">IF(PB[[#This Row],[Number_of_competition]:[Number_of_competition]]&gt;=3,(LARGE(CHOOSE({1;2;3;4},H5,K5,N5,Q5),1)+LARGE(CHOOSE({1;2;3;4},H5,K5,N5,Q5),2)+LARGE(CHOOSE({1;2;3;4},H5,K5,N5,Q5),3))/3,0)</f>
        <v>12.333333333333334</v>
      </c>
      <c r="Y5" s="40"/>
      <c r="Z5" s="20" t="s">
        <v>275</v>
      </c>
      <c r="AA5" s="21" cm="1">
        <f t="array" ref="AA5">SUM(_xlfn._xlws.FILTER(PB[Year_Dscore],(PB[Category]="senior")*(PB[Number_of_competition]&gt;=3))/COUNTIFS(PB[Number_of_competition],"&gt;=3",PB[Category],"senior"))</f>
        <v>11.277777777777777</v>
      </c>
      <c r="AB5" s="21" cm="1">
        <f t="array" ref="AB5">_xlfn.STDEV.S(_xlfn._xlws.FILTER(PB[Year_Dscore],(PB[Category]="senior")*(PB[Number_of_competition]&gt;=3)))</f>
        <v>2.2134688713520196</v>
      </c>
      <c r="AC5" s="21" cm="1">
        <f t="array" ref="AC5">MAX(_xlfn._xlws.FILTER(PB[Year_Dscore],PB[Category]="senior"))</f>
        <v>15.6</v>
      </c>
      <c r="AE5" s="43" t="s">
        <v>63</v>
      </c>
      <c r="AF5" s="43" t="s">
        <v>60</v>
      </c>
      <c r="AG5" s="43" t="s">
        <v>64</v>
      </c>
      <c r="AH5" s="43" t="s">
        <v>39</v>
      </c>
      <c r="AI5">
        <v>4</v>
      </c>
      <c r="AJ5" t="s">
        <v>325</v>
      </c>
      <c r="AK5" s="43" t="s">
        <v>308</v>
      </c>
      <c r="AL5">
        <v>4.2</v>
      </c>
    </row>
    <row r="6" spans="1:38" x14ac:dyDescent="0.25">
      <c r="A6" t="s">
        <v>59</v>
      </c>
      <c r="B6" s="2" t="s">
        <v>60</v>
      </c>
      <c r="C6" s="2" t="s">
        <v>61</v>
      </c>
      <c r="D6" t="s">
        <v>62</v>
      </c>
      <c r="E6" s="6">
        <f>COUNTIF(PB[[#This Row],[bydgoszcz_PB_Total_Score]],"&gt;0")+COUNTIF(PB[[#This Row],[zabrze_PB_Total_Score]],"&gt;0")+COUNTIF(PB[[#This Row],[cracow_PB_Total_Score]],"&gt;0")+COUNTIF(PB[[#This Row],[gdansk_PB_Total_Score]],"&gt;0")</f>
        <v>3</v>
      </c>
      <c r="F6" s="4">
        <v>0</v>
      </c>
      <c r="G6" s="7">
        <v>0</v>
      </c>
      <c r="H6" s="7">
        <v>0</v>
      </c>
      <c r="I6" s="4">
        <v>5</v>
      </c>
      <c r="J6" s="7">
        <v>7.45</v>
      </c>
      <c r="K6" s="7">
        <v>12.45</v>
      </c>
      <c r="L6" s="4">
        <v>5.3</v>
      </c>
      <c r="M6" s="7">
        <v>6.6</v>
      </c>
      <c r="N6" s="7">
        <v>11.9</v>
      </c>
      <c r="O6" s="4">
        <v>5.3</v>
      </c>
      <c r="P6" s="7">
        <v>7</v>
      </c>
      <c r="Q6" s="7">
        <v>12.3</v>
      </c>
      <c r="R6" s="4">
        <f>LARGE(CHOOSE({1;2;3;4},F6,I6,L6,O6),1)+LARGE(CHOOSE({1;2;3;4},F6,I6,L6,O6),2)+LARGE(CHOOSE({1;2;3;4},F6,I6,L6,O6),3)</f>
        <v>15.6</v>
      </c>
      <c r="S6" s="7">
        <f>LARGE(CHOOSE({1;2;3;4},G6,J6,M6,P6),1)+LARGE(CHOOSE({1;2;3;4},G6,J6,M6,P6),2)+LARGE(CHOOSE({1;2;3;4},G6,J6,M6,P6),3)</f>
        <v>21.049999999999997</v>
      </c>
      <c r="T6" s="7">
        <f>LARGE(CHOOSE({1;2;3;4},H6,K6,N6,Q6),1)+LARGE(CHOOSE({1;2;3;4},H6,K6,N6,Q6),2)+LARGE(CHOOSE({1;2;3;4},H6,K6,N6,Q6),3)</f>
        <v>36.65</v>
      </c>
      <c r="U6" s="4" cm="1">
        <f t="array" ref="U6">IF(PB[[#This Row],[Number_of_competition]:[Number_of_competition]]&gt;=3,(LARGE(CHOOSE({1;2;3;4},F6,I6,L6,O6),1)+LARGE(CHOOSE({1;2;3;4},F6,I6,L6,O6),2)+LARGE(CHOOSE({1;2;3;4},F6,I6,L6,O6),3))/3,0)</f>
        <v>5.2</v>
      </c>
      <c r="V6" s="7" cm="1">
        <f t="array" ref="V6">IF(PB[[#This Row],[Number_of_competition]:[Number_of_competition]]&gt;=3,(LARGE(CHOOSE({1;2;3;4},G6,J6,M6,P6),1)+LARGE(CHOOSE({1;2;3;4},G6,J6,M6,P6),2)+LARGE(CHOOSE({1;2;3;4},G6,J6,M6,P6),3))/3,0)</f>
        <v>7.0166666666666657</v>
      </c>
      <c r="W6" s="7" cm="1">
        <f t="array" ref="W6">IF(PB[[#This Row],[Number_of_competition]:[Number_of_competition]]&gt;=3,(LARGE(CHOOSE({1;2;3;4},H6,K6,N6,Q6),1)+LARGE(CHOOSE({1;2;3;4},H6,K6,N6,Q6),2)+LARGE(CHOOSE({1;2;3;4},H6,K6,N6,Q6),3))/3,0)</f>
        <v>12.216666666666667</v>
      </c>
      <c r="Y6" s="40"/>
      <c r="Z6" s="20" t="s">
        <v>276</v>
      </c>
      <c r="AA6" s="22" cm="1">
        <f t="array" ref="AA6">SUM(_xlfn._xlws.FILTER(PB[Year_Escore],(PB[Category]="senior")*(PB[Number_of_competition]&gt;=3))/COUNTIFS(PB[Number_of_competition],"&gt;=3",PB[Category],"senior"))</f>
        <v>23.9</v>
      </c>
      <c r="AB6" s="22" cm="1">
        <f t="array" ref="AB6">_xlfn.STDEV.S(_xlfn._xlws.FILTER(PB[Year_Escore],(PB[Category]="senior")*(PB[Number_of_competition]&gt;=3)))</f>
        <v>2.1163057435068309</v>
      </c>
      <c r="AC6" s="22" cm="1">
        <f t="array" ref="AC6">MAX(_xlfn._xlws.FILTER(PB[Year_Escore],PB[Category]="senior"))</f>
        <v>26.6</v>
      </c>
      <c r="AE6" s="43" t="s">
        <v>63</v>
      </c>
      <c r="AF6" s="43" t="s">
        <v>60</v>
      </c>
      <c r="AG6" s="43" t="s">
        <v>64</v>
      </c>
      <c r="AH6" s="43" t="s">
        <v>39</v>
      </c>
      <c r="AI6">
        <v>4</v>
      </c>
      <c r="AJ6" t="s">
        <v>325</v>
      </c>
      <c r="AK6" s="43" t="s">
        <v>309</v>
      </c>
      <c r="AL6">
        <v>8.1999999999999993</v>
      </c>
    </row>
    <row r="7" spans="1:38" x14ac:dyDescent="0.25">
      <c r="A7" t="s">
        <v>44</v>
      </c>
      <c r="B7" s="2" t="s">
        <v>26</v>
      </c>
      <c r="C7" s="2" t="s">
        <v>45</v>
      </c>
      <c r="D7" t="s">
        <v>39</v>
      </c>
      <c r="E7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7" s="4">
        <v>3.1</v>
      </c>
      <c r="G7" s="7">
        <v>8.6999999999999993</v>
      </c>
      <c r="H7" s="7">
        <v>11.8</v>
      </c>
      <c r="I7" s="4">
        <v>3</v>
      </c>
      <c r="J7" s="7">
        <v>9</v>
      </c>
      <c r="K7" s="7">
        <v>12</v>
      </c>
      <c r="L7" s="4">
        <v>3</v>
      </c>
      <c r="M7" s="7">
        <v>8.9</v>
      </c>
      <c r="N7" s="7">
        <v>11.9</v>
      </c>
      <c r="O7" s="4">
        <v>2.6</v>
      </c>
      <c r="P7" s="7">
        <v>8.9</v>
      </c>
      <c r="Q7" s="7">
        <v>11.5</v>
      </c>
      <c r="R7" s="4">
        <f>LARGE(CHOOSE({1;2;3;4},F7,I7,L7,O7),1)+LARGE(CHOOSE({1;2;3;4},F7,I7,L7,O7),2)+LARGE(CHOOSE({1;2;3;4},F7,I7,L7,O7),3)</f>
        <v>9.1</v>
      </c>
      <c r="S7" s="7">
        <f>LARGE(CHOOSE({1;2;3;4},G7,J7,M7,P7),1)+LARGE(CHOOSE({1;2;3;4},G7,J7,M7,P7),2)+LARGE(CHOOSE({1;2;3;4},G7,J7,M7,P7),3)</f>
        <v>26.799999999999997</v>
      </c>
      <c r="T7" s="7">
        <f>LARGE(CHOOSE({1;2;3;4},H7,K7,N7,Q7),1)+LARGE(CHOOSE({1;2;3;4},H7,K7,N7,Q7),2)+LARGE(CHOOSE({1;2;3;4},H7,K7,N7,Q7),3)</f>
        <v>35.700000000000003</v>
      </c>
      <c r="U7" s="4" cm="1">
        <f t="array" ref="U7">IF(PB[[#This Row],[Number_of_competition]:[Number_of_competition]]&gt;=3,(LARGE(CHOOSE({1;2;3;4},F7,I7,L7,O7),1)+LARGE(CHOOSE({1;2;3;4},F7,I7,L7,O7),2)+LARGE(CHOOSE({1;2;3;4},F7,I7,L7,O7),3))/3,0)</f>
        <v>3.0333333333333332</v>
      </c>
      <c r="V7" s="7" cm="1">
        <f t="array" ref="V7">IF(PB[[#This Row],[Number_of_competition]:[Number_of_competition]]&gt;=3,(LARGE(CHOOSE({1;2;3;4},G7,J7,M7,P7),1)+LARGE(CHOOSE({1;2;3;4},G7,J7,M7,P7),2)+LARGE(CHOOSE({1;2;3;4},G7,J7,M7,P7),3))/3,0)</f>
        <v>8.9333333333333318</v>
      </c>
      <c r="W7" s="7" cm="1">
        <f t="array" ref="W7">IF(PB[[#This Row],[Number_of_competition]:[Number_of_competition]]&gt;=3,(LARGE(CHOOSE({1;2;3;4},H7,K7,N7,Q7),1)+LARGE(CHOOSE({1;2;3;4},H7,K7,N7,Q7),2)+LARGE(CHOOSE({1;2;3;4},H7,K7,N7,Q7),3))/3,0)</f>
        <v>11.9</v>
      </c>
      <c r="Y7" s="41"/>
      <c r="Z7" s="20" t="s">
        <v>277</v>
      </c>
      <c r="AA7" s="22" cm="1">
        <f t="array" ref="AA7">SUM(_xlfn._xlws.FILTER(PB[Year_Total_Score],(PB[Category]="senior")*(PB[Number_of_competition]&gt;=3))/COUNTIFS(PB[Number_of_competition],"&gt;=3",PB[Category],"senior"))</f>
        <v>35.05555555555555</v>
      </c>
      <c r="AB7" s="22" cm="1">
        <f t="array" ref="AB7">_xlfn.STDEV.S(_xlfn._xlws.FILTER(PB[Year_Total_Score],(PB[Category]="senior")*(PB[Number_of_competition]&gt;=3)))</f>
        <v>3.0504553394170153</v>
      </c>
      <c r="AC7" s="22" cm="1">
        <f t="array" ref="AC7">MAX(_xlfn._xlws.FILTER(PB[Year_Total_Score],PB[Category]="senior"))</f>
        <v>39.200000000000003</v>
      </c>
      <c r="AE7" s="43" t="s">
        <v>63</v>
      </c>
      <c r="AF7" s="43" t="s">
        <v>60</v>
      </c>
      <c r="AG7" s="43" t="s">
        <v>64</v>
      </c>
      <c r="AH7" s="43" t="s">
        <v>39</v>
      </c>
      <c r="AI7">
        <v>4</v>
      </c>
      <c r="AJ7" t="s">
        <v>325</v>
      </c>
      <c r="AK7" s="43" t="s">
        <v>268</v>
      </c>
      <c r="AL7">
        <v>12.4</v>
      </c>
    </row>
    <row r="8" spans="1:38" x14ac:dyDescent="0.25">
      <c r="A8" t="s">
        <v>84</v>
      </c>
      <c r="B8" s="2" t="s">
        <v>60</v>
      </c>
      <c r="C8" s="2" t="s">
        <v>85</v>
      </c>
      <c r="D8" t="s">
        <v>39</v>
      </c>
      <c r="E8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8" s="4">
        <v>3.7</v>
      </c>
      <c r="G8" s="7">
        <v>7.85</v>
      </c>
      <c r="H8" s="7">
        <v>11.55</v>
      </c>
      <c r="I8" s="4">
        <v>4.2</v>
      </c>
      <c r="J8" s="7">
        <v>7.5</v>
      </c>
      <c r="K8" s="7">
        <v>11.7</v>
      </c>
      <c r="L8" s="4">
        <v>3.6</v>
      </c>
      <c r="M8" s="7">
        <v>7.9</v>
      </c>
      <c r="N8" s="7">
        <v>11.5</v>
      </c>
      <c r="O8" s="4">
        <v>4.2</v>
      </c>
      <c r="P8" s="7">
        <v>7.7</v>
      </c>
      <c r="Q8" s="7">
        <v>11.9</v>
      </c>
      <c r="R8" s="4">
        <f>LARGE(CHOOSE({1;2;3;4},F8,I8,L8,O8),1)+LARGE(CHOOSE({1;2;3;4},F8,I8,L8,O8),2)+LARGE(CHOOSE({1;2;3;4},F8,I8,L8,O8),3)</f>
        <v>12.100000000000001</v>
      </c>
      <c r="S8" s="7">
        <f>LARGE(CHOOSE({1;2;3;4},G8,J8,M8,P8),1)+LARGE(CHOOSE({1;2;3;4},G8,J8,M8,P8),2)+LARGE(CHOOSE({1;2;3;4},G8,J8,M8,P8),3)</f>
        <v>23.45</v>
      </c>
      <c r="T8" s="7">
        <f>LARGE(CHOOSE({1;2;3;4},H8,K8,N8,Q8),1)+LARGE(CHOOSE({1;2;3;4},H8,K8,N8,Q8),2)+LARGE(CHOOSE({1;2;3;4},H8,K8,N8,Q8),3)</f>
        <v>35.150000000000006</v>
      </c>
      <c r="U8" s="4" cm="1">
        <f t="array" ref="U8">IF(PB[[#This Row],[Number_of_competition]:[Number_of_competition]]&gt;=3,(LARGE(CHOOSE({1;2;3;4},F8,I8,L8,O8),1)+LARGE(CHOOSE({1;2;3;4},F8,I8,L8,O8),2)+LARGE(CHOOSE({1;2;3;4},F8,I8,L8,O8),3))/3,0)</f>
        <v>4.0333333333333341</v>
      </c>
      <c r="V8" s="7" cm="1">
        <f t="array" ref="V8">IF(PB[[#This Row],[Number_of_competition]:[Number_of_competition]]&gt;=3,(LARGE(CHOOSE({1;2;3;4},G8,J8,M8,P8),1)+LARGE(CHOOSE({1;2;3;4},G8,J8,M8,P8),2)+LARGE(CHOOSE({1;2;3;4},G8,J8,M8,P8),3))/3,0)</f>
        <v>7.8166666666666664</v>
      </c>
      <c r="W8" s="7" cm="1">
        <f t="array" ref="W8">IF(PB[[#This Row],[Number_of_competition]:[Number_of_competition]]&gt;=3,(LARGE(CHOOSE({1;2;3;4},H8,K8,N8,Q8),1)+LARGE(CHOOSE({1;2;3;4},H8,K8,N8,Q8),2)+LARGE(CHOOSE({1;2;3;4},H8,K8,N8,Q8),3))/3,0)</f>
        <v>11.716666666666669</v>
      </c>
      <c r="Y8" s="39" t="s">
        <v>26</v>
      </c>
      <c r="Z8" s="20" t="s">
        <v>269</v>
      </c>
      <c r="AA8" s="21" cm="1">
        <f t="array" ref="AA8">SUM(_xlfn._xlws.FILTER(PB[bydgoszcz_PB_Dscore],PB[Category]="junior"),_xlfn._xlws.FILTER(PB[zabrze_PB_Dscore],PB[Category]="junior"),_xlfn._xlws.FILTER(PB[cracow_PB_Dscore],PB[Category]="junior"),_xlfn._xlws.FILTER(PB[gdansk_PB_Dscore],PB[Category]="junior"))/(COUNTIFS(PB[bydgoszcz_PB_Dscore],"&gt;0",PB[Category],"junior")+COUNTIFS(PB[zabrze_PB_Dscore],"&gt;0",PB[Category],"junior")+COUNTIFS(PB[cracow_PB_Dscore],"&gt;0",PB[Category],"junior")+COUNTIFS(PB[gdansk_PB_Dscore],"&gt;0",PB[Category],"junior"))</f>
        <v>3.0057692307692303</v>
      </c>
      <c r="AB8" s="21" cm="1">
        <f t="array" ref="AB8">_xlfn.STDEV.S(_xlfn._xlws.FILTER(PB[bydgoszcz_PB_Dscore],(PB[Category]="junior")*(PB[bydgoszcz_PB_Dscore])&gt;0),_xlfn._xlws.FILTER(PB[zabrze_PB_Dscore],(PB[Category]="junior")*(PB[zabrze_PB_Dscore])&gt;0),_xlfn._xlws.FILTER(PB[cracow_PB_Dscore],(PB[Category]="junior")*(PB[cracow_PB_Dscore])&gt;0),_xlfn._xlws.FILTER(PB[gdansk_PB_Dscore],(PB[Category]="junior")*(PB[gdansk_PB_Dscore])&gt;0))</f>
        <v>0.574085278060389</v>
      </c>
      <c r="AC8" s="21" cm="1">
        <f t="array" ref="AC8">MAX(_xlfn._xlws.FILTER(PB[bydgoszcz_PB_Dscore],PB[Category]="junior"),_xlfn._xlws.FILTER(PB[zabrze_PB_Dscore],PB[Category]="junior"),_xlfn._xlws.FILTER(PB[cracow_PB_Dscore],PB[Category]="junior"),_xlfn._xlws.FILTER(PB[gdansk_PB_Dscore],PB[Category]="junior"))</f>
        <v>4.2</v>
      </c>
      <c r="AE8" s="43" t="s">
        <v>63</v>
      </c>
      <c r="AF8" s="43" t="s">
        <v>60</v>
      </c>
      <c r="AG8" s="43" t="s">
        <v>64</v>
      </c>
      <c r="AH8" s="43" t="s">
        <v>39</v>
      </c>
      <c r="AI8">
        <v>4</v>
      </c>
      <c r="AJ8" t="s">
        <v>330</v>
      </c>
      <c r="AK8" s="43" t="s">
        <v>308</v>
      </c>
      <c r="AL8">
        <v>4.2</v>
      </c>
    </row>
    <row r="9" spans="1:38" x14ac:dyDescent="0.25">
      <c r="A9" t="s">
        <v>29</v>
      </c>
      <c r="B9" s="2" t="s">
        <v>26</v>
      </c>
      <c r="C9" s="2" t="s">
        <v>30</v>
      </c>
      <c r="D9" t="s">
        <v>31</v>
      </c>
      <c r="E9" s="6">
        <f>COUNTIF(PB[[#This Row],[bydgoszcz_PB_Total_Score]],"&gt;0")+COUNTIF(PB[[#This Row],[zabrze_PB_Total_Score]],"&gt;0")+COUNTIF(PB[[#This Row],[cracow_PB_Total_Score]],"&gt;0")+COUNTIF(PB[[#This Row],[gdansk_PB_Total_Score]],"&gt;0")</f>
        <v>3</v>
      </c>
      <c r="F9" s="4">
        <v>3.2</v>
      </c>
      <c r="G9" s="7">
        <v>8.4499999999999993</v>
      </c>
      <c r="H9" s="7">
        <v>11.65</v>
      </c>
      <c r="I9" s="4">
        <v>3.4</v>
      </c>
      <c r="J9" s="7">
        <v>8.35</v>
      </c>
      <c r="K9" s="7">
        <v>11.75</v>
      </c>
      <c r="L9" s="4">
        <v>0</v>
      </c>
      <c r="M9" s="7">
        <v>0</v>
      </c>
      <c r="N9" s="7">
        <v>0</v>
      </c>
      <c r="O9" s="4">
        <v>3.4</v>
      </c>
      <c r="P9" s="7">
        <v>8.1999999999999993</v>
      </c>
      <c r="Q9" s="7">
        <v>11.6</v>
      </c>
      <c r="R9" s="4">
        <f>LARGE(CHOOSE({1;2;3;4},F9,I9,L9,O9),1)+LARGE(CHOOSE({1;2;3;4},F9,I9,L9,O9),2)+LARGE(CHOOSE({1;2;3;4},F9,I9,L9,O9),3)</f>
        <v>10</v>
      </c>
      <c r="S9" s="7">
        <f>LARGE(CHOOSE({1;2;3;4},G9,J9,M9,P9),1)+LARGE(CHOOSE({1;2;3;4},G9,J9,M9,P9),2)+LARGE(CHOOSE({1;2;3;4},G9,J9,M9,P9),3)</f>
        <v>24.999999999999996</v>
      </c>
      <c r="T9" s="7">
        <f>LARGE(CHOOSE({1;2;3;4},H9,K9,N9,Q9),1)+LARGE(CHOOSE({1;2;3;4},H9,K9,N9,Q9),2)+LARGE(CHOOSE({1;2;3;4},H9,K9,N9,Q9),3)</f>
        <v>35</v>
      </c>
      <c r="U9" s="4" cm="1">
        <f t="array" ref="U9">IF(PB[[#This Row],[Number_of_competition]:[Number_of_competition]]&gt;=3,(LARGE(CHOOSE({1;2;3;4},F9,I9,L9,O9),1)+LARGE(CHOOSE({1;2;3;4},F9,I9,L9,O9),2)+LARGE(CHOOSE({1;2;3;4},F9,I9,L9,O9),3))/3,0)</f>
        <v>3.3333333333333335</v>
      </c>
      <c r="V9" s="7" cm="1">
        <f t="array" ref="V9">IF(PB[[#This Row],[Number_of_competition]:[Number_of_competition]]&gt;=3,(LARGE(CHOOSE({1;2;3;4},G9,J9,M9,P9),1)+LARGE(CHOOSE({1;2;3;4},G9,J9,M9,P9),2)+LARGE(CHOOSE({1;2;3;4},G9,J9,M9,P9),3))/3,0)</f>
        <v>8.3333333333333321</v>
      </c>
      <c r="W9" s="7" cm="1">
        <f t="array" ref="W9">IF(PB[[#This Row],[Number_of_competition]:[Number_of_competition]]&gt;=3,(LARGE(CHOOSE({1;2;3;4},H9,K9,N9,Q9),1)+LARGE(CHOOSE({1;2;3;4},H9,K9,N9,Q9),2)+LARGE(CHOOSE({1;2;3;4},H9,K9,N9,Q9),3))/3,0)</f>
        <v>11.666666666666666</v>
      </c>
      <c r="Y9" s="40"/>
      <c r="Z9" s="20" t="s">
        <v>267</v>
      </c>
      <c r="AA9" s="22" cm="1">
        <f t="array" ref="AA9">SUM(_xlfn._xlws.FILTER(PB[bydgoszcz_PB_Escore],PB[Category]="junior"),_xlfn._xlws.FILTER(PB[zabrze_PB_Escore],PB[Category]="junior"),_xlfn._xlws.FILTER(PB[cracow_PB_Escore],PB[Category]="junior"),_xlfn._xlws.FILTER(PB[gdansk_PB_Escore],PB[Category]="junior"))/(COUNTIFS(PB[bydgoszcz_PB_Escore],"&gt;0",PB[Category],"junior")+COUNTIFS(PB[zabrze_PB_Escore],"&gt;0",PB[Category],"junior")+COUNTIFS(PB[cracow_PB_Escore],"&gt;0",PB[Category],"junior")+COUNTIFS(PB[gdansk_PB_Escore],"&gt;0",PB[Category],"junior"))</f>
        <v>7.8942307692307701</v>
      </c>
      <c r="AB9" s="22" cm="1">
        <f t="array" ref="AB9">_xlfn.STDEV.S(_xlfn._xlws.FILTER(PB[bydgoszcz_PB_Escore],(PB[Category]="junior")*(PB[bydgoszcz_PB_Escore])&gt;0),_xlfn._xlws.FILTER(PB[zabrze_PB_Escore],(PB[Category]="junior")*(PB[zabrze_PB_Escore])&gt;0),_xlfn._xlws.FILTER(PB[cracow_PB_Escore],(PB[Category]="junior")*(PB[cracow_PB_Escore])&gt;0),_xlfn._xlws.FILTER(PB[gdansk_PB_Escore],(PB[Category]="junior")*(PB[gdansk_PB_Escore])&gt;0))</f>
        <v>1.46225899124131</v>
      </c>
      <c r="AC9" s="22" cm="1">
        <f t="array" ref="AC9">MAX(_xlfn._xlws.FILTER(PB[bydgoszcz_PB_Escore],PB[Category]="junior"),_xlfn._xlws.FILTER(PB[zabrze_PB_Escore],PB[Category]="junior"),_xlfn._xlws.FILTER(PB[cracow_PB_Escore],PB[Category]="junior"),_xlfn._xlws.FILTER(PB[gdansk_PB_Escore],PB[Category]="junior"))</f>
        <v>9.1</v>
      </c>
      <c r="AE9" s="43" t="s">
        <v>63</v>
      </c>
      <c r="AF9" s="43" t="s">
        <v>60</v>
      </c>
      <c r="AG9" s="43" t="s">
        <v>64</v>
      </c>
      <c r="AH9" s="43" t="s">
        <v>39</v>
      </c>
      <c r="AI9">
        <v>4</v>
      </c>
      <c r="AJ9" t="s">
        <v>330</v>
      </c>
      <c r="AK9" s="43" t="s">
        <v>309</v>
      </c>
      <c r="AL9">
        <v>8.8000000000000007</v>
      </c>
    </row>
    <row r="10" spans="1:38" x14ac:dyDescent="0.25">
      <c r="A10" t="s">
        <v>37</v>
      </c>
      <c r="B10" s="2" t="s">
        <v>26</v>
      </c>
      <c r="C10" s="2" t="s">
        <v>38</v>
      </c>
      <c r="D10" t="s">
        <v>39</v>
      </c>
      <c r="E10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10" s="4">
        <v>3.1</v>
      </c>
      <c r="G10" s="7">
        <v>8.5</v>
      </c>
      <c r="H10" s="7">
        <v>11.6</v>
      </c>
      <c r="I10" s="4">
        <v>3.1</v>
      </c>
      <c r="J10" s="7">
        <v>8</v>
      </c>
      <c r="K10" s="7">
        <v>11.1</v>
      </c>
      <c r="L10" s="4">
        <v>3.1</v>
      </c>
      <c r="M10" s="7">
        <v>8.4</v>
      </c>
      <c r="N10" s="7">
        <v>11.5</v>
      </c>
      <c r="O10" s="4">
        <v>3.2</v>
      </c>
      <c r="P10" s="7">
        <v>8.6</v>
      </c>
      <c r="Q10" s="7">
        <v>11.8</v>
      </c>
      <c r="R10" s="4">
        <f>LARGE(CHOOSE({1;2;3;4},F10,I10,L10,O10),1)+LARGE(CHOOSE({1;2;3;4},F10,I10,L10,O10),2)+LARGE(CHOOSE({1;2;3;4},F10,I10,L10,O10),3)</f>
        <v>9.4</v>
      </c>
      <c r="S10" s="7">
        <f>LARGE(CHOOSE({1;2;3;4},G10,J10,M10,P10),1)+LARGE(CHOOSE({1;2;3;4},G10,J10,M10,P10),2)+LARGE(CHOOSE({1;2;3;4},G10,J10,M10,P10),3)</f>
        <v>25.5</v>
      </c>
      <c r="T10" s="7">
        <f>LARGE(CHOOSE({1;2;3;4},H10,K10,N10,Q10),1)+LARGE(CHOOSE({1;2;3;4},H10,K10,N10,Q10),2)+LARGE(CHOOSE({1;2;3;4},H10,K10,N10,Q10),3)</f>
        <v>34.9</v>
      </c>
      <c r="U10" s="4" cm="1">
        <f t="array" ref="U10">IF(PB[[#This Row],[Number_of_competition]:[Number_of_competition]]&gt;=3,(LARGE(CHOOSE({1;2;3;4},F10,I10,L10,O10),1)+LARGE(CHOOSE({1;2;3;4},F10,I10,L10,O10),2)+LARGE(CHOOSE({1;2;3;4},F10,I10,L10,O10),3))/3,0)</f>
        <v>3.1333333333333333</v>
      </c>
      <c r="V10" s="7" cm="1">
        <f t="array" ref="V10">IF(PB[[#This Row],[Number_of_competition]:[Number_of_competition]]&gt;=3,(LARGE(CHOOSE({1;2;3;4},G10,J10,M10,P10),1)+LARGE(CHOOSE({1;2;3;4},G10,J10,M10,P10),2)+LARGE(CHOOSE({1;2;3;4},G10,J10,M10,P10),3))/3,0)</f>
        <v>8.5</v>
      </c>
      <c r="W10" s="7" cm="1">
        <f t="array" ref="W10">IF(PB[[#This Row],[Number_of_competition]:[Number_of_competition]]&gt;=3,(LARGE(CHOOSE({1;2;3;4},H10,K10,N10,Q10),1)+LARGE(CHOOSE({1;2;3;4},H10,K10,N10,Q10),2)+LARGE(CHOOSE({1;2;3;4},H10,K10,N10,Q10),3))/3,0)</f>
        <v>11.633333333333333</v>
      </c>
      <c r="Y10" s="40"/>
      <c r="Z10" s="20" t="s">
        <v>268</v>
      </c>
      <c r="AA10" s="22" cm="1">
        <f t="array" ref="AA10">SUM(_xlfn._xlws.FILTER(PB[bydgoszcz_PB_Total_Score],PB[Category]="junior"),_xlfn._xlws.FILTER(PB[zabrze_PB_Total_Score],PB[Category]="junior"),_xlfn._xlws.FILTER(PB[cracow_PB_Total_Score],PB[Category]="junior"),_xlfn._xlws.FILTER(PB[gdansk_PB_Total_Score],PB[Category]="junior"))/(COUNTIFS(PB[bydgoszcz_PB_Total_Score],"&gt;0",PB[Category],"junior")+COUNTIFS(PB[zabrze_PB_Total_Score],"&gt;0",PB[Category],"junior")+COUNTIFS(PB[cracow_PB_Total_Score],"&gt;0",PB[Category],"junior")+COUNTIFS(PB[gdansk_PB_Total_Score],"&gt;0",PB[Category],"junior"))</f>
        <v>10.899999999999999</v>
      </c>
      <c r="AB10" s="22" cm="1">
        <f t="array" ref="AB10">_xlfn.STDEV.S(_xlfn._xlws.FILTER(PB[bydgoszcz_PB_Total_Score],(PB[Category]="junior")*(PB[bydgoszcz_PB_Total_Score])&gt;0),_xlfn._xlws.FILTER(PB[zabrze_PB_Total_Score],(PB[Category]="junior")*(PB[zabrze_PB_Total_Score])&gt;0),_xlfn._xlws.FILTER(PB[cracow_PB_Total_Score],(PB[Category]="junior")*(PB[cracow_PB_Total_Score])&gt;0),_xlfn._xlws.FILTER(PB[gdansk_PB_Total_Score],(PB[Category]="junior")*(PB[gdansk_PB_Total_Score])&gt;0))</f>
        <v>1.8103731605368456</v>
      </c>
      <c r="AC10" s="22" cm="1">
        <f t="array" ref="AC10">MAX(_xlfn._xlws.FILTER(PB[bydgoszcz_PB_Total_Score],PB[Category]="junior"),_xlfn._xlws.FILTER(PB[zabrze_PB_Total_Score],PB[Category]="junior"),_xlfn._xlws.FILTER(PB[cracow_PB_Total_Score],PB[Category]="junior"),_xlfn._xlws.FILTER(PB[gdansk_PB_Total_Score],PB[Category]="junior"))</f>
        <v>13.3</v>
      </c>
      <c r="AE10" s="43" t="s">
        <v>63</v>
      </c>
      <c r="AF10" s="43" t="s">
        <v>60</v>
      </c>
      <c r="AG10" s="43" t="s">
        <v>64</v>
      </c>
      <c r="AH10" s="43" t="s">
        <v>39</v>
      </c>
      <c r="AI10">
        <v>4</v>
      </c>
      <c r="AJ10" t="s">
        <v>330</v>
      </c>
      <c r="AK10" s="43" t="s">
        <v>268</v>
      </c>
      <c r="AL10">
        <v>13</v>
      </c>
    </row>
    <row r="11" spans="1:38" x14ac:dyDescent="0.25">
      <c r="A11" t="s">
        <v>32</v>
      </c>
      <c r="B11" s="2" t="s">
        <v>26</v>
      </c>
      <c r="C11" s="2" t="s">
        <v>33</v>
      </c>
      <c r="D11" t="s">
        <v>31</v>
      </c>
      <c r="E11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11" s="4">
        <v>3.5</v>
      </c>
      <c r="G11" s="7">
        <v>7.95</v>
      </c>
      <c r="H11" s="7">
        <v>11.45</v>
      </c>
      <c r="I11" s="4">
        <v>3.4</v>
      </c>
      <c r="J11" s="7">
        <v>7.95</v>
      </c>
      <c r="K11" s="7">
        <v>11.35</v>
      </c>
      <c r="L11" s="4">
        <v>3.2</v>
      </c>
      <c r="M11" s="7">
        <v>8.8000000000000007</v>
      </c>
      <c r="N11" s="7">
        <v>12</v>
      </c>
      <c r="O11" s="4">
        <v>3.4</v>
      </c>
      <c r="P11" s="7">
        <v>7.3</v>
      </c>
      <c r="Q11" s="7">
        <v>10.7</v>
      </c>
      <c r="R11" s="4">
        <f>LARGE(CHOOSE({1;2;3;4},F11,I11,L11,O11),1)+LARGE(CHOOSE({1;2;3;4},F11,I11,L11,O11),2)+LARGE(CHOOSE({1;2;3;4},F11,I11,L11,O11),3)</f>
        <v>10.3</v>
      </c>
      <c r="S11" s="7">
        <f>LARGE(CHOOSE({1;2;3;4},G11,J11,M11,P11),1)+LARGE(CHOOSE({1;2;3;4},G11,J11,M11,P11),2)+LARGE(CHOOSE({1;2;3;4},G11,J11,M11,P11),3)</f>
        <v>24.7</v>
      </c>
      <c r="T11" s="7">
        <f>LARGE(CHOOSE({1;2;3;4},H11,K11,N11,Q11),1)+LARGE(CHOOSE({1;2;3;4},H11,K11,N11,Q11),2)+LARGE(CHOOSE({1;2;3;4},H11,K11,N11,Q11),3)</f>
        <v>34.799999999999997</v>
      </c>
      <c r="U11" s="4" cm="1">
        <f t="array" ref="U11">IF(PB[[#This Row],[Number_of_competition]:[Number_of_competition]]&gt;=3,(LARGE(CHOOSE({1;2;3;4},F11,I11,L11,O11),1)+LARGE(CHOOSE({1;2;3;4},F11,I11,L11,O11),2)+LARGE(CHOOSE({1;2;3;4},F11,I11,L11,O11),3))/3,0)</f>
        <v>3.4333333333333336</v>
      </c>
      <c r="V11" s="7" cm="1">
        <f t="array" ref="V11">IF(PB[[#This Row],[Number_of_competition]:[Number_of_competition]]&gt;=3,(LARGE(CHOOSE({1;2;3;4},G11,J11,M11,P11),1)+LARGE(CHOOSE({1;2;3;4},G11,J11,M11,P11),2)+LARGE(CHOOSE({1;2;3;4},G11,J11,M11,P11),3))/3,0)</f>
        <v>8.2333333333333325</v>
      </c>
      <c r="W11" s="7" cm="1">
        <f t="array" ref="W11">IF(PB[[#This Row],[Number_of_competition]:[Number_of_competition]]&gt;=3,(LARGE(CHOOSE({1;2;3;4},H11,K11,N11,Q11),1)+LARGE(CHOOSE({1;2;3;4},H11,K11,N11,Q11),2)+LARGE(CHOOSE({1;2;3;4},H11,K11,N11,Q11),3))/3,0)</f>
        <v>11.6</v>
      </c>
      <c r="Y11" s="40"/>
      <c r="Z11" s="20" t="s">
        <v>275</v>
      </c>
      <c r="AA11" s="21" cm="1">
        <f t="array" ref="AA11">SUM(_xlfn._xlws.FILTER(PB[Year_Dscore],(PB[Category]="junior")*(PB[Number_of_competition]&gt;=3))/COUNTIFS(PB[Number_of_competition],"&gt;=3",PB[Category],"junior"))</f>
        <v>9.4</v>
      </c>
      <c r="AB11" s="21" cm="1">
        <f t="array" ref="AB11">_xlfn.STDEV.S(_xlfn._xlws.FILTER(PB[Year_Dscore],(PB[Category]="junior")*(PB[Number_of_competition]&gt;=3)))</f>
        <v>1.4142135623730951</v>
      </c>
      <c r="AC11" s="21" cm="1">
        <f t="array" ref="AC11">MAX(_xlfn._xlws.FILTER(PB[Year_Dscore],PB[Category]="junior"))</f>
        <v>12.600000000000001</v>
      </c>
      <c r="AE11" s="43" t="s">
        <v>63</v>
      </c>
      <c r="AF11" s="43" t="s">
        <v>60</v>
      </c>
      <c r="AG11" s="43" t="s">
        <v>64</v>
      </c>
      <c r="AH11" s="43" t="s">
        <v>39</v>
      </c>
      <c r="AI11">
        <v>4</v>
      </c>
      <c r="AJ11" t="s">
        <v>331</v>
      </c>
      <c r="AK11" s="43" t="s">
        <v>308</v>
      </c>
      <c r="AL11">
        <v>4.2</v>
      </c>
    </row>
    <row r="12" spans="1:38" x14ac:dyDescent="0.25">
      <c r="A12" t="s">
        <v>34</v>
      </c>
      <c r="B12" s="2" t="s">
        <v>26</v>
      </c>
      <c r="C12" s="2" t="s">
        <v>35</v>
      </c>
      <c r="D12" t="s">
        <v>36</v>
      </c>
      <c r="E12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12" s="4">
        <v>3.2</v>
      </c>
      <c r="G12" s="7">
        <v>8.6</v>
      </c>
      <c r="H12" s="7">
        <v>11.8</v>
      </c>
      <c r="I12" s="4">
        <v>3.7</v>
      </c>
      <c r="J12" s="7">
        <v>7.45</v>
      </c>
      <c r="K12" s="7">
        <v>11.15</v>
      </c>
      <c r="L12" s="4">
        <v>3.7</v>
      </c>
      <c r="M12" s="7">
        <v>8</v>
      </c>
      <c r="N12" s="7">
        <v>11.7</v>
      </c>
      <c r="O12" s="4">
        <v>3.4</v>
      </c>
      <c r="P12" s="7">
        <v>7.3</v>
      </c>
      <c r="Q12" s="7">
        <v>10.7</v>
      </c>
      <c r="R12" s="4">
        <f>LARGE(CHOOSE({1;2;3;4},F12,I12,L12,O12),1)+LARGE(CHOOSE({1;2;3;4},F12,I12,L12,O12),2)+LARGE(CHOOSE({1;2;3;4},F12,I12,L12,O12),3)</f>
        <v>10.8</v>
      </c>
      <c r="S12" s="7">
        <f>LARGE(CHOOSE({1;2;3;4},G12,J12,M12,P12),1)+LARGE(CHOOSE({1;2;3;4},G12,J12,M12,P12),2)+LARGE(CHOOSE({1;2;3;4},G12,J12,M12,P12),3)</f>
        <v>24.05</v>
      </c>
      <c r="T12" s="7">
        <f>LARGE(CHOOSE({1;2;3;4},H12,K12,N12,Q12),1)+LARGE(CHOOSE({1;2;3;4},H12,K12,N12,Q12),2)+LARGE(CHOOSE({1;2;3;4},H12,K12,N12,Q12),3)</f>
        <v>34.65</v>
      </c>
      <c r="U12" s="4" cm="1">
        <f t="array" ref="U12">IF(PB[[#This Row],[Number_of_competition]:[Number_of_competition]]&gt;=3,(LARGE(CHOOSE({1;2;3;4},F12,I12,L12,O12),1)+LARGE(CHOOSE({1;2;3;4},F12,I12,L12,O12),2)+LARGE(CHOOSE({1;2;3;4},F12,I12,L12,O12),3))/3,0)</f>
        <v>3.6</v>
      </c>
      <c r="V12" s="7" cm="1">
        <f t="array" ref="V12">IF(PB[[#This Row],[Number_of_competition]:[Number_of_competition]]&gt;=3,(LARGE(CHOOSE({1;2;3;4},G12,J12,M12,P12),1)+LARGE(CHOOSE({1;2;3;4},G12,J12,M12,P12),2)+LARGE(CHOOSE({1;2;3;4},G12,J12,M12,P12),3))/3,0)</f>
        <v>8.0166666666666675</v>
      </c>
      <c r="W12" s="7" cm="1">
        <f t="array" ref="W12">IF(PB[[#This Row],[Number_of_competition]:[Number_of_competition]]&gt;=3,(LARGE(CHOOSE({1;2;3;4},H12,K12,N12,Q12),1)+LARGE(CHOOSE({1;2;3;4},H12,K12,N12,Q12),2)+LARGE(CHOOSE({1;2;3;4},H12,K12,N12,Q12),3))/3,0)</f>
        <v>11.549999999999999</v>
      </c>
      <c r="Y12" s="40"/>
      <c r="Z12" s="20" t="s">
        <v>276</v>
      </c>
      <c r="AA12" s="22" cm="1">
        <f t="array" ref="AA12">SUM(_xlfn._xlws.FILTER(PB[Year_Escore],(PB[Category]="junior")*(PB[Number_of_competition]&gt;=3))/COUNTIFS(PB[Number_of_competition],"&gt;=3",PB[Category],"junior"))</f>
        <v>25.279166666666669</v>
      </c>
      <c r="AB12" s="22" cm="1">
        <f t="array" ref="AB12">_xlfn.STDEV.S(_xlfn._xlws.FILTER(PB[Year_Escore],(PB[Category]="junior")*(PB[Number_of_competition]&gt;=3)))</f>
        <v>0.82004942570924333</v>
      </c>
      <c r="AC12" s="22" cm="1">
        <f t="array" ref="AC12">MAX(_xlfn._xlws.FILTER(PB[Year_Escore],PB[Category]="junior"))</f>
        <v>26.799999999999997</v>
      </c>
      <c r="AE12" s="43" t="s">
        <v>63</v>
      </c>
      <c r="AF12" s="43" t="s">
        <v>60</v>
      </c>
      <c r="AG12" s="43" t="s">
        <v>64</v>
      </c>
      <c r="AH12" s="43" t="s">
        <v>39</v>
      </c>
      <c r="AI12">
        <v>4</v>
      </c>
      <c r="AJ12" t="s">
        <v>331</v>
      </c>
      <c r="AK12" s="43" t="s">
        <v>309</v>
      </c>
      <c r="AL12">
        <v>9.1999999999999993</v>
      </c>
    </row>
    <row r="13" spans="1:38" x14ac:dyDescent="0.25">
      <c r="A13" t="s">
        <v>73</v>
      </c>
      <c r="B13" s="2" t="s">
        <v>60</v>
      </c>
      <c r="C13" s="2" t="s">
        <v>74</v>
      </c>
      <c r="D13" t="s">
        <v>62</v>
      </c>
      <c r="E13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13" s="4">
        <v>3.5</v>
      </c>
      <c r="G13" s="7">
        <v>8</v>
      </c>
      <c r="H13" s="7">
        <v>11.5</v>
      </c>
      <c r="I13" s="4">
        <v>4.0999999999999996</v>
      </c>
      <c r="J13" s="7">
        <v>7.9</v>
      </c>
      <c r="K13" s="7">
        <v>12</v>
      </c>
      <c r="L13" s="4">
        <v>3.7</v>
      </c>
      <c r="M13" s="7">
        <v>6.85</v>
      </c>
      <c r="N13" s="7">
        <v>10.55</v>
      </c>
      <c r="O13" s="4">
        <v>3.6</v>
      </c>
      <c r="P13" s="7">
        <v>7.4</v>
      </c>
      <c r="Q13" s="7">
        <v>11</v>
      </c>
      <c r="R13" s="4">
        <f>LARGE(CHOOSE({1;2;3;4},F13,I13,L13,O13),1)+LARGE(CHOOSE({1;2;3;4},F13,I13,L13,O13),2)+LARGE(CHOOSE({1;2;3;4},F13,I13,L13,O13),3)</f>
        <v>11.4</v>
      </c>
      <c r="S13" s="7">
        <f>LARGE(CHOOSE({1;2;3;4},G13,J13,M13,P13),1)+LARGE(CHOOSE({1;2;3;4},G13,J13,M13,P13),2)+LARGE(CHOOSE({1;2;3;4},G13,J13,M13,P13),3)</f>
        <v>23.3</v>
      </c>
      <c r="T13" s="7">
        <f>LARGE(CHOOSE({1;2;3;4},H13,K13,N13,Q13),1)+LARGE(CHOOSE({1;2;3;4},H13,K13,N13,Q13),2)+LARGE(CHOOSE({1;2;3;4},H13,K13,N13,Q13),3)</f>
        <v>34.5</v>
      </c>
      <c r="U13" s="4" cm="1">
        <f t="array" ref="U13">IF(PB[[#This Row],[Number_of_competition]:[Number_of_competition]]&gt;=3,(LARGE(CHOOSE({1;2;3;4},F13,I13,L13,O13),1)+LARGE(CHOOSE({1;2;3;4},F13,I13,L13,O13),2)+LARGE(CHOOSE({1;2;3;4},F13,I13,L13,O13),3))/3,0)</f>
        <v>3.8000000000000003</v>
      </c>
      <c r="V13" s="7" cm="1">
        <f t="array" ref="V13">IF(PB[[#This Row],[Number_of_competition]:[Number_of_competition]]&gt;=3,(LARGE(CHOOSE({1;2;3;4},G13,J13,M13,P13),1)+LARGE(CHOOSE({1;2;3;4},G13,J13,M13,P13),2)+LARGE(CHOOSE({1;2;3;4},G13,J13,M13,P13),3))/3,0)</f>
        <v>7.7666666666666666</v>
      </c>
      <c r="W13" s="7" cm="1">
        <f t="array" ref="W13">IF(PB[[#This Row],[Number_of_competition]:[Number_of_competition]]&gt;=3,(LARGE(CHOOSE({1;2;3;4},H13,K13,N13,Q13),1)+LARGE(CHOOSE({1;2;3;4},H13,K13,N13,Q13),2)+LARGE(CHOOSE({1;2;3;4},H13,K13,N13,Q13),3))/3,0)</f>
        <v>11.5</v>
      </c>
      <c r="Y13" s="41"/>
      <c r="Z13" s="20" t="s">
        <v>277</v>
      </c>
      <c r="AA13" s="22" cm="1">
        <f t="array" ref="AA13">SUM(_xlfn._xlws.FILTER(PB[Year_Total_Score],(PB[Category]="junior")*(PB[Number_of_competition]&gt;=3))/COUNTIFS(PB[Number_of_competition],"&gt;=3",PB[Category],"junior"))</f>
        <v>34.520833333333336</v>
      </c>
      <c r="AB13" s="22" cm="1">
        <f t="array" ref="AB13">_xlfn.STDEV.S(_xlfn._xlws.FILTER(PB[Year_Total_Score],(PB[Category]="junior")*(PB[Number_of_competition]&gt;=3)))</f>
        <v>1.6783999866395123</v>
      </c>
      <c r="AC13" s="22" cm="1">
        <f t="array" ref="AC13">MAX(_xlfn._xlws.FILTER(PB[Year_Total_Score],PB[Category]="junior"))</f>
        <v>38.75</v>
      </c>
      <c r="AE13" s="43" t="s">
        <v>63</v>
      </c>
      <c r="AF13" s="43" t="s">
        <v>60</v>
      </c>
      <c r="AG13" s="43" t="s">
        <v>64</v>
      </c>
      <c r="AH13" s="43" t="s">
        <v>39</v>
      </c>
      <c r="AI13">
        <v>4</v>
      </c>
      <c r="AJ13" t="s">
        <v>331</v>
      </c>
      <c r="AK13" s="43" t="s">
        <v>268</v>
      </c>
      <c r="AL13">
        <v>13.4</v>
      </c>
    </row>
    <row r="14" spans="1:38" x14ac:dyDescent="0.25">
      <c r="A14" t="s">
        <v>52</v>
      </c>
      <c r="B14" s="2" t="s">
        <v>26</v>
      </c>
      <c r="C14" s="2" t="s">
        <v>53</v>
      </c>
      <c r="D14" t="s">
        <v>36</v>
      </c>
      <c r="E14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14" s="4">
        <v>3.1</v>
      </c>
      <c r="G14" s="7">
        <v>8.75</v>
      </c>
      <c r="H14" s="7">
        <v>11.85</v>
      </c>
      <c r="I14" s="4">
        <v>3.1</v>
      </c>
      <c r="J14" s="7">
        <v>8</v>
      </c>
      <c r="K14" s="7">
        <v>11.1</v>
      </c>
      <c r="L14" s="4">
        <v>2.4</v>
      </c>
      <c r="M14" s="7">
        <v>9.1</v>
      </c>
      <c r="N14" s="7">
        <v>11.5</v>
      </c>
      <c r="O14" s="4">
        <v>2.4</v>
      </c>
      <c r="P14" s="7">
        <v>8.5</v>
      </c>
      <c r="Q14" s="7">
        <v>10.9</v>
      </c>
      <c r="R14" s="4">
        <f>LARGE(CHOOSE({1;2;3;4},F14,I14,L14,O14),1)+LARGE(CHOOSE({1;2;3;4},F14,I14,L14,O14),2)+LARGE(CHOOSE({1;2;3;4},F14,I14,L14,O14),3)</f>
        <v>8.6</v>
      </c>
      <c r="S14" s="7">
        <f>LARGE(CHOOSE({1;2;3;4},G14,J14,M14,P14),1)+LARGE(CHOOSE({1;2;3;4},G14,J14,M14,P14),2)+LARGE(CHOOSE({1;2;3;4},G14,J14,M14,P14),3)</f>
        <v>26.35</v>
      </c>
      <c r="T14" s="7">
        <f>LARGE(CHOOSE({1;2;3;4},H14,K14,N14,Q14),1)+LARGE(CHOOSE({1;2;3;4},H14,K14,N14,Q14),2)+LARGE(CHOOSE({1;2;3;4},H14,K14,N14,Q14),3)</f>
        <v>34.450000000000003</v>
      </c>
      <c r="U14" s="4" cm="1">
        <f t="array" ref="U14">IF(PB[[#This Row],[Number_of_competition]:[Number_of_competition]]&gt;=3,(LARGE(CHOOSE({1;2;3;4},F14,I14,L14,O14),1)+LARGE(CHOOSE({1;2;3;4},F14,I14,L14,O14),2)+LARGE(CHOOSE({1;2;3;4},F14,I14,L14,O14),3))/3,0)</f>
        <v>2.8666666666666667</v>
      </c>
      <c r="V14" s="7" cm="1">
        <f t="array" ref="V14">IF(PB[[#This Row],[Number_of_competition]:[Number_of_competition]]&gt;=3,(LARGE(CHOOSE({1;2;3;4},G14,J14,M14,P14),1)+LARGE(CHOOSE({1;2;3;4},G14,J14,M14,P14),2)+LARGE(CHOOSE({1;2;3;4},G14,J14,M14,P14),3))/3,0)</f>
        <v>8.7833333333333332</v>
      </c>
      <c r="W14" s="7" cm="1">
        <f t="array" ref="W14">IF(PB[[#This Row],[Number_of_competition]:[Number_of_competition]]&gt;=3,(LARGE(CHOOSE({1;2;3;4},H14,K14,N14,Q14),1)+LARGE(CHOOSE({1;2;3;4},H14,K14,N14,Q14),2)+LARGE(CHOOSE({1;2;3;4},H14,K14,N14,Q14),3))/3,0)</f>
        <v>11.483333333333334</v>
      </c>
      <c r="AE14" s="43" t="s">
        <v>63</v>
      </c>
      <c r="AF14" s="43" t="s">
        <v>60</v>
      </c>
      <c r="AG14" s="43" t="s">
        <v>64</v>
      </c>
      <c r="AH14" s="43" t="s">
        <v>39</v>
      </c>
      <c r="AI14">
        <v>4</v>
      </c>
      <c r="AJ14" t="s">
        <v>341</v>
      </c>
      <c r="AK14" s="43" t="s">
        <v>308</v>
      </c>
      <c r="AL14">
        <v>12.600000000000001</v>
      </c>
    </row>
    <row r="15" spans="1:38" x14ac:dyDescent="0.25">
      <c r="A15" t="s">
        <v>40</v>
      </c>
      <c r="B15" s="2" t="s">
        <v>26</v>
      </c>
      <c r="C15" s="2" t="s">
        <v>41</v>
      </c>
      <c r="D15" t="s">
        <v>39</v>
      </c>
      <c r="E15" s="6">
        <f>COUNTIF(PB[[#This Row],[bydgoszcz_PB_Total_Score]],"&gt;0")+COUNTIF(PB[[#This Row],[zabrze_PB_Total_Score]],"&gt;0")+COUNTIF(PB[[#This Row],[cracow_PB_Total_Score]],"&gt;0")+COUNTIF(PB[[#This Row],[gdansk_PB_Total_Score]],"&gt;0")</f>
        <v>3</v>
      </c>
      <c r="F15" s="4">
        <v>0</v>
      </c>
      <c r="G15" s="7">
        <v>0</v>
      </c>
      <c r="H15" s="7">
        <v>0</v>
      </c>
      <c r="I15" s="4">
        <v>3</v>
      </c>
      <c r="J15" s="7">
        <v>8.1999999999999993</v>
      </c>
      <c r="K15" s="7">
        <v>11.2</v>
      </c>
      <c r="L15" s="4">
        <v>3</v>
      </c>
      <c r="M15" s="7">
        <v>8.1</v>
      </c>
      <c r="N15" s="7">
        <v>11.1</v>
      </c>
      <c r="O15" s="4">
        <v>3</v>
      </c>
      <c r="P15" s="7">
        <v>9</v>
      </c>
      <c r="Q15" s="7">
        <v>12</v>
      </c>
      <c r="R15" s="4">
        <f>LARGE(CHOOSE({1;2;3;4},F15,I15,L15,O15),1)+LARGE(CHOOSE({1;2;3;4},F15,I15,L15,O15),2)+LARGE(CHOOSE({1;2;3;4},F15,I15,L15,O15),3)</f>
        <v>9</v>
      </c>
      <c r="S15" s="7">
        <f>LARGE(CHOOSE({1;2;3;4},G15,J15,M15,P15),1)+LARGE(CHOOSE({1;2;3;4},G15,J15,M15,P15),2)+LARGE(CHOOSE({1;2;3;4},G15,J15,M15,P15),3)</f>
        <v>25.299999999999997</v>
      </c>
      <c r="T15" s="7">
        <f>LARGE(CHOOSE({1;2;3;4},H15,K15,N15,Q15),1)+LARGE(CHOOSE({1;2;3;4},H15,K15,N15,Q15),2)+LARGE(CHOOSE({1;2;3;4},H15,K15,N15,Q15),3)</f>
        <v>34.299999999999997</v>
      </c>
      <c r="U15" s="4" cm="1">
        <f t="array" ref="U15">IF(PB[[#This Row],[Number_of_competition]:[Number_of_competition]]&gt;=3,(LARGE(CHOOSE({1;2;3;4},F15,I15,L15,O15),1)+LARGE(CHOOSE({1;2;3;4},F15,I15,L15,O15),2)+LARGE(CHOOSE({1;2;3;4},F15,I15,L15,O15),3))/3,0)</f>
        <v>3</v>
      </c>
      <c r="V15" s="7" cm="1">
        <f t="array" ref="V15">IF(PB[[#This Row],[Number_of_competition]:[Number_of_competition]]&gt;=3,(LARGE(CHOOSE({1;2;3;4},G15,J15,M15,P15),1)+LARGE(CHOOSE({1;2;3;4},G15,J15,M15,P15),2)+LARGE(CHOOSE({1;2;3;4},G15,J15,M15,P15),3))/3,0)</f>
        <v>8.4333333333333318</v>
      </c>
      <c r="W15" s="7" cm="1">
        <f t="array" ref="W15">IF(PB[[#This Row],[Number_of_competition]:[Number_of_competition]]&gt;=3,(LARGE(CHOOSE({1;2;3;4},H15,K15,N15,Q15),1)+LARGE(CHOOSE({1;2;3;4},H15,K15,N15,Q15),2)+LARGE(CHOOSE({1;2;3;4},H15,K15,N15,Q15),3))/3,0)</f>
        <v>11.433333333333332</v>
      </c>
      <c r="Y15" s="28" t="s">
        <v>296</v>
      </c>
      <c r="AE15" s="43" t="s">
        <v>63</v>
      </c>
      <c r="AF15" s="43" t="s">
        <v>60</v>
      </c>
      <c r="AG15" s="43" t="s">
        <v>64</v>
      </c>
      <c r="AH15" s="43" t="s">
        <v>39</v>
      </c>
      <c r="AI15">
        <v>4</v>
      </c>
      <c r="AJ15" t="s">
        <v>341</v>
      </c>
      <c r="AK15" s="43" t="s">
        <v>309</v>
      </c>
      <c r="AL15">
        <v>26.6</v>
      </c>
    </row>
    <row r="16" spans="1:38" x14ac:dyDescent="0.25">
      <c r="A16" t="s">
        <v>68</v>
      </c>
      <c r="B16" s="2" t="s">
        <v>60</v>
      </c>
      <c r="C16" s="2" t="s">
        <v>69</v>
      </c>
      <c r="D16" t="s">
        <v>31</v>
      </c>
      <c r="E16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16" s="4">
        <v>2.7</v>
      </c>
      <c r="G16" s="7">
        <v>6.85</v>
      </c>
      <c r="H16" s="7">
        <v>9.5500000000000007</v>
      </c>
      <c r="I16" s="4">
        <v>3.5</v>
      </c>
      <c r="J16" s="7">
        <v>8.6999999999999993</v>
      </c>
      <c r="K16" s="7">
        <v>12.2</v>
      </c>
      <c r="L16" s="4">
        <v>3.4</v>
      </c>
      <c r="M16" s="7">
        <v>8.75</v>
      </c>
      <c r="N16" s="7">
        <v>12.15</v>
      </c>
      <c r="O16" s="4">
        <v>3.2</v>
      </c>
      <c r="P16" s="7">
        <v>5.8</v>
      </c>
      <c r="Q16" s="7">
        <v>9</v>
      </c>
      <c r="R16" s="4">
        <f>LARGE(CHOOSE({1;2;3;4},F16,I16,L16,O16),1)+LARGE(CHOOSE({1;2;3;4},F16,I16,L16,O16),2)+LARGE(CHOOSE({1;2;3;4},F16,I16,L16,O16),3)</f>
        <v>10.100000000000001</v>
      </c>
      <c r="S16" s="7">
        <f>LARGE(CHOOSE({1;2;3;4},G16,J16,M16,P16),1)+LARGE(CHOOSE({1;2;3;4},G16,J16,M16,P16),2)+LARGE(CHOOSE({1;2;3;4},G16,J16,M16,P16),3)</f>
        <v>24.299999999999997</v>
      </c>
      <c r="T16" s="7">
        <f>LARGE(CHOOSE({1;2;3;4},H16,K16,N16,Q16),1)+LARGE(CHOOSE({1;2;3;4},H16,K16,N16,Q16),2)+LARGE(CHOOSE({1;2;3;4},H16,K16,N16,Q16),3)</f>
        <v>33.900000000000006</v>
      </c>
      <c r="U16" s="4" cm="1">
        <f t="array" ref="U16">IF(PB[[#This Row],[Number_of_competition]:[Number_of_competition]]&gt;=3,(LARGE(CHOOSE({1;2;3;4},F16,I16,L16,O16),1)+LARGE(CHOOSE({1;2;3;4},F16,I16,L16,O16),2)+LARGE(CHOOSE({1;2;3;4},F16,I16,L16,O16),3))/3,0)</f>
        <v>3.3666666666666671</v>
      </c>
      <c r="V16" s="7" cm="1">
        <f t="array" ref="V16">IF(PB[[#This Row],[Number_of_competition]:[Number_of_competition]]&gt;=3,(LARGE(CHOOSE({1;2;3;4},G16,J16,M16,P16),1)+LARGE(CHOOSE({1;2;3;4},G16,J16,M16,P16),2)+LARGE(CHOOSE({1;2;3;4},G16,J16,M16,P16),3))/3,0)</f>
        <v>8.1</v>
      </c>
      <c r="W16" s="7" cm="1">
        <f t="array" ref="W16">IF(PB[[#This Row],[Number_of_competition]:[Number_of_competition]]&gt;=3,(LARGE(CHOOSE({1;2;3;4},H16,K16,N16,Q16),1)+LARGE(CHOOSE({1;2;3;4},H16,K16,N16,Q16),2)+LARGE(CHOOSE({1;2;3;4},H16,K16,N16,Q16),3))/3,0)</f>
        <v>11.300000000000002</v>
      </c>
      <c r="Y16" s="29" t="s">
        <v>297</v>
      </c>
      <c r="AE16" s="43" t="s">
        <v>63</v>
      </c>
      <c r="AF16" s="43" t="s">
        <v>60</v>
      </c>
      <c r="AG16" s="43" t="s">
        <v>64</v>
      </c>
      <c r="AH16" s="43" t="s">
        <v>39</v>
      </c>
      <c r="AI16">
        <v>4</v>
      </c>
      <c r="AJ16" t="s">
        <v>341</v>
      </c>
      <c r="AK16" s="43" t="s">
        <v>268</v>
      </c>
      <c r="AL16">
        <v>39.200000000000003</v>
      </c>
    </row>
    <row r="17" spans="1:38" x14ac:dyDescent="0.25">
      <c r="A17" t="s">
        <v>48</v>
      </c>
      <c r="B17" s="2" t="s">
        <v>26</v>
      </c>
      <c r="C17" s="2" t="s">
        <v>49</v>
      </c>
      <c r="D17" t="s">
        <v>36</v>
      </c>
      <c r="E17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17" s="4">
        <v>3.1</v>
      </c>
      <c r="G17" s="7">
        <v>8.0500000000000007</v>
      </c>
      <c r="H17" s="7">
        <v>11.15</v>
      </c>
      <c r="I17" s="4">
        <v>3.1</v>
      </c>
      <c r="J17" s="7">
        <v>7.8</v>
      </c>
      <c r="K17" s="7">
        <v>10.9</v>
      </c>
      <c r="L17" s="4">
        <v>3.1</v>
      </c>
      <c r="M17" s="7">
        <v>7.45</v>
      </c>
      <c r="N17" s="7">
        <v>10.55</v>
      </c>
      <c r="O17" s="4">
        <v>2.4</v>
      </c>
      <c r="P17" s="7">
        <v>9</v>
      </c>
      <c r="Q17" s="7">
        <v>11.4</v>
      </c>
      <c r="R17" s="4">
        <f>LARGE(CHOOSE({1;2;3;4},F17,I17,L17,O17),1)+LARGE(CHOOSE({1;2;3;4},F17,I17,L17,O17),2)+LARGE(CHOOSE({1;2;3;4},F17,I17,L17,O17),3)</f>
        <v>9.3000000000000007</v>
      </c>
      <c r="S17" s="7">
        <f>LARGE(CHOOSE({1;2;3;4},G17,J17,M17,P17),1)+LARGE(CHOOSE({1;2;3;4},G17,J17,M17,P17),2)+LARGE(CHOOSE({1;2;3;4},G17,J17,M17,P17),3)</f>
        <v>24.85</v>
      </c>
      <c r="T17" s="7">
        <f>LARGE(CHOOSE({1;2;3;4},H17,K17,N17,Q17),1)+LARGE(CHOOSE({1;2;3;4},H17,K17,N17,Q17),2)+LARGE(CHOOSE({1;2;3;4},H17,K17,N17,Q17),3)</f>
        <v>33.450000000000003</v>
      </c>
      <c r="U17" s="4" cm="1">
        <f t="array" ref="U17">IF(PB[[#This Row],[Number_of_competition]:[Number_of_competition]]&gt;=3,(LARGE(CHOOSE({1;2;3;4},F17,I17,L17,O17),1)+LARGE(CHOOSE({1;2;3;4},F17,I17,L17,O17),2)+LARGE(CHOOSE({1;2;3;4},F17,I17,L17,O17),3))/3,0)</f>
        <v>3.1</v>
      </c>
      <c r="V17" s="7" cm="1">
        <f t="array" ref="V17">IF(PB[[#This Row],[Number_of_competition]:[Number_of_competition]]&gt;=3,(LARGE(CHOOSE({1;2;3;4},G17,J17,M17,P17),1)+LARGE(CHOOSE({1;2;3;4},G17,J17,M17,P17),2)+LARGE(CHOOSE({1;2;3;4},G17,J17,M17,P17),3))/3,0)</f>
        <v>8.2833333333333332</v>
      </c>
      <c r="W17" s="7" cm="1">
        <f t="array" ref="W17">IF(PB[[#This Row],[Number_of_competition]:[Number_of_competition]]&gt;=3,(LARGE(CHOOSE({1;2;3;4},H17,K17,N17,Q17),1)+LARGE(CHOOSE({1;2;3;4},H17,K17,N17,Q17),2)+LARGE(CHOOSE({1;2;3;4},H17,K17,N17,Q17),3))/3,0)</f>
        <v>11.15</v>
      </c>
      <c r="Y17" s="30" t="s">
        <v>298</v>
      </c>
      <c r="AE17" s="43" t="s">
        <v>63</v>
      </c>
      <c r="AF17" s="43" t="s">
        <v>60</v>
      </c>
      <c r="AG17" s="43" t="s">
        <v>64</v>
      </c>
      <c r="AH17" s="43" t="s">
        <v>39</v>
      </c>
      <c r="AI17">
        <v>4</v>
      </c>
      <c r="AJ17" t="s">
        <v>273</v>
      </c>
      <c r="AK17" s="43" t="s">
        <v>308</v>
      </c>
      <c r="AL17">
        <v>4.2</v>
      </c>
    </row>
    <row r="18" spans="1:38" x14ac:dyDescent="0.25">
      <c r="A18" t="s">
        <v>82</v>
      </c>
      <c r="B18" s="2" t="s">
        <v>60</v>
      </c>
      <c r="C18" s="2" t="s">
        <v>83</v>
      </c>
      <c r="D18" t="s">
        <v>36</v>
      </c>
      <c r="E18" s="6">
        <f>COUNTIF(PB[[#This Row],[bydgoszcz_PB_Total_Score]],"&gt;0")+COUNTIF(PB[[#This Row],[zabrze_PB_Total_Score]],"&gt;0")+COUNTIF(PB[[#This Row],[cracow_PB_Total_Score]],"&gt;0")+COUNTIF(PB[[#This Row],[gdansk_PB_Total_Score]],"&gt;0")</f>
        <v>3</v>
      </c>
      <c r="F18" s="4">
        <v>0</v>
      </c>
      <c r="G18" s="7">
        <v>0</v>
      </c>
      <c r="H18" s="7">
        <v>0</v>
      </c>
      <c r="I18" s="4">
        <v>3</v>
      </c>
      <c r="J18" s="7">
        <v>8.75</v>
      </c>
      <c r="K18" s="7">
        <v>11.75</v>
      </c>
      <c r="L18" s="4">
        <v>2.5</v>
      </c>
      <c r="M18" s="7">
        <v>7.15</v>
      </c>
      <c r="N18" s="7">
        <v>9.65</v>
      </c>
      <c r="O18" s="4">
        <v>3</v>
      </c>
      <c r="P18" s="7">
        <v>8.8000000000000007</v>
      </c>
      <c r="Q18" s="7">
        <v>11.8</v>
      </c>
      <c r="R18" s="4">
        <f>LARGE(CHOOSE({1;2;3;4},F18,I18,L18,O18),1)+LARGE(CHOOSE({1;2;3;4},F18,I18,L18,O18),2)+LARGE(CHOOSE({1;2;3;4},F18,I18,L18,O18),3)</f>
        <v>8.5</v>
      </c>
      <c r="S18" s="7">
        <f>LARGE(CHOOSE({1;2;3;4},G18,J18,M18,P18),1)+LARGE(CHOOSE({1;2;3;4},G18,J18,M18,P18),2)+LARGE(CHOOSE({1;2;3;4},G18,J18,M18,P18),3)</f>
        <v>24.700000000000003</v>
      </c>
      <c r="T18" s="7">
        <f>LARGE(CHOOSE({1;2;3;4},H18,K18,N18,Q18),1)+LARGE(CHOOSE({1;2;3;4},H18,K18,N18,Q18),2)+LARGE(CHOOSE({1;2;3;4},H18,K18,N18,Q18),3)</f>
        <v>33.200000000000003</v>
      </c>
      <c r="U18" s="4" cm="1">
        <f t="array" ref="U18">IF(PB[[#This Row],[Number_of_competition]:[Number_of_competition]]&gt;=3,(LARGE(CHOOSE({1;2;3;4},F18,I18,L18,O18),1)+LARGE(CHOOSE({1;2;3;4},F18,I18,L18,O18),2)+LARGE(CHOOSE({1;2;3;4},F18,I18,L18,O18),3))/3,0)</f>
        <v>2.8333333333333335</v>
      </c>
      <c r="V18" s="7" cm="1">
        <f t="array" ref="V18">IF(PB[[#This Row],[Number_of_competition]:[Number_of_competition]]&gt;=3,(LARGE(CHOOSE({1;2;3;4},G18,J18,M18,P18),1)+LARGE(CHOOSE({1;2;3;4},G18,J18,M18,P18),2)+LARGE(CHOOSE({1;2;3;4},G18,J18,M18,P18),3))/3,0)</f>
        <v>8.2333333333333343</v>
      </c>
      <c r="W18" s="7" cm="1">
        <f t="array" ref="W18">IF(PB[[#This Row],[Number_of_competition]:[Number_of_competition]]&gt;=3,(LARGE(CHOOSE({1;2;3;4},H18,K18,N18,Q18),1)+LARGE(CHOOSE({1;2;3;4},H18,K18,N18,Q18),2)+LARGE(CHOOSE({1;2;3;4},H18,K18,N18,Q18),3))/3,0)</f>
        <v>11.066666666666668</v>
      </c>
      <c r="Y18" s="31" t="s">
        <v>300</v>
      </c>
      <c r="AE18" s="43" t="s">
        <v>63</v>
      </c>
      <c r="AF18" s="43" t="s">
        <v>60</v>
      </c>
      <c r="AG18" s="43" t="s">
        <v>64</v>
      </c>
      <c r="AH18" s="43" t="s">
        <v>39</v>
      </c>
      <c r="AI18">
        <v>4</v>
      </c>
      <c r="AJ18" t="s">
        <v>273</v>
      </c>
      <c r="AK18" s="43" t="s">
        <v>309</v>
      </c>
      <c r="AL18">
        <v>8.8666666666666671</v>
      </c>
    </row>
    <row r="19" spans="1:38" x14ac:dyDescent="0.25">
      <c r="A19" t="s">
        <v>46</v>
      </c>
      <c r="B19" s="2" t="s">
        <v>26</v>
      </c>
      <c r="C19" s="2" t="s">
        <v>47</v>
      </c>
      <c r="D19" t="s">
        <v>36</v>
      </c>
      <c r="E19" s="6">
        <f>COUNTIF(PB[[#This Row],[bydgoszcz_PB_Total_Score]],"&gt;0")+COUNTIF(PB[[#This Row],[zabrze_PB_Total_Score]],"&gt;0")+COUNTIF(PB[[#This Row],[cracow_PB_Total_Score]],"&gt;0")+COUNTIF(PB[[#This Row],[gdansk_PB_Total_Score]],"&gt;0")</f>
        <v>3</v>
      </c>
      <c r="F19" s="4">
        <v>0</v>
      </c>
      <c r="G19" s="7">
        <v>0</v>
      </c>
      <c r="H19" s="7">
        <v>0</v>
      </c>
      <c r="I19" s="4">
        <v>2.4</v>
      </c>
      <c r="J19" s="7">
        <v>8.6</v>
      </c>
      <c r="K19" s="7">
        <v>11</v>
      </c>
      <c r="L19" s="4">
        <v>3.1</v>
      </c>
      <c r="M19" s="7">
        <v>8.6</v>
      </c>
      <c r="N19" s="7">
        <v>11.7</v>
      </c>
      <c r="O19" s="4">
        <v>2.4</v>
      </c>
      <c r="P19" s="7">
        <v>8</v>
      </c>
      <c r="Q19" s="7">
        <v>10.4</v>
      </c>
      <c r="R19" s="4">
        <f>LARGE(CHOOSE({1;2;3;4},F19,I19,L19,O19),1)+LARGE(CHOOSE({1;2;3;4},F19,I19,L19,O19),2)+LARGE(CHOOSE({1;2;3;4},F19,I19,L19,O19),3)</f>
        <v>7.9</v>
      </c>
      <c r="S19" s="7">
        <f>LARGE(CHOOSE({1;2;3;4},G19,J19,M19,P19),1)+LARGE(CHOOSE({1;2;3;4},G19,J19,M19,P19),2)+LARGE(CHOOSE({1;2;3;4},G19,J19,M19,P19),3)</f>
        <v>25.2</v>
      </c>
      <c r="T19" s="7">
        <f>LARGE(CHOOSE({1;2;3;4},H19,K19,N19,Q19),1)+LARGE(CHOOSE({1;2;3;4},H19,K19,N19,Q19),2)+LARGE(CHOOSE({1;2;3;4},H19,K19,N19,Q19),3)</f>
        <v>33.1</v>
      </c>
      <c r="U19" s="4" cm="1">
        <f t="array" ref="U19">IF(PB[[#This Row],[Number_of_competition]:[Number_of_competition]]&gt;=3,(LARGE(CHOOSE({1;2;3;4},F19,I19,L19,O19),1)+LARGE(CHOOSE({1;2;3;4},F19,I19,L19,O19),2)+LARGE(CHOOSE({1;2;3;4},F19,I19,L19,O19),3))/3,0)</f>
        <v>2.6333333333333333</v>
      </c>
      <c r="V19" s="7" cm="1">
        <f t="array" ref="V19">IF(PB[[#This Row],[Number_of_competition]:[Number_of_competition]]&gt;=3,(LARGE(CHOOSE({1;2;3;4},G19,J19,M19,P19),1)+LARGE(CHOOSE({1;2;3;4},G19,J19,M19,P19),2)+LARGE(CHOOSE({1;2;3;4},G19,J19,M19,P19),3))/3,0)</f>
        <v>8.4</v>
      </c>
      <c r="W19" s="7" cm="1">
        <f t="array" ref="W19">IF(PB[[#This Row],[Number_of_competition]:[Number_of_competition]]&gt;=3,(LARGE(CHOOSE({1;2;3;4},H19,K19,N19,Q19),1)+LARGE(CHOOSE({1;2;3;4},H19,K19,N19,Q19),2)+LARGE(CHOOSE({1;2;3;4},H19,K19,N19,Q19),3))/3,0)</f>
        <v>11.033333333333333</v>
      </c>
      <c r="Y19" s="32" t="s">
        <v>299</v>
      </c>
      <c r="AE19" s="43" t="s">
        <v>63</v>
      </c>
      <c r="AF19" s="43" t="s">
        <v>60</v>
      </c>
      <c r="AG19" s="43" t="s">
        <v>64</v>
      </c>
      <c r="AH19" s="43" t="s">
        <v>39</v>
      </c>
      <c r="AI19">
        <v>4</v>
      </c>
      <c r="AJ19" t="s">
        <v>273</v>
      </c>
      <c r="AK19" s="43" t="s">
        <v>268</v>
      </c>
      <c r="AL19">
        <v>13.066666666666668</v>
      </c>
    </row>
    <row r="20" spans="1:38" x14ac:dyDescent="0.25">
      <c r="A20" t="s">
        <v>42</v>
      </c>
      <c r="B20" s="2" t="s">
        <v>26</v>
      </c>
      <c r="C20" s="2" t="s">
        <v>43</v>
      </c>
      <c r="D20" t="s">
        <v>36</v>
      </c>
      <c r="E20" s="6">
        <f>COUNTIF(PB[[#This Row],[bydgoszcz_PB_Total_Score]],"&gt;0")+COUNTIF(PB[[#This Row],[zabrze_PB_Total_Score]],"&gt;0")+COUNTIF(PB[[#This Row],[cracow_PB_Total_Score]],"&gt;0")+COUNTIF(PB[[#This Row],[gdansk_PB_Total_Score]],"&gt;0")</f>
        <v>3</v>
      </c>
      <c r="F20" s="4">
        <v>0</v>
      </c>
      <c r="G20" s="7">
        <v>0</v>
      </c>
      <c r="H20" s="7">
        <v>0</v>
      </c>
      <c r="I20" s="4">
        <v>3.1</v>
      </c>
      <c r="J20" s="7">
        <v>8.5500000000000007</v>
      </c>
      <c r="K20" s="7">
        <v>11.65</v>
      </c>
      <c r="L20" s="4">
        <v>3.1</v>
      </c>
      <c r="M20" s="7">
        <v>7.1</v>
      </c>
      <c r="N20" s="7">
        <v>10.199999999999999</v>
      </c>
      <c r="O20" s="4">
        <v>2.4</v>
      </c>
      <c r="P20" s="7">
        <v>8.8000000000000007</v>
      </c>
      <c r="Q20" s="7">
        <v>11.2</v>
      </c>
      <c r="R20" s="4">
        <f>LARGE(CHOOSE({1;2;3;4},F20,I20,L20,O20),1)+LARGE(CHOOSE({1;2;3;4},F20,I20,L20,O20),2)+LARGE(CHOOSE({1;2;3;4},F20,I20,L20,O20),3)</f>
        <v>8.6</v>
      </c>
      <c r="S20" s="7">
        <f>LARGE(CHOOSE({1;2;3;4},G20,J20,M20,P20),1)+LARGE(CHOOSE({1;2;3;4},G20,J20,M20,P20),2)+LARGE(CHOOSE({1;2;3;4},G20,J20,M20,P20),3)</f>
        <v>24.450000000000003</v>
      </c>
      <c r="T20" s="7">
        <f>LARGE(CHOOSE({1;2;3;4},H20,K20,N20,Q20),1)+LARGE(CHOOSE({1;2;3;4},H20,K20,N20,Q20),2)+LARGE(CHOOSE({1;2;3;4},H20,K20,N20,Q20),3)</f>
        <v>33.049999999999997</v>
      </c>
      <c r="U20" s="4" cm="1">
        <f t="array" ref="U20">IF(PB[[#This Row],[Number_of_competition]:[Number_of_competition]]&gt;=3,(LARGE(CHOOSE({1;2;3;4},F20,I20,L20,O20),1)+LARGE(CHOOSE({1;2;3;4},F20,I20,L20,O20),2)+LARGE(CHOOSE({1;2;3;4},F20,I20,L20,O20),3))/3,0)</f>
        <v>2.8666666666666667</v>
      </c>
      <c r="V20" s="7" cm="1">
        <f t="array" ref="V20">IF(PB[[#This Row],[Number_of_competition]:[Number_of_competition]]&gt;=3,(LARGE(CHOOSE({1;2;3;4},G20,J20,M20,P20),1)+LARGE(CHOOSE({1;2;3;4},G20,J20,M20,P20),2)+LARGE(CHOOSE({1;2;3;4},G20,J20,M20,P20),3))/3,0)</f>
        <v>8.15</v>
      </c>
      <c r="W20" s="7" cm="1">
        <f t="array" ref="W20">IF(PB[[#This Row],[Number_of_competition]:[Number_of_competition]]&gt;=3,(LARGE(CHOOSE({1;2;3;4},H20,K20,N20,Q20),1)+LARGE(CHOOSE({1;2;3;4},H20,K20,N20,Q20),2)+LARGE(CHOOSE({1;2;3;4},H20,K20,N20,Q20),3))/3,0)</f>
        <v>11.016666666666666</v>
      </c>
      <c r="Y20" s="33" t="s">
        <v>252</v>
      </c>
      <c r="AE20" s="43" t="s">
        <v>25</v>
      </c>
      <c r="AF20" s="43" t="s">
        <v>26</v>
      </c>
      <c r="AG20" s="43" t="s">
        <v>27</v>
      </c>
      <c r="AH20" s="43" t="s">
        <v>28</v>
      </c>
      <c r="AI20">
        <v>4</v>
      </c>
      <c r="AJ20" t="s">
        <v>317</v>
      </c>
      <c r="AK20" s="43" t="s">
        <v>308</v>
      </c>
      <c r="AL20">
        <v>4.0999999999999996</v>
      </c>
    </row>
    <row r="21" spans="1:38" x14ac:dyDescent="0.25">
      <c r="A21" t="s">
        <v>114</v>
      </c>
      <c r="B21" s="2" t="s">
        <v>26</v>
      </c>
      <c r="C21" s="2" t="s">
        <v>115</v>
      </c>
      <c r="D21" t="s">
        <v>36</v>
      </c>
      <c r="E21" s="6">
        <f>COUNTIF(PB[[#This Row],[bydgoszcz_PB_Total_Score]],"&gt;0")+COUNTIF(PB[[#This Row],[zabrze_PB_Total_Score]],"&gt;0")+COUNTIF(PB[[#This Row],[cracow_PB_Total_Score]],"&gt;0")+COUNTIF(PB[[#This Row],[gdansk_PB_Total_Score]],"&gt;0")</f>
        <v>3</v>
      </c>
      <c r="F21" s="4">
        <v>2.4</v>
      </c>
      <c r="G21" s="7">
        <v>8.1</v>
      </c>
      <c r="H21" s="7">
        <v>10.5</v>
      </c>
      <c r="I21" s="4">
        <v>0</v>
      </c>
      <c r="J21" s="7">
        <v>0</v>
      </c>
      <c r="K21" s="7">
        <v>0</v>
      </c>
      <c r="L21" s="4">
        <v>2.4</v>
      </c>
      <c r="M21" s="7">
        <v>8</v>
      </c>
      <c r="N21" s="7">
        <v>10.4</v>
      </c>
      <c r="O21" s="4">
        <v>2.4</v>
      </c>
      <c r="P21" s="7">
        <v>8.8000000000000007</v>
      </c>
      <c r="Q21" s="7">
        <v>11.2</v>
      </c>
      <c r="R21" s="4">
        <f>LARGE(CHOOSE({1;2;3;4},F21,I21,L21,O21),1)+LARGE(CHOOSE({1;2;3;4},F21,I21,L21,O21),2)+LARGE(CHOOSE({1;2;3;4},F21,I21,L21,O21),3)</f>
        <v>7.1999999999999993</v>
      </c>
      <c r="S21" s="7">
        <f>LARGE(CHOOSE({1;2;3;4},G21,J21,M21,P21),1)+LARGE(CHOOSE({1;2;3;4},G21,J21,M21,P21),2)+LARGE(CHOOSE({1;2;3;4},G21,J21,M21,P21),3)</f>
        <v>24.9</v>
      </c>
      <c r="T21" s="7">
        <f>LARGE(CHOOSE({1;2;3;4},H21,K21,N21,Q21),1)+LARGE(CHOOSE({1;2;3;4},H21,K21,N21,Q21),2)+LARGE(CHOOSE({1;2;3;4},H21,K21,N21,Q21),3)</f>
        <v>32.1</v>
      </c>
      <c r="U21" s="4" cm="1">
        <f t="array" ref="U21">IF(PB[[#This Row],[Number_of_competition]:[Number_of_competition]]&gt;=3,(LARGE(CHOOSE({1;2;3;4},F21,I21,L21,O21),1)+LARGE(CHOOSE({1;2;3;4},F21,I21,L21,O21),2)+LARGE(CHOOSE({1;2;3;4},F21,I21,L21,O21),3))/3,0)</f>
        <v>2.4</v>
      </c>
      <c r="V21" s="7" cm="1">
        <f t="array" ref="V21">IF(PB[[#This Row],[Number_of_competition]:[Number_of_competition]]&gt;=3,(LARGE(CHOOSE({1;2;3;4},G21,J21,M21,P21),1)+LARGE(CHOOSE({1;2;3;4},G21,J21,M21,P21),2)+LARGE(CHOOSE({1;2;3;4},G21,J21,M21,P21),3))/3,0)</f>
        <v>8.2999999999999989</v>
      </c>
      <c r="W21" s="7" cm="1">
        <f t="array" ref="W21">IF(PB[[#This Row],[Number_of_competition]:[Number_of_competition]]&gt;=3,(LARGE(CHOOSE({1;2;3;4},H21,K21,N21,Q21),1)+LARGE(CHOOSE({1;2;3;4},H21,K21,N21,Q21),2)+LARGE(CHOOSE({1;2;3;4},H21,K21,N21,Q21),3))/3,0)</f>
        <v>10.700000000000001</v>
      </c>
      <c r="Y21" s="34" t="s">
        <v>301</v>
      </c>
      <c r="AE21" s="43" t="s">
        <v>25</v>
      </c>
      <c r="AF21" s="43" t="s">
        <v>26</v>
      </c>
      <c r="AG21" s="43" t="s">
        <v>27</v>
      </c>
      <c r="AH21" s="43" t="s">
        <v>28</v>
      </c>
      <c r="AI21">
        <v>4</v>
      </c>
      <c r="AJ21" t="s">
        <v>317</v>
      </c>
      <c r="AK21" s="43" t="s">
        <v>309</v>
      </c>
      <c r="AL21">
        <v>8.5500000000000007</v>
      </c>
    </row>
    <row r="22" spans="1:38" x14ac:dyDescent="0.25">
      <c r="A22" t="s">
        <v>86</v>
      </c>
      <c r="B22" s="2" t="s">
        <v>60</v>
      </c>
      <c r="C22" s="2" t="s">
        <v>87</v>
      </c>
      <c r="D22" t="s">
        <v>72</v>
      </c>
      <c r="E22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22" s="4">
        <v>2.6</v>
      </c>
      <c r="G22" s="7">
        <v>5.65</v>
      </c>
      <c r="H22" s="7">
        <v>8.25</v>
      </c>
      <c r="I22" s="4">
        <v>2.8</v>
      </c>
      <c r="J22" s="7">
        <v>7.5</v>
      </c>
      <c r="K22" s="7">
        <v>10.3</v>
      </c>
      <c r="L22" s="4">
        <v>2.9</v>
      </c>
      <c r="M22" s="7">
        <v>7.2</v>
      </c>
      <c r="N22" s="7">
        <v>10.1</v>
      </c>
      <c r="O22" s="4">
        <v>2.4</v>
      </c>
      <c r="P22" s="7">
        <v>4</v>
      </c>
      <c r="Q22" s="7">
        <v>6.4</v>
      </c>
      <c r="R22" s="4">
        <f>LARGE(CHOOSE({1;2;3;4},F22,I22,L22,O22),1)+LARGE(CHOOSE({1;2;3;4},F22,I22,L22,O22),2)+LARGE(CHOOSE({1;2;3;4},F22,I22,L22,O22),3)</f>
        <v>8.2999999999999989</v>
      </c>
      <c r="S22" s="7">
        <f>LARGE(CHOOSE({1;2;3;4},G22,J22,M22,P22),1)+LARGE(CHOOSE({1;2;3;4},G22,J22,M22,P22),2)+LARGE(CHOOSE({1;2;3;4},G22,J22,M22,P22),3)</f>
        <v>20.350000000000001</v>
      </c>
      <c r="T22" s="7">
        <f>LARGE(CHOOSE({1;2;3;4},H22,K22,N22,Q22),1)+LARGE(CHOOSE({1;2;3;4},H22,K22,N22,Q22),2)+LARGE(CHOOSE({1;2;3;4},H22,K22,N22,Q22),3)</f>
        <v>28.65</v>
      </c>
      <c r="U22" s="4" cm="1">
        <f t="array" ref="U22">IF(PB[[#This Row],[Number_of_competition]:[Number_of_competition]]&gt;=3,(LARGE(CHOOSE({1;2;3;4},F22,I22,L22,O22),1)+LARGE(CHOOSE({1;2;3;4},F22,I22,L22,O22),2)+LARGE(CHOOSE({1;2;3;4},F22,I22,L22,O22),3))/3,0)</f>
        <v>2.7666666666666662</v>
      </c>
      <c r="V22" s="7" cm="1">
        <f t="array" ref="V22">IF(PB[[#This Row],[Number_of_competition]:[Number_of_competition]]&gt;=3,(LARGE(CHOOSE({1;2;3;4},G22,J22,M22,P22),1)+LARGE(CHOOSE({1;2;3;4},G22,J22,M22,P22),2)+LARGE(CHOOSE({1;2;3;4},G22,J22,M22,P22),3))/3,0)</f>
        <v>6.7833333333333341</v>
      </c>
      <c r="W22" s="7" cm="1">
        <f t="array" ref="W22">IF(PB[[#This Row],[Number_of_competition]:[Number_of_competition]]&gt;=3,(LARGE(CHOOSE({1;2;3;4},H22,K22,N22,Q22),1)+LARGE(CHOOSE({1;2;3;4},H22,K22,N22,Q22),2)+LARGE(CHOOSE({1;2;3;4},H22,K22,N22,Q22),3))/3,0)</f>
        <v>9.5499999999999989</v>
      </c>
      <c r="Y22" s="37" t="s">
        <v>304</v>
      </c>
      <c r="AE22" s="43" t="s">
        <v>25</v>
      </c>
      <c r="AF22" s="43" t="s">
        <v>26</v>
      </c>
      <c r="AG22" s="43" t="s">
        <v>27</v>
      </c>
      <c r="AH22" s="43" t="s">
        <v>28</v>
      </c>
      <c r="AI22">
        <v>4</v>
      </c>
      <c r="AJ22" t="s">
        <v>317</v>
      </c>
      <c r="AK22" s="43" t="s">
        <v>268</v>
      </c>
      <c r="AL22">
        <v>12.65</v>
      </c>
    </row>
    <row r="23" spans="1:38" x14ac:dyDescent="0.25">
      <c r="A23" t="s">
        <v>65</v>
      </c>
      <c r="B23" s="2" t="s">
        <v>60</v>
      </c>
      <c r="C23" s="2" t="s">
        <v>66</v>
      </c>
      <c r="D23" t="s">
        <v>67</v>
      </c>
      <c r="E23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23" s="4">
        <v>0</v>
      </c>
      <c r="G23" s="7">
        <v>0</v>
      </c>
      <c r="H23" s="7">
        <v>0</v>
      </c>
      <c r="I23" s="4">
        <v>3</v>
      </c>
      <c r="J23" s="7">
        <v>9.35</v>
      </c>
      <c r="K23" s="7">
        <v>12.35</v>
      </c>
      <c r="L23" s="4">
        <v>0</v>
      </c>
      <c r="M23" s="7">
        <v>0</v>
      </c>
      <c r="N23" s="7">
        <v>0</v>
      </c>
      <c r="O23" s="4">
        <v>3.4</v>
      </c>
      <c r="P23" s="7">
        <v>9</v>
      </c>
      <c r="Q23" s="7">
        <v>12.4</v>
      </c>
      <c r="R23" s="4">
        <f>LARGE(CHOOSE({1;2;3;4},F23,I23,L23,O23),1)+LARGE(CHOOSE({1;2;3;4},F23,I23,L23,O23),2)+LARGE(CHOOSE({1;2;3;4},F23,I23,L23,O23),3)</f>
        <v>6.4</v>
      </c>
      <c r="S23" s="7">
        <f>LARGE(CHOOSE({1;2;3;4},G23,J23,M23,P23),1)+LARGE(CHOOSE({1;2;3;4},G23,J23,M23,P23),2)+LARGE(CHOOSE({1;2;3;4},G23,J23,M23,P23),3)</f>
        <v>18.350000000000001</v>
      </c>
      <c r="T23" s="7">
        <f>LARGE(CHOOSE({1;2;3;4},H23,K23,N23,Q23),1)+LARGE(CHOOSE({1;2;3;4},H23,K23,N23,Q23),2)+LARGE(CHOOSE({1;2;3;4},H23,K23,N23,Q23),3)</f>
        <v>24.75</v>
      </c>
      <c r="U23" s="4" cm="1">
        <f t="array" ref="U23">IF(PB[[#This Row],[Number_of_competition]:[Number_of_competition]]&gt;=3,(LARGE(CHOOSE({1;2;3;4},F23,I23,L23,O23),1)+LARGE(CHOOSE({1;2;3;4},F23,I23,L23,O23),2)+LARGE(CHOOSE({1;2;3;4},F23,I23,L23,O23),3))/3,0)</f>
        <v>0</v>
      </c>
      <c r="V23" s="7" cm="1">
        <f t="array" ref="V23">IF(PB[[#This Row],[Number_of_competition]:[Number_of_competition]]&gt;=3,(LARGE(CHOOSE({1;2;3;4},G23,J23,M23,P23),1)+LARGE(CHOOSE({1;2;3;4},G23,J23,M23,P23),2)+LARGE(CHOOSE({1;2;3;4},G23,J23,M23,P23),3))/3,0)</f>
        <v>0</v>
      </c>
      <c r="W23" s="7" cm="1">
        <f t="array" ref="W23">IF(PB[[#This Row],[Number_of_competition]:[Number_of_competition]]&gt;=3,(LARGE(CHOOSE({1;2;3;4},H23,K23,N23,Q23),1)+LARGE(CHOOSE({1;2;3;4},H23,K23,N23,Q23),2)+LARGE(CHOOSE({1;2;3;4},H23,K23,N23,Q23),3))/3,0)</f>
        <v>0</v>
      </c>
      <c r="Y23" s="35" t="s">
        <v>302</v>
      </c>
      <c r="AE23" s="43" t="s">
        <v>25</v>
      </c>
      <c r="AF23" s="43" t="s">
        <v>26</v>
      </c>
      <c r="AG23" s="43" t="s">
        <v>27</v>
      </c>
      <c r="AH23" s="43" t="s">
        <v>28</v>
      </c>
      <c r="AI23">
        <v>4</v>
      </c>
      <c r="AJ23" t="s">
        <v>325</v>
      </c>
      <c r="AK23" s="43" t="s">
        <v>308</v>
      </c>
      <c r="AL23">
        <v>4.2</v>
      </c>
    </row>
    <row r="24" spans="1:38" x14ac:dyDescent="0.25">
      <c r="A24" t="s">
        <v>75</v>
      </c>
      <c r="B24" s="2" t="s">
        <v>60</v>
      </c>
      <c r="C24" s="2" t="s">
        <v>76</v>
      </c>
      <c r="D24" t="s">
        <v>28</v>
      </c>
      <c r="E24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24" s="4">
        <v>0</v>
      </c>
      <c r="G24" s="7">
        <v>0</v>
      </c>
      <c r="H24" s="7">
        <v>0</v>
      </c>
      <c r="I24" s="4">
        <v>3.5</v>
      </c>
      <c r="J24" s="7">
        <v>8.0500000000000007</v>
      </c>
      <c r="K24" s="7">
        <v>11.55</v>
      </c>
      <c r="L24" s="4">
        <v>3.5</v>
      </c>
      <c r="M24" s="7">
        <v>9.1</v>
      </c>
      <c r="N24" s="7">
        <v>12.6</v>
      </c>
      <c r="O24" s="4">
        <v>0</v>
      </c>
      <c r="P24" s="7">
        <v>0</v>
      </c>
      <c r="Q24" s="7">
        <v>0</v>
      </c>
      <c r="R24" s="4">
        <f>LARGE(CHOOSE({1;2;3;4},F24,I24,L24,O24),1)+LARGE(CHOOSE({1;2;3;4},F24,I24,L24,O24),2)+LARGE(CHOOSE({1;2;3;4},F24,I24,L24,O24),3)</f>
        <v>7</v>
      </c>
      <c r="S24" s="7">
        <f>LARGE(CHOOSE({1;2;3;4},G24,J24,M24,P24),1)+LARGE(CHOOSE({1;2;3;4},G24,J24,M24,P24),2)+LARGE(CHOOSE({1;2;3;4},G24,J24,M24,P24),3)</f>
        <v>17.149999999999999</v>
      </c>
      <c r="T24" s="7">
        <f>LARGE(CHOOSE({1;2;3;4},H24,K24,N24,Q24),1)+LARGE(CHOOSE({1;2;3;4},H24,K24,N24,Q24),2)+LARGE(CHOOSE({1;2;3;4},H24,K24,N24,Q24),3)</f>
        <v>24.15</v>
      </c>
      <c r="U24" s="4" cm="1">
        <f t="array" ref="U24">IF(PB[[#This Row],[Number_of_competition]:[Number_of_competition]]&gt;=3,(LARGE(CHOOSE({1;2;3;4},F24,I24,L24,O24),1)+LARGE(CHOOSE({1;2;3;4},F24,I24,L24,O24),2)+LARGE(CHOOSE({1;2;3;4},F24,I24,L24,O24),3))/3,0)</f>
        <v>0</v>
      </c>
      <c r="V24" s="7" cm="1">
        <f t="array" ref="V24">IF(PB[[#This Row],[Number_of_competition]:[Number_of_competition]]&gt;=3,(LARGE(CHOOSE({1;2;3;4},G24,J24,M24,P24),1)+LARGE(CHOOSE({1;2;3;4},G24,J24,M24,P24),2)+LARGE(CHOOSE({1;2;3;4},G24,J24,M24,P24),3))/3,0)</f>
        <v>0</v>
      </c>
      <c r="W24" s="7" cm="1">
        <f t="array" ref="W24">IF(PB[[#This Row],[Number_of_competition]:[Number_of_competition]]&gt;=3,(LARGE(CHOOSE({1;2;3;4},H24,K24,N24,Q24),1)+LARGE(CHOOSE({1;2;3;4},H24,K24,N24,Q24),2)+LARGE(CHOOSE({1;2;3;4},H24,K24,N24,Q24),3))/3,0)</f>
        <v>0</v>
      </c>
      <c r="Y24" s="36" t="s">
        <v>303</v>
      </c>
      <c r="AE24" s="43" t="s">
        <v>25</v>
      </c>
      <c r="AF24" s="43" t="s">
        <v>26</v>
      </c>
      <c r="AG24" s="43" t="s">
        <v>27</v>
      </c>
      <c r="AH24" s="43" t="s">
        <v>28</v>
      </c>
      <c r="AI24">
        <v>4</v>
      </c>
      <c r="AJ24" t="s">
        <v>325</v>
      </c>
      <c r="AK24" s="43" t="s">
        <v>309</v>
      </c>
      <c r="AL24">
        <v>9.1</v>
      </c>
    </row>
    <row r="25" spans="1:38" x14ac:dyDescent="0.25">
      <c r="A25" t="s">
        <v>127</v>
      </c>
      <c r="B25" s="2" t="s">
        <v>60</v>
      </c>
      <c r="C25" s="2" t="s">
        <v>128</v>
      </c>
      <c r="D25" t="s">
        <v>72</v>
      </c>
      <c r="E25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25" s="4">
        <v>3.8</v>
      </c>
      <c r="G25" s="7">
        <v>7.55</v>
      </c>
      <c r="H25" s="7">
        <v>11.35</v>
      </c>
      <c r="I25" s="4">
        <v>0</v>
      </c>
      <c r="J25" s="7">
        <v>0</v>
      </c>
      <c r="K25" s="7">
        <v>0</v>
      </c>
      <c r="L25" s="4">
        <v>4</v>
      </c>
      <c r="M25" s="7">
        <v>8.3000000000000007</v>
      </c>
      <c r="N25" s="7">
        <v>12.3</v>
      </c>
      <c r="O25" s="4">
        <v>0</v>
      </c>
      <c r="P25" s="7">
        <v>0</v>
      </c>
      <c r="Q25" s="7">
        <v>0</v>
      </c>
      <c r="R25" s="4">
        <f>LARGE(CHOOSE({1;2;3;4},F25,I25,L25,O25),1)+LARGE(CHOOSE({1;2;3;4},F25,I25,L25,O25),2)+LARGE(CHOOSE({1;2;3;4},F25,I25,L25,O25),3)</f>
        <v>7.8</v>
      </c>
      <c r="S25" s="7">
        <f>LARGE(CHOOSE({1;2;3;4},G25,J25,M25,P25),1)+LARGE(CHOOSE({1;2;3;4},G25,J25,M25,P25),2)+LARGE(CHOOSE({1;2;3;4},G25,J25,M25,P25),3)</f>
        <v>15.850000000000001</v>
      </c>
      <c r="T25" s="7">
        <f>LARGE(CHOOSE({1;2;3;4},H25,K25,N25,Q25),1)+LARGE(CHOOSE({1;2;3;4},H25,K25,N25,Q25),2)+LARGE(CHOOSE({1;2;3;4},H25,K25,N25,Q25),3)</f>
        <v>23.65</v>
      </c>
      <c r="U25" s="4" cm="1">
        <f t="array" ref="U25">IF(PB[[#This Row],[Number_of_competition]:[Number_of_competition]]&gt;=3,(LARGE(CHOOSE({1;2;3;4},F25,I25,L25,O25),1)+LARGE(CHOOSE({1;2;3;4},F25,I25,L25,O25),2)+LARGE(CHOOSE({1;2;3;4},F25,I25,L25,O25),3))/3,0)</f>
        <v>0</v>
      </c>
      <c r="V25" s="7" cm="1">
        <f t="array" ref="V25">IF(PB[[#This Row],[Number_of_competition]:[Number_of_competition]]&gt;=3,(LARGE(CHOOSE({1;2;3;4},G25,J25,M25,P25),1)+LARGE(CHOOSE({1;2;3;4},G25,J25,M25,P25),2)+LARGE(CHOOSE({1;2;3;4},G25,J25,M25,P25),3))/3,0)</f>
        <v>0</v>
      </c>
      <c r="W25" s="7" cm="1">
        <f t="array" ref="W25">IF(PB[[#This Row],[Number_of_competition]:[Number_of_competition]]&gt;=3,(LARGE(CHOOSE({1;2;3;4},H25,K25,N25,Q25),1)+LARGE(CHOOSE({1;2;3;4},H25,K25,N25,Q25),2)+LARGE(CHOOSE({1;2;3;4},H25,K25,N25,Q25),3))/3,0)</f>
        <v>0</v>
      </c>
      <c r="AE25" s="43" t="s">
        <v>25</v>
      </c>
      <c r="AF25" s="43" t="s">
        <v>26</v>
      </c>
      <c r="AG25" s="43" t="s">
        <v>27</v>
      </c>
      <c r="AH25" s="43" t="s">
        <v>28</v>
      </c>
      <c r="AI25">
        <v>4</v>
      </c>
      <c r="AJ25" t="s">
        <v>325</v>
      </c>
      <c r="AK25" s="43" t="s">
        <v>268</v>
      </c>
      <c r="AL25">
        <v>13.3</v>
      </c>
    </row>
    <row r="26" spans="1:38" ht="21" x14ac:dyDescent="0.35">
      <c r="A26" t="s">
        <v>94</v>
      </c>
      <c r="B26" s="2" t="s">
        <v>60</v>
      </c>
      <c r="C26" s="2" t="s">
        <v>95</v>
      </c>
      <c r="D26" t="s">
        <v>72</v>
      </c>
      <c r="E26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26" s="4">
        <v>0</v>
      </c>
      <c r="G26" s="7">
        <v>0</v>
      </c>
      <c r="H26" s="7">
        <v>0</v>
      </c>
      <c r="I26" s="4">
        <v>3.1</v>
      </c>
      <c r="J26" s="7">
        <v>8.85</v>
      </c>
      <c r="K26" s="7">
        <v>11.95</v>
      </c>
      <c r="L26" s="4">
        <v>3.2</v>
      </c>
      <c r="M26" s="7">
        <v>8.35</v>
      </c>
      <c r="N26" s="7">
        <v>11.55</v>
      </c>
      <c r="O26" s="4">
        <v>0</v>
      </c>
      <c r="P26" s="7">
        <v>0</v>
      </c>
      <c r="Q26" s="7">
        <v>0</v>
      </c>
      <c r="R26" s="4">
        <f>LARGE(CHOOSE({1;2;3;4},F26,I26,L26,O26),1)+LARGE(CHOOSE({1;2;3;4},F26,I26,L26,O26),2)+LARGE(CHOOSE({1;2;3;4},F26,I26,L26,O26),3)</f>
        <v>6.3000000000000007</v>
      </c>
      <c r="S26" s="7">
        <f>LARGE(CHOOSE({1;2;3;4},G26,J26,M26,P26),1)+LARGE(CHOOSE({1;2;3;4},G26,J26,M26,P26),2)+LARGE(CHOOSE({1;2;3;4},G26,J26,M26,P26),3)</f>
        <v>17.2</v>
      </c>
      <c r="T26" s="7">
        <f>LARGE(CHOOSE({1;2;3;4},H26,K26,N26,Q26),1)+LARGE(CHOOSE({1;2;3;4},H26,K26,N26,Q26),2)+LARGE(CHOOSE({1;2;3;4},H26,K26,N26,Q26),3)</f>
        <v>23.5</v>
      </c>
      <c r="U26" s="4" cm="1">
        <f t="array" ref="U26">IF(PB[[#This Row],[Number_of_competition]:[Number_of_competition]]&gt;=3,(LARGE(CHOOSE({1;2;3;4},F26,I26,L26,O26),1)+LARGE(CHOOSE({1;2;3;4},F26,I26,L26,O26),2)+LARGE(CHOOSE({1;2;3;4},F26,I26,L26,O26),3))/3,0)</f>
        <v>0</v>
      </c>
      <c r="V26" s="7" cm="1">
        <f t="array" ref="V26">IF(PB[[#This Row],[Number_of_competition]:[Number_of_competition]]&gt;=3,(LARGE(CHOOSE({1;2;3;4},G26,J26,M26,P26),1)+LARGE(CHOOSE({1;2;3;4},G26,J26,M26,P26),2)+LARGE(CHOOSE({1;2;3;4},G26,J26,M26,P26),3))/3,0)</f>
        <v>0</v>
      </c>
      <c r="W26" s="7" cm="1">
        <f t="array" ref="W26">IF(PB[[#This Row],[Number_of_competition]:[Number_of_competition]]&gt;=3,(LARGE(CHOOSE({1;2;3;4},H26,K26,N26,Q26),1)+LARGE(CHOOSE({1;2;3;4},H26,K26,N26,Q26),2)+LARGE(CHOOSE({1;2;3;4},H26,K26,N26,Q26),3))/3,0)</f>
        <v>0</v>
      </c>
      <c r="Z26" s="44" t="s">
        <v>332</v>
      </c>
      <c r="AA26" s="44" t="s">
        <v>2</v>
      </c>
      <c r="AB26" s="45"/>
      <c r="AE26" s="43" t="s">
        <v>25</v>
      </c>
      <c r="AF26" s="43" t="s">
        <v>26</v>
      </c>
      <c r="AG26" s="43" t="s">
        <v>27</v>
      </c>
      <c r="AH26" s="43" t="s">
        <v>28</v>
      </c>
      <c r="AI26">
        <v>4</v>
      </c>
      <c r="AJ26" t="s">
        <v>330</v>
      </c>
      <c r="AK26" s="43" t="s">
        <v>308</v>
      </c>
      <c r="AL26">
        <v>4.2</v>
      </c>
    </row>
    <row r="27" spans="1:38" ht="21" x14ac:dyDescent="0.35">
      <c r="A27" t="s">
        <v>116</v>
      </c>
      <c r="B27" s="2" t="s">
        <v>60</v>
      </c>
      <c r="C27" s="2" t="s">
        <v>117</v>
      </c>
      <c r="D27" t="s">
        <v>62</v>
      </c>
      <c r="E27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27" s="4">
        <v>0</v>
      </c>
      <c r="G27" s="7">
        <v>0</v>
      </c>
      <c r="H27" s="7">
        <v>0</v>
      </c>
      <c r="I27" s="4">
        <v>0</v>
      </c>
      <c r="J27" s="7">
        <v>0</v>
      </c>
      <c r="K27" s="7">
        <v>0</v>
      </c>
      <c r="L27" s="4">
        <v>4.5</v>
      </c>
      <c r="M27" s="7">
        <v>6.45</v>
      </c>
      <c r="N27" s="7">
        <v>10.95</v>
      </c>
      <c r="O27" s="4">
        <v>4.9000000000000004</v>
      </c>
      <c r="P27" s="7">
        <v>7.4</v>
      </c>
      <c r="Q27" s="7">
        <v>12.3</v>
      </c>
      <c r="R27" s="4">
        <f>LARGE(CHOOSE({1;2;3;4},F27,I27,L27,O27),1)+LARGE(CHOOSE({1;2;3;4},F27,I27,L27,O27),2)+LARGE(CHOOSE({1;2;3;4},F27,I27,L27,O27),3)</f>
        <v>9.4</v>
      </c>
      <c r="S27" s="7">
        <f>LARGE(CHOOSE({1;2;3;4},G27,J27,M27,P27),1)+LARGE(CHOOSE({1;2;3;4},G27,J27,M27,P27),2)+LARGE(CHOOSE({1;2;3;4},G27,J27,M27,P27),3)</f>
        <v>13.850000000000001</v>
      </c>
      <c r="T27" s="7">
        <f>LARGE(CHOOSE({1;2;3;4},H27,K27,N27,Q27),1)+LARGE(CHOOSE({1;2;3;4},H27,K27,N27,Q27),2)+LARGE(CHOOSE({1;2;3;4},H27,K27,N27,Q27),3)</f>
        <v>23.25</v>
      </c>
      <c r="U27" s="4" cm="1">
        <f t="array" ref="U27">IF(PB[[#This Row],[Number_of_competition]:[Number_of_competition]]&gt;=3,(LARGE(CHOOSE({1;2;3;4},F27,I27,L27,O27),1)+LARGE(CHOOSE({1;2;3;4},F27,I27,L27,O27),2)+LARGE(CHOOSE({1;2;3;4},F27,I27,L27,O27),3))/3,0)</f>
        <v>0</v>
      </c>
      <c r="V27" s="7" cm="1">
        <f t="array" ref="V27">IF(PB[[#This Row],[Number_of_competition]:[Number_of_competition]]&gt;=3,(LARGE(CHOOSE({1;2;3;4},G27,J27,M27,P27),1)+LARGE(CHOOSE({1;2;3;4},G27,J27,M27,P27),2)+LARGE(CHOOSE({1;2;3;4},G27,J27,M27,P27),3))/3,0)</f>
        <v>0</v>
      </c>
      <c r="W27" s="7" cm="1">
        <f t="array" ref="W27">IF(PB[[#This Row],[Number_of_competition]:[Number_of_competition]]&gt;=3,(LARGE(CHOOSE({1;2;3;4},H27,K27,N27,Q27),1)+LARGE(CHOOSE({1;2;3;4},H27,K27,N27,Q27),2)+LARGE(CHOOSE({1;2;3;4},H27,K27,N27,Q27),3))/3,0)</f>
        <v>0</v>
      </c>
      <c r="Z27" s="44" t="s">
        <v>346</v>
      </c>
      <c r="AA27" s="45" t="s">
        <v>26</v>
      </c>
      <c r="AB27" s="45" t="s">
        <v>60</v>
      </c>
      <c r="AE27" s="43" t="s">
        <v>25</v>
      </c>
      <c r="AF27" s="43" t="s">
        <v>26</v>
      </c>
      <c r="AG27" s="43" t="s">
        <v>27</v>
      </c>
      <c r="AH27" s="43" t="s">
        <v>28</v>
      </c>
      <c r="AI27">
        <v>4</v>
      </c>
      <c r="AJ27" t="s">
        <v>330</v>
      </c>
      <c r="AK27" s="43" t="s">
        <v>309</v>
      </c>
      <c r="AL27">
        <v>8.6</v>
      </c>
    </row>
    <row r="28" spans="1:38" ht="21" x14ac:dyDescent="0.35">
      <c r="A28" t="s">
        <v>112</v>
      </c>
      <c r="B28" s="2" t="s">
        <v>26</v>
      </c>
      <c r="C28" s="2" t="s">
        <v>113</v>
      </c>
      <c r="D28" t="s">
        <v>31</v>
      </c>
      <c r="E28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28" s="4">
        <v>3.1</v>
      </c>
      <c r="G28" s="7">
        <v>8.65</v>
      </c>
      <c r="H28" s="7">
        <v>11.75</v>
      </c>
      <c r="I28" s="4">
        <v>0</v>
      </c>
      <c r="J28" s="7">
        <v>0</v>
      </c>
      <c r="K28" s="7">
        <v>0</v>
      </c>
      <c r="L28" s="4">
        <v>0</v>
      </c>
      <c r="M28" s="7">
        <v>0</v>
      </c>
      <c r="N28" s="7">
        <v>0</v>
      </c>
      <c r="O28" s="4">
        <v>3.2</v>
      </c>
      <c r="P28" s="7">
        <v>7.4</v>
      </c>
      <c r="Q28" s="7">
        <v>10.6</v>
      </c>
      <c r="R28" s="4">
        <f>LARGE(CHOOSE({1;2;3;4},F28,I28,L28,O28),1)+LARGE(CHOOSE({1;2;3;4},F28,I28,L28,O28),2)+LARGE(CHOOSE({1;2;3;4},F28,I28,L28,O28),3)</f>
        <v>6.3000000000000007</v>
      </c>
      <c r="S28" s="7">
        <f>LARGE(CHOOSE({1;2;3;4},G28,J28,M28,P28),1)+LARGE(CHOOSE({1;2;3;4},G28,J28,M28,P28),2)+LARGE(CHOOSE({1;2;3;4},G28,J28,M28,P28),3)</f>
        <v>16.05</v>
      </c>
      <c r="T28" s="7">
        <f>LARGE(CHOOSE({1;2;3;4},H28,K28,N28,Q28),1)+LARGE(CHOOSE({1;2;3;4},H28,K28,N28,Q28),2)+LARGE(CHOOSE({1;2;3;4},H28,K28,N28,Q28),3)</f>
        <v>22.35</v>
      </c>
      <c r="U28" s="4" cm="1">
        <f t="array" ref="U28">IF(PB[[#This Row],[Number_of_competition]:[Number_of_competition]]&gt;=3,(LARGE(CHOOSE({1;2;3;4},F28,I28,L28,O28),1)+LARGE(CHOOSE({1;2;3;4},F28,I28,L28,O28),2)+LARGE(CHOOSE({1;2;3;4},F28,I28,L28,O28),3))/3,0)</f>
        <v>0</v>
      </c>
      <c r="V28" s="7" cm="1">
        <f t="array" ref="V28">IF(PB[[#This Row],[Number_of_competition]:[Number_of_competition]]&gt;=3,(LARGE(CHOOSE({1;2;3;4},G28,J28,M28,P28),1)+LARGE(CHOOSE({1;2;3;4},G28,J28,M28,P28),2)+LARGE(CHOOSE({1;2;3;4},G28,J28,M28,P28),3))/3,0)</f>
        <v>0</v>
      </c>
      <c r="W28" s="7" cm="1">
        <f t="array" ref="W28">IF(PB[[#This Row],[Number_of_competition]:[Number_of_competition]]&gt;=3,(LARGE(CHOOSE({1;2;3;4},H28,K28,N28,Q28),1)+LARGE(CHOOSE({1;2;3;4},H28,K28,N28,Q28),2)+LARGE(CHOOSE({1;2;3;4},H28,K28,N28,Q28),3))/3,0)</f>
        <v>0</v>
      </c>
      <c r="Z28" s="46" t="s">
        <v>308</v>
      </c>
      <c r="AA28" s="47">
        <v>52</v>
      </c>
      <c r="AB28" s="47">
        <v>58</v>
      </c>
      <c r="AE28" s="43" t="s">
        <v>25</v>
      </c>
      <c r="AF28" s="43" t="s">
        <v>26</v>
      </c>
      <c r="AG28" s="43" t="s">
        <v>27</v>
      </c>
      <c r="AH28" s="43" t="s">
        <v>28</v>
      </c>
      <c r="AI28">
        <v>4</v>
      </c>
      <c r="AJ28" t="s">
        <v>330</v>
      </c>
      <c r="AK28" s="43" t="s">
        <v>268</v>
      </c>
      <c r="AL28">
        <v>12.8</v>
      </c>
    </row>
    <row r="29" spans="1:38" ht="21" x14ac:dyDescent="0.35">
      <c r="A29" t="s">
        <v>98</v>
      </c>
      <c r="B29" s="2" t="s">
        <v>60</v>
      </c>
      <c r="C29" s="2" t="s">
        <v>99</v>
      </c>
      <c r="D29" t="s">
        <v>72</v>
      </c>
      <c r="E29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29" s="4">
        <v>0</v>
      </c>
      <c r="G29" s="7">
        <v>0</v>
      </c>
      <c r="H29" s="7">
        <v>0</v>
      </c>
      <c r="I29" s="4">
        <v>2.4</v>
      </c>
      <c r="J29" s="7">
        <v>8.6</v>
      </c>
      <c r="K29" s="7">
        <v>11</v>
      </c>
      <c r="L29" s="4">
        <v>2.5</v>
      </c>
      <c r="M29" s="7">
        <v>8.6999999999999993</v>
      </c>
      <c r="N29" s="7">
        <v>11.2</v>
      </c>
      <c r="O29" s="4">
        <v>0</v>
      </c>
      <c r="P29" s="7">
        <v>0</v>
      </c>
      <c r="Q29" s="7">
        <v>0</v>
      </c>
      <c r="R29" s="4">
        <f>LARGE(CHOOSE({1;2;3;4},F29,I29,L29,O29),1)+LARGE(CHOOSE({1;2;3;4},F29,I29,L29,O29),2)+LARGE(CHOOSE({1;2;3;4},F29,I29,L29,O29),3)</f>
        <v>4.9000000000000004</v>
      </c>
      <c r="S29" s="7">
        <f>LARGE(CHOOSE({1;2;3;4},G29,J29,M29,P29),1)+LARGE(CHOOSE({1;2;3;4},G29,J29,M29,P29),2)+LARGE(CHOOSE({1;2;3;4},G29,J29,M29,P29),3)</f>
        <v>17.299999999999997</v>
      </c>
      <c r="T29" s="7">
        <f>LARGE(CHOOSE({1;2;3;4},H29,K29,N29,Q29),1)+LARGE(CHOOSE({1;2;3;4},H29,K29,N29,Q29),2)+LARGE(CHOOSE({1;2;3;4},H29,K29,N29,Q29),3)</f>
        <v>22.2</v>
      </c>
      <c r="U29" s="4" cm="1">
        <f t="array" ref="U29">IF(PB[[#This Row],[Number_of_competition]:[Number_of_competition]]&gt;=3,(LARGE(CHOOSE({1;2;3;4},F29,I29,L29,O29),1)+LARGE(CHOOSE({1;2;3;4},F29,I29,L29,O29),2)+LARGE(CHOOSE({1;2;3;4},F29,I29,L29,O29),3))/3,0)</f>
        <v>0</v>
      </c>
      <c r="V29" s="7" cm="1">
        <f t="array" ref="V29">IF(PB[[#This Row],[Number_of_competition]:[Number_of_competition]]&gt;=3,(LARGE(CHOOSE({1;2;3;4},G29,J29,M29,P29),1)+LARGE(CHOOSE({1;2;3;4},G29,J29,M29,P29),2)+LARGE(CHOOSE({1;2;3;4},G29,J29,M29,P29),3))/3,0)</f>
        <v>0</v>
      </c>
      <c r="W29" s="7" cm="1">
        <f t="array" ref="W29">IF(PB[[#This Row],[Number_of_competition]:[Number_of_competition]]&gt;=3,(LARGE(CHOOSE({1;2;3;4},H29,K29,N29,Q29),1)+LARGE(CHOOSE({1;2;3;4},H29,K29,N29,Q29),2)+LARGE(CHOOSE({1;2;3;4},H29,K29,N29,Q29),3))/3,0)</f>
        <v>0</v>
      </c>
      <c r="Z29" s="48" t="s">
        <v>315</v>
      </c>
      <c r="AA29" s="47">
        <v>14</v>
      </c>
      <c r="AB29" s="47">
        <v>6</v>
      </c>
      <c r="AE29" s="43" t="s">
        <v>25</v>
      </c>
      <c r="AF29" s="43" t="s">
        <v>26</v>
      </c>
      <c r="AG29" s="43" t="s">
        <v>27</v>
      </c>
      <c r="AH29" s="43" t="s">
        <v>28</v>
      </c>
      <c r="AI29">
        <v>4</v>
      </c>
      <c r="AJ29" t="s">
        <v>331</v>
      </c>
      <c r="AK29" s="43" t="s">
        <v>308</v>
      </c>
      <c r="AL29">
        <v>4.2</v>
      </c>
    </row>
    <row r="30" spans="1:38" ht="21" x14ac:dyDescent="0.35">
      <c r="A30" t="s">
        <v>96</v>
      </c>
      <c r="B30" s="2" t="s">
        <v>60</v>
      </c>
      <c r="C30" s="2" t="s">
        <v>97</v>
      </c>
      <c r="D30" t="s">
        <v>62</v>
      </c>
      <c r="E30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30" s="4">
        <v>0</v>
      </c>
      <c r="G30" s="7">
        <v>0</v>
      </c>
      <c r="H30" s="7">
        <v>0</v>
      </c>
      <c r="I30" s="4">
        <v>4</v>
      </c>
      <c r="J30" s="7">
        <v>6.6</v>
      </c>
      <c r="K30" s="7">
        <v>10.6</v>
      </c>
      <c r="L30" s="4">
        <v>3.8</v>
      </c>
      <c r="M30" s="7">
        <v>7.2</v>
      </c>
      <c r="N30" s="7">
        <v>11</v>
      </c>
      <c r="O30" s="4">
        <v>0</v>
      </c>
      <c r="P30" s="7">
        <v>0</v>
      </c>
      <c r="Q30" s="7">
        <v>0</v>
      </c>
      <c r="R30" s="4">
        <f>LARGE(CHOOSE({1;2;3;4},F30,I30,L30,O30),1)+LARGE(CHOOSE({1;2;3;4},F30,I30,L30,O30),2)+LARGE(CHOOSE({1;2;3;4},F30,I30,L30,O30),3)</f>
        <v>7.8</v>
      </c>
      <c r="S30" s="7">
        <f>LARGE(CHOOSE({1;2;3;4},G30,J30,M30,P30),1)+LARGE(CHOOSE({1;2;3;4},G30,J30,M30,P30),2)+LARGE(CHOOSE({1;2;3;4},G30,J30,M30,P30),3)</f>
        <v>13.8</v>
      </c>
      <c r="T30" s="7">
        <f>LARGE(CHOOSE({1;2;3;4},H30,K30,N30,Q30),1)+LARGE(CHOOSE({1;2;3;4},H30,K30,N30,Q30),2)+LARGE(CHOOSE({1;2;3;4},H30,K30,N30,Q30),3)</f>
        <v>21.6</v>
      </c>
      <c r="U30" s="4" cm="1">
        <f t="array" ref="U30">IF(PB[[#This Row],[Number_of_competition]:[Number_of_competition]]&gt;=3,(LARGE(CHOOSE({1;2;3;4},F30,I30,L30,O30),1)+LARGE(CHOOSE({1;2;3;4},F30,I30,L30,O30),2)+LARGE(CHOOSE({1;2;3;4},F30,I30,L30,O30),3))/3,0)</f>
        <v>0</v>
      </c>
      <c r="V30" s="7" cm="1">
        <f t="array" ref="V30">IF(PB[[#This Row],[Number_of_competition]:[Number_of_competition]]&gt;=3,(LARGE(CHOOSE({1;2;3;4},G30,J30,M30,P30),1)+LARGE(CHOOSE({1;2;3;4},G30,J30,M30,P30),2)+LARGE(CHOOSE({1;2;3;4},G30,J30,M30,P30),3))/3,0)</f>
        <v>0</v>
      </c>
      <c r="W30" s="7" cm="1">
        <f t="array" ref="W30">IF(PB[[#This Row],[Number_of_competition]:[Number_of_competition]]&gt;=3,(LARGE(CHOOSE({1;2;3;4},H30,K30,N30,Q30),1)+LARGE(CHOOSE({1;2;3;4},H30,K30,N30,Q30),2)+LARGE(CHOOSE({1;2;3;4},H30,K30,N30,Q30),3))/3,0)</f>
        <v>0</v>
      </c>
      <c r="Z30" s="48" t="s">
        <v>318</v>
      </c>
      <c r="AA30" s="47">
        <v>7</v>
      </c>
      <c r="AB30" s="47">
        <v>13</v>
      </c>
      <c r="AE30" s="43" t="s">
        <v>25</v>
      </c>
      <c r="AF30" s="43" t="s">
        <v>26</v>
      </c>
      <c r="AG30" s="43" t="s">
        <v>27</v>
      </c>
      <c r="AH30" s="43" t="s">
        <v>28</v>
      </c>
      <c r="AI30">
        <v>4</v>
      </c>
      <c r="AJ30" t="s">
        <v>331</v>
      </c>
      <c r="AK30" s="43" t="s">
        <v>309</v>
      </c>
      <c r="AL30">
        <v>7.7</v>
      </c>
    </row>
    <row r="31" spans="1:38" ht="21" x14ac:dyDescent="0.35">
      <c r="A31" t="s">
        <v>100</v>
      </c>
      <c r="B31" s="2" t="s">
        <v>60</v>
      </c>
      <c r="C31" s="2" t="s">
        <v>101</v>
      </c>
      <c r="D31" t="s">
        <v>31</v>
      </c>
      <c r="E31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31" s="4">
        <v>2.9</v>
      </c>
      <c r="G31" s="7">
        <v>7.75</v>
      </c>
      <c r="H31" s="7">
        <v>10.65</v>
      </c>
      <c r="I31" s="4">
        <v>2.4</v>
      </c>
      <c r="J31" s="7">
        <v>8.0500000000000007</v>
      </c>
      <c r="K31" s="7">
        <v>10.45</v>
      </c>
      <c r="L31" s="4">
        <v>0</v>
      </c>
      <c r="M31" s="7">
        <v>0</v>
      </c>
      <c r="N31" s="7">
        <v>0</v>
      </c>
      <c r="O31" s="4">
        <v>0</v>
      </c>
      <c r="P31" s="7">
        <v>0</v>
      </c>
      <c r="Q31" s="7">
        <v>0</v>
      </c>
      <c r="R31" s="4">
        <f>LARGE(CHOOSE({1;2;3;4},F31,I31,L31,O31),1)+LARGE(CHOOSE({1;2;3;4},F31,I31,L31,O31),2)+LARGE(CHOOSE({1;2;3;4},F31,I31,L31,O31),3)</f>
        <v>5.3</v>
      </c>
      <c r="S31" s="7">
        <f>LARGE(CHOOSE({1;2;3;4},G31,J31,M31,P31),1)+LARGE(CHOOSE({1;2;3;4},G31,J31,M31,P31),2)+LARGE(CHOOSE({1;2;3;4},G31,J31,M31,P31),3)</f>
        <v>15.8</v>
      </c>
      <c r="T31" s="7">
        <f>LARGE(CHOOSE({1;2;3;4},H31,K31,N31,Q31),1)+LARGE(CHOOSE({1;2;3;4},H31,K31,N31,Q31),2)+LARGE(CHOOSE({1;2;3;4},H31,K31,N31,Q31),3)</f>
        <v>21.1</v>
      </c>
      <c r="U31" s="4" cm="1">
        <f t="array" ref="U31">IF(PB[[#This Row],[Number_of_competition]:[Number_of_competition]]&gt;=3,(LARGE(CHOOSE({1;2;3;4},F31,I31,L31,O31),1)+LARGE(CHOOSE({1;2;3;4},F31,I31,L31,O31),2)+LARGE(CHOOSE({1;2;3;4},F31,I31,L31,O31),3))/3,0)</f>
        <v>0</v>
      </c>
      <c r="V31" s="7" cm="1">
        <f t="array" ref="V31">IF(PB[[#This Row],[Number_of_competition]:[Number_of_competition]]&gt;=3,(LARGE(CHOOSE({1;2;3;4},G31,J31,M31,P31),1)+LARGE(CHOOSE({1;2;3;4},G31,J31,M31,P31),2)+LARGE(CHOOSE({1;2;3;4},G31,J31,M31,P31),3))/3,0)</f>
        <v>0</v>
      </c>
      <c r="W31" s="7" cm="1">
        <f t="array" ref="W31">IF(PB[[#This Row],[Number_of_competition]:[Number_of_competition]]&gt;=3,(LARGE(CHOOSE({1;2;3;4},H31,K31,N31,Q31),1)+LARGE(CHOOSE({1;2;3;4},H31,K31,N31,Q31),2)+LARGE(CHOOSE({1;2;3;4},H31,K31,N31,Q31),3))/3,0)</f>
        <v>0</v>
      </c>
      <c r="Z31" s="48" t="s">
        <v>319</v>
      </c>
      <c r="AA31" s="47">
        <v>25</v>
      </c>
      <c r="AB31" s="47">
        <v>11</v>
      </c>
      <c r="AE31" s="43" t="s">
        <v>25</v>
      </c>
      <c r="AF31" s="43" t="s">
        <v>26</v>
      </c>
      <c r="AG31" s="43" t="s">
        <v>27</v>
      </c>
      <c r="AH31" s="43" t="s">
        <v>28</v>
      </c>
      <c r="AI31">
        <v>4</v>
      </c>
      <c r="AJ31" t="s">
        <v>331</v>
      </c>
      <c r="AK31" s="43" t="s">
        <v>268</v>
      </c>
      <c r="AL31">
        <v>11.9</v>
      </c>
    </row>
    <row r="32" spans="1:38" ht="21" x14ac:dyDescent="0.35">
      <c r="A32" t="s">
        <v>88</v>
      </c>
      <c r="B32" s="2" t="s">
        <v>60</v>
      </c>
      <c r="C32" s="2" t="s">
        <v>89</v>
      </c>
      <c r="D32" t="s">
        <v>36</v>
      </c>
      <c r="E32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32" s="4">
        <v>0</v>
      </c>
      <c r="G32" s="7">
        <v>0</v>
      </c>
      <c r="H32" s="7">
        <v>0</v>
      </c>
      <c r="I32" s="4">
        <v>2.8</v>
      </c>
      <c r="J32" s="7">
        <v>7.4</v>
      </c>
      <c r="K32" s="7">
        <v>10.199999999999999</v>
      </c>
      <c r="L32" s="4">
        <v>0</v>
      </c>
      <c r="M32" s="7">
        <v>0</v>
      </c>
      <c r="N32" s="7">
        <v>0</v>
      </c>
      <c r="O32" s="4">
        <v>2.7</v>
      </c>
      <c r="P32" s="7">
        <v>7.9</v>
      </c>
      <c r="Q32" s="7">
        <v>10.6</v>
      </c>
      <c r="R32" s="4">
        <f>LARGE(CHOOSE({1;2;3;4},F32,I32,L32,O32),1)+LARGE(CHOOSE({1;2;3;4},F32,I32,L32,O32),2)+LARGE(CHOOSE({1;2;3;4},F32,I32,L32,O32),3)</f>
        <v>5.5</v>
      </c>
      <c r="S32" s="7">
        <f>LARGE(CHOOSE({1;2;3;4},G32,J32,M32,P32),1)+LARGE(CHOOSE({1;2;3;4},G32,J32,M32,P32),2)+LARGE(CHOOSE({1;2;3;4},G32,J32,M32,P32),3)</f>
        <v>15.3</v>
      </c>
      <c r="T32" s="7">
        <f>LARGE(CHOOSE({1;2;3;4},H32,K32,N32,Q32),1)+LARGE(CHOOSE({1;2;3;4},H32,K32,N32,Q32),2)+LARGE(CHOOSE({1;2;3;4},H32,K32,N32,Q32),3)</f>
        <v>20.799999999999997</v>
      </c>
      <c r="U32" s="4" cm="1">
        <f t="array" ref="U32">IF(PB[[#This Row],[Number_of_competition]:[Number_of_competition]]&gt;=3,(LARGE(CHOOSE({1;2;3;4},F32,I32,L32,O32),1)+LARGE(CHOOSE({1;2;3;4},F32,I32,L32,O32),2)+LARGE(CHOOSE({1;2;3;4},F32,I32,L32,O32),3))/3,0)</f>
        <v>0</v>
      </c>
      <c r="V32" s="7" cm="1">
        <f t="array" ref="V32">IF(PB[[#This Row],[Number_of_competition]:[Number_of_competition]]&gt;=3,(LARGE(CHOOSE({1;2;3;4},G32,J32,M32,P32),1)+LARGE(CHOOSE({1;2;3;4},G32,J32,M32,P32),2)+LARGE(CHOOSE({1;2;3;4},G32,J32,M32,P32),3))/3,0)</f>
        <v>0</v>
      </c>
      <c r="W32" s="7" cm="1">
        <f t="array" ref="W32">IF(PB[[#This Row],[Number_of_competition]:[Number_of_competition]]&gt;=3,(LARGE(CHOOSE({1;2;3;4},H32,K32,N32,Q32),1)+LARGE(CHOOSE({1;2;3;4},H32,K32,N32,Q32),2)+LARGE(CHOOSE({1;2;3;4},H32,K32,N32,Q32),3))/3,0)</f>
        <v>0</v>
      </c>
      <c r="Z32" s="48" t="s">
        <v>320</v>
      </c>
      <c r="AA32" s="47">
        <v>2</v>
      </c>
      <c r="AB32" s="47">
        <v>14</v>
      </c>
      <c r="AE32" s="43" t="s">
        <v>25</v>
      </c>
      <c r="AF32" s="43" t="s">
        <v>26</v>
      </c>
      <c r="AG32" s="43" t="s">
        <v>27</v>
      </c>
      <c r="AH32" s="43" t="s">
        <v>28</v>
      </c>
      <c r="AI32">
        <v>4</v>
      </c>
      <c r="AJ32" t="s">
        <v>341</v>
      </c>
      <c r="AK32" s="43" t="s">
        <v>308</v>
      </c>
      <c r="AL32">
        <v>12.600000000000001</v>
      </c>
    </row>
    <row r="33" spans="1:38" ht="21" x14ac:dyDescent="0.35">
      <c r="A33" t="s">
        <v>120</v>
      </c>
      <c r="B33" s="2" t="s">
        <v>26</v>
      </c>
      <c r="C33" s="2" t="s">
        <v>121</v>
      </c>
      <c r="D33" t="s">
        <v>39</v>
      </c>
      <c r="E33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33" s="4">
        <v>3.1</v>
      </c>
      <c r="G33" s="7">
        <v>7.45</v>
      </c>
      <c r="H33" s="7">
        <v>10.55</v>
      </c>
      <c r="I33" s="4">
        <v>0</v>
      </c>
      <c r="J33" s="7">
        <v>0</v>
      </c>
      <c r="K33" s="7">
        <v>0</v>
      </c>
      <c r="L33" s="4">
        <v>2.2999999999999998</v>
      </c>
      <c r="M33" s="7">
        <v>7.45</v>
      </c>
      <c r="N33" s="7">
        <v>9.75</v>
      </c>
      <c r="O33" s="4">
        <v>0</v>
      </c>
      <c r="P33" s="7">
        <v>0</v>
      </c>
      <c r="Q33" s="7">
        <v>0</v>
      </c>
      <c r="R33" s="4">
        <f>LARGE(CHOOSE({1;2;3;4},F33,I33,L33,O33),1)+LARGE(CHOOSE({1;2;3;4},F33,I33,L33,O33),2)+LARGE(CHOOSE({1;2;3;4},F33,I33,L33,O33),3)</f>
        <v>5.4</v>
      </c>
      <c r="S33" s="7">
        <f>LARGE(CHOOSE({1;2;3;4},G33,J33,M33,P33),1)+LARGE(CHOOSE({1;2;3;4},G33,J33,M33,P33),2)+LARGE(CHOOSE({1;2;3;4},G33,J33,M33,P33),3)</f>
        <v>14.9</v>
      </c>
      <c r="T33" s="7">
        <f>LARGE(CHOOSE({1;2;3;4},H33,K33,N33,Q33),1)+LARGE(CHOOSE({1;2;3;4},H33,K33,N33,Q33),2)+LARGE(CHOOSE({1;2;3;4},H33,K33,N33,Q33),3)</f>
        <v>20.3</v>
      </c>
      <c r="U33" s="4" cm="1">
        <f t="array" ref="U33">IF(PB[[#This Row],[Number_of_competition]:[Number_of_competition]]&gt;=3,(LARGE(CHOOSE({1;2;3;4},F33,I33,L33,O33),1)+LARGE(CHOOSE({1;2;3;4},F33,I33,L33,O33),2)+LARGE(CHOOSE({1;2;3;4},F33,I33,L33,O33),3))/3,0)</f>
        <v>0</v>
      </c>
      <c r="V33" s="7" cm="1">
        <f t="array" ref="V33">IF(PB[[#This Row],[Number_of_competition]:[Number_of_competition]]&gt;=3,(LARGE(CHOOSE({1;2;3;4},G33,J33,M33,P33),1)+LARGE(CHOOSE({1;2;3;4},G33,J33,M33,P33),2)+LARGE(CHOOSE({1;2;3;4},G33,J33,M33,P33),3))/3,0)</f>
        <v>0</v>
      </c>
      <c r="W33" s="7" cm="1">
        <f t="array" ref="W33">IF(PB[[#This Row],[Number_of_competition]:[Number_of_competition]]&gt;=3,(LARGE(CHOOSE({1;2;3;4},H33,K33,N33,Q33),1)+LARGE(CHOOSE({1;2;3;4},H33,K33,N33,Q33),2)+LARGE(CHOOSE({1;2;3;4},H33,K33,N33,Q33),3))/3,0)</f>
        <v>0</v>
      </c>
      <c r="Z33" s="48" t="s">
        <v>321</v>
      </c>
      <c r="AA33" s="47">
        <v>4</v>
      </c>
      <c r="AB33" s="47">
        <v>10</v>
      </c>
      <c r="AE33" s="43" t="s">
        <v>25</v>
      </c>
      <c r="AF33" s="43" t="s">
        <v>26</v>
      </c>
      <c r="AG33" s="43" t="s">
        <v>27</v>
      </c>
      <c r="AH33" s="43" t="s">
        <v>28</v>
      </c>
      <c r="AI33">
        <v>4</v>
      </c>
      <c r="AJ33" t="s">
        <v>341</v>
      </c>
      <c r="AK33" s="43" t="s">
        <v>309</v>
      </c>
      <c r="AL33">
        <v>26.25</v>
      </c>
    </row>
    <row r="34" spans="1:38" ht="21" x14ac:dyDescent="0.35">
      <c r="A34" t="s">
        <v>70</v>
      </c>
      <c r="B34" s="2" t="s">
        <v>60</v>
      </c>
      <c r="C34" s="2" t="s">
        <v>71</v>
      </c>
      <c r="D34" t="s">
        <v>72</v>
      </c>
      <c r="E34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34" s="4">
        <v>0</v>
      </c>
      <c r="G34" s="7">
        <v>0</v>
      </c>
      <c r="H34" s="7">
        <v>0</v>
      </c>
      <c r="I34" s="4">
        <v>4.3</v>
      </c>
      <c r="J34" s="7">
        <v>8.1999999999999993</v>
      </c>
      <c r="K34" s="7">
        <v>12.5</v>
      </c>
      <c r="L34" s="4">
        <v>0</v>
      </c>
      <c r="M34" s="7">
        <v>0</v>
      </c>
      <c r="N34" s="7">
        <v>0</v>
      </c>
      <c r="O34" s="4">
        <v>0</v>
      </c>
      <c r="P34" s="7">
        <v>0</v>
      </c>
      <c r="Q34" s="7">
        <v>0</v>
      </c>
      <c r="R34" s="4">
        <f>LARGE(CHOOSE({1;2;3;4},F34,I34,L34,O34),1)+LARGE(CHOOSE({1;2;3;4},F34,I34,L34,O34),2)+LARGE(CHOOSE({1;2;3;4},F34,I34,L34,O34),3)</f>
        <v>4.3</v>
      </c>
      <c r="S34" s="7">
        <f>LARGE(CHOOSE({1;2;3;4},G34,J34,M34,P34),1)+LARGE(CHOOSE({1;2;3;4},G34,J34,M34,P34),2)+LARGE(CHOOSE({1;2;3;4},G34,J34,M34,P34),3)</f>
        <v>8.1999999999999993</v>
      </c>
      <c r="T34" s="7">
        <f>LARGE(CHOOSE({1;2;3;4},H34,K34,N34,Q34),1)+LARGE(CHOOSE({1;2;3;4},H34,K34,N34,Q34),2)+LARGE(CHOOSE({1;2;3;4},H34,K34,N34,Q34),3)</f>
        <v>12.5</v>
      </c>
      <c r="U34" s="4" cm="1">
        <f t="array" ref="U34">IF(PB[[#This Row],[Number_of_competition]:[Number_of_competition]]&gt;=3,(LARGE(CHOOSE({1;2;3;4},F34,I34,L34,O34),1)+LARGE(CHOOSE({1;2;3;4},F34,I34,L34,O34),2)+LARGE(CHOOSE({1;2;3;4},F34,I34,L34,O34),3))/3,0)</f>
        <v>0</v>
      </c>
      <c r="V34" s="7" cm="1">
        <f t="array" ref="V34">IF(PB[[#This Row],[Number_of_competition]:[Number_of_competition]]&gt;=3,(LARGE(CHOOSE({1;2;3;4},G34,J34,M34,P34),1)+LARGE(CHOOSE({1;2;3;4},G34,J34,M34,P34),2)+LARGE(CHOOSE({1;2;3;4},G34,J34,M34,P34),3))/3,0)</f>
        <v>0</v>
      </c>
      <c r="W34" s="7" cm="1">
        <f t="array" ref="W34">IF(PB[[#This Row],[Number_of_competition]:[Number_of_competition]]&gt;=3,(LARGE(CHOOSE({1;2;3;4},H34,K34,N34,Q34),1)+LARGE(CHOOSE({1;2;3;4},H34,K34,N34,Q34),2)+LARGE(CHOOSE({1;2;3;4},H34,K34,N34,Q34),3))/3,0)</f>
        <v>0</v>
      </c>
      <c r="Z34" s="48" t="s">
        <v>322</v>
      </c>
      <c r="AA34" s="47"/>
      <c r="AB34" s="47">
        <v>2</v>
      </c>
      <c r="AE34" s="43" t="s">
        <v>25</v>
      </c>
      <c r="AF34" s="43" t="s">
        <v>26</v>
      </c>
      <c r="AG34" s="43" t="s">
        <v>27</v>
      </c>
      <c r="AH34" s="43" t="s">
        <v>28</v>
      </c>
      <c r="AI34">
        <v>4</v>
      </c>
      <c r="AJ34" t="s">
        <v>341</v>
      </c>
      <c r="AK34" s="43" t="s">
        <v>268</v>
      </c>
      <c r="AL34">
        <v>38.75</v>
      </c>
    </row>
    <row r="35" spans="1:38" ht="21" x14ac:dyDescent="0.35">
      <c r="A35" t="s">
        <v>90</v>
      </c>
      <c r="B35" s="2" t="s">
        <v>60</v>
      </c>
      <c r="C35" s="2" t="s">
        <v>91</v>
      </c>
      <c r="D35" t="s">
        <v>36</v>
      </c>
      <c r="E35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35" s="4">
        <v>0</v>
      </c>
      <c r="G35" s="7">
        <v>0</v>
      </c>
      <c r="H35" s="7">
        <v>0</v>
      </c>
      <c r="I35" s="4">
        <v>0</v>
      </c>
      <c r="J35" s="7">
        <v>0</v>
      </c>
      <c r="K35" s="7">
        <v>0</v>
      </c>
      <c r="L35" s="4">
        <v>2.9</v>
      </c>
      <c r="M35" s="7">
        <v>8.5</v>
      </c>
      <c r="N35" s="7">
        <v>11.4</v>
      </c>
      <c r="O35" s="4">
        <v>0</v>
      </c>
      <c r="P35" s="7">
        <v>0</v>
      </c>
      <c r="Q35" s="7">
        <v>0</v>
      </c>
      <c r="R35" s="4">
        <f>LARGE(CHOOSE({1;2;3;4},F35,I35,L35,O35),1)+LARGE(CHOOSE({1;2;3;4},F35,I35,L35,O35),2)+LARGE(CHOOSE({1;2;3;4},F35,I35,L35,O35),3)</f>
        <v>2.9</v>
      </c>
      <c r="S35" s="7">
        <f>LARGE(CHOOSE({1;2;3;4},G35,J35,M35,P35),1)+LARGE(CHOOSE({1;2;3;4},G35,J35,M35,P35),2)+LARGE(CHOOSE({1;2;3;4},G35,J35,M35,P35),3)</f>
        <v>8.5</v>
      </c>
      <c r="T35" s="7">
        <f>LARGE(CHOOSE({1;2;3;4},H35,K35,N35,Q35),1)+LARGE(CHOOSE({1;2;3;4},H35,K35,N35,Q35),2)+LARGE(CHOOSE({1;2;3;4},H35,K35,N35,Q35),3)</f>
        <v>11.4</v>
      </c>
      <c r="U35" s="4" cm="1">
        <f t="array" ref="U35">IF(PB[[#This Row],[Number_of_competition]:[Number_of_competition]]&gt;=3,(LARGE(CHOOSE({1;2;3;4},F35,I35,L35,O35),1)+LARGE(CHOOSE({1;2;3;4},F35,I35,L35,O35),2)+LARGE(CHOOSE({1;2;3;4},F35,I35,L35,O35),3))/3,0)</f>
        <v>0</v>
      </c>
      <c r="V35" s="7" cm="1">
        <f t="array" ref="V35">IF(PB[[#This Row],[Number_of_competition]:[Number_of_competition]]&gt;=3,(LARGE(CHOOSE({1;2;3;4},G35,J35,M35,P35),1)+LARGE(CHOOSE({1;2;3;4},G35,J35,M35,P35),2)+LARGE(CHOOSE({1;2;3;4},G35,J35,M35,P35),3))/3,0)</f>
        <v>0</v>
      </c>
      <c r="W35" s="7" cm="1">
        <f t="array" ref="W35">IF(PB[[#This Row],[Number_of_competition]:[Number_of_competition]]&gt;=3,(LARGE(CHOOSE({1;2;3;4},H35,K35,N35,Q35),1)+LARGE(CHOOSE({1;2;3;4},H35,K35,N35,Q35),2)+LARGE(CHOOSE({1;2;3;4},H35,K35,N35,Q35),3))/3,0)</f>
        <v>0</v>
      </c>
      <c r="Z35" s="48" t="s">
        <v>323</v>
      </c>
      <c r="AA35" s="47"/>
      <c r="AB35" s="47">
        <v>2</v>
      </c>
      <c r="AE35" s="43" t="s">
        <v>25</v>
      </c>
      <c r="AF35" s="43" t="s">
        <v>26</v>
      </c>
      <c r="AG35" s="43" t="s">
        <v>27</v>
      </c>
      <c r="AH35" s="43" t="s">
        <v>28</v>
      </c>
      <c r="AI35">
        <v>4</v>
      </c>
      <c r="AJ35" t="s">
        <v>273</v>
      </c>
      <c r="AK35" s="43" t="s">
        <v>308</v>
      </c>
      <c r="AL35">
        <v>4.2</v>
      </c>
    </row>
    <row r="36" spans="1:38" ht="21" x14ac:dyDescent="0.35">
      <c r="A36" t="s">
        <v>118</v>
      </c>
      <c r="B36" s="2" t="s">
        <v>60</v>
      </c>
      <c r="C36" s="2" t="s">
        <v>119</v>
      </c>
      <c r="D36" t="s">
        <v>31</v>
      </c>
      <c r="E36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36" s="4">
        <v>0</v>
      </c>
      <c r="G36" s="7">
        <v>0</v>
      </c>
      <c r="H36" s="7">
        <v>0</v>
      </c>
      <c r="I36" s="4">
        <v>0</v>
      </c>
      <c r="J36" s="7">
        <v>0</v>
      </c>
      <c r="K36" s="7">
        <v>0</v>
      </c>
      <c r="L36" s="4">
        <v>4.3</v>
      </c>
      <c r="M36" s="7">
        <v>7.1</v>
      </c>
      <c r="N36" s="7">
        <v>11.4</v>
      </c>
      <c r="O36" s="4">
        <v>0</v>
      </c>
      <c r="P36" s="7">
        <v>0</v>
      </c>
      <c r="Q36" s="7">
        <v>0</v>
      </c>
      <c r="R36" s="4">
        <f>LARGE(CHOOSE({1;2;3;4},F36,I36,L36,O36),1)+LARGE(CHOOSE({1;2;3;4},F36,I36,L36,O36),2)+LARGE(CHOOSE({1;2;3;4},F36,I36,L36,O36),3)</f>
        <v>4.3</v>
      </c>
      <c r="S36" s="7">
        <f>LARGE(CHOOSE({1;2;3;4},G36,J36,M36,P36),1)+LARGE(CHOOSE({1;2;3;4},G36,J36,M36,P36),2)+LARGE(CHOOSE({1;2;3;4},G36,J36,M36,P36),3)</f>
        <v>7.1</v>
      </c>
      <c r="T36" s="7">
        <f>LARGE(CHOOSE({1;2;3;4},H36,K36,N36,Q36),1)+LARGE(CHOOSE({1;2;3;4},H36,K36,N36,Q36),2)+LARGE(CHOOSE({1;2;3;4},H36,K36,N36,Q36),3)</f>
        <v>11.4</v>
      </c>
      <c r="U36" s="4" cm="1">
        <f t="array" ref="U36">IF(PB[[#This Row],[Number_of_competition]:[Number_of_competition]]&gt;=3,(LARGE(CHOOSE({1;2;3;4},F36,I36,L36,O36),1)+LARGE(CHOOSE({1;2;3;4},F36,I36,L36,O36),2)+LARGE(CHOOSE({1;2;3;4},F36,I36,L36,O36),3))/3,0)</f>
        <v>0</v>
      </c>
      <c r="V36" s="7" cm="1">
        <f t="array" ref="V36">IF(PB[[#This Row],[Number_of_competition]:[Number_of_competition]]&gt;=3,(LARGE(CHOOSE({1;2;3;4},G36,J36,M36,P36),1)+LARGE(CHOOSE({1;2;3;4},G36,J36,M36,P36),2)+LARGE(CHOOSE({1;2;3;4},G36,J36,M36,P36),3))/3,0)</f>
        <v>0</v>
      </c>
      <c r="W36" s="7" cm="1">
        <f t="array" ref="W36">IF(PB[[#This Row],[Number_of_competition]:[Number_of_competition]]&gt;=3,(LARGE(CHOOSE({1;2;3;4},H36,K36,N36,Q36),1)+LARGE(CHOOSE({1;2;3;4},H36,K36,N36,Q36),2)+LARGE(CHOOSE({1;2;3;4},H36,K36,N36,Q36),3))/3,0)</f>
        <v>0</v>
      </c>
      <c r="AE36" s="43" t="s">
        <v>25</v>
      </c>
      <c r="AF36" s="43" t="s">
        <v>26</v>
      </c>
      <c r="AG36" s="43" t="s">
        <v>27</v>
      </c>
      <c r="AH36" s="43" t="s">
        <v>28</v>
      </c>
      <c r="AI36">
        <v>4</v>
      </c>
      <c r="AJ36" t="s">
        <v>273</v>
      </c>
      <c r="AK36" s="43" t="s">
        <v>309</v>
      </c>
      <c r="AL36">
        <v>8.75</v>
      </c>
    </row>
    <row r="37" spans="1:38" ht="21" x14ac:dyDescent="0.35">
      <c r="A37" t="s">
        <v>142</v>
      </c>
      <c r="B37" s="2" t="s">
        <v>60</v>
      </c>
      <c r="C37" s="2" t="s">
        <v>143</v>
      </c>
      <c r="D37" t="s">
        <v>62</v>
      </c>
      <c r="E37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37" s="4">
        <v>3.4</v>
      </c>
      <c r="G37" s="7">
        <v>7.9</v>
      </c>
      <c r="H37" s="7">
        <v>11.3</v>
      </c>
      <c r="I37" s="4">
        <v>0</v>
      </c>
      <c r="J37" s="7">
        <v>0</v>
      </c>
      <c r="K37" s="7">
        <v>0</v>
      </c>
      <c r="L37" s="4">
        <v>0</v>
      </c>
      <c r="M37" s="7">
        <v>0</v>
      </c>
      <c r="N37" s="7">
        <v>0</v>
      </c>
      <c r="O37" s="4">
        <v>0</v>
      </c>
      <c r="P37" s="7">
        <v>0</v>
      </c>
      <c r="Q37" s="7">
        <v>0</v>
      </c>
      <c r="R37" s="4">
        <f>LARGE(CHOOSE({1;2;3;4},F37,I37,L37,O37),1)+LARGE(CHOOSE({1;2;3;4},F37,I37,L37,O37),2)+LARGE(CHOOSE({1;2;3;4},F37,I37,L37,O37),3)</f>
        <v>3.4</v>
      </c>
      <c r="S37" s="7">
        <f>LARGE(CHOOSE({1;2;3;4},G37,J37,M37,P37),1)+LARGE(CHOOSE({1;2;3;4},G37,J37,M37,P37),2)+LARGE(CHOOSE({1;2;3;4},G37,J37,M37,P37),3)</f>
        <v>7.9</v>
      </c>
      <c r="T37" s="7">
        <f>LARGE(CHOOSE({1;2;3;4},H37,K37,N37,Q37),1)+LARGE(CHOOSE({1;2;3;4},H37,K37,N37,Q37),2)+LARGE(CHOOSE({1;2;3;4},H37,K37,N37,Q37),3)</f>
        <v>11.3</v>
      </c>
      <c r="U37" s="4" cm="1">
        <f t="array" ref="U37">IF(PB[[#This Row],[Number_of_competition]:[Number_of_competition]]&gt;=3,(LARGE(CHOOSE({1;2;3;4},F37,I37,L37,O37),1)+LARGE(CHOOSE({1;2;3;4},F37,I37,L37,O37),2)+LARGE(CHOOSE({1;2;3;4},F37,I37,L37,O37),3))/3,0)</f>
        <v>0</v>
      </c>
      <c r="V37" s="7" cm="1">
        <f t="array" ref="V37">IF(PB[[#This Row],[Number_of_competition]:[Number_of_competition]]&gt;=3,(LARGE(CHOOSE({1;2;3;4},G37,J37,M37,P37),1)+LARGE(CHOOSE({1;2;3;4},G37,J37,M37,P37),2)+LARGE(CHOOSE({1;2;3;4},G37,J37,M37,P37),3))/3,0)</f>
        <v>0</v>
      </c>
      <c r="W37" s="7" cm="1">
        <f t="array" ref="W37">IF(PB[[#This Row],[Number_of_competition]:[Number_of_competition]]&gt;=3,(LARGE(CHOOSE({1;2;3;4},H37,K37,N37,Q37),1)+LARGE(CHOOSE({1;2;3;4},H37,K37,N37,Q37),2)+LARGE(CHOOSE({1;2;3;4},H37,K37,N37,Q37),3))/3,0)</f>
        <v>0</v>
      </c>
      <c r="AE37" s="43" t="s">
        <v>25</v>
      </c>
      <c r="AF37" s="43" t="s">
        <v>26</v>
      </c>
      <c r="AG37" s="43" t="s">
        <v>27</v>
      </c>
      <c r="AH37" s="43" t="s">
        <v>28</v>
      </c>
      <c r="AI37">
        <v>4</v>
      </c>
      <c r="AJ37" t="s">
        <v>273</v>
      </c>
      <c r="AK37" s="43" t="s">
        <v>268</v>
      </c>
      <c r="AL37">
        <v>12.916666666666666</v>
      </c>
    </row>
    <row r="38" spans="1:38" ht="21" x14ac:dyDescent="0.35">
      <c r="A38" t="s">
        <v>129</v>
      </c>
      <c r="B38" s="2" t="s">
        <v>60</v>
      </c>
      <c r="C38" s="2" t="s">
        <v>130</v>
      </c>
      <c r="D38" t="s">
        <v>72</v>
      </c>
      <c r="E38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38" s="4">
        <v>0</v>
      </c>
      <c r="G38" s="7">
        <v>0</v>
      </c>
      <c r="H38" s="7">
        <v>0</v>
      </c>
      <c r="I38" s="4">
        <v>0</v>
      </c>
      <c r="J38" s="7">
        <v>0</v>
      </c>
      <c r="K38" s="7">
        <v>0</v>
      </c>
      <c r="L38" s="4">
        <v>2.7</v>
      </c>
      <c r="M38" s="7">
        <v>8.5500000000000007</v>
      </c>
      <c r="N38" s="7">
        <v>11.25</v>
      </c>
      <c r="O38" s="4">
        <v>0</v>
      </c>
      <c r="P38" s="7">
        <v>0</v>
      </c>
      <c r="Q38" s="7">
        <v>0</v>
      </c>
      <c r="R38" s="4">
        <f>LARGE(CHOOSE({1;2;3;4},F38,I38,L38,O38),1)+LARGE(CHOOSE({1;2;3;4},F38,I38,L38,O38),2)+LARGE(CHOOSE({1;2;3;4},F38,I38,L38,O38),3)</f>
        <v>2.7</v>
      </c>
      <c r="S38" s="7">
        <f>LARGE(CHOOSE({1;2;3;4},G38,J38,M38,P38),1)+LARGE(CHOOSE({1;2;3;4},G38,J38,M38,P38),2)+LARGE(CHOOSE({1;2;3;4},G38,J38,M38,P38),3)</f>
        <v>8.5500000000000007</v>
      </c>
      <c r="T38" s="7">
        <f>LARGE(CHOOSE({1;2;3;4},H38,K38,N38,Q38),1)+LARGE(CHOOSE({1;2;3;4},H38,K38,N38,Q38),2)+LARGE(CHOOSE({1;2;3;4},H38,K38,N38,Q38),3)</f>
        <v>11.25</v>
      </c>
      <c r="U38" s="4" cm="1">
        <f t="array" ref="U38">IF(PB[[#This Row],[Number_of_competition]:[Number_of_competition]]&gt;=3,(LARGE(CHOOSE({1;2;3;4},F38,I38,L38,O38),1)+LARGE(CHOOSE({1;2;3;4},F38,I38,L38,O38),2)+LARGE(CHOOSE({1;2;3;4},F38,I38,L38,O38),3))/3,0)</f>
        <v>0</v>
      </c>
      <c r="V38" s="7" cm="1">
        <f t="array" ref="V38">IF(PB[[#This Row],[Number_of_competition]:[Number_of_competition]]&gt;=3,(LARGE(CHOOSE({1;2;3;4},G38,J38,M38,P38),1)+LARGE(CHOOSE({1;2;3;4},G38,J38,M38,P38),2)+LARGE(CHOOSE({1;2;3;4},G38,J38,M38,P38),3))/3,0)</f>
        <v>0</v>
      </c>
      <c r="W38" s="7" cm="1">
        <f t="array" ref="W38">IF(PB[[#This Row],[Number_of_competition]:[Number_of_competition]]&gt;=3,(LARGE(CHOOSE({1;2;3;4},H38,K38,N38,Q38),1)+LARGE(CHOOSE({1;2;3;4},H38,K38,N38,Q38),2)+LARGE(CHOOSE({1;2;3;4},H38,K38,N38,Q38),3))/3,0)</f>
        <v>0</v>
      </c>
      <c r="AE38" s="43" t="s">
        <v>80</v>
      </c>
      <c r="AF38" s="43" t="s">
        <v>60</v>
      </c>
      <c r="AG38" s="43" t="s">
        <v>81</v>
      </c>
      <c r="AH38" s="43" t="s">
        <v>62</v>
      </c>
      <c r="AI38">
        <v>4</v>
      </c>
      <c r="AJ38" t="s">
        <v>317</v>
      </c>
      <c r="AK38" s="43" t="s">
        <v>308</v>
      </c>
      <c r="AL38">
        <v>3.7</v>
      </c>
    </row>
    <row r="39" spans="1:38" ht="21" x14ac:dyDescent="0.35">
      <c r="A39" t="s">
        <v>132</v>
      </c>
      <c r="B39" s="2" t="s">
        <v>26</v>
      </c>
      <c r="C39" s="2" t="s">
        <v>133</v>
      </c>
      <c r="D39" t="s">
        <v>39</v>
      </c>
      <c r="E39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39" s="4">
        <v>3</v>
      </c>
      <c r="G39" s="7">
        <v>8.0500000000000007</v>
      </c>
      <c r="H39" s="7">
        <v>11.05</v>
      </c>
      <c r="I39" s="4">
        <v>0</v>
      </c>
      <c r="J39" s="7">
        <v>0</v>
      </c>
      <c r="K39" s="7">
        <v>0</v>
      </c>
      <c r="L39" s="4">
        <v>0</v>
      </c>
      <c r="M39" s="7">
        <v>0</v>
      </c>
      <c r="N39" s="7">
        <v>0</v>
      </c>
      <c r="O39" s="4">
        <v>0</v>
      </c>
      <c r="P39" s="7">
        <v>0</v>
      </c>
      <c r="Q39" s="7">
        <v>0</v>
      </c>
      <c r="R39" s="4">
        <f>LARGE(CHOOSE({1;2;3;4},F39,I39,L39,O39),1)+LARGE(CHOOSE({1;2;3;4},F39,I39,L39,O39),2)+LARGE(CHOOSE({1;2;3;4},F39,I39,L39,O39),3)</f>
        <v>3</v>
      </c>
      <c r="S39" s="7">
        <f>LARGE(CHOOSE({1;2;3;4},G39,J39,M39,P39),1)+LARGE(CHOOSE({1;2;3;4},G39,J39,M39,P39),2)+LARGE(CHOOSE({1;2;3;4},G39,J39,M39,P39),3)</f>
        <v>8.0500000000000007</v>
      </c>
      <c r="T39" s="7">
        <f>LARGE(CHOOSE({1;2;3;4},H39,K39,N39,Q39),1)+LARGE(CHOOSE({1;2;3;4},H39,K39,N39,Q39),2)+LARGE(CHOOSE({1;2;3;4},H39,K39,N39,Q39),3)</f>
        <v>11.05</v>
      </c>
      <c r="U39" s="4" cm="1">
        <f t="array" ref="U39">IF(PB[[#This Row],[Number_of_competition]:[Number_of_competition]]&gt;=3,(LARGE(CHOOSE({1;2;3;4},F39,I39,L39,O39),1)+LARGE(CHOOSE({1;2;3;4},F39,I39,L39,O39),2)+LARGE(CHOOSE({1;2;3;4},F39,I39,L39,O39),3))/3,0)</f>
        <v>0</v>
      </c>
      <c r="V39" s="7" cm="1">
        <f t="array" ref="V39">IF(PB[[#This Row],[Number_of_competition]:[Number_of_competition]]&gt;=3,(LARGE(CHOOSE({1;2;3;4},G39,J39,M39,P39),1)+LARGE(CHOOSE({1;2;3;4},G39,J39,M39,P39),2)+LARGE(CHOOSE({1;2;3;4},G39,J39,M39,P39),3))/3,0)</f>
        <v>0</v>
      </c>
      <c r="W39" s="7" cm="1">
        <f t="array" ref="W39">IF(PB[[#This Row],[Number_of_competition]:[Number_of_competition]]&gt;=3,(LARGE(CHOOSE({1;2;3;4},H39,K39,N39,Q39),1)+LARGE(CHOOSE({1;2;3;4},H39,K39,N39,Q39),2)+LARGE(CHOOSE({1;2;3;4},H39,K39,N39,Q39),3))/3,0)</f>
        <v>0</v>
      </c>
      <c r="AE39" s="43" t="s">
        <v>80</v>
      </c>
      <c r="AF39" s="43" t="s">
        <v>60</v>
      </c>
      <c r="AG39" s="43" t="s">
        <v>81</v>
      </c>
      <c r="AH39" s="43" t="s">
        <v>62</v>
      </c>
      <c r="AI39">
        <v>4</v>
      </c>
      <c r="AJ39" t="s">
        <v>317</v>
      </c>
      <c r="AK39" s="43" t="s">
        <v>309</v>
      </c>
      <c r="AL39">
        <v>8.4499999999999993</v>
      </c>
    </row>
    <row r="40" spans="1:38" ht="21" x14ac:dyDescent="0.35">
      <c r="A40" t="s">
        <v>106</v>
      </c>
      <c r="B40" s="2" t="s">
        <v>60</v>
      </c>
      <c r="C40" s="2" t="s">
        <v>107</v>
      </c>
      <c r="D40" t="s">
        <v>31</v>
      </c>
      <c r="E40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40" s="4">
        <v>2.5</v>
      </c>
      <c r="G40" s="7">
        <v>7.45</v>
      </c>
      <c r="H40" s="7">
        <v>9.9499999999999993</v>
      </c>
      <c r="I40" s="4">
        <v>0</v>
      </c>
      <c r="J40" s="7">
        <v>0</v>
      </c>
      <c r="K40" s="7">
        <v>0</v>
      </c>
      <c r="L40" s="4">
        <v>0</v>
      </c>
      <c r="M40" s="7">
        <v>0</v>
      </c>
      <c r="N40" s="7">
        <v>0</v>
      </c>
      <c r="O40" s="4">
        <v>0</v>
      </c>
      <c r="P40" s="7">
        <v>0</v>
      </c>
      <c r="Q40" s="7">
        <v>0</v>
      </c>
      <c r="R40" s="4">
        <f>LARGE(CHOOSE({1;2;3;4},F40,I40,L40,O40),1)+LARGE(CHOOSE({1;2;3;4},F40,I40,L40,O40),2)+LARGE(CHOOSE({1;2;3;4},F40,I40,L40,O40),3)</f>
        <v>2.5</v>
      </c>
      <c r="S40" s="7">
        <f>LARGE(CHOOSE({1;2;3;4},G40,J40,M40,P40),1)+LARGE(CHOOSE({1;2;3;4},G40,J40,M40,P40),2)+LARGE(CHOOSE({1;2;3;4},G40,J40,M40,P40),3)</f>
        <v>7.45</v>
      </c>
      <c r="T40" s="7">
        <f>LARGE(CHOOSE({1;2;3;4},H40,K40,N40,Q40),1)+LARGE(CHOOSE({1;2;3;4},H40,K40,N40,Q40),2)+LARGE(CHOOSE({1;2;3;4},H40,K40,N40,Q40),3)</f>
        <v>9.9499999999999993</v>
      </c>
      <c r="U40" s="4" cm="1">
        <f t="array" ref="U40">IF(PB[[#This Row],[Number_of_competition]:[Number_of_competition]]&gt;=3,(LARGE(CHOOSE({1;2;3;4},F40,I40,L40,O40),1)+LARGE(CHOOSE({1;2;3;4},F40,I40,L40,O40),2)+LARGE(CHOOSE({1;2;3;4},F40,I40,L40,O40),3))/3,0)</f>
        <v>0</v>
      </c>
      <c r="V40" s="7" cm="1">
        <f t="array" ref="V40">IF(PB[[#This Row],[Number_of_competition]:[Number_of_competition]]&gt;=3,(LARGE(CHOOSE({1;2;3;4},G40,J40,M40,P40),1)+LARGE(CHOOSE({1;2;3;4},G40,J40,M40,P40),2)+LARGE(CHOOSE({1;2;3;4},G40,J40,M40,P40),3))/3,0)</f>
        <v>0</v>
      </c>
      <c r="W40" s="7" cm="1">
        <f t="array" ref="W40">IF(PB[[#This Row],[Number_of_competition]:[Number_of_competition]]&gt;=3,(LARGE(CHOOSE({1;2;3;4},H40,K40,N40,Q40),1)+LARGE(CHOOSE({1;2;3;4},H40,K40,N40,Q40),2)+LARGE(CHOOSE({1;2;3;4},H40,K40,N40,Q40),3))/3,0)</f>
        <v>0</v>
      </c>
      <c r="AE40" s="43" t="s">
        <v>80</v>
      </c>
      <c r="AF40" s="43" t="s">
        <v>60</v>
      </c>
      <c r="AG40" s="43" t="s">
        <v>81</v>
      </c>
      <c r="AH40" s="43" t="s">
        <v>62</v>
      </c>
      <c r="AI40">
        <v>4</v>
      </c>
      <c r="AJ40" t="s">
        <v>317</v>
      </c>
      <c r="AK40" s="43" t="s">
        <v>268</v>
      </c>
      <c r="AL40">
        <v>12.15</v>
      </c>
    </row>
    <row r="41" spans="1:38" ht="21" x14ac:dyDescent="0.35">
      <c r="A41" t="s">
        <v>57</v>
      </c>
      <c r="B41" s="2" t="s">
        <v>26</v>
      </c>
      <c r="C41" s="2" t="s">
        <v>58</v>
      </c>
      <c r="D41" t="s">
        <v>36</v>
      </c>
      <c r="E41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41" s="4">
        <v>2.5</v>
      </c>
      <c r="G41" s="7">
        <v>5.7</v>
      </c>
      <c r="H41" s="7">
        <v>8.1999999999999993</v>
      </c>
      <c r="I41" s="4">
        <v>0</v>
      </c>
      <c r="J41" s="7">
        <v>0</v>
      </c>
      <c r="K41" s="7">
        <v>0</v>
      </c>
      <c r="L41" s="4">
        <v>0</v>
      </c>
      <c r="M41" s="7">
        <v>0</v>
      </c>
      <c r="N41" s="7">
        <v>0</v>
      </c>
      <c r="O41" s="4">
        <v>0</v>
      </c>
      <c r="P41" s="7">
        <v>0</v>
      </c>
      <c r="Q41" s="7">
        <v>0</v>
      </c>
      <c r="R41" s="4">
        <f>LARGE(CHOOSE({1;2;3;4},F41,I41,L41,O41),1)+LARGE(CHOOSE({1;2;3;4},F41,I41,L41,O41),2)+LARGE(CHOOSE({1;2;3;4},F41,I41,L41,O41),3)</f>
        <v>2.5</v>
      </c>
      <c r="S41" s="7">
        <f>LARGE(CHOOSE({1;2;3;4},G41,J41,M41,P41),1)+LARGE(CHOOSE({1;2;3;4},G41,J41,M41,P41),2)+LARGE(CHOOSE({1;2;3;4},G41,J41,M41,P41),3)</f>
        <v>5.7</v>
      </c>
      <c r="T41" s="7">
        <f>LARGE(CHOOSE({1;2;3;4},H41,K41,N41,Q41),1)+LARGE(CHOOSE({1;2;3;4},H41,K41,N41,Q41),2)+LARGE(CHOOSE({1;2;3;4},H41,K41,N41,Q41),3)</f>
        <v>8.1999999999999993</v>
      </c>
      <c r="U41" s="4" cm="1">
        <f t="array" ref="U41">IF(PB[[#This Row],[Number_of_competition]:[Number_of_competition]]&gt;=3,(LARGE(CHOOSE({1;2;3;4},F41,I41,L41,O41),1)+LARGE(CHOOSE({1;2;3;4},F41,I41,L41,O41),2)+LARGE(CHOOSE({1;2;3;4},F41,I41,L41,O41),3))/3,0)</f>
        <v>0</v>
      </c>
      <c r="V41" s="7" cm="1">
        <f t="array" ref="V41">IF(PB[[#This Row],[Number_of_competition]:[Number_of_competition]]&gt;=3,(LARGE(CHOOSE({1;2;3;4},G41,J41,M41,P41),1)+LARGE(CHOOSE({1;2;3;4},G41,J41,M41,P41),2)+LARGE(CHOOSE({1;2;3;4},G41,J41,M41,P41),3))/3,0)</f>
        <v>0</v>
      </c>
      <c r="W41" s="7" cm="1">
        <f t="array" ref="W41">IF(PB[[#This Row],[Number_of_competition]:[Number_of_competition]]&gt;=3,(LARGE(CHOOSE({1;2;3;4},H41,K41,N41,Q41),1)+LARGE(CHOOSE({1;2;3;4},H41,K41,N41,Q41),2)+LARGE(CHOOSE({1;2;3;4},H41,K41,N41,Q41),3))/3,0)</f>
        <v>0</v>
      </c>
      <c r="AE41" s="43" t="s">
        <v>80</v>
      </c>
      <c r="AF41" s="43" t="s">
        <v>60</v>
      </c>
      <c r="AG41" s="43" t="s">
        <v>81</v>
      </c>
      <c r="AH41" s="43" t="s">
        <v>62</v>
      </c>
      <c r="AI41">
        <v>4</v>
      </c>
      <c r="AJ41" t="s">
        <v>325</v>
      </c>
      <c r="AK41" s="43" t="s">
        <v>308</v>
      </c>
      <c r="AL41">
        <v>3.6</v>
      </c>
    </row>
    <row r="42" spans="1:38" ht="21" x14ac:dyDescent="0.35">
      <c r="A42" t="s">
        <v>139</v>
      </c>
      <c r="B42" s="2" t="s">
        <v>26</v>
      </c>
      <c r="C42" s="2" t="s">
        <v>140</v>
      </c>
      <c r="D42" t="s">
        <v>124</v>
      </c>
      <c r="E42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42" s="4">
        <v>2</v>
      </c>
      <c r="G42" s="7">
        <v>3.45</v>
      </c>
      <c r="H42" s="7">
        <v>5.45</v>
      </c>
      <c r="I42" s="4">
        <v>0</v>
      </c>
      <c r="J42" s="7">
        <v>0</v>
      </c>
      <c r="K42" s="7">
        <v>0</v>
      </c>
      <c r="L42" s="4">
        <v>0</v>
      </c>
      <c r="M42" s="7">
        <v>0</v>
      </c>
      <c r="N42" s="7">
        <v>0</v>
      </c>
      <c r="O42" s="4">
        <v>0</v>
      </c>
      <c r="P42" s="7">
        <v>0</v>
      </c>
      <c r="Q42" s="7">
        <v>0</v>
      </c>
      <c r="R42" s="4">
        <f>LARGE(CHOOSE({1;2;3;4},F42,I42,L42,O42),1)+LARGE(CHOOSE({1;2;3;4},F42,I42,L42,O42),2)+LARGE(CHOOSE({1;2;3;4},F42,I42,L42,O42),3)</f>
        <v>2</v>
      </c>
      <c r="S42" s="7">
        <f>LARGE(CHOOSE({1;2;3;4},G42,J42,M42,P42),1)+LARGE(CHOOSE({1;2;3;4},G42,J42,M42,P42),2)+LARGE(CHOOSE({1;2;3;4},G42,J42,M42,P42),3)</f>
        <v>3.45</v>
      </c>
      <c r="T42" s="7">
        <f>LARGE(CHOOSE({1;2;3;4},H42,K42,N42,Q42),1)+LARGE(CHOOSE({1;2;3;4},H42,K42,N42,Q42),2)+LARGE(CHOOSE({1;2;3;4},H42,K42,N42,Q42),3)</f>
        <v>5.45</v>
      </c>
      <c r="U42" s="4" cm="1">
        <f t="array" ref="U42">IF(PB[[#This Row],[Number_of_competition]:[Number_of_competition]]&gt;=3,(LARGE(CHOOSE({1;2;3;4},F42,I42,L42,O42),1)+LARGE(CHOOSE({1;2;3;4},F42,I42,L42,O42),2)+LARGE(CHOOSE({1;2;3;4},F42,I42,L42,O42),3))/3,0)</f>
        <v>0</v>
      </c>
      <c r="V42" s="7" cm="1">
        <f t="array" ref="V42">IF(PB[[#This Row],[Number_of_competition]:[Number_of_competition]]&gt;=3,(LARGE(CHOOSE({1;2;3;4},G42,J42,M42,P42),1)+LARGE(CHOOSE({1;2;3;4},G42,J42,M42,P42),2)+LARGE(CHOOSE({1;2;3;4},G42,J42,M42,P42),3))/3,0)</f>
        <v>0</v>
      </c>
      <c r="W42" s="7" cm="1">
        <f t="array" ref="W42">IF(PB[[#This Row],[Number_of_competition]:[Number_of_competition]]&gt;=3,(LARGE(CHOOSE({1;2;3;4},H42,K42,N42,Q42),1)+LARGE(CHOOSE({1;2;3;4},H42,K42,N42,Q42),2)+LARGE(CHOOSE({1;2;3;4},H42,K42,N42,Q42),3))/3,0)</f>
        <v>0</v>
      </c>
      <c r="AE42" s="43" t="s">
        <v>80</v>
      </c>
      <c r="AF42" s="43" t="s">
        <v>60</v>
      </c>
      <c r="AG42" s="43" t="s">
        <v>81</v>
      </c>
      <c r="AH42" s="43" t="s">
        <v>62</v>
      </c>
      <c r="AI42">
        <v>4</v>
      </c>
      <c r="AJ42" t="s">
        <v>325</v>
      </c>
      <c r="AK42" s="43" t="s">
        <v>309</v>
      </c>
      <c r="AL42">
        <v>8.65</v>
      </c>
    </row>
    <row r="43" spans="1:38" ht="21" x14ac:dyDescent="0.35">
      <c r="A43" t="s">
        <v>137</v>
      </c>
      <c r="B43" s="2" t="s">
        <v>26</v>
      </c>
      <c r="C43" s="2" t="s">
        <v>138</v>
      </c>
      <c r="D43" t="s">
        <v>124</v>
      </c>
      <c r="E43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43" s="4">
        <v>1.9</v>
      </c>
      <c r="G43" s="7">
        <v>2.85</v>
      </c>
      <c r="H43" s="7">
        <v>4.75</v>
      </c>
      <c r="I43" s="4">
        <v>0</v>
      </c>
      <c r="J43" s="7">
        <v>0</v>
      </c>
      <c r="K43" s="7">
        <v>0</v>
      </c>
      <c r="L43" s="4">
        <v>0</v>
      </c>
      <c r="M43" s="7">
        <v>0</v>
      </c>
      <c r="N43" s="7">
        <v>0</v>
      </c>
      <c r="O43" s="4">
        <v>0</v>
      </c>
      <c r="P43" s="7">
        <v>0</v>
      </c>
      <c r="Q43" s="7">
        <v>0</v>
      </c>
      <c r="R43" s="4">
        <f>LARGE(CHOOSE({1;2;3;4},F43,I43,L43,O43),1)+LARGE(CHOOSE({1;2;3;4},F43,I43,L43,O43),2)+LARGE(CHOOSE({1;2;3;4},F43,I43,L43,O43),3)</f>
        <v>1.9</v>
      </c>
      <c r="S43" s="7">
        <f>LARGE(CHOOSE({1;2;3;4},G43,J43,M43,P43),1)+LARGE(CHOOSE({1;2;3;4},G43,J43,M43,P43),2)+LARGE(CHOOSE({1;2;3;4},G43,J43,M43,P43),3)</f>
        <v>2.85</v>
      </c>
      <c r="T43" s="7">
        <f>LARGE(CHOOSE({1;2;3;4},H43,K43,N43,Q43),1)+LARGE(CHOOSE({1;2;3;4},H43,K43,N43,Q43),2)+LARGE(CHOOSE({1;2;3;4},H43,K43,N43,Q43),3)</f>
        <v>4.75</v>
      </c>
      <c r="U43" s="4" cm="1">
        <f t="array" ref="U43">IF(PB[[#This Row],[Number_of_competition]:[Number_of_competition]]&gt;=3,(LARGE(CHOOSE({1;2;3;4},F43,I43,L43,O43),1)+LARGE(CHOOSE({1;2;3;4},F43,I43,L43,O43),2)+LARGE(CHOOSE({1;2;3;4},F43,I43,L43,O43),3))/3,0)</f>
        <v>0</v>
      </c>
      <c r="V43" s="7" cm="1">
        <f t="array" ref="V43">IF(PB[[#This Row],[Number_of_competition]:[Number_of_competition]]&gt;=3,(LARGE(CHOOSE({1;2;3;4},G43,J43,M43,P43),1)+LARGE(CHOOSE({1;2;3;4},G43,J43,M43,P43),2)+LARGE(CHOOSE({1;2;3;4},G43,J43,M43,P43),3))/3,0)</f>
        <v>0</v>
      </c>
      <c r="W43" s="7" cm="1">
        <f t="array" ref="W43">IF(PB[[#This Row],[Number_of_competition]:[Number_of_competition]]&gt;=3,(LARGE(CHOOSE({1;2;3;4},H43,K43,N43,Q43),1)+LARGE(CHOOSE({1;2;3;4},H43,K43,N43,Q43),2)+LARGE(CHOOSE({1;2;3;4},H43,K43,N43,Q43),3))/3,0)</f>
        <v>0</v>
      </c>
      <c r="AE43" s="43" t="s">
        <v>80</v>
      </c>
      <c r="AF43" s="43" t="s">
        <v>60</v>
      </c>
      <c r="AG43" s="43" t="s">
        <v>81</v>
      </c>
      <c r="AH43" s="43" t="s">
        <v>62</v>
      </c>
      <c r="AI43">
        <v>4</v>
      </c>
      <c r="AJ43" t="s">
        <v>325</v>
      </c>
      <c r="AK43" s="43" t="s">
        <v>268</v>
      </c>
      <c r="AL43">
        <v>12.25</v>
      </c>
    </row>
    <row r="44" spans="1:38" ht="21" x14ac:dyDescent="0.35">
      <c r="A44" t="s">
        <v>135</v>
      </c>
      <c r="B44" s="2" t="s">
        <v>26</v>
      </c>
      <c r="C44" s="2" t="s">
        <v>136</v>
      </c>
      <c r="D44" t="s">
        <v>124</v>
      </c>
      <c r="E44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44" s="4">
        <v>1.4</v>
      </c>
      <c r="G44" s="7">
        <v>1.7</v>
      </c>
      <c r="H44" s="7">
        <v>3.1</v>
      </c>
      <c r="I44" s="4">
        <v>0</v>
      </c>
      <c r="J44" s="7">
        <v>0</v>
      </c>
      <c r="K44" s="7">
        <v>0</v>
      </c>
      <c r="L44" s="4">
        <v>0</v>
      </c>
      <c r="M44" s="7">
        <v>0</v>
      </c>
      <c r="N44" s="7">
        <v>0</v>
      </c>
      <c r="O44" s="4">
        <v>0</v>
      </c>
      <c r="P44" s="7">
        <v>0</v>
      </c>
      <c r="Q44" s="7">
        <v>0</v>
      </c>
      <c r="R44" s="4">
        <f>LARGE(CHOOSE({1;2;3;4},F44,I44,L44,O44),1)+LARGE(CHOOSE({1;2;3;4},F44,I44,L44,O44),2)+LARGE(CHOOSE({1;2;3;4},F44,I44,L44,O44),3)</f>
        <v>1.4</v>
      </c>
      <c r="S44" s="7">
        <f>LARGE(CHOOSE({1;2;3;4},G44,J44,M44,P44),1)+LARGE(CHOOSE({1;2;3;4},G44,J44,M44,P44),2)+LARGE(CHOOSE({1;2;3;4},G44,J44,M44,P44),3)</f>
        <v>1.7</v>
      </c>
      <c r="T44" s="7">
        <f>LARGE(CHOOSE({1;2;3;4},H44,K44,N44,Q44),1)+LARGE(CHOOSE({1;2;3;4},H44,K44,N44,Q44),2)+LARGE(CHOOSE({1;2;3;4},H44,K44,N44,Q44),3)</f>
        <v>3.1</v>
      </c>
      <c r="U44" s="4" cm="1">
        <f t="array" ref="U44">IF(PB[[#This Row],[Number_of_competition]:[Number_of_competition]]&gt;=3,(LARGE(CHOOSE({1;2;3;4},F44,I44,L44,O44),1)+LARGE(CHOOSE({1;2;3;4},F44,I44,L44,O44),2)+LARGE(CHOOSE({1;2;3;4},F44,I44,L44,O44),3))/3,0)</f>
        <v>0</v>
      </c>
      <c r="V44" s="7" cm="1">
        <f t="array" ref="V44">IF(PB[[#This Row],[Number_of_competition]:[Number_of_competition]]&gt;=3,(LARGE(CHOOSE({1;2;3;4},G44,J44,M44,P44),1)+LARGE(CHOOSE({1;2;3;4},G44,J44,M44,P44),2)+LARGE(CHOOSE({1;2;3;4},G44,J44,M44,P44),3))/3,0)</f>
        <v>0</v>
      </c>
      <c r="W44" s="7" cm="1">
        <f t="array" ref="W44">IF(PB[[#This Row],[Number_of_competition]:[Number_of_competition]]&gt;=3,(LARGE(CHOOSE({1;2;3;4},H44,K44,N44,Q44),1)+LARGE(CHOOSE({1;2;3;4},H44,K44,N44,Q44),2)+LARGE(CHOOSE({1;2;3;4},H44,K44,N44,Q44),3))/3,0)</f>
        <v>0</v>
      </c>
      <c r="AE44" s="43" t="s">
        <v>80</v>
      </c>
      <c r="AF44" s="43" t="s">
        <v>60</v>
      </c>
      <c r="AG44" s="43" t="s">
        <v>81</v>
      </c>
      <c r="AH44" s="43" t="s">
        <v>62</v>
      </c>
      <c r="AI44">
        <v>4</v>
      </c>
      <c r="AJ44" t="s">
        <v>330</v>
      </c>
      <c r="AK44" s="43" t="s">
        <v>308</v>
      </c>
      <c r="AL44">
        <v>4</v>
      </c>
    </row>
    <row r="45" spans="1:38" ht="21" x14ac:dyDescent="0.35">
      <c r="AE45" s="43" t="s">
        <v>80</v>
      </c>
      <c r="AF45" s="43" t="s">
        <v>60</v>
      </c>
      <c r="AG45" s="43" t="s">
        <v>81</v>
      </c>
      <c r="AH45" s="43" t="s">
        <v>62</v>
      </c>
      <c r="AI45">
        <v>4</v>
      </c>
      <c r="AJ45" t="s">
        <v>330</v>
      </c>
      <c r="AK45" s="43" t="s">
        <v>309</v>
      </c>
      <c r="AL45">
        <v>8.85</v>
      </c>
    </row>
    <row r="46" spans="1:38" ht="21" x14ac:dyDescent="0.35">
      <c r="AE46" s="43" t="s">
        <v>80</v>
      </c>
      <c r="AF46" s="43" t="s">
        <v>60</v>
      </c>
      <c r="AG46" s="43" t="s">
        <v>81</v>
      </c>
      <c r="AH46" s="43" t="s">
        <v>62</v>
      </c>
      <c r="AI46">
        <v>4</v>
      </c>
      <c r="AJ46" t="s">
        <v>330</v>
      </c>
      <c r="AK46" s="43" t="s">
        <v>268</v>
      </c>
      <c r="AL46">
        <v>12.85</v>
      </c>
    </row>
    <row r="47" spans="1:38" ht="21" x14ac:dyDescent="0.35">
      <c r="A47" s="16" t="s">
        <v>2</v>
      </c>
      <c r="B47" s="16" t="s">
        <v>266</v>
      </c>
      <c r="C47" s="16" t="s">
        <v>271</v>
      </c>
      <c r="D47" s="17" t="s">
        <v>272</v>
      </c>
      <c r="E47" s="17" t="s">
        <v>270</v>
      </c>
      <c r="F47" s="18" t="s">
        <v>253</v>
      </c>
      <c r="AE47" s="43" t="s">
        <v>80</v>
      </c>
      <c r="AF47" s="43" t="s">
        <v>60</v>
      </c>
      <c r="AG47" s="43" t="s">
        <v>81</v>
      </c>
      <c r="AH47" s="43" t="s">
        <v>62</v>
      </c>
      <c r="AI47">
        <v>4</v>
      </c>
      <c r="AJ47" t="s">
        <v>331</v>
      </c>
      <c r="AK47" s="43" t="s">
        <v>308</v>
      </c>
      <c r="AL47">
        <v>2.7</v>
      </c>
    </row>
    <row r="48" spans="1:38" ht="21" x14ac:dyDescent="0.35">
      <c r="A48" s="15" t="s">
        <v>60</v>
      </c>
      <c r="B48" s="15" t="s">
        <v>269</v>
      </c>
      <c r="C48" s="4" cm="1">
        <f t="array" ref="C48">SUM(_xlfn._xlws.FILTER(PB[bydgoszcz_PB_Dscore],PB[Category]="senior"),_xlfn._xlws.FILTER(PB[zabrze_PB_Dscore],PB[Category]="senior"),_xlfn._xlws.FILTER(PB[cracow_PB_Dscore],PB[Category]="senior"),_xlfn._xlws.FILTER(PB[gdansk_PB_Dscore],PB[Category]="senior"))/(COUNTIFS(PB[bydgoszcz_PB_Dscore],"&gt;0",PB[Category],"senior")+COUNTIFS(PB[zabrze_PB_Dscore],"&gt;0",PB[Category],"senior")+COUNTIFS(PB[cracow_PB_Dscore],"&gt;0",PB[Category],"senior")+COUNTIFS(PB[gdansk_PB_Dscore],"&gt;0",PB[Category],"senior"))</f>
        <v>3.5206896551724132</v>
      </c>
      <c r="D48" s="4" cm="1">
        <f t="array" ref="D48">_xlfn.STDEV.S(_xlfn._xlws.FILTER(PB[bydgoszcz_PB_Dscore],(PB[Category]="senior")*(PB[bydgoszcz_PB_Dscore])&gt;0),_xlfn._xlws.FILTER(PB[zabrze_PB_Dscore],(PB[Category]="senior")*(PB[zabrze_PB_Dscore])&gt;0),_xlfn._xlws.FILTER(PB[cracow_PB_Dscore],(PB[Category]="senior")*(PB[cracow_PB_Dscore])&gt;0),_xlfn._xlws.FILTER(PB[gdansk_PB_Dscore],(PB[Category]="senior")*(PB[gdansk_PB_Dscore])&gt;0))</f>
        <v>0.73859958068825293</v>
      </c>
      <c r="E48" s="4" cm="1">
        <f t="array" ref="E48">MAX(_xlfn._xlws.FILTER(PB[bydgoszcz_PB_Dscore],PB[Category]="senior"),_xlfn._xlws.FILTER(PB[zabrze_PB_Dscore],PB[Category]="senior"),_xlfn._xlws.FILTER(PB[cracow_PB_Dscore],PB[Category]="senior"),_xlfn._xlws.FILTER(PB[gdansk_PB_Dscore],PB[Category]="senior"))</f>
        <v>5.3</v>
      </c>
      <c r="F48" s="2" t="str" cm="1">
        <f t="array" ref="F48">_xlfn.XLOOKUP(E48,_xlfn._xlws.FILTER(PB[bydgoszcz_PB_Dscore],PB[Category]="senior"),_xlfn._xlws.FILTER(PB[Name],PB[Category]="senior"),_xlfn.XLOOKUP(E48,_xlfn._xlws.FILTER(PB[zabrze_PB_Dscore],PB[Category]="senior"),_xlfn._xlws.FILTER(PB[Name],PB[Category]="senior"),_xlfn.XLOOKUP(E48,_xlfn._xlws.FILTER(PB[cracow_PB_Dscore],PB[Category]="senior"),_xlfn._xlws.FILTER(PB[Name],PB[Category]="senior"),_xlfn.XLOOKUP(E48,_xlfn._xlws.FILTER(PB[gdansk_PB_Dscore],PB[Category]="senior"),_xlfn._xlws.FILTER(PB[Name],PB[Category]="senior")))))</f>
        <v>GARNCZAREK Kacper</v>
      </c>
      <c r="AE48" s="43" t="s">
        <v>80</v>
      </c>
      <c r="AF48" s="43" t="s">
        <v>60</v>
      </c>
      <c r="AG48" s="43" t="s">
        <v>81</v>
      </c>
      <c r="AH48" s="43" t="s">
        <v>62</v>
      </c>
      <c r="AI48">
        <v>4</v>
      </c>
      <c r="AJ48" t="s">
        <v>331</v>
      </c>
      <c r="AK48" s="43" t="s">
        <v>309</v>
      </c>
      <c r="AL48">
        <v>6</v>
      </c>
    </row>
    <row r="49" spans="1:38" ht="21" x14ac:dyDescent="0.35">
      <c r="A49" s="15" t="s">
        <v>60</v>
      </c>
      <c r="B49" s="15" t="s">
        <v>267</v>
      </c>
      <c r="C49" s="7" cm="1">
        <f t="array" ref="C49">SUM(_xlfn._xlws.FILTER(PB[bydgoszcz_PB_Escore],PB[Category]="senior"),_xlfn._xlws.FILTER(PB[zabrze_PB_Escore],PB[Category]="senior"),_xlfn._xlws.FILTER(PB[cracow_PB_Escore],PB[Category]="senior"),_xlfn._xlws.FILTER(PB[gdansk_PB_Escore],PB[Category]="senior"))/(COUNTIFS(PB[bydgoszcz_PB_Escore],"&gt;0",PB[Category],"senior")+COUNTIFS(PB[zabrze_PB_Escore],"&gt;0",PB[Category],"senior")+COUNTIFS(PB[cracow_PB_Escore],"&gt;0",PB[Category],"senior")+COUNTIFS(PB[gdansk_PB_Escore],"&gt;0",PB[Category],"senior"))</f>
        <v>7.8043103448275852</v>
      </c>
      <c r="D49" s="7" cm="1">
        <f t="array" ref="D49">_xlfn.STDEV.S(_xlfn._xlws.FILTER(PB[bydgoszcz_PB_Escore],(PB[Category]="senior")*(PB[bydgoszcz_PB_Escore])&gt;0),_xlfn._xlws.FILTER(PB[zabrze_PB_Escore],(PB[Category]="senior")*(PB[zabrze_PB_Escore])&gt;0),_xlfn._xlws.FILTER(PB[cracow_PB_Escore],(PB[Category]="senior")*(PB[cracow_PB_Escore])&gt;0),_xlfn._xlws.FILTER(PB[gdansk_PB_Escore],(PB[Category]="senior")*(PB[gdansk_PB_Escore])&gt;0))</f>
        <v>1.0093112330467156</v>
      </c>
      <c r="E49" s="7" cm="1">
        <f t="array" ref="E49">MAX(_xlfn._xlws.FILTER(PB[bydgoszcz_PB_Escore],PB[Category]="senior"),_xlfn._xlws.FILTER(PB[zabrze_PB_Escore],PB[Category]="senior"),_xlfn._xlws.FILTER(PB[cracow_PB_Escore],PB[Category]="senior"),_xlfn._xlws.FILTER(PB[gdansk_PB_Escore],PB[Category]="senior"))</f>
        <v>9.35</v>
      </c>
      <c r="F49" s="2" t="str" cm="1">
        <f t="array" ref="F49">_xlfn.XLOOKUP(E49,_xlfn._xlws.FILTER(PB[bydgoszcz_PB_Escore],PB[Category]="senior"),_xlfn._xlws.FILTER(PB[Name],PB[Category]="senior"),_xlfn.XLOOKUP(E49,_xlfn._xlws.FILTER(PB[zabrze_PB_Escore],PB[Category]="senior"),_xlfn._xlws.FILTER(PB[Name],PB[Category]="senior"),_xlfn.XLOOKUP(E49,_xlfn._xlws.FILTER(PB[cracow_PB_Escore],PB[Category]="senior"),_xlfn._xlws.FILTER(PB[Name],PB[Category]="senior"),_xlfn.XLOOKUP(E49,_xlfn._xlws.FILTER(PB[gdansk_PB_Escore],PB[Category]="senior"),_xlfn._xlws.FILTER(PB[Name],PB[Category]="senior")))))</f>
        <v>WROŃSKI Filip</v>
      </c>
      <c r="AE49" s="43" t="s">
        <v>80</v>
      </c>
      <c r="AF49" s="43" t="s">
        <v>60</v>
      </c>
      <c r="AG49" s="43" t="s">
        <v>81</v>
      </c>
      <c r="AH49" s="43" t="s">
        <v>62</v>
      </c>
      <c r="AI49">
        <v>4</v>
      </c>
      <c r="AJ49" t="s">
        <v>331</v>
      </c>
      <c r="AK49" s="43" t="s">
        <v>268</v>
      </c>
      <c r="AL49">
        <v>8.6999999999999993</v>
      </c>
    </row>
    <row r="50" spans="1:38" ht="21" x14ac:dyDescent="0.35">
      <c r="A50" s="15" t="s">
        <v>60</v>
      </c>
      <c r="B50" s="15" t="s">
        <v>268</v>
      </c>
      <c r="C50" s="7" cm="1">
        <f t="array" ref="C50">SUM(_xlfn._xlws.FILTER(PB[bydgoszcz_PB_Total_Score],PB[Category]="senior"),_xlfn._xlws.FILTER(PB[zabrze_PB_Total_Score],PB[Category]="senior"),_xlfn._xlws.FILTER(PB[cracow_PB_Total_Score],PB[Category]="senior"),_xlfn._xlws.FILTER(PB[gdansk_PB_Total_Score],PB[Category]="senior"))/(COUNTIFS(PB[bydgoszcz_PB_Total_Score],"&gt;0",PB[Category],"senior")+COUNTIFS(PB[zabrze_PB_Total_Score],"&gt;0",PB[Category],"senior")+COUNTIFS(PB[cracow_PB_Total_Score],"&gt;0",PB[Category],"senior")+COUNTIFS(PB[gdansk_PB_Total_Score],"&gt;0",PB[Category],"senior"))</f>
        <v>11.324999999999996</v>
      </c>
      <c r="D50" s="7" cm="1">
        <f t="array" ref="D50">_xlfn.STDEV.S(_xlfn._xlws.FILTER(PB[bydgoszcz_PB_Total_Score],(PB[Category]="senior")*(PB[bydgoszcz_PB_Total_Score])&gt;0),_xlfn._xlws.FILTER(PB[zabrze_PB_Total_Score],(PB[Category]="senior")*(PB[zabrze_PB_Total_Score])&gt;0),_xlfn._xlws.FILTER(PB[cracow_PB_Total_Score],(PB[Category]="senior")*(PB[cracow_PB_Total_Score])&gt;0),_xlfn._xlws.FILTER(PB[gdansk_PB_Total_Score],(PB[Category]="senior")*(PB[gdansk_PB_Total_Score])&gt;0))</f>
        <v>1.2791941679425909</v>
      </c>
      <c r="E50" s="7" cm="1">
        <f t="array" ref="E50">MAX(_xlfn._xlws.FILTER(PB[bydgoszcz_PB_Total_Score],PB[Category]="senior"),_xlfn._xlws.FILTER(PB[zabrze_PB_Total_Score],PB[Category]="senior"),_xlfn._xlws.FILTER(PB[cracow_PB_Total_Score],PB[Category]="senior"),_xlfn._xlws.FILTER(PB[gdansk_PB_Total_Score],PB[Category]="senior"))</f>
        <v>13.4</v>
      </c>
      <c r="F50" s="2" t="str" cm="1">
        <f t="array" ref="F50">_xlfn.XLOOKUP(E50,_xlfn._xlws.FILTER(PB[bydgoszcz_PB_Total_Score],PB[Category]="senior"),_xlfn._xlws.FILTER(PB[Name],PB[Category]="senior"),_xlfn.XLOOKUP(E50,_xlfn._xlws.FILTER(PB[zabrze_PB_Total_Score],PB[Category]="senior"),_xlfn._xlws.FILTER(PB[Name],PB[Category]="senior"),_xlfn.XLOOKUP(E50,_xlfn._xlws.FILTER(PB[cracow_PB_Total_Score],PB[Category]="senior"),_xlfn._xlws.FILTER(PB[Name],PB[Category]="senior"),_xlfn.XLOOKUP(E50,_xlfn._xlws.FILTER(PB[gdansk_PB_Total_Score],PB[Category]="senior"),_xlfn._xlws.FILTER(PB[Name],PB[Category]="senior")))))</f>
        <v>SASNAL Filip</v>
      </c>
      <c r="AE50" s="43" t="s">
        <v>80</v>
      </c>
      <c r="AF50" s="43" t="s">
        <v>60</v>
      </c>
      <c r="AG50" s="43" t="s">
        <v>81</v>
      </c>
      <c r="AH50" s="43" t="s">
        <v>62</v>
      </c>
      <c r="AI50">
        <v>4</v>
      </c>
      <c r="AJ50" t="s">
        <v>341</v>
      </c>
      <c r="AK50" s="43" t="s">
        <v>308</v>
      </c>
      <c r="AL50">
        <v>11.3</v>
      </c>
    </row>
    <row r="51" spans="1:38" ht="21" x14ac:dyDescent="0.35">
      <c r="A51" s="15" t="s">
        <v>60</v>
      </c>
      <c r="B51" s="15" t="s">
        <v>275</v>
      </c>
      <c r="C51" s="4" cm="1">
        <f t="array" ref="C51">SUM(_xlfn._xlws.FILTER(PB[Year_Dscore],(PB[Category]="senior")*(PB[Number_of_competition]&gt;=3))/COUNTIFS(PB[Number_of_competition],"&gt;=3",PB[Category],"senior"))</f>
        <v>11.277777777777777</v>
      </c>
      <c r="D51" s="4" cm="1">
        <f t="array" ref="D51">_xlfn.STDEV.S(_xlfn._xlws.FILTER(PB[Year_Dscore],(PB[Category]="senior")*(PB[Number_of_competition]&gt;=3)))</f>
        <v>2.2134688713520196</v>
      </c>
      <c r="E51" s="4" cm="1">
        <f t="array" ref="E51">MAX(_xlfn._xlws.FILTER(PB[Year_Dscore],PB[Category]="senior"))</f>
        <v>15.6</v>
      </c>
      <c r="F51" s="2" t="str" cm="1">
        <f t="array" ref="F51">_xlfn.XLOOKUP(PB_Calculation[[#This Row],[Top]],_xlfn._xlws.FILTER(PB[Year_Dscore],PB[Category]="senior"),_xlfn._xlws.FILTER(PB[Name],PB[Category]="senior"))</f>
        <v>GARNCZAREK Kacper</v>
      </c>
      <c r="AE51" s="43" t="s">
        <v>80</v>
      </c>
      <c r="AF51" s="43" t="s">
        <v>60</v>
      </c>
      <c r="AG51" s="43" t="s">
        <v>81</v>
      </c>
      <c r="AH51" s="43" t="s">
        <v>62</v>
      </c>
      <c r="AI51">
        <v>4</v>
      </c>
      <c r="AJ51" t="s">
        <v>341</v>
      </c>
      <c r="AK51" s="43" t="s">
        <v>309</v>
      </c>
      <c r="AL51">
        <v>25.95</v>
      </c>
    </row>
    <row r="52" spans="1:38" ht="21" x14ac:dyDescent="0.35">
      <c r="A52" s="15" t="s">
        <v>60</v>
      </c>
      <c r="B52" s="15" t="s">
        <v>276</v>
      </c>
      <c r="C52" s="7" cm="1">
        <f t="array" ref="C52">SUM(_xlfn._xlws.FILTER(PB[Year_Escore],(PB[Category]="senior")*(PB[Number_of_competition]&gt;=3))/COUNTIFS(PB[Number_of_competition],"&gt;=3",PB[Category],"senior"))</f>
        <v>23.9</v>
      </c>
      <c r="D52" s="7" cm="1">
        <f t="array" ref="D52">_xlfn.STDEV.S(_xlfn._xlws.FILTER(PB[Year_Escore],(PB[Category]="senior")*(PB[Number_of_competition]&gt;=3)))</f>
        <v>2.1163057435068309</v>
      </c>
      <c r="E52" s="7" cm="1">
        <f t="array" ref="E52">MAX(_xlfn._xlws.FILTER(PB[Year_Escore],PB[Category]="senior"))</f>
        <v>26.6</v>
      </c>
      <c r="F52" s="2" t="str" cm="1">
        <f t="array" ref="F52">_xlfn.XLOOKUP(PB_Calculation[[#This Row],[Top]],_xlfn._xlws.FILTER(PB[Year_Escore],PB[Category]="senior"),_xlfn._xlws.FILTER(PB[Name],PB[Category]="senior"))</f>
        <v>SASNAL Filip</v>
      </c>
      <c r="AE52" s="43" t="s">
        <v>80</v>
      </c>
      <c r="AF52" s="43" t="s">
        <v>60</v>
      </c>
      <c r="AG52" s="43" t="s">
        <v>81</v>
      </c>
      <c r="AH52" s="43" t="s">
        <v>62</v>
      </c>
      <c r="AI52">
        <v>4</v>
      </c>
      <c r="AJ52" t="s">
        <v>341</v>
      </c>
      <c r="AK52" s="43" t="s">
        <v>268</v>
      </c>
      <c r="AL52">
        <v>37.25</v>
      </c>
    </row>
    <row r="53" spans="1:38" ht="21" x14ac:dyDescent="0.35">
      <c r="A53" s="15" t="s">
        <v>60</v>
      </c>
      <c r="B53" s="15" t="s">
        <v>277</v>
      </c>
      <c r="C53" s="7" cm="1">
        <f t="array" ref="C53">SUM(_xlfn._xlws.FILTER(PB[Year_Total_Score],(PB[Category]="senior")*(PB[Number_of_competition]&gt;=3))/COUNTIFS(PB[Number_of_competition],"&gt;=3",PB[Category],"senior"))</f>
        <v>35.05555555555555</v>
      </c>
      <c r="D53" s="7" cm="1">
        <f t="array" ref="D53">_xlfn.STDEV.S(_xlfn._xlws.FILTER(PB[Year_Total_Score],(PB[Category]="senior")*(PB[Number_of_competition]&gt;=3)))</f>
        <v>3.0504553394170153</v>
      </c>
      <c r="E53" s="7" cm="1">
        <f t="array" ref="E53">MAX(_xlfn._xlws.FILTER(PB[Year_Total_Score],PB[Category]="senior"))</f>
        <v>39.200000000000003</v>
      </c>
      <c r="F53" s="2" t="str" cm="1">
        <f t="array" ref="F53">_xlfn.XLOOKUP(PB_Calculation[[#This Row],[Top]],_xlfn._xlws.FILTER(PB[Year_Total_Score],PB[Category]="senior"),_xlfn._xlws.FILTER(PB[Name],PB[Category]="senior"))</f>
        <v>SASNAL Filip</v>
      </c>
      <c r="AE53" s="43" t="s">
        <v>80</v>
      </c>
      <c r="AF53" s="43" t="s">
        <v>60</v>
      </c>
      <c r="AG53" s="43" t="s">
        <v>81</v>
      </c>
      <c r="AH53" s="43" t="s">
        <v>62</v>
      </c>
      <c r="AI53">
        <v>4</v>
      </c>
      <c r="AJ53" t="s">
        <v>273</v>
      </c>
      <c r="AK53" s="43" t="s">
        <v>308</v>
      </c>
      <c r="AL53">
        <v>3.7666666666666671</v>
      </c>
    </row>
    <row r="54" spans="1:38" ht="21" x14ac:dyDescent="0.35">
      <c r="A54" s="14" t="s">
        <v>26</v>
      </c>
      <c r="B54" s="14" t="s">
        <v>269</v>
      </c>
      <c r="C54" s="4" cm="1">
        <f t="array" ref="C54">SUM(_xlfn._xlws.FILTER(PB[bydgoszcz_PB_Dscore],PB[Category]="junior"),_xlfn._xlws.FILTER(PB[zabrze_PB_Dscore],PB[Category]="junior"),_xlfn._xlws.FILTER(PB[cracow_PB_Dscore],PB[Category]="junior"),_xlfn._xlws.FILTER(PB[gdansk_PB_Dscore],PB[Category]="junior"))/(COUNTIFS(PB[bydgoszcz_PB_Dscore],"&gt;0",PB[Category],"junior")+COUNTIFS(PB[zabrze_PB_Dscore],"&gt;0",PB[Category],"junior")+COUNTIFS(PB[cracow_PB_Dscore],"&gt;0",PB[Category],"junior")+COUNTIFS(PB[gdansk_PB_Dscore],"&gt;0",PB[Category],"junior"))</f>
        <v>3.0057692307692303</v>
      </c>
      <c r="D54" s="4" cm="1">
        <f t="array" ref="D54">_xlfn.STDEV.S(_xlfn._xlws.FILTER(PB[bydgoszcz_PB_Dscore],(PB[Category]="junior")*(PB[bydgoszcz_PB_Dscore])&gt;0),_xlfn._xlws.FILTER(PB[zabrze_PB_Dscore],(PB[Category]="junior")*(PB[zabrze_PB_Dscore])&gt;0),_xlfn._xlws.FILTER(PB[cracow_PB_Dscore],(PB[Category]="junior")*(PB[cracow_PB_Dscore])&gt;0),_xlfn._xlws.FILTER(PB[gdansk_PB_Dscore],(PB[Category]="junior")*(PB[gdansk_PB_Dscore])&gt;0))</f>
        <v>0.574085278060389</v>
      </c>
      <c r="E54" s="4" cm="1">
        <f t="array" ref="E54">MAX(_xlfn._xlws.FILTER(PB[bydgoszcz_PB_Dscore],PB[Category]="junior"),_xlfn._xlws.FILTER(PB[zabrze_PB_Dscore],PB[Category]="junior"),_xlfn._xlws.FILTER(PB[cracow_PB_Dscore],PB[Category]="junior"),_xlfn._xlws.FILTER(PB[gdansk_PB_Dscore],PB[Category]="junior"))</f>
        <v>4.2</v>
      </c>
      <c r="F54" s="2" t="str" cm="1">
        <f t="array" ref="F54">_xlfn.XLOOKUP(E54,_xlfn._xlws.FILTER(PB[bydgoszcz_PB_Dscore],PB[Category]="junior"),_xlfn._xlws.FILTER(PB[Name],PB[Category]="junior"),_xlfn.XLOOKUP(E54,_xlfn._xlws.FILTER(PB[zabrze_PB_Dscore],PB[Category]="junior"),_xlfn._xlws.FILTER(PB[Name],PB[Category]="junior"),_xlfn.XLOOKUP(E54,_xlfn._xlws.FILTER(PB[cracow_PB_Dscore],PB[Category]="junior"),_xlfn._xlws.FILTER(PB[Name],PB[Category]="junior"),_xlfn.XLOOKUP(E54,_xlfn._xlws.FILTER(PB[gdansk_PB_Dscore],PB[Category]="junior"),_xlfn._xlws.FILTER(PB[Name],PB[Category]="junior")))))</f>
        <v>LEKHAC Tomasz</v>
      </c>
      <c r="AE54" s="43" t="s">
        <v>80</v>
      </c>
      <c r="AF54" s="43" t="s">
        <v>60</v>
      </c>
      <c r="AG54" s="43" t="s">
        <v>81</v>
      </c>
      <c r="AH54" s="43" t="s">
        <v>62</v>
      </c>
      <c r="AI54">
        <v>4</v>
      </c>
      <c r="AJ54" t="s">
        <v>273</v>
      </c>
      <c r="AK54" s="43" t="s">
        <v>309</v>
      </c>
      <c r="AL54">
        <v>8.65</v>
      </c>
    </row>
    <row r="55" spans="1:38" ht="21" x14ac:dyDescent="0.35">
      <c r="A55" s="14" t="s">
        <v>26</v>
      </c>
      <c r="B55" s="14" t="s">
        <v>267</v>
      </c>
      <c r="C55" s="7" cm="1">
        <f t="array" ref="C55">SUM(_xlfn._xlws.FILTER(PB[bydgoszcz_PB_Escore],PB[Category]="junior"),_xlfn._xlws.FILTER(PB[zabrze_PB_Escore],PB[Category]="junior"),_xlfn._xlws.FILTER(PB[cracow_PB_Escore],PB[Category]="junior"),_xlfn._xlws.FILTER(PB[gdansk_PB_Escore],PB[Category]="junior"))/(COUNTIFS(PB[bydgoszcz_PB_Escore],"&gt;0",PB[Category],"junior")+COUNTIFS(PB[zabrze_PB_Escore],"&gt;0",PB[Category],"junior")+COUNTIFS(PB[cracow_PB_Escore],"&gt;0",PB[Category],"junior")+COUNTIFS(PB[gdansk_PB_Escore],"&gt;0",PB[Category],"junior"))</f>
        <v>7.8942307692307701</v>
      </c>
      <c r="D55" s="7" cm="1">
        <f t="array" ref="D55">_xlfn.STDEV.S(_xlfn._xlws.FILTER(PB[bydgoszcz_PB_Escore],(PB[Category]="junior")*(PB[bydgoszcz_PB_Escore])&gt;0),_xlfn._xlws.FILTER(PB[zabrze_PB_Escore],(PB[Category]="junior")*(PB[zabrze_PB_Escore])&gt;0),_xlfn._xlws.FILTER(PB[cracow_PB_Escore],(PB[Category]="junior")*(PB[cracow_PB_Escore])&gt;0),_xlfn._xlws.FILTER(PB[gdansk_PB_Escore],(PB[Category]="junior")*(PB[gdansk_PB_Escore])&gt;0))</f>
        <v>1.46225899124131</v>
      </c>
      <c r="E55" s="7" cm="1">
        <f t="array" ref="E55">MAX(_xlfn._xlws.FILTER(PB[bydgoszcz_PB_Escore],PB[Category]="junior"),_xlfn._xlws.FILTER(PB[zabrze_PB_Escore],PB[Category]="junior"),_xlfn._xlws.FILTER(PB[cracow_PB_Escore],PB[Category]="junior"),_xlfn._xlws.FILTER(PB[gdansk_PB_Escore],PB[Category]="junior"))</f>
        <v>9.1</v>
      </c>
      <c r="F55" s="2" t="str" cm="1">
        <f t="array" ref="F55">_xlfn.XLOOKUP(E55,_xlfn._xlws.FILTER(PB[bydgoszcz_PB_Escore],PB[Category]="junior"),_xlfn._xlws.FILTER(PB[Name],PB[Category]="junior"),_xlfn.XLOOKUP(E55,_xlfn._xlws.FILTER(PB[zabrze_PB_Escore],PB[Category]="junior"),_xlfn._xlws.FILTER(PB[Name],PB[Category]="junior"),_xlfn.XLOOKUP(E55,_xlfn._xlws.FILTER(PB[cracow_PB_Escore],PB[Category]="junior"),_xlfn._xlws.FILTER(PB[Name],PB[Category]="junior"),_xlfn.XLOOKUP(E55,_xlfn._xlws.FILTER(PB[gdansk_PB_Escore],PB[Category]="junior"),_xlfn._xlws.FILTER(PB[Name],PB[Category]="junior")))))</f>
        <v>LEKHAC Tomasz</v>
      </c>
      <c r="AE55" s="43" t="s">
        <v>80</v>
      </c>
      <c r="AF55" s="43" t="s">
        <v>60</v>
      </c>
      <c r="AG55" s="43" t="s">
        <v>81</v>
      </c>
      <c r="AH55" s="43" t="s">
        <v>62</v>
      </c>
      <c r="AI55">
        <v>4</v>
      </c>
      <c r="AJ55" t="s">
        <v>273</v>
      </c>
      <c r="AK55" s="43" t="s">
        <v>268</v>
      </c>
      <c r="AL55">
        <v>12.416666666666666</v>
      </c>
    </row>
    <row r="56" spans="1:38" ht="21" x14ac:dyDescent="0.35">
      <c r="A56" s="14" t="s">
        <v>26</v>
      </c>
      <c r="B56" s="14" t="s">
        <v>268</v>
      </c>
      <c r="C56" s="7" cm="1">
        <f t="array" ref="C56">SUM(_xlfn._xlws.FILTER(PB[bydgoszcz_PB_Total_Score],PB[Category]="junior"),_xlfn._xlws.FILTER(PB[zabrze_PB_Total_Score],PB[Category]="junior"),_xlfn._xlws.FILTER(PB[cracow_PB_Total_Score],PB[Category]="junior"),_xlfn._xlws.FILTER(PB[gdansk_PB_Total_Score],PB[Category]="junior"))/(COUNTIFS(PB[bydgoszcz_PB_Total_Score],"&gt;0",PB[Category],"junior")+COUNTIFS(PB[zabrze_PB_Total_Score],"&gt;0",PB[Category],"junior")+COUNTIFS(PB[cracow_PB_Total_Score],"&gt;0",PB[Category],"junior")+COUNTIFS(PB[gdansk_PB_Total_Score],"&gt;0",PB[Category],"junior"))</f>
        <v>10.899999999999999</v>
      </c>
      <c r="D56" s="7" cm="1">
        <f t="array" ref="D56">_xlfn.STDEV.S(_xlfn._xlws.FILTER(PB[bydgoszcz_PB_Total_Score],(PB[Category]="junior")*(PB[bydgoszcz_PB_Total_Score])&gt;0),_xlfn._xlws.FILTER(PB[zabrze_PB_Total_Score],(PB[Category]="junior")*(PB[zabrze_PB_Total_Score])&gt;0),_xlfn._xlws.FILTER(PB[cracow_PB_Total_Score],(PB[Category]="junior")*(PB[cracow_PB_Total_Score])&gt;0),_xlfn._xlws.FILTER(PB[gdansk_PB_Total_Score],(PB[Category]="junior")*(PB[gdansk_PB_Total_Score])&gt;0))</f>
        <v>1.8103731605368456</v>
      </c>
      <c r="E56" s="7" cm="1">
        <f t="array" ref="E56">MAX(_xlfn._xlws.FILTER(PB[bydgoszcz_PB_Total_Score],PB[Category]="junior"),_xlfn._xlws.FILTER(PB[zabrze_PB_Total_Score],PB[Category]="junior"),_xlfn._xlws.FILTER(PB[cracow_PB_Total_Score],PB[Category]="junior"),_xlfn._xlws.FILTER(PB[gdansk_PB_Total_Score],PB[Category]="junior"))</f>
        <v>13.3</v>
      </c>
      <c r="F56" s="2" t="str" cm="1">
        <f t="array" ref="F56">_xlfn.XLOOKUP(E56,_xlfn._xlws.FILTER(PB[bydgoszcz_PB_Total_Score],PB[Category]="junior"),_xlfn._xlws.FILTER(PB[Name],PB[Category]="junior"),_xlfn.XLOOKUP(E56,_xlfn._xlws.FILTER(PB[zabrze_PB_Total_Score],PB[Category]="junior"),_xlfn._xlws.FILTER(PB[Name],PB[Category]="junior"),_xlfn.XLOOKUP(E56,_xlfn._xlws.FILTER(PB[cracow_PB_Total_Score],PB[Category]="junior"),_xlfn._xlws.FILTER(PB[Name],PB[Category]="junior"),_xlfn.XLOOKUP(E56,_xlfn._xlws.FILTER(PB[gdansk_PB_Total_Score],PB[Category]="junior"),_xlfn._xlws.FILTER(PB[Name],PB[Category]="junior")))))</f>
        <v>LEKHAC Tomasz</v>
      </c>
      <c r="AE56" s="43" t="s">
        <v>77</v>
      </c>
      <c r="AF56" s="43" t="s">
        <v>60</v>
      </c>
      <c r="AG56" s="43" t="s">
        <v>78</v>
      </c>
      <c r="AH56" s="43" t="s">
        <v>79</v>
      </c>
      <c r="AI56">
        <v>4</v>
      </c>
      <c r="AJ56" t="s">
        <v>317</v>
      </c>
      <c r="AK56" s="43" t="s">
        <v>308</v>
      </c>
      <c r="AL56">
        <v>4</v>
      </c>
    </row>
    <row r="57" spans="1:38" ht="21" x14ac:dyDescent="0.35">
      <c r="A57" s="15" t="s">
        <v>26</v>
      </c>
      <c r="B57" s="15" t="s">
        <v>275</v>
      </c>
      <c r="C57" s="4" cm="1">
        <f t="array" ref="C57">SUM(_xlfn._xlws.FILTER(PB[Year_Dscore],(PB[Category]="junior")*(PB[Number_of_competition]&gt;=3))/COUNTIFS(PB[Number_of_competition],"&gt;=3",PB[Category],"junior"))</f>
        <v>9.4</v>
      </c>
      <c r="D57" s="4" cm="1">
        <f t="array" ref="D57">_xlfn.STDEV.S(_xlfn._xlws.FILTER(PB[Year_Dscore],(PB[Category]="junior")*(PB[Number_of_competition]&gt;=3)))</f>
        <v>1.4142135623730951</v>
      </c>
      <c r="E57" s="4" cm="1">
        <f t="array" ref="E57">MAX(_xlfn._xlws.FILTER(PB[Year_Dscore],PB[Category]="junior"))</f>
        <v>12.600000000000001</v>
      </c>
      <c r="F57" s="2" t="str" cm="1">
        <f t="array" ref="F57">_xlfn.XLOOKUP(PB_Calculation[[#This Row],[Top]],_xlfn._xlws.FILTER(PB[Year_Dscore],PB[Category]="junior"),_xlfn._xlws.FILTER(PB[Name],PB[Category]="junior"))</f>
        <v>LEKHAC Tomasz</v>
      </c>
      <c r="AE57" s="43" t="s">
        <v>77</v>
      </c>
      <c r="AF57" s="43" t="s">
        <v>60</v>
      </c>
      <c r="AG57" s="43" t="s">
        <v>78</v>
      </c>
      <c r="AH57" s="43" t="s">
        <v>79</v>
      </c>
      <c r="AI57">
        <v>4</v>
      </c>
      <c r="AJ57" t="s">
        <v>317</v>
      </c>
      <c r="AK57" s="43" t="s">
        <v>309</v>
      </c>
      <c r="AL57">
        <v>8.15</v>
      </c>
    </row>
    <row r="58" spans="1:38" ht="21" x14ac:dyDescent="0.35">
      <c r="A58" s="15" t="s">
        <v>26</v>
      </c>
      <c r="B58" s="15" t="s">
        <v>276</v>
      </c>
      <c r="C58" s="7" cm="1">
        <f t="array" ref="C58">SUM(_xlfn._xlws.FILTER(PB[Year_Escore],(PB[Category]="junior")*(PB[Number_of_competition]&gt;=3))/COUNTIFS(PB[Number_of_competition],"&gt;=3",PB[Category],"junior"))</f>
        <v>25.279166666666669</v>
      </c>
      <c r="D58" s="7" cm="1">
        <f t="array" ref="D58">_xlfn.STDEV.S(_xlfn._xlws.FILTER(PB[Year_Escore],(PB[Category]="junior")*(PB[Number_of_competition]&gt;=3)))</f>
        <v>0.82004942570924333</v>
      </c>
      <c r="E58" s="7" cm="1">
        <f t="array" ref="E58">MAX(_xlfn._xlws.FILTER(PB[Year_Escore],PB[Category]="junior"))</f>
        <v>26.799999999999997</v>
      </c>
      <c r="F58" s="2" t="str" cm="1">
        <f t="array" ref="F58">_xlfn.XLOOKUP(PB_Calculation[[#This Row],[Top]],_xlfn._xlws.FILTER(PB[Year_Escore],PB[Category]="junior"),_xlfn._xlws.FILTER(PB[Name],PB[Category]="junior"))</f>
        <v>KOŁODZIEJCZYK Karol</v>
      </c>
      <c r="AE58" s="43" t="s">
        <v>77</v>
      </c>
      <c r="AF58" s="43" t="s">
        <v>60</v>
      </c>
      <c r="AG58" s="43" t="s">
        <v>78</v>
      </c>
      <c r="AH58" s="43" t="s">
        <v>79</v>
      </c>
      <c r="AI58">
        <v>4</v>
      </c>
      <c r="AJ58" t="s">
        <v>317</v>
      </c>
      <c r="AK58" s="43" t="s">
        <v>268</v>
      </c>
      <c r="AL58">
        <v>12.15</v>
      </c>
    </row>
    <row r="59" spans="1:38" ht="21" x14ac:dyDescent="0.35">
      <c r="A59" s="23" t="s">
        <v>26</v>
      </c>
      <c r="B59" s="23" t="s">
        <v>277</v>
      </c>
      <c r="C59" s="7" cm="1">
        <f t="array" ref="C59">SUM(_xlfn._xlws.FILTER(PB[Year_Total_Score],(PB[Category]="junior")*(PB[Number_of_competition]&gt;=3))/COUNTIFS(PB[Number_of_competition],"&gt;=3",PB[Category],"junior"))</f>
        <v>34.520833333333336</v>
      </c>
      <c r="D59" s="7" cm="1">
        <f t="array" ref="D59">_xlfn.STDEV.S(_xlfn._xlws.FILTER(PB[Year_Total_Score],(PB[Category]="junior")*(PB[Number_of_competition]&gt;=3)))</f>
        <v>1.6783999866395123</v>
      </c>
      <c r="E59" s="7" cm="1">
        <f t="array" ref="E59">MAX(_xlfn._xlws.FILTER(PB[Year_Total_Score],PB[Category]="junior"))</f>
        <v>38.75</v>
      </c>
      <c r="F59" s="2" t="str" cm="1">
        <f t="array" ref="F59">_xlfn.XLOOKUP(PB_Calculation[[#This Row],[Top]],_xlfn._xlws.FILTER(PB[Year_Total_Score],PB[Category]="junior"),_xlfn._xlws.FILTER(PB[Name],PB[Category]="junior"))</f>
        <v>LEKHAC Tomasz</v>
      </c>
      <c r="AE59" s="43" t="s">
        <v>77</v>
      </c>
      <c r="AF59" s="43" t="s">
        <v>60</v>
      </c>
      <c r="AG59" s="43" t="s">
        <v>78</v>
      </c>
      <c r="AH59" s="43" t="s">
        <v>79</v>
      </c>
      <c r="AI59">
        <v>4</v>
      </c>
      <c r="AJ59" t="s">
        <v>325</v>
      </c>
      <c r="AK59" s="43" t="s">
        <v>308</v>
      </c>
      <c r="AL59">
        <v>3.8</v>
      </c>
    </row>
    <row r="60" spans="1:38" ht="21" x14ac:dyDescent="0.35">
      <c r="AE60" s="43" t="s">
        <v>77</v>
      </c>
      <c r="AF60" s="43" t="s">
        <v>60</v>
      </c>
      <c r="AG60" s="43" t="s">
        <v>78</v>
      </c>
      <c r="AH60" s="43" t="s">
        <v>79</v>
      </c>
      <c r="AI60">
        <v>4</v>
      </c>
      <c r="AJ60" t="s">
        <v>325</v>
      </c>
      <c r="AK60" s="43" t="s">
        <v>309</v>
      </c>
      <c r="AL60">
        <v>8.75</v>
      </c>
    </row>
    <row r="61" spans="1:38" ht="21" x14ac:dyDescent="0.35">
      <c r="AE61" s="43" t="s">
        <v>77</v>
      </c>
      <c r="AF61" s="43" t="s">
        <v>60</v>
      </c>
      <c r="AG61" s="43" t="s">
        <v>78</v>
      </c>
      <c r="AH61" s="43" t="s">
        <v>79</v>
      </c>
      <c r="AI61">
        <v>4</v>
      </c>
      <c r="AJ61" t="s">
        <v>325</v>
      </c>
      <c r="AK61" s="43" t="s">
        <v>268</v>
      </c>
      <c r="AL61">
        <v>12.55</v>
      </c>
    </row>
    <row r="62" spans="1:38" ht="21" x14ac:dyDescent="0.35">
      <c r="AE62" s="43" t="s">
        <v>77</v>
      </c>
      <c r="AF62" s="43" t="s">
        <v>60</v>
      </c>
      <c r="AG62" s="43" t="s">
        <v>78</v>
      </c>
      <c r="AH62" s="43" t="s">
        <v>79</v>
      </c>
      <c r="AI62">
        <v>4</v>
      </c>
      <c r="AJ62" t="s">
        <v>330</v>
      </c>
      <c r="AK62" s="43" t="s">
        <v>308</v>
      </c>
      <c r="AL62">
        <v>3.8</v>
      </c>
    </row>
    <row r="63" spans="1:38" ht="21" x14ac:dyDescent="0.35">
      <c r="AE63" s="43" t="s">
        <v>77</v>
      </c>
      <c r="AF63" s="43" t="s">
        <v>60</v>
      </c>
      <c r="AG63" s="43" t="s">
        <v>78</v>
      </c>
      <c r="AH63" s="43" t="s">
        <v>79</v>
      </c>
      <c r="AI63">
        <v>4</v>
      </c>
      <c r="AJ63" t="s">
        <v>330</v>
      </c>
      <c r="AK63" s="43" t="s">
        <v>309</v>
      </c>
      <c r="AL63">
        <v>8.5</v>
      </c>
    </row>
    <row r="64" spans="1:38" ht="21" x14ac:dyDescent="0.35">
      <c r="AE64" s="43" t="s">
        <v>77</v>
      </c>
      <c r="AF64" s="43" t="s">
        <v>60</v>
      </c>
      <c r="AG64" s="43" t="s">
        <v>78</v>
      </c>
      <c r="AH64" s="43" t="s">
        <v>79</v>
      </c>
      <c r="AI64">
        <v>4</v>
      </c>
      <c r="AJ64" t="s">
        <v>330</v>
      </c>
      <c r="AK64" s="43" t="s">
        <v>268</v>
      </c>
      <c r="AL64">
        <v>12.3</v>
      </c>
    </row>
    <row r="65" spans="31:38" ht="21" x14ac:dyDescent="0.35">
      <c r="AE65" s="43" t="s">
        <v>77</v>
      </c>
      <c r="AF65" s="43" t="s">
        <v>60</v>
      </c>
      <c r="AG65" s="43" t="s">
        <v>78</v>
      </c>
      <c r="AH65" s="43" t="s">
        <v>79</v>
      </c>
      <c r="AI65">
        <v>4</v>
      </c>
      <c r="AJ65" t="s">
        <v>331</v>
      </c>
      <c r="AK65" s="43" t="s">
        <v>308</v>
      </c>
      <c r="AL65">
        <v>3.1</v>
      </c>
    </row>
    <row r="66" spans="31:38" ht="21" x14ac:dyDescent="0.35">
      <c r="AE66" s="43" t="s">
        <v>77</v>
      </c>
      <c r="AF66" s="43" t="s">
        <v>60</v>
      </c>
      <c r="AG66" s="43" t="s">
        <v>78</v>
      </c>
      <c r="AH66" s="43" t="s">
        <v>79</v>
      </c>
      <c r="AI66">
        <v>4</v>
      </c>
      <c r="AJ66" t="s">
        <v>331</v>
      </c>
      <c r="AK66" s="43" t="s">
        <v>309</v>
      </c>
      <c r="AL66">
        <v>6.9</v>
      </c>
    </row>
    <row r="67" spans="31:38" ht="21" x14ac:dyDescent="0.35">
      <c r="AE67" s="43" t="s">
        <v>77</v>
      </c>
      <c r="AF67" s="43" t="s">
        <v>60</v>
      </c>
      <c r="AG67" s="43" t="s">
        <v>78</v>
      </c>
      <c r="AH67" s="43" t="s">
        <v>79</v>
      </c>
      <c r="AI67">
        <v>4</v>
      </c>
      <c r="AJ67" t="s">
        <v>331</v>
      </c>
      <c r="AK67" s="43" t="s">
        <v>268</v>
      </c>
      <c r="AL67">
        <v>10</v>
      </c>
    </row>
    <row r="68" spans="31:38" ht="21" x14ac:dyDescent="0.35">
      <c r="AE68" s="43" t="s">
        <v>77</v>
      </c>
      <c r="AF68" s="43" t="s">
        <v>60</v>
      </c>
      <c r="AG68" s="43" t="s">
        <v>78</v>
      </c>
      <c r="AH68" s="43" t="s">
        <v>79</v>
      </c>
      <c r="AI68">
        <v>4</v>
      </c>
      <c r="AJ68" t="s">
        <v>341</v>
      </c>
      <c r="AK68" s="43" t="s">
        <v>308</v>
      </c>
      <c r="AL68">
        <v>11.6</v>
      </c>
    </row>
    <row r="69" spans="31:38" ht="21" x14ac:dyDescent="0.35">
      <c r="AE69" s="43" t="s">
        <v>77</v>
      </c>
      <c r="AF69" s="43" t="s">
        <v>60</v>
      </c>
      <c r="AG69" s="43" t="s">
        <v>78</v>
      </c>
      <c r="AH69" s="43" t="s">
        <v>79</v>
      </c>
      <c r="AI69">
        <v>4</v>
      </c>
      <c r="AJ69" t="s">
        <v>341</v>
      </c>
      <c r="AK69" s="43" t="s">
        <v>309</v>
      </c>
      <c r="AL69">
        <v>25.4</v>
      </c>
    </row>
    <row r="70" spans="31:38" ht="21" x14ac:dyDescent="0.35">
      <c r="AE70" s="43" t="s">
        <v>77</v>
      </c>
      <c r="AF70" s="43" t="s">
        <v>60</v>
      </c>
      <c r="AG70" s="43" t="s">
        <v>78</v>
      </c>
      <c r="AH70" s="43" t="s">
        <v>79</v>
      </c>
      <c r="AI70">
        <v>4</v>
      </c>
      <c r="AJ70" t="s">
        <v>341</v>
      </c>
      <c r="AK70" s="43" t="s">
        <v>268</v>
      </c>
      <c r="AL70">
        <v>37</v>
      </c>
    </row>
    <row r="71" spans="31:38" ht="21" x14ac:dyDescent="0.35">
      <c r="AE71" s="43" t="s">
        <v>77</v>
      </c>
      <c r="AF71" s="43" t="s">
        <v>60</v>
      </c>
      <c r="AG71" s="43" t="s">
        <v>78</v>
      </c>
      <c r="AH71" s="43" t="s">
        <v>79</v>
      </c>
      <c r="AI71">
        <v>4</v>
      </c>
      <c r="AJ71" t="s">
        <v>273</v>
      </c>
      <c r="AK71" s="43" t="s">
        <v>308</v>
      </c>
      <c r="AL71">
        <v>3.8666666666666667</v>
      </c>
    </row>
    <row r="72" spans="31:38" ht="21" x14ac:dyDescent="0.35">
      <c r="AE72" s="43" t="s">
        <v>77</v>
      </c>
      <c r="AF72" s="43" t="s">
        <v>60</v>
      </c>
      <c r="AG72" s="43" t="s">
        <v>78</v>
      </c>
      <c r="AH72" s="43" t="s">
        <v>79</v>
      </c>
      <c r="AI72">
        <v>4</v>
      </c>
      <c r="AJ72" t="s">
        <v>273</v>
      </c>
      <c r="AK72" s="43" t="s">
        <v>309</v>
      </c>
      <c r="AL72">
        <v>8.4666666666666668</v>
      </c>
    </row>
    <row r="73" spans="31:38" ht="21" x14ac:dyDescent="0.35">
      <c r="AE73" s="43" t="s">
        <v>77</v>
      </c>
      <c r="AF73" s="43" t="s">
        <v>60</v>
      </c>
      <c r="AG73" s="43" t="s">
        <v>78</v>
      </c>
      <c r="AH73" s="43" t="s">
        <v>79</v>
      </c>
      <c r="AI73">
        <v>4</v>
      </c>
      <c r="AJ73" t="s">
        <v>273</v>
      </c>
      <c r="AK73" s="43" t="s">
        <v>268</v>
      </c>
      <c r="AL73">
        <v>12.333333333333334</v>
      </c>
    </row>
    <row r="74" spans="31:38" ht="21" x14ac:dyDescent="0.35">
      <c r="AE74" s="43" t="s">
        <v>59</v>
      </c>
      <c r="AF74" s="43" t="s">
        <v>60</v>
      </c>
      <c r="AG74" s="43" t="s">
        <v>61</v>
      </c>
      <c r="AH74" s="43" t="s">
        <v>62</v>
      </c>
      <c r="AI74">
        <v>3</v>
      </c>
      <c r="AJ74" t="s">
        <v>317</v>
      </c>
      <c r="AK74" s="43" t="s">
        <v>308</v>
      </c>
      <c r="AL74">
        <v>0</v>
      </c>
    </row>
    <row r="75" spans="31:38" ht="21" x14ac:dyDescent="0.35">
      <c r="AE75" s="43" t="s">
        <v>59</v>
      </c>
      <c r="AF75" s="43" t="s">
        <v>60</v>
      </c>
      <c r="AG75" s="43" t="s">
        <v>61</v>
      </c>
      <c r="AH75" s="43" t="s">
        <v>62</v>
      </c>
      <c r="AI75">
        <v>3</v>
      </c>
      <c r="AJ75" t="s">
        <v>317</v>
      </c>
      <c r="AK75" s="43" t="s">
        <v>309</v>
      </c>
      <c r="AL75">
        <v>0</v>
      </c>
    </row>
    <row r="76" spans="31:38" ht="21" x14ac:dyDescent="0.35">
      <c r="AE76" s="43" t="s">
        <v>59</v>
      </c>
      <c r="AF76" s="43" t="s">
        <v>60</v>
      </c>
      <c r="AG76" s="43" t="s">
        <v>61</v>
      </c>
      <c r="AH76" s="43" t="s">
        <v>62</v>
      </c>
      <c r="AI76">
        <v>3</v>
      </c>
      <c r="AJ76" t="s">
        <v>317</v>
      </c>
      <c r="AK76" s="43" t="s">
        <v>268</v>
      </c>
      <c r="AL76">
        <v>0</v>
      </c>
    </row>
    <row r="77" spans="31:38" ht="21" x14ac:dyDescent="0.35">
      <c r="AE77" s="43" t="s">
        <v>59</v>
      </c>
      <c r="AF77" s="43" t="s">
        <v>60</v>
      </c>
      <c r="AG77" s="43" t="s">
        <v>61</v>
      </c>
      <c r="AH77" s="43" t="s">
        <v>62</v>
      </c>
      <c r="AI77">
        <v>3</v>
      </c>
      <c r="AJ77" t="s">
        <v>325</v>
      </c>
      <c r="AK77" s="43" t="s">
        <v>308</v>
      </c>
      <c r="AL77">
        <v>5</v>
      </c>
    </row>
    <row r="78" spans="31:38" ht="21" x14ac:dyDescent="0.35">
      <c r="AE78" s="43" t="s">
        <v>59</v>
      </c>
      <c r="AF78" s="43" t="s">
        <v>60</v>
      </c>
      <c r="AG78" s="43" t="s">
        <v>61</v>
      </c>
      <c r="AH78" s="43" t="s">
        <v>62</v>
      </c>
      <c r="AI78">
        <v>3</v>
      </c>
      <c r="AJ78" t="s">
        <v>325</v>
      </c>
      <c r="AK78" s="43" t="s">
        <v>309</v>
      </c>
      <c r="AL78">
        <v>7.45</v>
      </c>
    </row>
    <row r="79" spans="31:38" ht="21" x14ac:dyDescent="0.35">
      <c r="AE79" s="43" t="s">
        <v>59</v>
      </c>
      <c r="AF79" s="43" t="s">
        <v>60</v>
      </c>
      <c r="AG79" s="43" t="s">
        <v>61</v>
      </c>
      <c r="AH79" s="43" t="s">
        <v>62</v>
      </c>
      <c r="AI79">
        <v>3</v>
      </c>
      <c r="AJ79" t="s">
        <v>325</v>
      </c>
      <c r="AK79" s="43" t="s">
        <v>268</v>
      </c>
      <c r="AL79">
        <v>12.45</v>
      </c>
    </row>
    <row r="80" spans="31:38" ht="21" x14ac:dyDescent="0.35">
      <c r="AE80" s="43" t="s">
        <v>59</v>
      </c>
      <c r="AF80" s="43" t="s">
        <v>60</v>
      </c>
      <c r="AG80" s="43" t="s">
        <v>61</v>
      </c>
      <c r="AH80" s="43" t="s">
        <v>62</v>
      </c>
      <c r="AI80">
        <v>3</v>
      </c>
      <c r="AJ80" t="s">
        <v>330</v>
      </c>
      <c r="AK80" s="43" t="s">
        <v>308</v>
      </c>
      <c r="AL80">
        <v>5.3</v>
      </c>
    </row>
    <row r="81" spans="31:38" ht="21" x14ac:dyDescent="0.35">
      <c r="AE81" s="43" t="s">
        <v>59</v>
      </c>
      <c r="AF81" s="43" t="s">
        <v>60</v>
      </c>
      <c r="AG81" s="43" t="s">
        <v>61</v>
      </c>
      <c r="AH81" s="43" t="s">
        <v>62</v>
      </c>
      <c r="AI81">
        <v>3</v>
      </c>
      <c r="AJ81" t="s">
        <v>330</v>
      </c>
      <c r="AK81" s="43" t="s">
        <v>309</v>
      </c>
      <c r="AL81">
        <v>6.6</v>
      </c>
    </row>
    <row r="82" spans="31:38" ht="21" x14ac:dyDescent="0.35">
      <c r="AE82" s="43" t="s">
        <v>59</v>
      </c>
      <c r="AF82" s="43" t="s">
        <v>60</v>
      </c>
      <c r="AG82" s="43" t="s">
        <v>61</v>
      </c>
      <c r="AH82" s="43" t="s">
        <v>62</v>
      </c>
      <c r="AI82">
        <v>3</v>
      </c>
      <c r="AJ82" t="s">
        <v>330</v>
      </c>
      <c r="AK82" s="43" t="s">
        <v>268</v>
      </c>
      <c r="AL82">
        <v>11.9</v>
      </c>
    </row>
    <row r="83" spans="31:38" ht="21" x14ac:dyDescent="0.35">
      <c r="AE83" s="43" t="s">
        <v>59</v>
      </c>
      <c r="AF83" s="43" t="s">
        <v>60</v>
      </c>
      <c r="AG83" s="43" t="s">
        <v>61</v>
      </c>
      <c r="AH83" s="43" t="s">
        <v>62</v>
      </c>
      <c r="AI83">
        <v>3</v>
      </c>
      <c r="AJ83" t="s">
        <v>331</v>
      </c>
      <c r="AK83" s="43" t="s">
        <v>308</v>
      </c>
      <c r="AL83">
        <v>5.3</v>
      </c>
    </row>
    <row r="84" spans="31:38" ht="21" x14ac:dyDescent="0.35">
      <c r="AE84" s="43" t="s">
        <v>59</v>
      </c>
      <c r="AF84" s="43" t="s">
        <v>60</v>
      </c>
      <c r="AG84" s="43" t="s">
        <v>61</v>
      </c>
      <c r="AH84" s="43" t="s">
        <v>62</v>
      </c>
      <c r="AI84">
        <v>3</v>
      </c>
      <c r="AJ84" t="s">
        <v>331</v>
      </c>
      <c r="AK84" s="43" t="s">
        <v>309</v>
      </c>
      <c r="AL84">
        <v>7</v>
      </c>
    </row>
    <row r="85" spans="31:38" ht="21" x14ac:dyDescent="0.35">
      <c r="AE85" s="43" t="s">
        <v>59</v>
      </c>
      <c r="AF85" s="43" t="s">
        <v>60</v>
      </c>
      <c r="AG85" s="43" t="s">
        <v>61</v>
      </c>
      <c r="AH85" s="43" t="s">
        <v>62</v>
      </c>
      <c r="AI85">
        <v>3</v>
      </c>
      <c r="AJ85" t="s">
        <v>331</v>
      </c>
      <c r="AK85" s="43" t="s">
        <v>268</v>
      </c>
      <c r="AL85">
        <v>12.3</v>
      </c>
    </row>
    <row r="86" spans="31:38" ht="21" x14ac:dyDescent="0.35">
      <c r="AE86" s="43" t="s">
        <v>59</v>
      </c>
      <c r="AF86" s="43" t="s">
        <v>60</v>
      </c>
      <c r="AG86" s="43" t="s">
        <v>61</v>
      </c>
      <c r="AH86" s="43" t="s">
        <v>62</v>
      </c>
      <c r="AI86">
        <v>3</v>
      </c>
      <c r="AJ86" t="s">
        <v>341</v>
      </c>
      <c r="AK86" s="43" t="s">
        <v>308</v>
      </c>
      <c r="AL86">
        <v>15.6</v>
      </c>
    </row>
    <row r="87" spans="31:38" ht="21" x14ac:dyDescent="0.35">
      <c r="AE87" s="43" t="s">
        <v>59</v>
      </c>
      <c r="AF87" s="43" t="s">
        <v>60</v>
      </c>
      <c r="AG87" s="43" t="s">
        <v>61</v>
      </c>
      <c r="AH87" s="43" t="s">
        <v>62</v>
      </c>
      <c r="AI87">
        <v>3</v>
      </c>
      <c r="AJ87" t="s">
        <v>341</v>
      </c>
      <c r="AK87" s="43" t="s">
        <v>309</v>
      </c>
      <c r="AL87">
        <v>21.049999999999997</v>
      </c>
    </row>
    <row r="88" spans="31:38" ht="21" x14ac:dyDescent="0.35">
      <c r="AE88" s="43" t="s">
        <v>59</v>
      </c>
      <c r="AF88" s="43" t="s">
        <v>60</v>
      </c>
      <c r="AG88" s="43" t="s">
        <v>61</v>
      </c>
      <c r="AH88" s="43" t="s">
        <v>62</v>
      </c>
      <c r="AI88">
        <v>3</v>
      </c>
      <c r="AJ88" t="s">
        <v>341</v>
      </c>
      <c r="AK88" s="43" t="s">
        <v>268</v>
      </c>
      <c r="AL88">
        <v>36.65</v>
      </c>
    </row>
    <row r="89" spans="31:38" ht="21" x14ac:dyDescent="0.35">
      <c r="AE89" s="43" t="s">
        <v>59</v>
      </c>
      <c r="AF89" s="43" t="s">
        <v>60</v>
      </c>
      <c r="AG89" s="43" t="s">
        <v>61</v>
      </c>
      <c r="AH89" s="43" t="s">
        <v>62</v>
      </c>
      <c r="AI89">
        <v>3</v>
      </c>
      <c r="AJ89" t="s">
        <v>273</v>
      </c>
      <c r="AK89" s="43" t="s">
        <v>308</v>
      </c>
      <c r="AL89">
        <v>5.2</v>
      </c>
    </row>
    <row r="90" spans="31:38" ht="21" x14ac:dyDescent="0.35">
      <c r="AE90" s="43" t="s">
        <v>59</v>
      </c>
      <c r="AF90" s="43" t="s">
        <v>60</v>
      </c>
      <c r="AG90" s="43" t="s">
        <v>61</v>
      </c>
      <c r="AH90" s="43" t="s">
        <v>62</v>
      </c>
      <c r="AI90">
        <v>3</v>
      </c>
      <c r="AJ90" t="s">
        <v>273</v>
      </c>
      <c r="AK90" s="43" t="s">
        <v>309</v>
      </c>
      <c r="AL90">
        <v>7.0166666666666657</v>
      </c>
    </row>
    <row r="91" spans="31:38" ht="21" x14ac:dyDescent="0.35">
      <c r="AE91" s="43" t="s">
        <v>59</v>
      </c>
      <c r="AF91" s="43" t="s">
        <v>60</v>
      </c>
      <c r="AG91" s="43" t="s">
        <v>61</v>
      </c>
      <c r="AH91" s="43" t="s">
        <v>62</v>
      </c>
      <c r="AI91">
        <v>3</v>
      </c>
      <c r="AJ91" t="s">
        <v>273</v>
      </c>
      <c r="AK91" s="43" t="s">
        <v>268</v>
      </c>
      <c r="AL91">
        <v>12.216666666666667</v>
      </c>
    </row>
    <row r="92" spans="31:38" ht="21" x14ac:dyDescent="0.35">
      <c r="AE92" s="43" t="s">
        <v>44</v>
      </c>
      <c r="AF92" s="43" t="s">
        <v>26</v>
      </c>
      <c r="AG92" s="43" t="s">
        <v>45</v>
      </c>
      <c r="AH92" s="43" t="s">
        <v>39</v>
      </c>
      <c r="AI92">
        <v>4</v>
      </c>
      <c r="AJ92" t="s">
        <v>317</v>
      </c>
      <c r="AK92" s="43" t="s">
        <v>308</v>
      </c>
      <c r="AL92">
        <v>3.1</v>
      </c>
    </row>
    <row r="93" spans="31:38" ht="21" x14ac:dyDescent="0.35">
      <c r="AE93" s="43" t="s">
        <v>44</v>
      </c>
      <c r="AF93" s="43" t="s">
        <v>26</v>
      </c>
      <c r="AG93" s="43" t="s">
        <v>45</v>
      </c>
      <c r="AH93" s="43" t="s">
        <v>39</v>
      </c>
      <c r="AI93">
        <v>4</v>
      </c>
      <c r="AJ93" t="s">
        <v>317</v>
      </c>
      <c r="AK93" s="43" t="s">
        <v>309</v>
      </c>
      <c r="AL93">
        <v>8.6999999999999993</v>
      </c>
    </row>
    <row r="94" spans="31:38" ht="21" x14ac:dyDescent="0.35">
      <c r="AE94" s="43" t="s">
        <v>44</v>
      </c>
      <c r="AF94" s="43" t="s">
        <v>26</v>
      </c>
      <c r="AG94" s="43" t="s">
        <v>45</v>
      </c>
      <c r="AH94" s="43" t="s">
        <v>39</v>
      </c>
      <c r="AI94">
        <v>4</v>
      </c>
      <c r="AJ94" t="s">
        <v>317</v>
      </c>
      <c r="AK94" s="43" t="s">
        <v>268</v>
      </c>
      <c r="AL94">
        <v>11.8</v>
      </c>
    </row>
    <row r="95" spans="31:38" ht="21" x14ac:dyDescent="0.35">
      <c r="AE95" s="43" t="s">
        <v>44</v>
      </c>
      <c r="AF95" s="43" t="s">
        <v>26</v>
      </c>
      <c r="AG95" s="43" t="s">
        <v>45</v>
      </c>
      <c r="AH95" s="43" t="s">
        <v>39</v>
      </c>
      <c r="AI95">
        <v>4</v>
      </c>
      <c r="AJ95" t="s">
        <v>325</v>
      </c>
      <c r="AK95" s="43" t="s">
        <v>308</v>
      </c>
      <c r="AL95">
        <v>3</v>
      </c>
    </row>
    <row r="96" spans="31:38" ht="21" x14ac:dyDescent="0.35">
      <c r="AE96" s="43" t="s">
        <v>44</v>
      </c>
      <c r="AF96" s="43" t="s">
        <v>26</v>
      </c>
      <c r="AG96" s="43" t="s">
        <v>45</v>
      </c>
      <c r="AH96" s="43" t="s">
        <v>39</v>
      </c>
      <c r="AI96">
        <v>4</v>
      </c>
      <c r="AJ96" t="s">
        <v>325</v>
      </c>
      <c r="AK96" s="43" t="s">
        <v>309</v>
      </c>
      <c r="AL96">
        <v>9</v>
      </c>
    </row>
    <row r="97" spans="31:38" ht="21" x14ac:dyDescent="0.35">
      <c r="AE97" s="43" t="s">
        <v>44</v>
      </c>
      <c r="AF97" s="43" t="s">
        <v>26</v>
      </c>
      <c r="AG97" s="43" t="s">
        <v>45</v>
      </c>
      <c r="AH97" s="43" t="s">
        <v>39</v>
      </c>
      <c r="AI97">
        <v>4</v>
      </c>
      <c r="AJ97" t="s">
        <v>325</v>
      </c>
      <c r="AK97" s="43" t="s">
        <v>268</v>
      </c>
      <c r="AL97">
        <v>12</v>
      </c>
    </row>
    <row r="98" spans="31:38" ht="21" x14ac:dyDescent="0.35">
      <c r="AE98" s="43" t="s">
        <v>44</v>
      </c>
      <c r="AF98" s="43" t="s">
        <v>26</v>
      </c>
      <c r="AG98" s="43" t="s">
        <v>45</v>
      </c>
      <c r="AH98" s="43" t="s">
        <v>39</v>
      </c>
      <c r="AI98">
        <v>4</v>
      </c>
      <c r="AJ98" t="s">
        <v>330</v>
      </c>
      <c r="AK98" s="43" t="s">
        <v>308</v>
      </c>
      <c r="AL98">
        <v>3</v>
      </c>
    </row>
    <row r="99" spans="31:38" ht="21" x14ac:dyDescent="0.35">
      <c r="AE99" s="43" t="s">
        <v>44</v>
      </c>
      <c r="AF99" s="43" t="s">
        <v>26</v>
      </c>
      <c r="AG99" s="43" t="s">
        <v>45</v>
      </c>
      <c r="AH99" s="43" t="s">
        <v>39</v>
      </c>
      <c r="AI99">
        <v>4</v>
      </c>
      <c r="AJ99" t="s">
        <v>330</v>
      </c>
      <c r="AK99" s="43" t="s">
        <v>309</v>
      </c>
      <c r="AL99">
        <v>8.9</v>
      </c>
    </row>
    <row r="100" spans="31:38" ht="21" x14ac:dyDescent="0.35">
      <c r="AE100" s="43" t="s">
        <v>44</v>
      </c>
      <c r="AF100" s="43" t="s">
        <v>26</v>
      </c>
      <c r="AG100" s="43" t="s">
        <v>45</v>
      </c>
      <c r="AH100" s="43" t="s">
        <v>39</v>
      </c>
      <c r="AI100">
        <v>4</v>
      </c>
      <c r="AJ100" t="s">
        <v>330</v>
      </c>
      <c r="AK100" s="43" t="s">
        <v>268</v>
      </c>
      <c r="AL100">
        <v>11.9</v>
      </c>
    </row>
    <row r="101" spans="31:38" ht="21" x14ac:dyDescent="0.35">
      <c r="AE101" s="43" t="s">
        <v>44</v>
      </c>
      <c r="AF101" s="43" t="s">
        <v>26</v>
      </c>
      <c r="AG101" s="43" t="s">
        <v>45</v>
      </c>
      <c r="AH101" s="43" t="s">
        <v>39</v>
      </c>
      <c r="AI101">
        <v>4</v>
      </c>
      <c r="AJ101" t="s">
        <v>331</v>
      </c>
      <c r="AK101" s="43" t="s">
        <v>308</v>
      </c>
      <c r="AL101">
        <v>2.6</v>
      </c>
    </row>
    <row r="102" spans="31:38" ht="21" x14ac:dyDescent="0.35">
      <c r="AE102" s="43" t="s">
        <v>44</v>
      </c>
      <c r="AF102" s="43" t="s">
        <v>26</v>
      </c>
      <c r="AG102" s="43" t="s">
        <v>45</v>
      </c>
      <c r="AH102" s="43" t="s">
        <v>39</v>
      </c>
      <c r="AI102">
        <v>4</v>
      </c>
      <c r="AJ102" t="s">
        <v>331</v>
      </c>
      <c r="AK102" s="43" t="s">
        <v>309</v>
      </c>
      <c r="AL102">
        <v>8.9</v>
      </c>
    </row>
    <row r="103" spans="31:38" ht="21" x14ac:dyDescent="0.35">
      <c r="AE103" s="43" t="s">
        <v>44</v>
      </c>
      <c r="AF103" s="43" t="s">
        <v>26</v>
      </c>
      <c r="AG103" s="43" t="s">
        <v>45</v>
      </c>
      <c r="AH103" s="43" t="s">
        <v>39</v>
      </c>
      <c r="AI103">
        <v>4</v>
      </c>
      <c r="AJ103" t="s">
        <v>331</v>
      </c>
      <c r="AK103" s="43" t="s">
        <v>268</v>
      </c>
      <c r="AL103">
        <v>11.5</v>
      </c>
    </row>
    <row r="104" spans="31:38" ht="21" x14ac:dyDescent="0.35">
      <c r="AE104" s="43" t="s">
        <v>44</v>
      </c>
      <c r="AF104" s="43" t="s">
        <v>26</v>
      </c>
      <c r="AG104" s="43" t="s">
        <v>45</v>
      </c>
      <c r="AH104" s="43" t="s">
        <v>39</v>
      </c>
      <c r="AI104">
        <v>4</v>
      </c>
      <c r="AJ104" t="s">
        <v>341</v>
      </c>
      <c r="AK104" s="43" t="s">
        <v>308</v>
      </c>
      <c r="AL104">
        <v>9.1</v>
      </c>
    </row>
    <row r="105" spans="31:38" ht="21" x14ac:dyDescent="0.35">
      <c r="AE105" s="43" t="s">
        <v>44</v>
      </c>
      <c r="AF105" s="43" t="s">
        <v>26</v>
      </c>
      <c r="AG105" s="43" t="s">
        <v>45</v>
      </c>
      <c r="AH105" s="43" t="s">
        <v>39</v>
      </c>
      <c r="AI105">
        <v>4</v>
      </c>
      <c r="AJ105" t="s">
        <v>341</v>
      </c>
      <c r="AK105" s="43" t="s">
        <v>309</v>
      </c>
      <c r="AL105">
        <v>26.799999999999997</v>
      </c>
    </row>
    <row r="106" spans="31:38" ht="21" x14ac:dyDescent="0.35">
      <c r="AE106" s="43" t="s">
        <v>44</v>
      </c>
      <c r="AF106" s="43" t="s">
        <v>26</v>
      </c>
      <c r="AG106" s="43" t="s">
        <v>45</v>
      </c>
      <c r="AH106" s="43" t="s">
        <v>39</v>
      </c>
      <c r="AI106">
        <v>4</v>
      </c>
      <c r="AJ106" t="s">
        <v>341</v>
      </c>
      <c r="AK106" s="43" t="s">
        <v>268</v>
      </c>
      <c r="AL106">
        <v>35.700000000000003</v>
      </c>
    </row>
    <row r="107" spans="31:38" ht="21" x14ac:dyDescent="0.35">
      <c r="AE107" s="43" t="s">
        <v>44</v>
      </c>
      <c r="AF107" s="43" t="s">
        <v>26</v>
      </c>
      <c r="AG107" s="43" t="s">
        <v>45</v>
      </c>
      <c r="AH107" s="43" t="s">
        <v>39</v>
      </c>
      <c r="AI107">
        <v>4</v>
      </c>
      <c r="AJ107" t="s">
        <v>273</v>
      </c>
      <c r="AK107" s="43" t="s">
        <v>308</v>
      </c>
      <c r="AL107">
        <v>3.0333333333333332</v>
      </c>
    </row>
    <row r="108" spans="31:38" ht="21" x14ac:dyDescent="0.35">
      <c r="AE108" s="43" t="s">
        <v>44</v>
      </c>
      <c r="AF108" s="43" t="s">
        <v>26</v>
      </c>
      <c r="AG108" s="43" t="s">
        <v>45</v>
      </c>
      <c r="AH108" s="43" t="s">
        <v>39</v>
      </c>
      <c r="AI108">
        <v>4</v>
      </c>
      <c r="AJ108" t="s">
        <v>273</v>
      </c>
      <c r="AK108" s="43" t="s">
        <v>309</v>
      </c>
      <c r="AL108">
        <v>8.9333333333333318</v>
      </c>
    </row>
    <row r="109" spans="31:38" ht="21" x14ac:dyDescent="0.35">
      <c r="AE109" s="43" t="s">
        <v>44</v>
      </c>
      <c r="AF109" s="43" t="s">
        <v>26</v>
      </c>
      <c r="AG109" s="43" t="s">
        <v>45</v>
      </c>
      <c r="AH109" s="43" t="s">
        <v>39</v>
      </c>
      <c r="AI109">
        <v>4</v>
      </c>
      <c r="AJ109" t="s">
        <v>273</v>
      </c>
      <c r="AK109" s="43" t="s">
        <v>268</v>
      </c>
      <c r="AL109">
        <v>11.9</v>
      </c>
    </row>
    <row r="110" spans="31:38" ht="21" x14ac:dyDescent="0.35">
      <c r="AE110" s="43" t="s">
        <v>84</v>
      </c>
      <c r="AF110" s="43" t="s">
        <v>60</v>
      </c>
      <c r="AG110" s="43" t="s">
        <v>85</v>
      </c>
      <c r="AH110" s="43" t="s">
        <v>39</v>
      </c>
      <c r="AI110">
        <v>4</v>
      </c>
      <c r="AJ110" t="s">
        <v>317</v>
      </c>
      <c r="AK110" s="43" t="s">
        <v>308</v>
      </c>
      <c r="AL110">
        <v>3.7</v>
      </c>
    </row>
    <row r="111" spans="31:38" ht="21" x14ac:dyDescent="0.35">
      <c r="AE111" s="43" t="s">
        <v>84</v>
      </c>
      <c r="AF111" s="43" t="s">
        <v>60</v>
      </c>
      <c r="AG111" s="43" t="s">
        <v>85</v>
      </c>
      <c r="AH111" s="43" t="s">
        <v>39</v>
      </c>
      <c r="AI111">
        <v>4</v>
      </c>
      <c r="AJ111" t="s">
        <v>317</v>
      </c>
      <c r="AK111" s="43" t="s">
        <v>309</v>
      </c>
      <c r="AL111">
        <v>7.85</v>
      </c>
    </row>
    <row r="112" spans="31:38" ht="21" x14ac:dyDescent="0.35">
      <c r="AE112" s="43" t="s">
        <v>84</v>
      </c>
      <c r="AF112" s="43" t="s">
        <v>60</v>
      </c>
      <c r="AG112" s="43" t="s">
        <v>85</v>
      </c>
      <c r="AH112" s="43" t="s">
        <v>39</v>
      </c>
      <c r="AI112">
        <v>4</v>
      </c>
      <c r="AJ112" t="s">
        <v>317</v>
      </c>
      <c r="AK112" s="43" t="s">
        <v>268</v>
      </c>
      <c r="AL112">
        <v>11.55</v>
      </c>
    </row>
    <row r="113" spans="31:38" ht="21" x14ac:dyDescent="0.35">
      <c r="AE113" s="43" t="s">
        <v>84</v>
      </c>
      <c r="AF113" s="43" t="s">
        <v>60</v>
      </c>
      <c r="AG113" s="43" t="s">
        <v>85</v>
      </c>
      <c r="AH113" s="43" t="s">
        <v>39</v>
      </c>
      <c r="AI113">
        <v>4</v>
      </c>
      <c r="AJ113" t="s">
        <v>325</v>
      </c>
      <c r="AK113" s="43" t="s">
        <v>308</v>
      </c>
      <c r="AL113">
        <v>4.2</v>
      </c>
    </row>
    <row r="114" spans="31:38" ht="21" x14ac:dyDescent="0.35">
      <c r="AE114" s="43" t="s">
        <v>84</v>
      </c>
      <c r="AF114" s="43" t="s">
        <v>60</v>
      </c>
      <c r="AG114" s="43" t="s">
        <v>85</v>
      </c>
      <c r="AH114" s="43" t="s">
        <v>39</v>
      </c>
      <c r="AI114">
        <v>4</v>
      </c>
      <c r="AJ114" t="s">
        <v>325</v>
      </c>
      <c r="AK114" s="43" t="s">
        <v>309</v>
      </c>
      <c r="AL114">
        <v>7.5</v>
      </c>
    </row>
    <row r="115" spans="31:38" ht="21" x14ac:dyDescent="0.35">
      <c r="AE115" s="43" t="s">
        <v>84</v>
      </c>
      <c r="AF115" s="43" t="s">
        <v>60</v>
      </c>
      <c r="AG115" s="43" t="s">
        <v>85</v>
      </c>
      <c r="AH115" s="43" t="s">
        <v>39</v>
      </c>
      <c r="AI115">
        <v>4</v>
      </c>
      <c r="AJ115" t="s">
        <v>325</v>
      </c>
      <c r="AK115" s="43" t="s">
        <v>268</v>
      </c>
      <c r="AL115">
        <v>11.7</v>
      </c>
    </row>
    <row r="116" spans="31:38" ht="21" x14ac:dyDescent="0.35">
      <c r="AE116" s="43" t="s">
        <v>84</v>
      </c>
      <c r="AF116" s="43" t="s">
        <v>60</v>
      </c>
      <c r="AG116" s="43" t="s">
        <v>85</v>
      </c>
      <c r="AH116" s="43" t="s">
        <v>39</v>
      </c>
      <c r="AI116">
        <v>4</v>
      </c>
      <c r="AJ116" t="s">
        <v>330</v>
      </c>
      <c r="AK116" s="43" t="s">
        <v>308</v>
      </c>
      <c r="AL116">
        <v>3.6</v>
      </c>
    </row>
    <row r="117" spans="31:38" ht="21" x14ac:dyDescent="0.35">
      <c r="AE117" s="43" t="s">
        <v>84</v>
      </c>
      <c r="AF117" s="43" t="s">
        <v>60</v>
      </c>
      <c r="AG117" s="43" t="s">
        <v>85</v>
      </c>
      <c r="AH117" s="43" t="s">
        <v>39</v>
      </c>
      <c r="AI117">
        <v>4</v>
      </c>
      <c r="AJ117" t="s">
        <v>330</v>
      </c>
      <c r="AK117" s="43" t="s">
        <v>309</v>
      </c>
      <c r="AL117">
        <v>7.9</v>
      </c>
    </row>
    <row r="118" spans="31:38" x14ac:dyDescent="0.25">
      <c r="AE118" s="43" t="s">
        <v>84</v>
      </c>
      <c r="AF118" s="43" t="s">
        <v>60</v>
      </c>
      <c r="AG118" s="43" t="s">
        <v>85</v>
      </c>
      <c r="AH118" s="43" t="s">
        <v>39</v>
      </c>
      <c r="AI118">
        <v>4</v>
      </c>
      <c r="AJ118" t="s">
        <v>330</v>
      </c>
      <c r="AK118" s="43" t="s">
        <v>268</v>
      </c>
      <c r="AL118">
        <v>11.5</v>
      </c>
    </row>
    <row r="119" spans="31:38" x14ac:dyDescent="0.25">
      <c r="AE119" s="43" t="s">
        <v>84</v>
      </c>
      <c r="AF119" s="43" t="s">
        <v>60</v>
      </c>
      <c r="AG119" s="43" t="s">
        <v>85</v>
      </c>
      <c r="AH119" s="43" t="s">
        <v>39</v>
      </c>
      <c r="AI119">
        <v>4</v>
      </c>
      <c r="AJ119" t="s">
        <v>331</v>
      </c>
      <c r="AK119" s="43" t="s">
        <v>308</v>
      </c>
      <c r="AL119">
        <v>4.2</v>
      </c>
    </row>
    <row r="120" spans="31:38" x14ac:dyDescent="0.25">
      <c r="AE120" s="43" t="s">
        <v>84</v>
      </c>
      <c r="AF120" s="43" t="s">
        <v>60</v>
      </c>
      <c r="AG120" s="43" t="s">
        <v>85</v>
      </c>
      <c r="AH120" s="43" t="s">
        <v>39</v>
      </c>
      <c r="AI120">
        <v>4</v>
      </c>
      <c r="AJ120" t="s">
        <v>331</v>
      </c>
      <c r="AK120" s="43" t="s">
        <v>309</v>
      </c>
      <c r="AL120">
        <v>7.7</v>
      </c>
    </row>
    <row r="121" spans="31:38" x14ac:dyDescent="0.25">
      <c r="AE121" s="43" t="s">
        <v>84</v>
      </c>
      <c r="AF121" s="43" t="s">
        <v>60</v>
      </c>
      <c r="AG121" s="43" t="s">
        <v>85</v>
      </c>
      <c r="AH121" s="43" t="s">
        <v>39</v>
      </c>
      <c r="AI121">
        <v>4</v>
      </c>
      <c r="AJ121" t="s">
        <v>331</v>
      </c>
      <c r="AK121" s="43" t="s">
        <v>268</v>
      </c>
      <c r="AL121">
        <v>11.9</v>
      </c>
    </row>
    <row r="122" spans="31:38" x14ac:dyDescent="0.25">
      <c r="AE122" s="43" t="s">
        <v>84</v>
      </c>
      <c r="AF122" s="43" t="s">
        <v>60</v>
      </c>
      <c r="AG122" s="43" t="s">
        <v>85</v>
      </c>
      <c r="AH122" s="43" t="s">
        <v>39</v>
      </c>
      <c r="AI122">
        <v>4</v>
      </c>
      <c r="AJ122" t="s">
        <v>341</v>
      </c>
      <c r="AK122" s="43" t="s">
        <v>308</v>
      </c>
      <c r="AL122">
        <v>12.100000000000001</v>
      </c>
    </row>
    <row r="123" spans="31:38" x14ac:dyDescent="0.25">
      <c r="AE123" s="43" t="s">
        <v>84</v>
      </c>
      <c r="AF123" s="43" t="s">
        <v>60</v>
      </c>
      <c r="AG123" s="43" t="s">
        <v>85</v>
      </c>
      <c r="AH123" s="43" t="s">
        <v>39</v>
      </c>
      <c r="AI123">
        <v>4</v>
      </c>
      <c r="AJ123" t="s">
        <v>341</v>
      </c>
      <c r="AK123" s="43" t="s">
        <v>309</v>
      </c>
      <c r="AL123">
        <v>23.45</v>
      </c>
    </row>
    <row r="124" spans="31:38" x14ac:dyDescent="0.25">
      <c r="AE124" s="43" t="s">
        <v>84</v>
      </c>
      <c r="AF124" s="43" t="s">
        <v>60</v>
      </c>
      <c r="AG124" s="43" t="s">
        <v>85</v>
      </c>
      <c r="AH124" s="43" t="s">
        <v>39</v>
      </c>
      <c r="AI124">
        <v>4</v>
      </c>
      <c r="AJ124" t="s">
        <v>341</v>
      </c>
      <c r="AK124" s="43" t="s">
        <v>268</v>
      </c>
      <c r="AL124">
        <v>35.150000000000006</v>
      </c>
    </row>
    <row r="125" spans="31:38" x14ac:dyDescent="0.25">
      <c r="AE125" s="43" t="s">
        <v>84</v>
      </c>
      <c r="AF125" s="43" t="s">
        <v>60</v>
      </c>
      <c r="AG125" s="43" t="s">
        <v>85</v>
      </c>
      <c r="AH125" s="43" t="s">
        <v>39</v>
      </c>
      <c r="AI125">
        <v>4</v>
      </c>
      <c r="AJ125" t="s">
        <v>273</v>
      </c>
      <c r="AK125" s="43" t="s">
        <v>308</v>
      </c>
      <c r="AL125">
        <v>4.0333333333333341</v>
      </c>
    </row>
    <row r="126" spans="31:38" x14ac:dyDescent="0.25">
      <c r="AE126" s="43" t="s">
        <v>84</v>
      </c>
      <c r="AF126" s="43" t="s">
        <v>60</v>
      </c>
      <c r="AG126" s="43" t="s">
        <v>85</v>
      </c>
      <c r="AH126" s="43" t="s">
        <v>39</v>
      </c>
      <c r="AI126">
        <v>4</v>
      </c>
      <c r="AJ126" t="s">
        <v>273</v>
      </c>
      <c r="AK126" s="43" t="s">
        <v>309</v>
      </c>
      <c r="AL126">
        <v>7.8166666666666664</v>
      </c>
    </row>
    <row r="127" spans="31:38" x14ac:dyDescent="0.25">
      <c r="AE127" s="43" t="s">
        <v>84</v>
      </c>
      <c r="AF127" s="43" t="s">
        <v>60</v>
      </c>
      <c r="AG127" s="43" t="s">
        <v>85</v>
      </c>
      <c r="AH127" s="43" t="s">
        <v>39</v>
      </c>
      <c r="AI127">
        <v>4</v>
      </c>
      <c r="AJ127" t="s">
        <v>273</v>
      </c>
      <c r="AK127" s="43" t="s">
        <v>268</v>
      </c>
      <c r="AL127">
        <v>11.716666666666669</v>
      </c>
    </row>
    <row r="128" spans="31:38" x14ac:dyDescent="0.25">
      <c r="AE128" s="43" t="s">
        <v>29</v>
      </c>
      <c r="AF128" s="43" t="s">
        <v>26</v>
      </c>
      <c r="AG128" s="43" t="s">
        <v>30</v>
      </c>
      <c r="AH128" s="43" t="s">
        <v>31</v>
      </c>
      <c r="AI128">
        <v>3</v>
      </c>
      <c r="AJ128" t="s">
        <v>317</v>
      </c>
      <c r="AK128" s="43" t="s">
        <v>308</v>
      </c>
      <c r="AL128">
        <v>3.2</v>
      </c>
    </row>
    <row r="129" spans="31:38" x14ac:dyDescent="0.25">
      <c r="AE129" s="43" t="s">
        <v>29</v>
      </c>
      <c r="AF129" s="43" t="s">
        <v>26</v>
      </c>
      <c r="AG129" s="43" t="s">
        <v>30</v>
      </c>
      <c r="AH129" s="43" t="s">
        <v>31</v>
      </c>
      <c r="AI129">
        <v>3</v>
      </c>
      <c r="AJ129" t="s">
        <v>317</v>
      </c>
      <c r="AK129" s="43" t="s">
        <v>309</v>
      </c>
      <c r="AL129">
        <v>8.4499999999999993</v>
      </c>
    </row>
    <row r="130" spans="31:38" x14ac:dyDescent="0.25">
      <c r="AE130" s="43" t="s">
        <v>29</v>
      </c>
      <c r="AF130" s="43" t="s">
        <v>26</v>
      </c>
      <c r="AG130" s="43" t="s">
        <v>30</v>
      </c>
      <c r="AH130" s="43" t="s">
        <v>31</v>
      </c>
      <c r="AI130">
        <v>3</v>
      </c>
      <c r="AJ130" t="s">
        <v>317</v>
      </c>
      <c r="AK130" s="43" t="s">
        <v>268</v>
      </c>
      <c r="AL130">
        <v>11.65</v>
      </c>
    </row>
    <row r="131" spans="31:38" x14ac:dyDescent="0.25">
      <c r="AE131" s="43" t="s">
        <v>29</v>
      </c>
      <c r="AF131" s="43" t="s">
        <v>26</v>
      </c>
      <c r="AG131" s="43" t="s">
        <v>30</v>
      </c>
      <c r="AH131" s="43" t="s">
        <v>31</v>
      </c>
      <c r="AI131">
        <v>3</v>
      </c>
      <c r="AJ131" t="s">
        <v>325</v>
      </c>
      <c r="AK131" s="43" t="s">
        <v>308</v>
      </c>
      <c r="AL131">
        <v>3.4</v>
      </c>
    </row>
    <row r="132" spans="31:38" x14ac:dyDescent="0.25">
      <c r="AE132" s="43" t="s">
        <v>29</v>
      </c>
      <c r="AF132" s="43" t="s">
        <v>26</v>
      </c>
      <c r="AG132" s="43" t="s">
        <v>30</v>
      </c>
      <c r="AH132" s="43" t="s">
        <v>31</v>
      </c>
      <c r="AI132">
        <v>3</v>
      </c>
      <c r="AJ132" t="s">
        <v>325</v>
      </c>
      <c r="AK132" s="43" t="s">
        <v>309</v>
      </c>
      <c r="AL132">
        <v>8.35</v>
      </c>
    </row>
    <row r="133" spans="31:38" x14ac:dyDescent="0.25">
      <c r="AE133" s="43" t="s">
        <v>29</v>
      </c>
      <c r="AF133" s="43" t="s">
        <v>26</v>
      </c>
      <c r="AG133" s="43" t="s">
        <v>30</v>
      </c>
      <c r="AH133" s="43" t="s">
        <v>31</v>
      </c>
      <c r="AI133">
        <v>3</v>
      </c>
      <c r="AJ133" t="s">
        <v>325</v>
      </c>
      <c r="AK133" s="43" t="s">
        <v>268</v>
      </c>
      <c r="AL133">
        <v>11.75</v>
      </c>
    </row>
    <row r="134" spans="31:38" x14ac:dyDescent="0.25">
      <c r="AE134" s="43" t="s">
        <v>29</v>
      </c>
      <c r="AF134" s="43" t="s">
        <v>26</v>
      </c>
      <c r="AG134" s="43" t="s">
        <v>30</v>
      </c>
      <c r="AH134" s="43" t="s">
        <v>31</v>
      </c>
      <c r="AI134">
        <v>3</v>
      </c>
      <c r="AJ134" t="s">
        <v>330</v>
      </c>
      <c r="AK134" s="43" t="s">
        <v>308</v>
      </c>
      <c r="AL134">
        <v>0</v>
      </c>
    </row>
    <row r="135" spans="31:38" x14ac:dyDescent="0.25">
      <c r="AE135" s="43" t="s">
        <v>29</v>
      </c>
      <c r="AF135" s="43" t="s">
        <v>26</v>
      </c>
      <c r="AG135" s="43" t="s">
        <v>30</v>
      </c>
      <c r="AH135" s="43" t="s">
        <v>31</v>
      </c>
      <c r="AI135">
        <v>3</v>
      </c>
      <c r="AJ135" t="s">
        <v>330</v>
      </c>
      <c r="AK135" s="43" t="s">
        <v>309</v>
      </c>
      <c r="AL135">
        <v>0</v>
      </c>
    </row>
    <row r="136" spans="31:38" x14ac:dyDescent="0.25">
      <c r="AE136" s="43" t="s">
        <v>29</v>
      </c>
      <c r="AF136" s="43" t="s">
        <v>26</v>
      </c>
      <c r="AG136" s="43" t="s">
        <v>30</v>
      </c>
      <c r="AH136" s="43" t="s">
        <v>31</v>
      </c>
      <c r="AI136">
        <v>3</v>
      </c>
      <c r="AJ136" t="s">
        <v>330</v>
      </c>
      <c r="AK136" s="43" t="s">
        <v>268</v>
      </c>
      <c r="AL136">
        <v>0</v>
      </c>
    </row>
    <row r="137" spans="31:38" x14ac:dyDescent="0.25">
      <c r="AE137" s="43" t="s">
        <v>29</v>
      </c>
      <c r="AF137" s="43" t="s">
        <v>26</v>
      </c>
      <c r="AG137" s="43" t="s">
        <v>30</v>
      </c>
      <c r="AH137" s="43" t="s">
        <v>31</v>
      </c>
      <c r="AI137">
        <v>3</v>
      </c>
      <c r="AJ137" t="s">
        <v>331</v>
      </c>
      <c r="AK137" s="43" t="s">
        <v>308</v>
      </c>
      <c r="AL137">
        <v>3.4</v>
      </c>
    </row>
    <row r="138" spans="31:38" x14ac:dyDescent="0.25">
      <c r="AE138" s="43" t="s">
        <v>29</v>
      </c>
      <c r="AF138" s="43" t="s">
        <v>26</v>
      </c>
      <c r="AG138" s="43" t="s">
        <v>30</v>
      </c>
      <c r="AH138" s="43" t="s">
        <v>31</v>
      </c>
      <c r="AI138">
        <v>3</v>
      </c>
      <c r="AJ138" t="s">
        <v>331</v>
      </c>
      <c r="AK138" s="43" t="s">
        <v>309</v>
      </c>
      <c r="AL138">
        <v>8.1999999999999993</v>
      </c>
    </row>
    <row r="139" spans="31:38" x14ac:dyDescent="0.25">
      <c r="AE139" s="43" t="s">
        <v>29</v>
      </c>
      <c r="AF139" s="43" t="s">
        <v>26</v>
      </c>
      <c r="AG139" s="43" t="s">
        <v>30</v>
      </c>
      <c r="AH139" s="43" t="s">
        <v>31</v>
      </c>
      <c r="AI139">
        <v>3</v>
      </c>
      <c r="AJ139" t="s">
        <v>331</v>
      </c>
      <c r="AK139" s="43" t="s">
        <v>268</v>
      </c>
      <c r="AL139">
        <v>11.6</v>
      </c>
    </row>
    <row r="140" spans="31:38" x14ac:dyDescent="0.25">
      <c r="AE140" s="43" t="s">
        <v>29</v>
      </c>
      <c r="AF140" s="43" t="s">
        <v>26</v>
      </c>
      <c r="AG140" s="43" t="s">
        <v>30</v>
      </c>
      <c r="AH140" s="43" t="s">
        <v>31</v>
      </c>
      <c r="AI140">
        <v>3</v>
      </c>
      <c r="AJ140" t="s">
        <v>341</v>
      </c>
      <c r="AK140" s="43" t="s">
        <v>308</v>
      </c>
      <c r="AL140">
        <v>10</v>
      </c>
    </row>
    <row r="141" spans="31:38" x14ac:dyDescent="0.25">
      <c r="AE141" s="43" t="s">
        <v>29</v>
      </c>
      <c r="AF141" s="43" t="s">
        <v>26</v>
      </c>
      <c r="AG141" s="43" t="s">
        <v>30</v>
      </c>
      <c r="AH141" s="43" t="s">
        <v>31</v>
      </c>
      <c r="AI141">
        <v>3</v>
      </c>
      <c r="AJ141" t="s">
        <v>341</v>
      </c>
      <c r="AK141" s="43" t="s">
        <v>309</v>
      </c>
      <c r="AL141">
        <v>24.999999999999996</v>
      </c>
    </row>
    <row r="142" spans="31:38" x14ac:dyDescent="0.25">
      <c r="AE142" s="43" t="s">
        <v>29</v>
      </c>
      <c r="AF142" s="43" t="s">
        <v>26</v>
      </c>
      <c r="AG142" s="43" t="s">
        <v>30</v>
      </c>
      <c r="AH142" s="43" t="s">
        <v>31</v>
      </c>
      <c r="AI142">
        <v>3</v>
      </c>
      <c r="AJ142" t="s">
        <v>341</v>
      </c>
      <c r="AK142" s="43" t="s">
        <v>268</v>
      </c>
      <c r="AL142">
        <v>35</v>
      </c>
    </row>
    <row r="143" spans="31:38" x14ac:dyDescent="0.25">
      <c r="AE143" s="43" t="s">
        <v>29</v>
      </c>
      <c r="AF143" s="43" t="s">
        <v>26</v>
      </c>
      <c r="AG143" s="43" t="s">
        <v>30</v>
      </c>
      <c r="AH143" s="43" t="s">
        <v>31</v>
      </c>
      <c r="AI143">
        <v>3</v>
      </c>
      <c r="AJ143" t="s">
        <v>273</v>
      </c>
      <c r="AK143" s="43" t="s">
        <v>308</v>
      </c>
      <c r="AL143">
        <v>3.3333333333333335</v>
      </c>
    </row>
    <row r="144" spans="31:38" x14ac:dyDescent="0.25">
      <c r="AE144" s="43" t="s">
        <v>29</v>
      </c>
      <c r="AF144" s="43" t="s">
        <v>26</v>
      </c>
      <c r="AG144" s="43" t="s">
        <v>30</v>
      </c>
      <c r="AH144" s="43" t="s">
        <v>31</v>
      </c>
      <c r="AI144">
        <v>3</v>
      </c>
      <c r="AJ144" t="s">
        <v>273</v>
      </c>
      <c r="AK144" s="43" t="s">
        <v>309</v>
      </c>
      <c r="AL144">
        <v>8.3333333333333321</v>
      </c>
    </row>
    <row r="145" spans="31:38" x14ac:dyDescent="0.25">
      <c r="AE145" s="43" t="s">
        <v>29</v>
      </c>
      <c r="AF145" s="43" t="s">
        <v>26</v>
      </c>
      <c r="AG145" s="43" t="s">
        <v>30</v>
      </c>
      <c r="AH145" s="43" t="s">
        <v>31</v>
      </c>
      <c r="AI145">
        <v>3</v>
      </c>
      <c r="AJ145" t="s">
        <v>273</v>
      </c>
      <c r="AK145" s="43" t="s">
        <v>268</v>
      </c>
      <c r="AL145">
        <v>11.666666666666666</v>
      </c>
    </row>
    <row r="146" spans="31:38" x14ac:dyDescent="0.25">
      <c r="AE146" s="43" t="s">
        <v>37</v>
      </c>
      <c r="AF146" s="43" t="s">
        <v>26</v>
      </c>
      <c r="AG146" s="43" t="s">
        <v>38</v>
      </c>
      <c r="AH146" s="43" t="s">
        <v>39</v>
      </c>
      <c r="AI146">
        <v>4</v>
      </c>
      <c r="AJ146" t="s">
        <v>317</v>
      </c>
      <c r="AK146" s="43" t="s">
        <v>308</v>
      </c>
      <c r="AL146">
        <v>3.1</v>
      </c>
    </row>
    <row r="147" spans="31:38" x14ac:dyDescent="0.25">
      <c r="AE147" s="43" t="s">
        <v>37</v>
      </c>
      <c r="AF147" s="43" t="s">
        <v>26</v>
      </c>
      <c r="AG147" s="43" t="s">
        <v>38</v>
      </c>
      <c r="AH147" s="43" t="s">
        <v>39</v>
      </c>
      <c r="AI147">
        <v>4</v>
      </c>
      <c r="AJ147" t="s">
        <v>317</v>
      </c>
      <c r="AK147" s="43" t="s">
        <v>309</v>
      </c>
      <c r="AL147">
        <v>8.5</v>
      </c>
    </row>
    <row r="148" spans="31:38" x14ac:dyDescent="0.25">
      <c r="AE148" s="43" t="s">
        <v>37</v>
      </c>
      <c r="AF148" s="43" t="s">
        <v>26</v>
      </c>
      <c r="AG148" s="43" t="s">
        <v>38</v>
      </c>
      <c r="AH148" s="43" t="s">
        <v>39</v>
      </c>
      <c r="AI148">
        <v>4</v>
      </c>
      <c r="AJ148" t="s">
        <v>317</v>
      </c>
      <c r="AK148" s="43" t="s">
        <v>268</v>
      </c>
      <c r="AL148">
        <v>11.6</v>
      </c>
    </row>
    <row r="149" spans="31:38" x14ac:dyDescent="0.25">
      <c r="AE149" s="43" t="s">
        <v>37</v>
      </c>
      <c r="AF149" s="43" t="s">
        <v>26</v>
      </c>
      <c r="AG149" s="43" t="s">
        <v>38</v>
      </c>
      <c r="AH149" s="43" t="s">
        <v>39</v>
      </c>
      <c r="AI149">
        <v>4</v>
      </c>
      <c r="AJ149" t="s">
        <v>325</v>
      </c>
      <c r="AK149" s="43" t="s">
        <v>308</v>
      </c>
      <c r="AL149">
        <v>3.1</v>
      </c>
    </row>
    <row r="150" spans="31:38" x14ac:dyDescent="0.25">
      <c r="AE150" s="43" t="s">
        <v>37</v>
      </c>
      <c r="AF150" s="43" t="s">
        <v>26</v>
      </c>
      <c r="AG150" s="43" t="s">
        <v>38</v>
      </c>
      <c r="AH150" s="43" t="s">
        <v>39</v>
      </c>
      <c r="AI150">
        <v>4</v>
      </c>
      <c r="AJ150" t="s">
        <v>325</v>
      </c>
      <c r="AK150" s="43" t="s">
        <v>309</v>
      </c>
      <c r="AL150">
        <v>8</v>
      </c>
    </row>
    <row r="151" spans="31:38" x14ac:dyDescent="0.25">
      <c r="AE151" s="43" t="s">
        <v>37</v>
      </c>
      <c r="AF151" s="43" t="s">
        <v>26</v>
      </c>
      <c r="AG151" s="43" t="s">
        <v>38</v>
      </c>
      <c r="AH151" s="43" t="s">
        <v>39</v>
      </c>
      <c r="AI151">
        <v>4</v>
      </c>
      <c r="AJ151" t="s">
        <v>325</v>
      </c>
      <c r="AK151" s="43" t="s">
        <v>268</v>
      </c>
      <c r="AL151">
        <v>11.1</v>
      </c>
    </row>
    <row r="152" spans="31:38" x14ac:dyDescent="0.25">
      <c r="AE152" s="43" t="s">
        <v>37</v>
      </c>
      <c r="AF152" s="43" t="s">
        <v>26</v>
      </c>
      <c r="AG152" s="43" t="s">
        <v>38</v>
      </c>
      <c r="AH152" s="43" t="s">
        <v>39</v>
      </c>
      <c r="AI152">
        <v>4</v>
      </c>
      <c r="AJ152" t="s">
        <v>330</v>
      </c>
      <c r="AK152" s="43" t="s">
        <v>308</v>
      </c>
      <c r="AL152">
        <v>3.1</v>
      </c>
    </row>
    <row r="153" spans="31:38" x14ac:dyDescent="0.25">
      <c r="AE153" s="43" t="s">
        <v>37</v>
      </c>
      <c r="AF153" s="43" t="s">
        <v>26</v>
      </c>
      <c r="AG153" s="43" t="s">
        <v>38</v>
      </c>
      <c r="AH153" s="43" t="s">
        <v>39</v>
      </c>
      <c r="AI153">
        <v>4</v>
      </c>
      <c r="AJ153" t="s">
        <v>330</v>
      </c>
      <c r="AK153" s="43" t="s">
        <v>309</v>
      </c>
      <c r="AL153">
        <v>8.4</v>
      </c>
    </row>
    <row r="154" spans="31:38" x14ac:dyDescent="0.25">
      <c r="AE154" s="43" t="s">
        <v>37</v>
      </c>
      <c r="AF154" s="43" t="s">
        <v>26</v>
      </c>
      <c r="AG154" s="43" t="s">
        <v>38</v>
      </c>
      <c r="AH154" s="43" t="s">
        <v>39</v>
      </c>
      <c r="AI154">
        <v>4</v>
      </c>
      <c r="AJ154" t="s">
        <v>330</v>
      </c>
      <c r="AK154" s="43" t="s">
        <v>268</v>
      </c>
      <c r="AL154">
        <v>11.5</v>
      </c>
    </row>
    <row r="155" spans="31:38" x14ac:dyDescent="0.25">
      <c r="AE155" s="43" t="s">
        <v>37</v>
      </c>
      <c r="AF155" s="43" t="s">
        <v>26</v>
      </c>
      <c r="AG155" s="43" t="s">
        <v>38</v>
      </c>
      <c r="AH155" s="43" t="s">
        <v>39</v>
      </c>
      <c r="AI155">
        <v>4</v>
      </c>
      <c r="AJ155" t="s">
        <v>331</v>
      </c>
      <c r="AK155" s="43" t="s">
        <v>308</v>
      </c>
      <c r="AL155">
        <v>3.2</v>
      </c>
    </row>
    <row r="156" spans="31:38" x14ac:dyDescent="0.25">
      <c r="AE156" s="43" t="s">
        <v>37</v>
      </c>
      <c r="AF156" s="43" t="s">
        <v>26</v>
      </c>
      <c r="AG156" s="43" t="s">
        <v>38</v>
      </c>
      <c r="AH156" s="43" t="s">
        <v>39</v>
      </c>
      <c r="AI156">
        <v>4</v>
      </c>
      <c r="AJ156" t="s">
        <v>331</v>
      </c>
      <c r="AK156" s="43" t="s">
        <v>309</v>
      </c>
      <c r="AL156">
        <v>8.6</v>
      </c>
    </row>
    <row r="157" spans="31:38" x14ac:dyDescent="0.25">
      <c r="AE157" s="43" t="s">
        <v>37</v>
      </c>
      <c r="AF157" s="43" t="s">
        <v>26</v>
      </c>
      <c r="AG157" s="43" t="s">
        <v>38</v>
      </c>
      <c r="AH157" s="43" t="s">
        <v>39</v>
      </c>
      <c r="AI157">
        <v>4</v>
      </c>
      <c r="AJ157" t="s">
        <v>331</v>
      </c>
      <c r="AK157" s="43" t="s">
        <v>268</v>
      </c>
      <c r="AL157">
        <v>11.8</v>
      </c>
    </row>
    <row r="158" spans="31:38" x14ac:dyDescent="0.25">
      <c r="AE158" s="43" t="s">
        <v>37</v>
      </c>
      <c r="AF158" s="43" t="s">
        <v>26</v>
      </c>
      <c r="AG158" s="43" t="s">
        <v>38</v>
      </c>
      <c r="AH158" s="43" t="s">
        <v>39</v>
      </c>
      <c r="AI158">
        <v>4</v>
      </c>
      <c r="AJ158" t="s">
        <v>341</v>
      </c>
      <c r="AK158" s="43" t="s">
        <v>308</v>
      </c>
      <c r="AL158">
        <v>9.4</v>
      </c>
    </row>
    <row r="159" spans="31:38" x14ac:dyDescent="0.25">
      <c r="AE159" s="43" t="s">
        <v>37</v>
      </c>
      <c r="AF159" s="43" t="s">
        <v>26</v>
      </c>
      <c r="AG159" s="43" t="s">
        <v>38</v>
      </c>
      <c r="AH159" s="43" t="s">
        <v>39</v>
      </c>
      <c r="AI159">
        <v>4</v>
      </c>
      <c r="AJ159" t="s">
        <v>341</v>
      </c>
      <c r="AK159" s="43" t="s">
        <v>309</v>
      </c>
      <c r="AL159">
        <v>25.5</v>
      </c>
    </row>
    <row r="160" spans="31:38" x14ac:dyDescent="0.25">
      <c r="AE160" s="43" t="s">
        <v>37</v>
      </c>
      <c r="AF160" s="43" t="s">
        <v>26</v>
      </c>
      <c r="AG160" s="43" t="s">
        <v>38</v>
      </c>
      <c r="AH160" s="43" t="s">
        <v>39</v>
      </c>
      <c r="AI160">
        <v>4</v>
      </c>
      <c r="AJ160" t="s">
        <v>341</v>
      </c>
      <c r="AK160" s="43" t="s">
        <v>268</v>
      </c>
      <c r="AL160">
        <v>34.9</v>
      </c>
    </row>
    <row r="161" spans="31:38" x14ac:dyDescent="0.25">
      <c r="AE161" s="43" t="s">
        <v>37</v>
      </c>
      <c r="AF161" s="43" t="s">
        <v>26</v>
      </c>
      <c r="AG161" s="43" t="s">
        <v>38</v>
      </c>
      <c r="AH161" s="43" t="s">
        <v>39</v>
      </c>
      <c r="AI161">
        <v>4</v>
      </c>
      <c r="AJ161" t="s">
        <v>273</v>
      </c>
      <c r="AK161" s="43" t="s">
        <v>308</v>
      </c>
      <c r="AL161">
        <v>3.1333333333333333</v>
      </c>
    </row>
    <row r="162" spans="31:38" x14ac:dyDescent="0.25">
      <c r="AE162" s="43" t="s">
        <v>37</v>
      </c>
      <c r="AF162" s="43" t="s">
        <v>26</v>
      </c>
      <c r="AG162" s="43" t="s">
        <v>38</v>
      </c>
      <c r="AH162" s="43" t="s">
        <v>39</v>
      </c>
      <c r="AI162">
        <v>4</v>
      </c>
      <c r="AJ162" t="s">
        <v>273</v>
      </c>
      <c r="AK162" s="43" t="s">
        <v>309</v>
      </c>
      <c r="AL162">
        <v>8.5</v>
      </c>
    </row>
    <row r="163" spans="31:38" x14ac:dyDescent="0.25">
      <c r="AE163" s="43" t="s">
        <v>37</v>
      </c>
      <c r="AF163" s="43" t="s">
        <v>26</v>
      </c>
      <c r="AG163" s="43" t="s">
        <v>38</v>
      </c>
      <c r="AH163" s="43" t="s">
        <v>39</v>
      </c>
      <c r="AI163">
        <v>4</v>
      </c>
      <c r="AJ163" t="s">
        <v>273</v>
      </c>
      <c r="AK163" s="43" t="s">
        <v>268</v>
      </c>
      <c r="AL163">
        <v>11.633333333333333</v>
      </c>
    </row>
    <row r="164" spans="31:38" x14ac:dyDescent="0.25">
      <c r="AE164" s="43" t="s">
        <v>32</v>
      </c>
      <c r="AF164" s="43" t="s">
        <v>26</v>
      </c>
      <c r="AG164" s="43" t="s">
        <v>33</v>
      </c>
      <c r="AH164" s="43" t="s">
        <v>31</v>
      </c>
      <c r="AI164">
        <v>4</v>
      </c>
      <c r="AJ164" t="s">
        <v>317</v>
      </c>
      <c r="AK164" s="43" t="s">
        <v>308</v>
      </c>
      <c r="AL164">
        <v>3.5</v>
      </c>
    </row>
    <row r="165" spans="31:38" x14ac:dyDescent="0.25">
      <c r="AE165" s="43" t="s">
        <v>32</v>
      </c>
      <c r="AF165" s="43" t="s">
        <v>26</v>
      </c>
      <c r="AG165" s="43" t="s">
        <v>33</v>
      </c>
      <c r="AH165" s="43" t="s">
        <v>31</v>
      </c>
      <c r="AI165">
        <v>4</v>
      </c>
      <c r="AJ165" t="s">
        <v>317</v>
      </c>
      <c r="AK165" s="43" t="s">
        <v>309</v>
      </c>
      <c r="AL165">
        <v>7.95</v>
      </c>
    </row>
    <row r="166" spans="31:38" x14ac:dyDescent="0.25">
      <c r="AE166" s="43" t="s">
        <v>32</v>
      </c>
      <c r="AF166" s="43" t="s">
        <v>26</v>
      </c>
      <c r="AG166" s="43" t="s">
        <v>33</v>
      </c>
      <c r="AH166" s="43" t="s">
        <v>31</v>
      </c>
      <c r="AI166">
        <v>4</v>
      </c>
      <c r="AJ166" t="s">
        <v>317</v>
      </c>
      <c r="AK166" s="43" t="s">
        <v>268</v>
      </c>
      <c r="AL166">
        <v>11.45</v>
      </c>
    </row>
    <row r="167" spans="31:38" x14ac:dyDescent="0.25">
      <c r="AE167" s="43" t="s">
        <v>32</v>
      </c>
      <c r="AF167" s="43" t="s">
        <v>26</v>
      </c>
      <c r="AG167" s="43" t="s">
        <v>33</v>
      </c>
      <c r="AH167" s="43" t="s">
        <v>31</v>
      </c>
      <c r="AI167">
        <v>4</v>
      </c>
      <c r="AJ167" t="s">
        <v>325</v>
      </c>
      <c r="AK167" s="43" t="s">
        <v>308</v>
      </c>
      <c r="AL167">
        <v>3.4</v>
      </c>
    </row>
    <row r="168" spans="31:38" x14ac:dyDescent="0.25">
      <c r="AE168" s="43" t="s">
        <v>32</v>
      </c>
      <c r="AF168" s="43" t="s">
        <v>26</v>
      </c>
      <c r="AG168" s="43" t="s">
        <v>33</v>
      </c>
      <c r="AH168" s="43" t="s">
        <v>31</v>
      </c>
      <c r="AI168">
        <v>4</v>
      </c>
      <c r="AJ168" t="s">
        <v>325</v>
      </c>
      <c r="AK168" s="43" t="s">
        <v>309</v>
      </c>
      <c r="AL168">
        <v>7.95</v>
      </c>
    </row>
    <row r="169" spans="31:38" x14ac:dyDescent="0.25">
      <c r="AE169" s="43" t="s">
        <v>32</v>
      </c>
      <c r="AF169" s="43" t="s">
        <v>26</v>
      </c>
      <c r="AG169" s="43" t="s">
        <v>33</v>
      </c>
      <c r="AH169" s="43" t="s">
        <v>31</v>
      </c>
      <c r="AI169">
        <v>4</v>
      </c>
      <c r="AJ169" t="s">
        <v>325</v>
      </c>
      <c r="AK169" s="43" t="s">
        <v>268</v>
      </c>
      <c r="AL169">
        <v>11.35</v>
      </c>
    </row>
    <row r="170" spans="31:38" x14ac:dyDescent="0.25">
      <c r="AE170" s="43" t="s">
        <v>32</v>
      </c>
      <c r="AF170" s="43" t="s">
        <v>26</v>
      </c>
      <c r="AG170" s="43" t="s">
        <v>33</v>
      </c>
      <c r="AH170" s="43" t="s">
        <v>31</v>
      </c>
      <c r="AI170">
        <v>4</v>
      </c>
      <c r="AJ170" t="s">
        <v>330</v>
      </c>
      <c r="AK170" s="43" t="s">
        <v>308</v>
      </c>
      <c r="AL170">
        <v>3.2</v>
      </c>
    </row>
    <row r="171" spans="31:38" x14ac:dyDescent="0.25">
      <c r="AE171" s="43" t="s">
        <v>32</v>
      </c>
      <c r="AF171" s="43" t="s">
        <v>26</v>
      </c>
      <c r="AG171" s="43" t="s">
        <v>33</v>
      </c>
      <c r="AH171" s="43" t="s">
        <v>31</v>
      </c>
      <c r="AI171">
        <v>4</v>
      </c>
      <c r="AJ171" t="s">
        <v>330</v>
      </c>
      <c r="AK171" s="43" t="s">
        <v>309</v>
      </c>
      <c r="AL171">
        <v>8.8000000000000007</v>
      </c>
    </row>
    <row r="172" spans="31:38" x14ac:dyDescent="0.25">
      <c r="AE172" s="43" t="s">
        <v>32</v>
      </c>
      <c r="AF172" s="43" t="s">
        <v>26</v>
      </c>
      <c r="AG172" s="43" t="s">
        <v>33</v>
      </c>
      <c r="AH172" s="43" t="s">
        <v>31</v>
      </c>
      <c r="AI172">
        <v>4</v>
      </c>
      <c r="AJ172" t="s">
        <v>330</v>
      </c>
      <c r="AK172" s="43" t="s">
        <v>268</v>
      </c>
      <c r="AL172">
        <v>12</v>
      </c>
    </row>
    <row r="173" spans="31:38" x14ac:dyDescent="0.25">
      <c r="AE173" s="43" t="s">
        <v>32</v>
      </c>
      <c r="AF173" s="43" t="s">
        <v>26</v>
      </c>
      <c r="AG173" s="43" t="s">
        <v>33</v>
      </c>
      <c r="AH173" s="43" t="s">
        <v>31</v>
      </c>
      <c r="AI173">
        <v>4</v>
      </c>
      <c r="AJ173" t="s">
        <v>331</v>
      </c>
      <c r="AK173" s="43" t="s">
        <v>308</v>
      </c>
      <c r="AL173">
        <v>3.4</v>
      </c>
    </row>
    <row r="174" spans="31:38" x14ac:dyDescent="0.25">
      <c r="AE174" s="43" t="s">
        <v>32</v>
      </c>
      <c r="AF174" s="43" t="s">
        <v>26</v>
      </c>
      <c r="AG174" s="43" t="s">
        <v>33</v>
      </c>
      <c r="AH174" s="43" t="s">
        <v>31</v>
      </c>
      <c r="AI174">
        <v>4</v>
      </c>
      <c r="AJ174" t="s">
        <v>331</v>
      </c>
      <c r="AK174" s="43" t="s">
        <v>309</v>
      </c>
      <c r="AL174">
        <v>7.3</v>
      </c>
    </row>
    <row r="175" spans="31:38" x14ac:dyDescent="0.25">
      <c r="AE175" s="43" t="s">
        <v>32</v>
      </c>
      <c r="AF175" s="43" t="s">
        <v>26</v>
      </c>
      <c r="AG175" s="43" t="s">
        <v>33</v>
      </c>
      <c r="AH175" s="43" t="s">
        <v>31</v>
      </c>
      <c r="AI175">
        <v>4</v>
      </c>
      <c r="AJ175" t="s">
        <v>331</v>
      </c>
      <c r="AK175" s="43" t="s">
        <v>268</v>
      </c>
      <c r="AL175">
        <v>10.7</v>
      </c>
    </row>
    <row r="176" spans="31:38" x14ac:dyDescent="0.25">
      <c r="AE176" s="43" t="s">
        <v>32</v>
      </c>
      <c r="AF176" s="43" t="s">
        <v>26</v>
      </c>
      <c r="AG176" s="43" t="s">
        <v>33</v>
      </c>
      <c r="AH176" s="43" t="s">
        <v>31</v>
      </c>
      <c r="AI176">
        <v>4</v>
      </c>
      <c r="AJ176" t="s">
        <v>341</v>
      </c>
      <c r="AK176" s="43" t="s">
        <v>308</v>
      </c>
      <c r="AL176">
        <v>10.3</v>
      </c>
    </row>
    <row r="177" spans="31:38" x14ac:dyDescent="0.25">
      <c r="AE177" s="43" t="s">
        <v>32</v>
      </c>
      <c r="AF177" s="43" t="s">
        <v>26</v>
      </c>
      <c r="AG177" s="43" t="s">
        <v>33</v>
      </c>
      <c r="AH177" s="43" t="s">
        <v>31</v>
      </c>
      <c r="AI177">
        <v>4</v>
      </c>
      <c r="AJ177" t="s">
        <v>341</v>
      </c>
      <c r="AK177" s="43" t="s">
        <v>309</v>
      </c>
      <c r="AL177">
        <v>24.7</v>
      </c>
    </row>
    <row r="178" spans="31:38" x14ac:dyDescent="0.25">
      <c r="AE178" s="43" t="s">
        <v>32</v>
      </c>
      <c r="AF178" s="43" t="s">
        <v>26</v>
      </c>
      <c r="AG178" s="43" t="s">
        <v>33</v>
      </c>
      <c r="AH178" s="43" t="s">
        <v>31</v>
      </c>
      <c r="AI178">
        <v>4</v>
      </c>
      <c r="AJ178" t="s">
        <v>341</v>
      </c>
      <c r="AK178" s="43" t="s">
        <v>268</v>
      </c>
      <c r="AL178">
        <v>34.799999999999997</v>
      </c>
    </row>
    <row r="179" spans="31:38" x14ac:dyDescent="0.25">
      <c r="AE179" s="43" t="s">
        <v>32</v>
      </c>
      <c r="AF179" s="43" t="s">
        <v>26</v>
      </c>
      <c r="AG179" s="43" t="s">
        <v>33</v>
      </c>
      <c r="AH179" s="43" t="s">
        <v>31</v>
      </c>
      <c r="AI179">
        <v>4</v>
      </c>
      <c r="AJ179" t="s">
        <v>273</v>
      </c>
      <c r="AK179" s="43" t="s">
        <v>308</v>
      </c>
      <c r="AL179">
        <v>3.4333333333333336</v>
      </c>
    </row>
    <row r="180" spans="31:38" x14ac:dyDescent="0.25">
      <c r="AE180" s="43" t="s">
        <v>32</v>
      </c>
      <c r="AF180" s="43" t="s">
        <v>26</v>
      </c>
      <c r="AG180" s="43" t="s">
        <v>33</v>
      </c>
      <c r="AH180" s="43" t="s">
        <v>31</v>
      </c>
      <c r="AI180">
        <v>4</v>
      </c>
      <c r="AJ180" t="s">
        <v>273</v>
      </c>
      <c r="AK180" s="43" t="s">
        <v>309</v>
      </c>
      <c r="AL180">
        <v>8.2333333333333325</v>
      </c>
    </row>
    <row r="181" spans="31:38" x14ac:dyDescent="0.25">
      <c r="AE181" s="43" t="s">
        <v>32</v>
      </c>
      <c r="AF181" s="43" t="s">
        <v>26</v>
      </c>
      <c r="AG181" s="43" t="s">
        <v>33</v>
      </c>
      <c r="AH181" s="43" t="s">
        <v>31</v>
      </c>
      <c r="AI181">
        <v>4</v>
      </c>
      <c r="AJ181" t="s">
        <v>273</v>
      </c>
      <c r="AK181" s="43" t="s">
        <v>268</v>
      </c>
      <c r="AL181">
        <v>11.6</v>
      </c>
    </row>
    <row r="182" spans="31:38" x14ac:dyDescent="0.25">
      <c r="AE182" s="43" t="s">
        <v>34</v>
      </c>
      <c r="AF182" s="43" t="s">
        <v>26</v>
      </c>
      <c r="AG182" s="43" t="s">
        <v>35</v>
      </c>
      <c r="AH182" s="43" t="s">
        <v>36</v>
      </c>
      <c r="AI182">
        <v>4</v>
      </c>
      <c r="AJ182" t="s">
        <v>317</v>
      </c>
      <c r="AK182" s="43" t="s">
        <v>308</v>
      </c>
      <c r="AL182">
        <v>3.2</v>
      </c>
    </row>
    <row r="183" spans="31:38" x14ac:dyDescent="0.25">
      <c r="AE183" s="43" t="s">
        <v>34</v>
      </c>
      <c r="AF183" s="43" t="s">
        <v>26</v>
      </c>
      <c r="AG183" s="43" t="s">
        <v>35</v>
      </c>
      <c r="AH183" s="43" t="s">
        <v>36</v>
      </c>
      <c r="AI183">
        <v>4</v>
      </c>
      <c r="AJ183" t="s">
        <v>317</v>
      </c>
      <c r="AK183" s="43" t="s">
        <v>309</v>
      </c>
      <c r="AL183">
        <v>8.6</v>
      </c>
    </row>
    <row r="184" spans="31:38" x14ac:dyDescent="0.25">
      <c r="AE184" s="43" t="s">
        <v>34</v>
      </c>
      <c r="AF184" s="43" t="s">
        <v>26</v>
      </c>
      <c r="AG184" s="43" t="s">
        <v>35</v>
      </c>
      <c r="AH184" s="43" t="s">
        <v>36</v>
      </c>
      <c r="AI184">
        <v>4</v>
      </c>
      <c r="AJ184" t="s">
        <v>317</v>
      </c>
      <c r="AK184" s="43" t="s">
        <v>268</v>
      </c>
      <c r="AL184">
        <v>11.8</v>
      </c>
    </row>
    <row r="185" spans="31:38" x14ac:dyDescent="0.25">
      <c r="AE185" s="43" t="s">
        <v>34</v>
      </c>
      <c r="AF185" s="43" t="s">
        <v>26</v>
      </c>
      <c r="AG185" s="43" t="s">
        <v>35</v>
      </c>
      <c r="AH185" s="43" t="s">
        <v>36</v>
      </c>
      <c r="AI185">
        <v>4</v>
      </c>
      <c r="AJ185" t="s">
        <v>325</v>
      </c>
      <c r="AK185" s="43" t="s">
        <v>308</v>
      </c>
      <c r="AL185">
        <v>3.7</v>
      </c>
    </row>
    <row r="186" spans="31:38" x14ac:dyDescent="0.25">
      <c r="AE186" s="43" t="s">
        <v>34</v>
      </c>
      <c r="AF186" s="43" t="s">
        <v>26</v>
      </c>
      <c r="AG186" s="43" t="s">
        <v>35</v>
      </c>
      <c r="AH186" s="43" t="s">
        <v>36</v>
      </c>
      <c r="AI186">
        <v>4</v>
      </c>
      <c r="AJ186" t="s">
        <v>325</v>
      </c>
      <c r="AK186" s="43" t="s">
        <v>309</v>
      </c>
      <c r="AL186">
        <v>7.45</v>
      </c>
    </row>
    <row r="187" spans="31:38" x14ac:dyDescent="0.25">
      <c r="AE187" s="43" t="s">
        <v>34</v>
      </c>
      <c r="AF187" s="43" t="s">
        <v>26</v>
      </c>
      <c r="AG187" s="43" t="s">
        <v>35</v>
      </c>
      <c r="AH187" s="43" t="s">
        <v>36</v>
      </c>
      <c r="AI187">
        <v>4</v>
      </c>
      <c r="AJ187" t="s">
        <v>325</v>
      </c>
      <c r="AK187" s="43" t="s">
        <v>268</v>
      </c>
      <c r="AL187">
        <v>11.15</v>
      </c>
    </row>
    <row r="188" spans="31:38" x14ac:dyDescent="0.25">
      <c r="AE188" s="43" t="s">
        <v>34</v>
      </c>
      <c r="AF188" s="43" t="s">
        <v>26</v>
      </c>
      <c r="AG188" s="43" t="s">
        <v>35</v>
      </c>
      <c r="AH188" s="43" t="s">
        <v>36</v>
      </c>
      <c r="AI188">
        <v>4</v>
      </c>
      <c r="AJ188" t="s">
        <v>330</v>
      </c>
      <c r="AK188" s="43" t="s">
        <v>308</v>
      </c>
      <c r="AL188">
        <v>3.7</v>
      </c>
    </row>
    <row r="189" spans="31:38" x14ac:dyDescent="0.25">
      <c r="AE189" s="43" t="s">
        <v>34</v>
      </c>
      <c r="AF189" s="43" t="s">
        <v>26</v>
      </c>
      <c r="AG189" s="43" t="s">
        <v>35</v>
      </c>
      <c r="AH189" s="43" t="s">
        <v>36</v>
      </c>
      <c r="AI189">
        <v>4</v>
      </c>
      <c r="AJ189" t="s">
        <v>330</v>
      </c>
      <c r="AK189" s="43" t="s">
        <v>309</v>
      </c>
      <c r="AL189">
        <v>8</v>
      </c>
    </row>
    <row r="190" spans="31:38" x14ac:dyDescent="0.25">
      <c r="AE190" s="43" t="s">
        <v>34</v>
      </c>
      <c r="AF190" s="43" t="s">
        <v>26</v>
      </c>
      <c r="AG190" s="43" t="s">
        <v>35</v>
      </c>
      <c r="AH190" s="43" t="s">
        <v>36</v>
      </c>
      <c r="AI190">
        <v>4</v>
      </c>
      <c r="AJ190" t="s">
        <v>330</v>
      </c>
      <c r="AK190" s="43" t="s">
        <v>268</v>
      </c>
      <c r="AL190">
        <v>11.7</v>
      </c>
    </row>
    <row r="191" spans="31:38" x14ac:dyDescent="0.25">
      <c r="AE191" s="43" t="s">
        <v>34</v>
      </c>
      <c r="AF191" s="43" t="s">
        <v>26</v>
      </c>
      <c r="AG191" s="43" t="s">
        <v>35</v>
      </c>
      <c r="AH191" s="43" t="s">
        <v>36</v>
      </c>
      <c r="AI191">
        <v>4</v>
      </c>
      <c r="AJ191" t="s">
        <v>331</v>
      </c>
      <c r="AK191" s="43" t="s">
        <v>308</v>
      </c>
      <c r="AL191">
        <v>3.4</v>
      </c>
    </row>
    <row r="192" spans="31:38" x14ac:dyDescent="0.25">
      <c r="AE192" s="43" t="s">
        <v>34</v>
      </c>
      <c r="AF192" s="43" t="s">
        <v>26</v>
      </c>
      <c r="AG192" s="43" t="s">
        <v>35</v>
      </c>
      <c r="AH192" s="43" t="s">
        <v>36</v>
      </c>
      <c r="AI192">
        <v>4</v>
      </c>
      <c r="AJ192" t="s">
        <v>331</v>
      </c>
      <c r="AK192" s="43" t="s">
        <v>309</v>
      </c>
      <c r="AL192">
        <v>7.3</v>
      </c>
    </row>
    <row r="193" spans="31:38" x14ac:dyDescent="0.25">
      <c r="AE193" s="43" t="s">
        <v>34</v>
      </c>
      <c r="AF193" s="43" t="s">
        <v>26</v>
      </c>
      <c r="AG193" s="43" t="s">
        <v>35</v>
      </c>
      <c r="AH193" s="43" t="s">
        <v>36</v>
      </c>
      <c r="AI193">
        <v>4</v>
      </c>
      <c r="AJ193" t="s">
        <v>331</v>
      </c>
      <c r="AK193" s="43" t="s">
        <v>268</v>
      </c>
      <c r="AL193">
        <v>10.7</v>
      </c>
    </row>
    <row r="194" spans="31:38" x14ac:dyDescent="0.25">
      <c r="AE194" s="43" t="s">
        <v>34</v>
      </c>
      <c r="AF194" s="43" t="s">
        <v>26</v>
      </c>
      <c r="AG194" s="43" t="s">
        <v>35</v>
      </c>
      <c r="AH194" s="43" t="s">
        <v>36</v>
      </c>
      <c r="AI194">
        <v>4</v>
      </c>
      <c r="AJ194" t="s">
        <v>341</v>
      </c>
      <c r="AK194" s="43" t="s">
        <v>308</v>
      </c>
      <c r="AL194">
        <v>10.8</v>
      </c>
    </row>
    <row r="195" spans="31:38" x14ac:dyDescent="0.25">
      <c r="AE195" s="43" t="s">
        <v>34</v>
      </c>
      <c r="AF195" s="43" t="s">
        <v>26</v>
      </c>
      <c r="AG195" s="43" t="s">
        <v>35</v>
      </c>
      <c r="AH195" s="43" t="s">
        <v>36</v>
      </c>
      <c r="AI195">
        <v>4</v>
      </c>
      <c r="AJ195" t="s">
        <v>341</v>
      </c>
      <c r="AK195" s="43" t="s">
        <v>309</v>
      </c>
      <c r="AL195">
        <v>24.05</v>
      </c>
    </row>
    <row r="196" spans="31:38" x14ac:dyDescent="0.25">
      <c r="AE196" s="43" t="s">
        <v>34</v>
      </c>
      <c r="AF196" s="43" t="s">
        <v>26</v>
      </c>
      <c r="AG196" s="43" t="s">
        <v>35</v>
      </c>
      <c r="AH196" s="43" t="s">
        <v>36</v>
      </c>
      <c r="AI196">
        <v>4</v>
      </c>
      <c r="AJ196" t="s">
        <v>341</v>
      </c>
      <c r="AK196" s="43" t="s">
        <v>268</v>
      </c>
      <c r="AL196">
        <v>34.65</v>
      </c>
    </row>
    <row r="197" spans="31:38" x14ac:dyDescent="0.25">
      <c r="AE197" s="43" t="s">
        <v>34</v>
      </c>
      <c r="AF197" s="43" t="s">
        <v>26</v>
      </c>
      <c r="AG197" s="43" t="s">
        <v>35</v>
      </c>
      <c r="AH197" s="43" t="s">
        <v>36</v>
      </c>
      <c r="AI197">
        <v>4</v>
      </c>
      <c r="AJ197" t="s">
        <v>273</v>
      </c>
      <c r="AK197" s="43" t="s">
        <v>308</v>
      </c>
      <c r="AL197">
        <v>3.6</v>
      </c>
    </row>
    <row r="198" spans="31:38" x14ac:dyDescent="0.25">
      <c r="AE198" s="43" t="s">
        <v>34</v>
      </c>
      <c r="AF198" s="43" t="s">
        <v>26</v>
      </c>
      <c r="AG198" s="43" t="s">
        <v>35</v>
      </c>
      <c r="AH198" s="43" t="s">
        <v>36</v>
      </c>
      <c r="AI198">
        <v>4</v>
      </c>
      <c r="AJ198" t="s">
        <v>273</v>
      </c>
      <c r="AK198" s="43" t="s">
        <v>309</v>
      </c>
      <c r="AL198">
        <v>8.0166666666666675</v>
      </c>
    </row>
    <row r="199" spans="31:38" x14ac:dyDescent="0.25">
      <c r="AE199" s="43" t="s">
        <v>34</v>
      </c>
      <c r="AF199" s="43" t="s">
        <v>26</v>
      </c>
      <c r="AG199" s="43" t="s">
        <v>35</v>
      </c>
      <c r="AH199" s="43" t="s">
        <v>36</v>
      </c>
      <c r="AI199">
        <v>4</v>
      </c>
      <c r="AJ199" t="s">
        <v>273</v>
      </c>
      <c r="AK199" s="43" t="s">
        <v>268</v>
      </c>
      <c r="AL199">
        <v>11.549999999999999</v>
      </c>
    </row>
    <row r="200" spans="31:38" x14ac:dyDescent="0.25">
      <c r="AE200" s="43" t="s">
        <v>73</v>
      </c>
      <c r="AF200" s="43" t="s">
        <v>60</v>
      </c>
      <c r="AG200" s="43" t="s">
        <v>74</v>
      </c>
      <c r="AH200" s="43" t="s">
        <v>62</v>
      </c>
      <c r="AI200">
        <v>4</v>
      </c>
      <c r="AJ200" t="s">
        <v>317</v>
      </c>
      <c r="AK200" s="43" t="s">
        <v>308</v>
      </c>
      <c r="AL200">
        <v>3.5</v>
      </c>
    </row>
    <row r="201" spans="31:38" x14ac:dyDescent="0.25">
      <c r="AE201" s="43" t="s">
        <v>73</v>
      </c>
      <c r="AF201" s="43" t="s">
        <v>60</v>
      </c>
      <c r="AG201" s="43" t="s">
        <v>74</v>
      </c>
      <c r="AH201" s="43" t="s">
        <v>62</v>
      </c>
      <c r="AI201">
        <v>4</v>
      </c>
      <c r="AJ201" t="s">
        <v>317</v>
      </c>
      <c r="AK201" s="43" t="s">
        <v>309</v>
      </c>
      <c r="AL201">
        <v>8</v>
      </c>
    </row>
    <row r="202" spans="31:38" x14ac:dyDescent="0.25">
      <c r="AE202" s="43" t="s">
        <v>73</v>
      </c>
      <c r="AF202" s="43" t="s">
        <v>60</v>
      </c>
      <c r="AG202" s="43" t="s">
        <v>74</v>
      </c>
      <c r="AH202" s="43" t="s">
        <v>62</v>
      </c>
      <c r="AI202">
        <v>4</v>
      </c>
      <c r="AJ202" t="s">
        <v>317</v>
      </c>
      <c r="AK202" s="43" t="s">
        <v>268</v>
      </c>
      <c r="AL202">
        <v>11.5</v>
      </c>
    </row>
    <row r="203" spans="31:38" x14ac:dyDescent="0.25">
      <c r="AE203" s="43" t="s">
        <v>73</v>
      </c>
      <c r="AF203" s="43" t="s">
        <v>60</v>
      </c>
      <c r="AG203" s="43" t="s">
        <v>74</v>
      </c>
      <c r="AH203" s="43" t="s">
        <v>62</v>
      </c>
      <c r="AI203">
        <v>4</v>
      </c>
      <c r="AJ203" t="s">
        <v>325</v>
      </c>
      <c r="AK203" s="43" t="s">
        <v>308</v>
      </c>
      <c r="AL203">
        <v>4.0999999999999996</v>
      </c>
    </row>
    <row r="204" spans="31:38" x14ac:dyDescent="0.25">
      <c r="AE204" s="43" t="s">
        <v>73</v>
      </c>
      <c r="AF204" s="43" t="s">
        <v>60</v>
      </c>
      <c r="AG204" s="43" t="s">
        <v>74</v>
      </c>
      <c r="AH204" s="43" t="s">
        <v>62</v>
      </c>
      <c r="AI204">
        <v>4</v>
      </c>
      <c r="AJ204" t="s">
        <v>325</v>
      </c>
      <c r="AK204" s="43" t="s">
        <v>309</v>
      </c>
      <c r="AL204">
        <v>7.9</v>
      </c>
    </row>
    <row r="205" spans="31:38" x14ac:dyDescent="0.25">
      <c r="AE205" s="43" t="s">
        <v>73</v>
      </c>
      <c r="AF205" s="43" t="s">
        <v>60</v>
      </c>
      <c r="AG205" s="43" t="s">
        <v>74</v>
      </c>
      <c r="AH205" s="43" t="s">
        <v>62</v>
      </c>
      <c r="AI205">
        <v>4</v>
      </c>
      <c r="AJ205" t="s">
        <v>325</v>
      </c>
      <c r="AK205" s="43" t="s">
        <v>268</v>
      </c>
      <c r="AL205">
        <v>12</v>
      </c>
    </row>
    <row r="206" spans="31:38" x14ac:dyDescent="0.25">
      <c r="AE206" s="43" t="s">
        <v>73</v>
      </c>
      <c r="AF206" s="43" t="s">
        <v>60</v>
      </c>
      <c r="AG206" s="43" t="s">
        <v>74</v>
      </c>
      <c r="AH206" s="43" t="s">
        <v>62</v>
      </c>
      <c r="AI206">
        <v>4</v>
      </c>
      <c r="AJ206" t="s">
        <v>330</v>
      </c>
      <c r="AK206" s="43" t="s">
        <v>308</v>
      </c>
      <c r="AL206">
        <v>3.7</v>
      </c>
    </row>
    <row r="207" spans="31:38" x14ac:dyDescent="0.25">
      <c r="AE207" s="43" t="s">
        <v>73</v>
      </c>
      <c r="AF207" s="43" t="s">
        <v>60</v>
      </c>
      <c r="AG207" s="43" t="s">
        <v>74</v>
      </c>
      <c r="AH207" s="43" t="s">
        <v>62</v>
      </c>
      <c r="AI207">
        <v>4</v>
      </c>
      <c r="AJ207" t="s">
        <v>330</v>
      </c>
      <c r="AK207" s="43" t="s">
        <v>309</v>
      </c>
      <c r="AL207">
        <v>6.85</v>
      </c>
    </row>
    <row r="208" spans="31:38" x14ac:dyDescent="0.25">
      <c r="AE208" s="43" t="s">
        <v>73</v>
      </c>
      <c r="AF208" s="43" t="s">
        <v>60</v>
      </c>
      <c r="AG208" s="43" t="s">
        <v>74</v>
      </c>
      <c r="AH208" s="43" t="s">
        <v>62</v>
      </c>
      <c r="AI208">
        <v>4</v>
      </c>
      <c r="AJ208" t="s">
        <v>330</v>
      </c>
      <c r="AK208" s="43" t="s">
        <v>268</v>
      </c>
      <c r="AL208">
        <v>10.55</v>
      </c>
    </row>
    <row r="209" spans="31:38" x14ac:dyDescent="0.25">
      <c r="AE209" s="43" t="s">
        <v>73</v>
      </c>
      <c r="AF209" s="43" t="s">
        <v>60</v>
      </c>
      <c r="AG209" s="43" t="s">
        <v>74</v>
      </c>
      <c r="AH209" s="43" t="s">
        <v>62</v>
      </c>
      <c r="AI209">
        <v>4</v>
      </c>
      <c r="AJ209" t="s">
        <v>331</v>
      </c>
      <c r="AK209" s="43" t="s">
        <v>308</v>
      </c>
      <c r="AL209">
        <v>3.6</v>
      </c>
    </row>
    <row r="210" spans="31:38" x14ac:dyDescent="0.25">
      <c r="AE210" s="43" t="s">
        <v>73</v>
      </c>
      <c r="AF210" s="43" t="s">
        <v>60</v>
      </c>
      <c r="AG210" s="43" t="s">
        <v>74</v>
      </c>
      <c r="AH210" s="43" t="s">
        <v>62</v>
      </c>
      <c r="AI210">
        <v>4</v>
      </c>
      <c r="AJ210" t="s">
        <v>331</v>
      </c>
      <c r="AK210" s="43" t="s">
        <v>309</v>
      </c>
      <c r="AL210">
        <v>7.4</v>
      </c>
    </row>
    <row r="211" spans="31:38" x14ac:dyDescent="0.25">
      <c r="AE211" s="43" t="s">
        <v>73</v>
      </c>
      <c r="AF211" s="43" t="s">
        <v>60</v>
      </c>
      <c r="AG211" s="43" t="s">
        <v>74</v>
      </c>
      <c r="AH211" s="43" t="s">
        <v>62</v>
      </c>
      <c r="AI211">
        <v>4</v>
      </c>
      <c r="AJ211" t="s">
        <v>331</v>
      </c>
      <c r="AK211" s="43" t="s">
        <v>268</v>
      </c>
      <c r="AL211">
        <v>11</v>
      </c>
    </row>
    <row r="212" spans="31:38" x14ac:dyDescent="0.25">
      <c r="AE212" s="43" t="s">
        <v>73</v>
      </c>
      <c r="AF212" s="43" t="s">
        <v>60</v>
      </c>
      <c r="AG212" s="43" t="s">
        <v>74</v>
      </c>
      <c r="AH212" s="43" t="s">
        <v>62</v>
      </c>
      <c r="AI212">
        <v>4</v>
      </c>
      <c r="AJ212" t="s">
        <v>341</v>
      </c>
      <c r="AK212" s="43" t="s">
        <v>308</v>
      </c>
      <c r="AL212">
        <v>11.4</v>
      </c>
    </row>
    <row r="213" spans="31:38" x14ac:dyDescent="0.25">
      <c r="AE213" s="43" t="s">
        <v>73</v>
      </c>
      <c r="AF213" s="43" t="s">
        <v>60</v>
      </c>
      <c r="AG213" s="43" t="s">
        <v>74</v>
      </c>
      <c r="AH213" s="43" t="s">
        <v>62</v>
      </c>
      <c r="AI213">
        <v>4</v>
      </c>
      <c r="AJ213" t="s">
        <v>341</v>
      </c>
      <c r="AK213" s="43" t="s">
        <v>309</v>
      </c>
      <c r="AL213">
        <v>23.3</v>
      </c>
    </row>
    <row r="214" spans="31:38" x14ac:dyDescent="0.25">
      <c r="AE214" s="43" t="s">
        <v>73</v>
      </c>
      <c r="AF214" s="43" t="s">
        <v>60</v>
      </c>
      <c r="AG214" s="43" t="s">
        <v>74</v>
      </c>
      <c r="AH214" s="43" t="s">
        <v>62</v>
      </c>
      <c r="AI214">
        <v>4</v>
      </c>
      <c r="AJ214" t="s">
        <v>341</v>
      </c>
      <c r="AK214" s="43" t="s">
        <v>268</v>
      </c>
      <c r="AL214">
        <v>34.5</v>
      </c>
    </row>
    <row r="215" spans="31:38" x14ac:dyDescent="0.25">
      <c r="AE215" s="43" t="s">
        <v>73</v>
      </c>
      <c r="AF215" s="43" t="s">
        <v>60</v>
      </c>
      <c r="AG215" s="43" t="s">
        <v>74</v>
      </c>
      <c r="AH215" s="43" t="s">
        <v>62</v>
      </c>
      <c r="AI215">
        <v>4</v>
      </c>
      <c r="AJ215" t="s">
        <v>273</v>
      </c>
      <c r="AK215" s="43" t="s">
        <v>308</v>
      </c>
      <c r="AL215">
        <v>3.8000000000000003</v>
      </c>
    </row>
    <row r="216" spans="31:38" x14ac:dyDescent="0.25">
      <c r="AE216" s="43" t="s">
        <v>73</v>
      </c>
      <c r="AF216" s="43" t="s">
        <v>60</v>
      </c>
      <c r="AG216" s="43" t="s">
        <v>74</v>
      </c>
      <c r="AH216" s="43" t="s">
        <v>62</v>
      </c>
      <c r="AI216">
        <v>4</v>
      </c>
      <c r="AJ216" t="s">
        <v>273</v>
      </c>
      <c r="AK216" s="43" t="s">
        <v>309</v>
      </c>
      <c r="AL216">
        <v>7.7666666666666666</v>
      </c>
    </row>
    <row r="217" spans="31:38" x14ac:dyDescent="0.25">
      <c r="AE217" s="43" t="s">
        <v>73</v>
      </c>
      <c r="AF217" s="43" t="s">
        <v>60</v>
      </c>
      <c r="AG217" s="43" t="s">
        <v>74</v>
      </c>
      <c r="AH217" s="43" t="s">
        <v>62</v>
      </c>
      <c r="AI217">
        <v>4</v>
      </c>
      <c r="AJ217" t="s">
        <v>273</v>
      </c>
      <c r="AK217" s="43" t="s">
        <v>268</v>
      </c>
      <c r="AL217">
        <v>11.5</v>
      </c>
    </row>
    <row r="218" spans="31:38" x14ac:dyDescent="0.25">
      <c r="AE218" s="43" t="s">
        <v>52</v>
      </c>
      <c r="AF218" s="43" t="s">
        <v>26</v>
      </c>
      <c r="AG218" s="43" t="s">
        <v>53</v>
      </c>
      <c r="AH218" s="43" t="s">
        <v>36</v>
      </c>
      <c r="AI218">
        <v>4</v>
      </c>
      <c r="AJ218" t="s">
        <v>317</v>
      </c>
      <c r="AK218" s="43" t="s">
        <v>308</v>
      </c>
      <c r="AL218">
        <v>3.1</v>
      </c>
    </row>
    <row r="219" spans="31:38" x14ac:dyDescent="0.25">
      <c r="AE219" s="43" t="s">
        <v>52</v>
      </c>
      <c r="AF219" s="43" t="s">
        <v>26</v>
      </c>
      <c r="AG219" s="43" t="s">
        <v>53</v>
      </c>
      <c r="AH219" s="43" t="s">
        <v>36</v>
      </c>
      <c r="AI219">
        <v>4</v>
      </c>
      <c r="AJ219" t="s">
        <v>317</v>
      </c>
      <c r="AK219" s="43" t="s">
        <v>309</v>
      </c>
      <c r="AL219">
        <v>8.75</v>
      </c>
    </row>
    <row r="220" spans="31:38" x14ac:dyDescent="0.25">
      <c r="AE220" s="43" t="s">
        <v>52</v>
      </c>
      <c r="AF220" s="43" t="s">
        <v>26</v>
      </c>
      <c r="AG220" s="43" t="s">
        <v>53</v>
      </c>
      <c r="AH220" s="43" t="s">
        <v>36</v>
      </c>
      <c r="AI220">
        <v>4</v>
      </c>
      <c r="AJ220" t="s">
        <v>317</v>
      </c>
      <c r="AK220" s="43" t="s">
        <v>268</v>
      </c>
      <c r="AL220">
        <v>11.85</v>
      </c>
    </row>
    <row r="221" spans="31:38" x14ac:dyDescent="0.25">
      <c r="AE221" s="43" t="s">
        <v>52</v>
      </c>
      <c r="AF221" s="43" t="s">
        <v>26</v>
      </c>
      <c r="AG221" s="43" t="s">
        <v>53</v>
      </c>
      <c r="AH221" s="43" t="s">
        <v>36</v>
      </c>
      <c r="AI221">
        <v>4</v>
      </c>
      <c r="AJ221" t="s">
        <v>325</v>
      </c>
      <c r="AK221" s="43" t="s">
        <v>308</v>
      </c>
      <c r="AL221">
        <v>3.1</v>
      </c>
    </row>
    <row r="222" spans="31:38" x14ac:dyDescent="0.25">
      <c r="AE222" s="43" t="s">
        <v>52</v>
      </c>
      <c r="AF222" s="43" t="s">
        <v>26</v>
      </c>
      <c r="AG222" s="43" t="s">
        <v>53</v>
      </c>
      <c r="AH222" s="43" t="s">
        <v>36</v>
      </c>
      <c r="AI222">
        <v>4</v>
      </c>
      <c r="AJ222" t="s">
        <v>325</v>
      </c>
      <c r="AK222" s="43" t="s">
        <v>309</v>
      </c>
      <c r="AL222">
        <v>8</v>
      </c>
    </row>
    <row r="223" spans="31:38" x14ac:dyDescent="0.25">
      <c r="AE223" s="43" t="s">
        <v>52</v>
      </c>
      <c r="AF223" s="43" t="s">
        <v>26</v>
      </c>
      <c r="AG223" s="43" t="s">
        <v>53</v>
      </c>
      <c r="AH223" s="43" t="s">
        <v>36</v>
      </c>
      <c r="AI223">
        <v>4</v>
      </c>
      <c r="AJ223" t="s">
        <v>325</v>
      </c>
      <c r="AK223" s="43" t="s">
        <v>268</v>
      </c>
      <c r="AL223">
        <v>11.1</v>
      </c>
    </row>
    <row r="224" spans="31:38" x14ac:dyDescent="0.25">
      <c r="AE224" s="43" t="s">
        <v>52</v>
      </c>
      <c r="AF224" s="43" t="s">
        <v>26</v>
      </c>
      <c r="AG224" s="43" t="s">
        <v>53</v>
      </c>
      <c r="AH224" s="43" t="s">
        <v>36</v>
      </c>
      <c r="AI224">
        <v>4</v>
      </c>
      <c r="AJ224" t="s">
        <v>330</v>
      </c>
      <c r="AK224" s="43" t="s">
        <v>308</v>
      </c>
      <c r="AL224">
        <v>2.4</v>
      </c>
    </row>
    <row r="225" spans="31:38" x14ac:dyDescent="0.25">
      <c r="AE225" s="43" t="s">
        <v>52</v>
      </c>
      <c r="AF225" s="43" t="s">
        <v>26</v>
      </c>
      <c r="AG225" s="43" t="s">
        <v>53</v>
      </c>
      <c r="AH225" s="43" t="s">
        <v>36</v>
      </c>
      <c r="AI225">
        <v>4</v>
      </c>
      <c r="AJ225" t="s">
        <v>330</v>
      </c>
      <c r="AK225" s="43" t="s">
        <v>309</v>
      </c>
      <c r="AL225">
        <v>9.1</v>
      </c>
    </row>
    <row r="226" spans="31:38" x14ac:dyDescent="0.25">
      <c r="AE226" s="43" t="s">
        <v>52</v>
      </c>
      <c r="AF226" s="43" t="s">
        <v>26</v>
      </c>
      <c r="AG226" s="43" t="s">
        <v>53</v>
      </c>
      <c r="AH226" s="43" t="s">
        <v>36</v>
      </c>
      <c r="AI226">
        <v>4</v>
      </c>
      <c r="AJ226" t="s">
        <v>330</v>
      </c>
      <c r="AK226" s="43" t="s">
        <v>268</v>
      </c>
      <c r="AL226">
        <v>11.5</v>
      </c>
    </row>
    <row r="227" spans="31:38" x14ac:dyDescent="0.25">
      <c r="AE227" s="43" t="s">
        <v>52</v>
      </c>
      <c r="AF227" s="43" t="s">
        <v>26</v>
      </c>
      <c r="AG227" s="43" t="s">
        <v>53</v>
      </c>
      <c r="AH227" s="43" t="s">
        <v>36</v>
      </c>
      <c r="AI227">
        <v>4</v>
      </c>
      <c r="AJ227" t="s">
        <v>331</v>
      </c>
      <c r="AK227" s="43" t="s">
        <v>308</v>
      </c>
      <c r="AL227">
        <v>2.4</v>
      </c>
    </row>
    <row r="228" spans="31:38" x14ac:dyDescent="0.25">
      <c r="AE228" s="43" t="s">
        <v>52</v>
      </c>
      <c r="AF228" s="43" t="s">
        <v>26</v>
      </c>
      <c r="AG228" s="43" t="s">
        <v>53</v>
      </c>
      <c r="AH228" s="43" t="s">
        <v>36</v>
      </c>
      <c r="AI228">
        <v>4</v>
      </c>
      <c r="AJ228" t="s">
        <v>331</v>
      </c>
      <c r="AK228" s="43" t="s">
        <v>309</v>
      </c>
      <c r="AL228">
        <v>8.5</v>
      </c>
    </row>
    <row r="229" spans="31:38" x14ac:dyDescent="0.25">
      <c r="AE229" s="43" t="s">
        <v>52</v>
      </c>
      <c r="AF229" s="43" t="s">
        <v>26</v>
      </c>
      <c r="AG229" s="43" t="s">
        <v>53</v>
      </c>
      <c r="AH229" s="43" t="s">
        <v>36</v>
      </c>
      <c r="AI229">
        <v>4</v>
      </c>
      <c r="AJ229" t="s">
        <v>331</v>
      </c>
      <c r="AK229" s="43" t="s">
        <v>268</v>
      </c>
      <c r="AL229">
        <v>10.9</v>
      </c>
    </row>
    <row r="230" spans="31:38" x14ac:dyDescent="0.25">
      <c r="AE230" s="43" t="s">
        <v>52</v>
      </c>
      <c r="AF230" s="43" t="s">
        <v>26</v>
      </c>
      <c r="AG230" s="43" t="s">
        <v>53</v>
      </c>
      <c r="AH230" s="43" t="s">
        <v>36</v>
      </c>
      <c r="AI230">
        <v>4</v>
      </c>
      <c r="AJ230" t="s">
        <v>341</v>
      </c>
      <c r="AK230" s="43" t="s">
        <v>308</v>
      </c>
      <c r="AL230">
        <v>8.6</v>
      </c>
    </row>
    <row r="231" spans="31:38" x14ac:dyDescent="0.25">
      <c r="AE231" s="43" t="s">
        <v>52</v>
      </c>
      <c r="AF231" s="43" t="s">
        <v>26</v>
      </c>
      <c r="AG231" s="43" t="s">
        <v>53</v>
      </c>
      <c r="AH231" s="43" t="s">
        <v>36</v>
      </c>
      <c r="AI231">
        <v>4</v>
      </c>
      <c r="AJ231" t="s">
        <v>341</v>
      </c>
      <c r="AK231" s="43" t="s">
        <v>309</v>
      </c>
      <c r="AL231">
        <v>26.35</v>
      </c>
    </row>
    <row r="232" spans="31:38" x14ac:dyDescent="0.25">
      <c r="AE232" s="43" t="s">
        <v>52</v>
      </c>
      <c r="AF232" s="43" t="s">
        <v>26</v>
      </c>
      <c r="AG232" s="43" t="s">
        <v>53</v>
      </c>
      <c r="AH232" s="43" t="s">
        <v>36</v>
      </c>
      <c r="AI232">
        <v>4</v>
      </c>
      <c r="AJ232" t="s">
        <v>341</v>
      </c>
      <c r="AK232" s="43" t="s">
        <v>268</v>
      </c>
      <c r="AL232">
        <v>34.450000000000003</v>
      </c>
    </row>
    <row r="233" spans="31:38" x14ac:dyDescent="0.25">
      <c r="AE233" s="43" t="s">
        <v>52</v>
      </c>
      <c r="AF233" s="43" t="s">
        <v>26</v>
      </c>
      <c r="AG233" s="43" t="s">
        <v>53</v>
      </c>
      <c r="AH233" s="43" t="s">
        <v>36</v>
      </c>
      <c r="AI233">
        <v>4</v>
      </c>
      <c r="AJ233" t="s">
        <v>273</v>
      </c>
      <c r="AK233" s="43" t="s">
        <v>308</v>
      </c>
      <c r="AL233">
        <v>2.8666666666666667</v>
      </c>
    </row>
    <row r="234" spans="31:38" x14ac:dyDescent="0.25">
      <c r="AE234" s="43" t="s">
        <v>52</v>
      </c>
      <c r="AF234" s="43" t="s">
        <v>26</v>
      </c>
      <c r="AG234" s="43" t="s">
        <v>53</v>
      </c>
      <c r="AH234" s="43" t="s">
        <v>36</v>
      </c>
      <c r="AI234">
        <v>4</v>
      </c>
      <c r="AJ234" t="s">
        <v>273</v>
      </c>
      <c r="AK234" s="43" t="s">
        <v>309</v>
      </c>
      <c r="AL234">
        <v>8.7833333333333332</v>
      </c>
    </row>
    <row r="235" spans="31:38" x14ac:dyDescent="0.25">
      <c r="AE235" s="43" t="s">
        <v>52</v>
      </c>
      <c r="AF235" s="43" t="s">
        <v>26</v>
      </c>
      <c r="AG235" s="43" t="s">
        <v>53</v>
      </c>
      <c r="AH235" s="43" t="s">
        <v>36</v>
      </c>
      <c r="AI235">
        <v>4</v>
      </c>
      <c r="AJ235" t="s">
        <v>273</v>
      </c>
      <c r="AK235" s="43" t="s">
        <v>268</v>
      </c>
      <c r="AL235">
        <v>11.483333333333334</v>
      </c>
    </row>
    <row r="236" spans="31:38" x14ac:dyDescent="0.25">
      <c r="AE236" s="43" t="s">
        <v>40</v>
      </c>
      <c r="AF236" s="43" t="s">
        <v>26</v>
      </c>
      <c r="AG236" s="43" t="s">
        <v>41</v>
      </c>
      <c r="AH236" s="43" t="s">
        <v>39</v>
      </c>
      <c r="AI236">
        <v>3</v>
      </c>
      <c r="AJ236" t="s">
        <v>317</v>
      </c>
      <c r="AK236" s="43" t="s">
        <v>308</v>
      </c>
      <c r="AL236">
        <v>0</v>
      </c>
    </row>
    <row r="237" spans="31:38" x14ac:dyDescent="0.25">
      <c r="AE237" s="43" t="s">
        <v>40</v>
      </c>
      <c r="AF237" s="43" t="s">
        <v>26</v>
      </c>
      <c r="AG237" s="43" t="s">
        <v>41</v>
      </c>
      <c r="AH237" s="43" t="s">
        <v>39</v>
      </c>
      <c r="AI237">
        <v>3</v>
      </c>
      <c r="AJ237" t="s">
        <v>317</v>
      </c>
      <c r="AK237" s="43" t="s">
        <v>309</v>
      </c>
      <c r="AL237">
        <v>0</v>
      </c>
    </row>
    <row r="238" spans="31:38" x14ac:dyDescent="0.25">
      <c r="AE238" s="43" t="s">
        <v>40</v>
      </c>
      <c r="AF238" s="43" t="s">
        <v>26</v>
      </c>
      <c r="AG238" s="43" t="s">
        <v>41</v>
      </c>
      <c r="AH238" s="43" t="s">
        <v>39</v>
      </c>
      <c r="AI238">
        <v>3</v>
      </c>
      <c r="AJ238" t="s">
        <v>317</v>
      </c>
      <c r="AK238" s="43" t="s">
        <v>268</v>
      </c>
      <c r="AL238">
        <v>0</v>
      </c>
    </row>
    <row r="239" spans="31:38" x14ac:dyDescent="0.25">
      <c r="AE239" s="43" t="s">
        <v>40</v>
      </c>
      <c r="AF239" s="43" t="s">
        <v>26</v>
      </c>
      <c r="AG239" s="43" t="s">
        <v>41</v>
      </c>
      <c r="AH239" s="43" t="s">
        <v>39</v>
      </c>
      <c r="AI239">
        <v>3</v>
      </c>
      <c r="AJ239" t="s">
        <v>325</v>
      </c>
      <c r="AK239" s="43" t="s">
        <v>308</v>
      </c>
      <c r="AL239">
        <v>3</v>
      </c>
    </row>
    <row r="240" spans="31:38" x14ac:dyDescent="0.25">
      <c r="AE240" s="43" t="s">
        <v>40</v>
      </c>
      <c r="AF240" s="43" t="s">
        <v>26</v>
      </c>
      <c r="AG240" s="43" t="s">
        <v>41</v>
      </c>
      <c r="AH240" s="43" t="s">
        <v>39</v>
      </c>
      <c r="AI240">
        <v>3</v>
      </c>
      <c r="AJ240" t="s">
        <v>325</v>
      </c>
      <c r="AK240" s="43" t="s">
        <v>309</v>
      </c>
      <c r="AL240">
        <v>8.1999999999999993</v>
      </c>
    </row>
    <row r="241" spans="31:38" x14ac:dyDescent="0.25">
      <c r="AE241" s="43" t="s">
        <v>40</v>
      </c>
      <c r="AF241" s="43" t="s">
        <v>26</v>
      </c>
      <c r="AG241" s="43" t="s">
        <v>41</v>
      </c>
      <c r="AH241" s="43" t="s">
        <v>39</v>
      </c>
      <c r="AI241">
        <v>3</v>
      </c>
      <c r="AJ241" t="s">
        <v>325</v>
      </c>
      <c r="AK241" s="43" t="s">
        <v>268</v>
      </c>
      <c r="AL241">
        <v>11.2</v>
      </c>
    </row>
    <row r="242" spans="31:38" x14ac:dyDescent="0.25">
      <c r="AE242" s="43" t="s">
        <v>40</v>
      </c>
      <c r="AF242" s="43" t="s">
        <v>26</v>
      </c>
      <c r="AG242" s="43" t="s">
        <v>41</v>
      </c>
      <c r="AH242" s="43" t="s">
        <v>39</v>
      </c>
      <c r="AI242">
        <v>3</v>
      </c>
      <c r="AJ242" t="s">
        <v>330</v>
      </c>
      <c r="AK242" s="43" t="s">
        <v>308</v>
      </c>
      <c r="AL242">
        <v>3</v>
      </c>
    </row>
    <row r="243" spans="31:38" x14ac:dyDescent="0.25">
      <c r="AE243" s="43" t="s">
        <v>40</v>
      </c>
      <c r="AF243" s="43" t="s">
        <v>26</v>
      </c>
      <c r="AG243" s="43" t="s">
        <v>41</v>
      </c>
      <c r="AH243" s="43" t="s">
        <v>39</v>
      </c>
      <c r="AI243">
        <v>3</v>
      </c>
      <c r="AJ243" t="s">
        <v>330</v>
      </c>
      <c r="AK243" s="43" t="s">
        <v>309</v>
      </c>
      <c r="AL243">
        <v>8.1</v>
      </c>
    </row>
    <row r="244" spans="31:38" x14ac:dyDescent="0.25">
      <c r="AE244" s="43" t="s">
        <v>40</v>
      </c>
      <c r="AF244" s="43" t="s">
        <v>26</v>
      </c>
      <c r="AG244" s="43" t="s">
        <v>41</v>
      </c>
      <c r="AH244" s="43" t="s">
        <v>39</v>
      </c>
      <c r="AI244">
        <v>3</v>
      </c>
      <c r="AJ244" t="s">
        <v>330</v>
      </c>
      <c r="AK244" s="43" t="s">
        <v>268</v>
      </c>
      <c r="AL244">
        <v>11.1</v>
      </c>
    </row>
    <row r="245" spans="31:38" x14ac:dyDescent="0.25">
      <c r="AE245" s="43" t="s">
        <v>40</v>
      </c>
      <c r="AF245" s="43" t="s">
        <v>26</v>
      </c>
      <c r="AG245" s="43" t="s">
        <v>41</v>
      </c>
      <c r="AH245" s="43" t="s">
        <v>39</v>
      </c>
      <c r="AI245">
        <v>3</v>
      </c>
      <c r="AJ245" t="s">
        <v>331</v>
      </c>
      <c r="AK245" s="43" t="s">
        <v>308</v>
      </c>
      <c r="AL245">
        <v>3</v>
      </c>
    </row>
    <row r="246" spans="31:38" x14ac:dyDescent="0.25">
      <c r="AE246" s="43" t="s">
        <v>40</v>
      </c>
      <c r="AF246" s="43" t="s">
        <v>26</v>
      </c>
      <c r="AG246" s="43" t="s">
        <v>41</v>
      </c>
      <c r="AH246" s="43" t="s">
        <v>39</v>
      </c>
      <c r="AI246">
        <v>3</v>
      </c>
      <c r="AJ246" t="s">
        <v>331</v>
      </c>
      <c r="AK246" s="43" t="s">
        <v>309</v>
      </c>
      <c r="AL246">
        <v>9</v>
      </c>
    </row>
    <row r="247" spans="31:38" x14ac:dyDescent="0.25">
      <c r="AE247" s="43" t="s">
        <v>40</v>
      </c>
      <c r="AF247" s="43" t="s">
        <v>26</v>
      </c>
      <c r="AG247" s="43" t="s">
        <v>41</v>
      </c>
      <c r="AH247" s="43" t="s">
        <v>39</v>
      </c>
      <c r="AI247">
        <v>3</v>
      </c>
      <c r="AJ247" t="s">
        <v>331</v>
      </c>
      <c r="AK247" s="43" t="s">
        <v>268</v>
      </c>
      <c r="AL247">
        <v>12</v>
      </c>
    </row>
    <row r="248" spans="31:38" x14ac:dyDescent="0.25">
      <c r="AE248" s="43" t="s">
        <v>40</v>
      </c>
      <c r="AF248" s="43" t="s">
        <v>26</v>
      </c>
      <c r="AG248" s="43" t="s">
        <v>41</v>
      </c>
      <c r="AH248" s="43" t="s">
        <v>39</v>
      </c>
      <c r="AI248">
        <v>3</v>
      </c>
      <c r="AJ248" t="s">
        <v>341</v>
      </c>
      <c r="AK248" s="43" t="s">
        <v>308</v>
      </c>
      <c r="AL248">
        <v>9</v>
      </c>
    </row>
    <row r="249" spans="31:38" x14ac:dyDescent="0.25">
      <c r="AE249" s="43" t="s">
        <v>40</v>
      </c>
      <c r="AF249" s="43" t="s">
        <v>26</v>
      </c>
      <c r="AG249" s="43" t="s">
        <v>41</v>
      </c>
      <c r="AH249" s="43" t="s">
        <v>39</v>
      </c>
      <c r="AI249">
        <v>3</v>
      </c>
      <c r="AJ249" t="s">
        <v>341</v>
      </c>
      <c r="AK249" s="43" t="s">
        <v>309</v>
      </c>
      <c r="AL249">
        <v>25.299999999999997</v>
      </c>
    </row>
    <row r="250" spans="31:38" x14ac:dyDescent="0.25">
      <c r="AE250" s="43" t="s">
        <v>40</v>
      </c>
      <c r="AF250" s="43" t="s">
        <v>26</v>
      </c>
      <c r="AG250" s="43" t="s">
        <v>41</v>
      </c>
      <c r="AH250" s="43" t="s">
        <v>39</v>
      </c>
      <c r="AI250">
        <v>3</v>
      </c>
      <c r="AJ250" t="s">
        <v>341</v>
      </c>
      <c r="AK250" s="43" t="s">
        <v>268</v>
      </c>
      <c r="AL250">
        <v>34.299999999999997</v>
      </c>
    </row>
    <row r="251" spans="31:38" x14ac:dyDescent="0.25">
      <c r="AE251" s="43" t="s">
        <v>40</v>
      </c>
      <c r="AF251" s="43" t="s">
        <v>26</v>
      </c>
      <c r="AG251" s="43" t="s">
        <v>41</v>
      </c>
      <c r="AH251" s="43" t="s">
        <v>39</v>
      </c>
      <c r="AI251">
        <v>3</v>
      </c>
      <c r="AJ251" t="s">
        <v>273</v>
      </c>
      <c r="AK251" s="43" t="s">
        <v>308</v>
      </c>
      <c r="AL251">
        <v>3</v>
      </c>
    </row>
    <row r="252" spans="31:38" x14ac:dyDescent="0.25">
      <c r="AE252" s="43" t="s">
        <v>40</v>
      </c>
      <c r="AF252" s="43" t="s">
        <v>26</v>
      </c>
      <c r="AG252" s="43" t="s">
        <v>41</v>
      </c>
      <c r="AH252" s="43" t="s">
        <v>39</v>
      </c>
      <c r="AI252">
        <v>3</v>
      </c>
      <c r="AJ252" t="s">
        <v>273</v>
      </c>
      <c r="AK252" s="43" t="s">
        <v>309</v>
      </c>
      <c r="AL252">
        <v>8.4333333333333318</v>
      </c>
    </row>
    <row r="253" spans="31:38" x14ac:dyDescent="0.25">
      <c r="AE253" s="43" t="s">
        <v>40</v>
      </c>
      <c r="AF253" s="43" t="s">
        <v>26</v>
      </c>
      <c r="AG253" s="43" t="s">
        <v>41</v>
      </c>
      <c r="AH253" s="43" t="s">
        <v>39</v>
      </c>
      <c r="AI253">
        <v>3</v>
      </c>
      <c r="AJ253" t="s">
        <v>273</v>
      </c>
      <c r="AK253" s="43" t="s">
        <v>268</v>
      </c>
      <c r="AL253">
        <v>11.433333333333332</v>
      </c>
    </row>
    <row r="254" spans="31:38" x14ac:dyDescent="0.25">
      <c r="AE254" s="43" t="s">
        <v>68</v>
      </c>
      <c r="AF254" s="43" t="s">
        <v>60</v>
      </c>
      <c r="AG254" s="43" t="s">
        <v>69</v>
      </c>
      <c r="AH254" s="43" t="s">
        <v>31</v>
      </c>
      <c r="AI254">
        <v>4</v>
      </c>
      <c r="AJ254" t="s">
        <v>317</v>
      </c>
      <c r="AK254" s="43" t="s">
        <v>308</v>
      </c>
      <c r="AL254">
        <v>2.7</v>
      </c>
    </row>
    <row r="255" spans="31:38" x14ac:dyDescent="0.25">
      <c r="AE255" s="43" t="s">
        <v>68</v>
      </c>
      <c r="AF255" s="43" t="s">
        <v>60</v>
      </c>
      <c r="AG255" s="43" t="s">
        <v>69</v>
      </c>
      <c r="AH255" s="43" t="s">
        <v>31</v>
      </c>
      <c r="AI255">
        <v>4</v>
      </c>
      <c r="AJ255" t="s">
        <v>317</v>
      </c>
      <c r="AK255" s="43" t="s">
        <v>309</v>
      </c>
      <c r="AL255">
        <v>6.85</v>
      </c>
    </row>
    <row r="256" spans="31:38" x14ac:dyDescent="0.25">
      <c r="AE256" s="43" t="s">
        <v>68</v>
      </c>
      <c r="AF256" s="43" t="s">
        <v>60</v>
      </c>
      <c r="AG256" s="43" t="s">
        <v>69</v>
      </c>
      <c r="AH256" s="43" t="s">
        <v>31</v>
      </c>
      <c r="AI256">
        <v>4</v>
      </c>
      <c r="AJ256" t="s">
        <v>317</v>
      </c>
      <c r="AK256" s="43" t="s">
        <v>268</v>
      </c>
      <c r="AL256">
        <v>9.5500000000000007</v>
      </c>
    </row>
    <row r="257" spans="31:38" x14ac:dyDescent="0.25">
      <c r="AE257" s="43" t="s">
        <v>68</v>
      </c>
      <c r="AF257" s="43" t="s">
        <v>60</v>
      </c>
      <c r="AG257" s="43" t="s">
        <v>69</v>
      </c>
      <c r="AH257" s="43" t="s">
        <v>31</v>
      </c>
      <c r="AI257">
        <v>4</v>
      </c>
      <c r="AJ257" t="s">
        <v>325</v>
      </c>
      <c r="AK257" s="43" t="s">
        <v>308</v>
      </c>
      <c r="AL257">
        <v>3.5</v>
      </c>
    </row>
    <row r="258" spans="31:38" x14ac:dyDescent="0.25">
      <c r="AE258" s="43" t="s">
        <v>68</v>
      </c>
      <c r="AF258" s="43" t="s">
        <v>60</v>
      </c>
      <c r="AG258" s="43" t="s">
        <v>69</v>
      </c>
      <c r="AH258" s="43" t="s">
        <v>31</v>
      </c>
      <c r="AI258">
        <v>4</v>
      </c>
      <c r="AJ258" t="s">
        <v>325</v>
      </c>
      <c r="AK258" s="43" t="s">
        <v>309</v>
      </c>
      <c r="AL258">
        <v>8.6999999999999993</v>
      </c>
    </row>
    <row r="259" spans="31:38" x14ac:dyDescent="0.25">
      <c r="AE259" s="43" t="s">
        <v>68</v>
      </c>
      <c r="AF259" s="43" t="s">
        <v>60</v>
      </c>
      <c r="AG259" s="43" t="s">
        <v>69</v>
      </c>
      <c r="AH259" s="43" t="s">
        <v>31</v>
      </c>
      <c r="AI259">
        <v>4</v>
      </c>
      <c r="AJ259" t="s">
        <v>325</v>
      </c>
      <c r="AK259" s="43" t="s">
        <v>268</v>
      </c>
      <c r="AL259">
        <v>12.2</v>
      </c>
    </row>
    <row r="260" spans="31:38" x14ac:dyDescent="0.25">
      <c r="AE260" s="43" t="s">
        <v>68</v>
      </c>
      <c r="AF260" s="43" t="s">
        <v>60</v>
      </c>
      <c r="AG260" s="43" t="s">
        <v>69</v>
      </c>
      <c r="AH260" s="43" t="s">
        <v>31</v>
      </c>
      <c r="AI260">
        <v>4</v>
      </c>
      <c r="AJ260" t="s">
        <v>330</v>
      </c>
      <c r="AK260" s="43" t="s">
        <v>308</v>
      </c>
      <c r="AL260">
        <v>3.4</v>
      </c>
    </row>
    <row r="261" spans="31:38" x14ac:dyDescent="0.25">
      <c r="AE261" s="43" t="s">
        <v>68</v>
      </c>
      <c r="AF261" s="43" t="s">
        <v>60</v>
      </c>
      <c r="AG261" s="43" t="s">
        <v>69</v>
      </c>
      <c r="AH261" s="43" t="s">
        <v>31</v>
      </c>
      <c r="AI261">
        <v>4</v>
      </c>
      <c r="AJ261" t="s">
        <v>330</v>
      </c>
      <c r="AK261" s="43" t="s">
        <v>309</v>
      </c>
      <c r="AL261">
        <v>8.75</v>
      </c>
    </row>
    <row r="262" spans="31:38" x14ac:dyDescent="0.25">
      <c r="AE262" s="43" t="s">
        <v>68</v>
      </c>
      <c r="AF262" s="43" t="s">
        <v>60</v>
      </c>
      <c r="AG262" s="43" t="s">
        <v>69</v>
      </c>
      <c r="AH262" s="43" t="s">
        <v>31</v>
      </c>
      <c r="AI262">
        <v>4</v>
      </c>
      <c r="AJ262" t="s">
        <v>330</v>
      </c>
      <c r="AK262" s="43" t="s">
        <v>268</v>
      </c>
      <c r="AL262">
        <v>12.15</v>
      </c>
    </row>
    <row r="263" spans="31:38" x14ac:dyDescent="0.25">
      <c r="AE263" s="43" t="s">
        <v>68</v>
      </c>
      <c r="AF263" s="43" t="s">
        <v>60</v>
      </c>
      <c r="AG263" s="43" t="s">
        <v>69</v>
      </c>
      <c r="AH263" s="43" t="s">
        <v>31</v>
      </c>
      <c r="AI263">
        <v>4</v>
      </c>
      <c r="AJ263" t="s">
        <v>331</v>
      </c>
      <c r="AK263" s="43" t="s">
        <v>308</v>
      </c>
      <c r="AL263">
        <v>3.2</v>
      </c>
    </row>
    <row r="264" spans="31:38" x14ac:dyDescent="0.25">
      <c r="AE264" s="43" t="s">
        <v>68</v>
      </c>
      <c r="AF264" s="43" t="s">
        <v>60</v>
      </c>
      <c r="AG264" s="43" t="s">
        <v>69</v>
      </c>
      <c r="AH264" s="43" t="s">
        <v>31</v>
      </c>
      <c r="AI264">
        <v>4</v>
      </c>
      <c r="AJ264" t="s">
        <v>331</v>
      </c>
      <c r="AK264" s="43" t="s">
        <v>309</v>
      </c>
      <c r="AL264">
        <v>5.8</v>
      </c>
    </row>
    <row r="265" spans="31:38" x14ac:dyDescent="0.25">
      <c r="AE265" s="43" t="s">
        <v>68</v>
      </c>
      <c r="AF265" s="43" t="s">
        <v>60</v>
      </c>
      <c r="AG265" s="43" t="s">
        <v>69</v>
      </c>
      <c r="AH265" s="43" t="s">
        <v>31</v>
      </c>
      <c r="AI265">
        <v>4</v>
      </c>
      <c r="AJ265" t="s">
        <v>331</v>
      </c>
      <c r="AK265" s="43" t="s">
        <v>268</v>
      </c>
      <c r="AL265">
        <v>9</v>
      </c>
    </row>
    <row r="266" spans="31:38" x14ac:dyDescent="0.25">
      <c r="AE266" s="43" t="s">
        <v>68</v>
      </c>
      <c r="AF266" s="43" t="s">
        <v>60</v>
      </c>
      <c r="AG266" s="43" t="s">
        <v>69</v>
      </c>
      <c r="AH266" s="43" t="s">
        <v>31</v>
      </c>
      <c r="AI266">
        <v>4</v>
      </c>
      <c r="AJ266" t="s">
        <v>341</v>
      </c>
      <c r="AK266" s="43" t="s">
        <v>308</v>
      </c>
      <c r="AL266">
        <v>10.100000000000001</v>
      </c>
    </row>
    <row r="267" spans="31:38" x14ac:dyDescent="0.25">
      <c r="AE267" s="43" t="s">
        <v>68</v>
      </c>
      <c r="AF267" s="43" t="s">
        <v>60</v>
      </c>
      <c r="AG267" s="43" t="s">
        <v>69</v>
      </c>
      <c r="AH267" s="43" t="s">
        <v>31</v>
      </c>
      <c r="AI267">
        <v>4</v>
      </c>
      <c r="AJ267" t="s">
        <v>341</v>
      </c>
      <c r="AK267" s="43" t="s">
        <v>309</v>
      </c>
      <c r="AL267">
        <v>24.299999999999997</v>
      </c>
    </row>
    <row r="268" spans="31:38" x14ac:dyDescent="0.25">
      <c r="AE268" s="43" t="s">
        <v>68</v>
      </c>
      <c r="AF268" s="43" t="s">
        <v>60</v>
      </c>
      <c r="AG268" s="43" t="s">
        <v>69</v>
      </c>
      <c r="AH268" s="43" t="s">
        <v>31</v>
      </c>
      <c r="AI268">
        <v>4</v>
      </c>
      <c r="AJ268" t="s">
        <v>341</v>
      </c>
      <c r="AK268" s="43" t="s">
        <v>268</v>
      </c>
      <c r="AL268">
        <v>33.900000000000006</v>
      </c>
    </row>
    <row r="269" spans="31:38" x14ac:dyDescent="0.25">
      <c r="AE269" s="43" t="s">
        <v>68</v>
      </c>
      <c r="AF269" s="43" t="s">
        <v>60</v>
      </c>
      <c r="AG269" s="43" t="s">
        <v>69</v>
      </c>
      <c r="AH269" s="43" t="s">
        <v>31</v>
      </c>
      <c r="AI269">
        <v>4</v>
      </c>
      <c r="AJ269" t="s">
        <v>273</v>
      </c>
      <c r="AK269" s="43" t="s">
        <v>308</v>
      </c>
      <c r="AL269">
        <v>3.3666666666666671</v>
      </c>
    </row>
    <row r="270" spans="31:38" x14ac:dyDescent="0.25">
      <c r="AE270" s="43" t="s">
        <v>68</v>
      </c>
      <c r="AF270" s="43" t="s">
        <v>60</v>
      </c>
      <c r="AG270" s="43" t="s">
        <v>69</v>
      </c>
      <c r="AH270" s="43" t="s">
        <v>31</v>
      </c>
      <c r="AI270">
        <v>4</v>
      </c>
      <c r="AJ270" t="s">
        <v>273</v>
      </c>
      <c r="AK270" s="43" t="s">
        <v>309</v>
      </c>
      <c r="AL270">
        <v>8.1</v>
      </c>
    </row>
    <row r="271" spans="31:38" x14ac:dyDescent="0.25">
      <c r="AE271" s="43" t="s">
        <v>68</v>
      </c>
      <c r="AF271" s="43" t="s">
        <v>60</v>
      </c>
      <c r="AG271" s="43" t="s">
        <v>69</v>
      </c>
      <c r="AH271" s="43" t="s">
        <v>31</v>
      </c>
      <c r="AI271">
        <v>4</v>
      </c>
      <c r="AJ271" t="s">
        <v>273</v>
      </c>
      <c r="AK271" s="43" t="s">
        <v>268</v>
      </c>
      <c r="AL271">
        <v>11.300000000000002</v>
      </c>
    </row>
    <row r="272" spans="31:38" x14ac:dyDescent="0.25">
      <c r="AE272" s="43" t="s">
        <v>48</v>
      </c>
      <c r="AF272" s="43" t="s">
        <v>26</v>
      </c>
      <c r="AG272" s="43" t="s">
        <v>49</v>
      </c>
      <c r="AH272" s="43" t="s">
        <v>36</v>
      </c>
      <c r="AI272">
        <v>4</v>
      </c>
      <c r="AJ272" t="s">
        <v>317</v>
      </c>
      <c r="AK272" s="43" t="s">
        <v>308</v>
      </c>
      <c r="AL272">
        <v>3.1</v>
      </c>
    </row>
    <row r="273" spans="31:38" x14ac:dyDescent="0.25">
      <c r="AE273" s="43" t="s">
        <v>48</v>
      </c>
      <c r="AF273" s="43" t="s">
        <v>26</v>
      </c>
      <c r="AG273" s="43" t="s">
        <v>49</v>
      </c>
      <c r="AH273" s="43" t="s">
        <v>36</v>
      </c>
      <c r="AI273">
        <v>4</v>
      </c>
      <c r="AJ273" t="s">
        <v>317</v>
      </c>
      <c r="AK273" s="43" t="s">
        <v>309</v>
      </c>
      <c r="AL273">
        <v>8.0500000000000007</v>
      </c>
    </row>
    <row r="274" spans="31:38" x14ac:dyDescent="0.25">
      <c r="AE274" s="43" t="s">
        <v>48</v>
      </c>
      <c r="AF274" s="43" t="s">
        <v>26</v>
      </c>
      <c r="AG274" s="43" t="s">
        <v>49</v>
      </c>
      <c r="AH274" s="43" t="s">
        <v>36</v>
      </c>
      <c r="AI274">
        <v>4</v>
      </c>
      <c r="AJ274" t="s">
        <v>317</v>
      </c>
      <c r="AK274" s="43" t="s">
        <v>268</v>
      </c>
      <c r="AL274">
        <v>11.15</v>
      </c>
    </row>
    <row r="275" spans="31:38" x14ac:dyDescent="0.25">
      <c r="AE275" s="43" t="s">
        <v>48</v>
      </c>
      <c r="AF275" s="43" t="s">
        <v>26</v>
      </c>
      <c r="AG275" s="43" t="s">
        <v>49</v>
      </c>
      <c r="AH275" s="43" t="s">
        <v>36</v>
      </c>
      <c r="AI275">
        <v>4</v>
      </c>
      <c r="AJ275" t="s">
        <v>325</v>
      </c>
      <c r="AK275" s="43" t="s">
        <v>308</v>
      </c>
      <c r="AL275">
        <v>3.1</v>
      </c>
    </row>
    <row r="276" spans="31:38" x14ac:dyDescent="0.25">
      <c r="AE276" s="43" t="s">
        <v>48</v>
      </c>
      <c r="AF276" s="43" t="s">
        <v>26</v>
      </c>
      <c r="AG276" s="43" t="s">
        <v>49</v>
      </c>
      <c r="AH276" s="43" t="s">
        <v>36</v>
      </c>
      <c r="AI276">
        <v>4</v>
      </c>
      <c r="AJ276" t="s">
        <v>325</v>
      </c>
      <c r="AK276" s="43" t="s">
        <v>309</v>
      </c>
      <c r="AL276">
        <v>7.8</v>
      </c>
    </row>
    <row r="277" spans="31:38" x14ac:dyDescent="0.25">
      <c r="AE277" s="43" t="s">
        <v>48</v>
      </c>
      <c r="AF277" s="43" t="s">
        <v>26</v>
      </c>
      <c r="AG277" s="43" t="s">
        <v>49</v>
      </c>
      <c r="AH277" s="43" t="s">
        <v>36</v>
      </c>
      <c r="AI277">
        <v>4</v>
      </c>
      <c r="AJ277" t="s">
        <v>325</v>
      </c>
      <c r="AK277" s="43" t="s">
        <v>268</v>
      </c>
      <c r="AL277">
        <v>10.9</v>
      </c>
    </row>
    <row r="278" spans="31:38" x14ac:dyDescent="0.25">
      <c r="AE278" s="43" t="s">
        <v>48</v>
      </c>
      <c r="AF278" s="43" t="s">
        <v>26</v>
      </c>
      <c r="AG278" s="43" t="s">
        <v>49</v>
      </c>
      <c r="AH278" s="43" t="s">
        <v>36</v>
      </c>
      <c r="AI278">
        <v>4</v>
      </c>
      <c r="AJ278" t="s">
        <v>330</v>
      </c>
      <c r="AK278" s="43" t="s">
        <v>308</v>
      </c>
      <c r="AL278">
        <v>3.1</v>
      </c>
    </row>
    <row r="279" spans="31:38" x14ac:dyDescent="0.25">
      <c r="AE279" s="43" t="s">
        <v>48</v>
      </c>
      <c r="AF279" s="43" t="s">
        <v>26</v>
      </c>
      <c r="AG279" s="43" t="s">
        <v>49</v>
      </c>
      <c r="AH279" s="43" t="s">
        <v>36</v>
      </c>
      <c r="AI279">
        <v>4</v>
      </c>
      <c r="AJ279" t="s">
        <v>330</v>
      </c>
      <c r="AK279" s="43" t="s">
        <v>309</v>
      </c>
      <c r="AL279">
        <v>7.45</v>
      </c>
    </row>
    <row r="280" spans="31:38" x14ac:dyDescent="0.25">
      <c r="AE280" s="43" t="s">
        <v>48</v>
      </c>
      <c r="AF280" s="43" t="s">
        <v>26</v>
      </c>
      <c r="AG280" s="43" t="s">
        <v>49</v>
      </c>
      <c r="AH280" s="43" t="s">
        <v>36</v>
      </c>
      <c r="AI280">
        <v>4</v>
      </c>
      <c r="AJ280" t="s">
        <v>330</v>
      </c>
      <c r="AK280" s="43" t="s">
        <v>268</v>
      </c>
      <c r="AL280">
        <v>10.55</v>
      </c>
    </row>
    <row r="281" spans="31:38" x14ac:dyDescent="0.25">
      <c r="AE281" s="43" t="s">
        <v>48</v>
      </c>
      <c r="AF281" s="43" t="s">
        <v>26</v>
      </c>
      <c r="AG281" s="43" t="s">
        <v>49</v>
      </c>
      <c r="AH281" s="43" t="s">
        <v>36</v>
      </c>
      <c r="AI281">
        <v>4</v>
      </c>
      <c r="AJ281" t="s">
        <v>331</v>
      </c>
      <c r="AK281" s="43" t="s">
        <v>308</v>
      </c>
      <c r="AL281">
        <v>2.4</v>
      </c>
    </row>
    <row r="282" spans="31:38" x14ac:dyDescent="0.25">
      <c r="AE282" s="43" t="s">
        <v>48</v>
      </c>
      <c r="AF282" s="43" t="s">
        <v>26</v>
      </c>
      <c r="AG282" s="43" t="s">
        <v>49</v>
      </c>
      <c r="AH282" s="43" t="s">
        <v>36</v>
      </c>
      <c r="AI282">
        <v>4</v>
      </c>
      <c r="AJ282" t="s">
        <v>331</v>
      </c>
      <c r="AK282" s="43" t="s">
        <v>309</v>
      </c>
      <c r="AL282">
        <v>9</v>
      </c>
    </row>
    <row r="283" spans="31:38" x14ac:dyDescent="0.25">
      <c r="AE283" s="43" t="s">
        <v>48</v>
      </c>
      <c r="AF283" s="43" t="s">
        <v>26</v>
      </c>
      <c r="AG283" s="43" t="s">
        <v>49</v>
      </c>
      <c r="AH283" s="43" t="s">
        <v>36</v>
      </c>
      <c r="AI283">
        <v>4</v>
      </c>
      <c r="AJ283" t="s">
        <v>331</v>
      </c>
      <c r="AK283" s="43" t="s">
        <v>268</v>
      </c>
      <c r="AL283">
        <v>11.4</v>
      </c>
    </row>
    <row r="284" spans="31:38" x14ac:dyDescent="0.25">
      <c r="AE284" s="43" t="s">
        <v>48</v>
      </c>
      <c r="AF284" s="43" t="s">
        <v>26</v>
      </c>
      <c r="AG284" s="43" t="s">
        <v>49</v>
      </c>
      <c r="AH284" s="43" t="s">
        <v>36</v>
      </c>
      <c r="AI284">
        <v>4</v>
      </c>
      <c r="AJ284" t="s">
        <v>341</v>
      </c>
      <c r="AK284" s="43" t="s">
        <v>308</v>
      </c>
      <c r="AL284">
        <v>9.3000000000000007</v>
      </c>
    </row>
    <row r="285" spans="31:38" x14ac:dyDescent="0.25">
      <c r="AE285" s="43" t="s">
        <v>48</v>
      </c>
      <c r="AF285" s="43" t="s">
        <v>26</v>
      </c>
      <c r="AG285" s="43" t="s">
        <v>49</v>
      </c>
      <c r="AH285" s="43" t="s">
        <v>36</v>
      </c>
      <c r="AI285">
        <v>4</v>
      </c>
      <c r="AJ285" t="s">
        <v>341</v>
      </c>
      <c r="AK285" s="43" t="s">
        <v>309</v>
      </c>
      <c r="AL285">
        <v>24.85</v>
      </c>
    </row>
    <row r="286" spans="31:38" x14ac:dyDescent="0.25">
      <c r="AE286" s="43" t="s">
        <v>48</v>
      </c>
      <c r="AF286" s="43" t="s">
        <v>26</v>
      </c>
      <c r="AG286" s="43" t="s">
        <v>49</v>
      </c>
      <c r="AH286" s="43" t="s">
        <v>36</v>
      </c>
      <c r="AI286">
        <v>4</v>
      </c>
      <c r="AJ286" t="s">
        <v>341</v>
      </c>
      <c r="AK286" s="43" t="s">
        <v>268</v>
      </c>
      <c r="AL286">
        <v>33.450000000000003</v>
      </c>
    </row>
    <row r="287" spans="31:38" x14ac:dyDescent="0.25">
      <c r="AE287" s="43" t="s">
        <v>48</v>
      </c>
      <c r="AF287" s="43" t="s">
        <v>26</v>
      </c>
      <c r="AG287" s="43" t="s">
        <v>49</v>
      </c>
      <c r="AH287" s="43" t="s">
        <v>36</v>
      </c>
      <c r="AI287">
        <v>4</v>
      </c>
      <c r="AJ287" t="s">
        <v>273</v>
      </c>
      <c r="AK287" s="43" t="s">
        <v>308</v>
      </c>
      <c r="AL287">
        <v>3.1</v>
      </c>
    </row>
    <row r="288" spans="31:38" x14ac:dyDescent="0.25">
      <c r="AE288" s="43" t="s">
        <v>48</v>
      </c>
      <c r="AF288" s="43" t="s">
        <v>26</v>
      </c>
      <c r="AG288" s="43" t="s">
        <v>49</v>
      </c>
      <c r="AH288" s="43" t="s">
        <v>36</v>
      </c>
      <c r="AI288">
        <v>4</v>
      </c>
      <c r="AJ288" t="s">
        <v>273</v>
      </c>
      <c r="AK288" s="43" t="s">
        <v>309</v>
      </c>
      <c r="AL288">
        <v>8.2833333333333332</v>
      </c>
    </row>
    <row r="289" spans="31:38" x14ac:dyDescent="0.25">
      <c r="AE289" s="43" t="s">
        <v>48</v>
      </c>
      <c r="AF289" s="43" t="s">
        <v>26</v>
      </c>
      <c r="AG289" s="43" t="s">
        <v>49</v>
      </c>
      <c r="AH289" s="43" t="s">
        <v>36</v>
      </c>
      <c r="AI289">
        <v>4</v>
      </c>
      <c r="AJ289" t="s">
        <v>273</v>
      </c>
      <c r="AK289" s="43" t="s">
        <v>268</v>
      </c>
      <c r="AL289">
        <v>11.15</v>
      </c>
    </row>
    <row r="290" spans="31:38" x14ac:dyDescent="0.25">
      <c r="AE290" s="43" t="s">
        <v>82</v>
      </c>
      <c r="AF290" s="43" t="s">
        <v>60</v>
      </c>
      <c r="AG290" s="43" t="s">
        <v>83</v>
      </c>
      <c r="AH290" s="43" t="s">
        <v>36</v>
      </c>
      <c r="AI290">
        <v>3</v>
      </c>
      <c r="AJ290" t="s">
        <v>317</v>
      </c>
      <c r="AK290" s="43" t="s">
        <v>308</v>
      </c>
      <c r="AL290">
        <v>0</v>
      </c>
    </row>
    <row r="291" spans="31:38" x14ac:dyDescent="0.25">
      <c r="AE291" s="43" t="s">
        <v>82</v>
      </c>
      <c r="AF291" s="43" t="s">
        <v>60</v>
      </c>
      <c r="AG291" s="43" t="s">
        <v>83</v>
      </c>
      <c r="AH291" s="43" t="s">
        <v>36</v>
      </c>
      <c r="AI291">
        <v>3</v>
      </c>
      <c r="AJ291" t="s">
        <v>317</v>
      </c>
      <c r="AK291" s="43" t="s">
        <v>309</v>
      </c>
      <c r="AL291">
        <v>0</v>
      </c>
    </row>
    <row r="292" spans="31:38" x14ac:dyDescent="0.25">
      <c r="AE292" s="43" t="s">
        <v>82</v>
      </c>
      <c r="AF292" s="43" t="s">
        <v>60</v>
      </c>
      <c r="AG292" s="43" t="s">
        <v>83</v>
      </c>
      <c r="AH292" s="43" t="s">
        <v>36</v>
      </c>
      <c r="AI292">
        <v>3</v>
      </c>
      <c r="AJ292" t="s">
        <v>317</v>
      </c>
      <c r="AK292" s="43" t="s">
        <v>268</v>
      </c>
      <c r="AL292">
        <v>0</v>
      </c>
    </row>
    <row r="293" spans="31:38" x14ac:dyDescent="0.25">
      <c r="AE293" s="43" t="s">
        <v>82</v>
      </c>
      <c r="AF293" s="43" t="s">
        <v>60</v>
      </c>
      <c r="AG293" s="43" t="s">
        <v>83</v>
      </c>
      <c r="AH293" s="43" t="s">
        <v>36</v>
      </c>
      <c r="AI293">
        <v>3</v>
      </c>
      <c r="AJ293" t="s">
        <v>325</v>
      </c>
      <c r="AK293" s="43" t="s">
        <v>308</v>
      </c>
      <c r="AL293">
        <v>3</v>
      </c>
    </row>
    <row r="294" spans="31:38" x14ac:dyDescent="0.25">
      <c r="AE294" s="43" t="s">
        <v>82</v>
      </c>
      <c r="AF294" s="43" t="s">
        <v>60</v>
      </c>
      <c r="AG294" s="43" t="s">
        <v>83</v>
      </c>
      <c r="AH294" s="43" t="s">
        <v>36</v>
      </c>
      <c r="AI294">
        <v>3</v>
      </c>
      <c r="AJ294" t="s">
        <v>325</v>
      </c>
      <c r="AK294" s="43" t="s">
        <v>309</v>
      </c>
      <c r="AL294">
        <v>8.75</v>
      </c>
    </row>
    <row r="295" spans="31:38" x14ac:dyDescent="0.25">
      <c r="AE295" s="43" t="s">
        <v>82</v>
      </c>
      <c r="AF295" s="43" t="s">
        <v>60</v>
      </c>
      <c r="AG295" s="43" t="s">
        <v>83</v>
      </c>
      <c r="AH295" s="43" t="s">
        <v>36</v>
      </c>
      <c r="AI295">
        <v>3</v>
      </c>
      <c r="AJ295" t="s">
        <v>325</v>
      </c>
      <c r="AK295" s="43" t="s">
        <v>268</v>
      </c>
      <c r="AL295">
        <v>11.75</v>
      </c>
    </row>
    <row r="296" spans="31:38" x14ac:dyDescent="0.25">
      <c r="AE296" s="43" t="s">
        <v>82</v>
      </c>
      <c r="AF296" s="43" t="s">
        <v>60</v>
      </c>
      <c r="AG296" s="43" t="s">
        <v>83</v>
      </c>
      <c r="AH296" s="43" t="s">
        <v>36</v>
      </c>
      <c r="AI296">
        <v>3</v>
      </c>
      <c r="AJ296" t="s">
        <v>330</v>
      </c>
      <c r="AK296" s="43" t="s">
        <v>308</v>
      </c>
      <c r="AL296">
        <v>2.5</v>
      </c>
    </row>
    <row r="297" spans="31:38" x14ac:dyDescent="0.25">
      <c r="AE297" s="43" t="s">
        <v>82</v>
      </c>
      <c r="AF297" s="43" t="s">
        <v>60</v>
      </c>
      <c r="AG297" s="43" t="s">
        <v>83</v>
      </c>
      <c r="AH297" s="43" t="s">
        <v>36</v>
      </c>
      <c r="AI297">
        <v>3</v>
      </c>
      <c r="AJ297" t="s">
        <v>330</v>
      </c>
      <c r="AK297" s="43" t="s">
        <v>309</v>
      </c>
      <c r="AL297">
        <v>7.15</v>
      </c>
    </row>
    <row r="298" spans="31:38" x14ac:dyDescent="0.25">
      <c r="AE298" s="43" t="s">
        <v>82</v>
      </c>
      <c r="AF298" s="43" t="s">
        <v>60</v>
      </c>
      <c r="AG298" s="43" t="s">
        <v>83</v>
      </c>
      <c r="AH298" s="43" t="s">
        <v>36</v>
      </c>
      <c r="AI298">
        <v>3</v>
      </c>
      <c r="AJ298" t="s">
        <v>330</v>
      </c>
      <c r="AK298" s="43" t="s">
        <v>268</v>
      </c>
      <c r="AL298">
        <v>9.65</v>
      </c>
    </row>
    <row r="299" spans="31:38" x14ac:dyDescent="0.25">
      <c r="AE299" s="43" t="s">
        <v>82</v>
      </c>
      <c r="AF299" s="43" t="s">
        <v>60</v>
      </c>
      <c r="AG299" s="43" t="s">
        <v>83</v>
      </c>
      <c r="AH299" s="43" t="s">
        <v>36</v>
      </c>
      <c r="AI299">
        <v>3</v>
      </c>
      <c r="AJ299" t="s">
        <v>331</v>
      </c>
      <c r="AK299" s="43" t="s">
        <v>308</v>
      </c>
      <c r="AL299">
        <v>3</v>
      </c>
    </row>
    <row r="300" spans="31:38" x14ac:dyDescent="0.25">
      <c r="AE300" s="43" t="s">
        <v>82</v>
      </c>
      <c r="AF300" s="43" t="s">
        <v>60</v>
      </c>
      <c r="AG300" s="43" t="s">
        <v>83</v>
      </c>
      <c r="AH300" s="43" t="s">
        <v>36</v>
      </c>
      <c r="AI300">
        <v>3</v>
      </c>
      <c r="AJ300" t="s">
        <v>331</v>
      </c>
      <c r="AK300" s="43" t="s">
        <v>309</v>
      </c>
      <c r="AL300">
        <v>8.8000000000000007</v>
      </c>
    </row>
    <row r="301" spans="31:38" x14ac:dyDescent="0.25">
      <c r="AE301" s="43" t="s">
        <v>82</v>
      </c>
      <c r="AF301" s="43" t="s">
        <v>60</v>
      </c>
      <c r="AG301" s="43" t="s">
        <v>83</v>
      </c>
      <c r="AH301" s="43" t="s">
        <v>36</v>
      </c>
      <c r="AI301">
        <v>3</v>
      </c>
      <c r="AJ301" t="s">
        <v>331</v>
      </c>
      <c r="AK301" s="43" t="s">
        <v>268</v>
      </c>
      <c r="AL301">
        <v>11.8</v>
      </c>
    </row>
    <row r="302" spans="31:38" x14ac:dyDescent="0.25">
      <c r="AE302" s="43" t="s">
        <v>82</v>
      </c>
      <c r="AF302" s="43" t="s">
        <v>60</v>
      </c>
      <c r="AG302" s="43" t="s">
        <v>83</v>
      </c>
      <c r="AH302" s="43" t="s">
        <v>36</v>
      </c>
      <c r="AI302">
        <v>3</v>
      </c>
      <c r="AJ302" t="s">
        <v>341</v>
      </c>
      <c r="AK302" s="43" t="s">
        <v>308</v>
      </c>
      <c r="AL302">
        <v>8.5</v>
      </c>
    </row>
    <row r="303" spans="31:38" x14ac:dyDescent="0.25">
      <c r="AE303" s="43" t="s">
        <v>82</v>
      </c>
      <c r="AF303" s="43" t="s">
        <v>60</v>
      </c>
      <c r="AG303" s="43" t="s">
        <v>83</v>
      </c>
      <c r="AH303" s="43" t="s">
        <v>36</v>
      </c>
      <c r="AI303">
        <v>3</v>
      </c>
      <c r="AJ303" t="s">
        <v>341</v>
      </c>
      <c r="AK303" s="43" t="s">
        <v>309</v>
      </c>
      <c r="AL303">
        <v>24.700000000000003</v>
      </c>
    </row>
    <row r="304" spans="31:38" x14ac:dyDescent="0.25">
      <c r="AE304" s="43" t="s">
        <v>82</v>
      </c>
      <c r="AF304" s="43" t="s">
        <v>60</v>
      </c>
      <c r="AG304" s="43" t="s">
        <v>83</v>
      </c>
      <c r="AH304" s="43" t="s">
        <v>36</v>
      </c>
      <c r="AI304">
        <v>3</v>
      </c>
      <c r="AJ304" t="s">
        <v>341</v>
      </c>
      <c r="AK304" s="43" t="s">
        <v>268</v>
      </c>
      <c r="AL304">
        <v>33.200000000000003</v>
      </c>
    </row>
    <row r="305" spans="31:38" x14ac:dyDescent="0.25">
      <c r="AE305" s="43" t="s">
        <v>82</v>
      </c>
      <c r="AF305" s="43" t="s">
        <v>60</v>
      </c>
      <c r="AG305" s="43" t="s">
        <v>83</v>
      </c>
      <c r="AH305" s="43" t="s">
        <v>36</v>
      </c>
      <c r="AI305">
        <v>3</v>
      </c>
      <c r="AJ305" t="s">
        <v>273</v>
      </c>
      <c r="AK305" s="43" t="s">
        <v>308</v>
      </c>
      <c r="AL305">
        <v>2.8333333333333335</v>
      </c>
    </row>
    <row r="306" spans="31:38" x14ac:dyDescent="0.25">
      <c r="AE306" s="43" t="s">
        <v>82</v>
      </c>
      <c r="AF306" s="43" t="s">
        <v>60</v>
      </c>
      <c r="AG306" s="43" t="s">
        <v>83</v>
      </c>
      <c r="AH306" s="43" t="s">
        <v>36</v>
      </c>
      <c r="AI306">
        <v>3</v>
      </c>
      <c r="AJ306" t="s">
        <v>273</v>
      </c>
      <c r="AK306" s="43" t="s">
        <v>309</v>
      </c>
      <c r="AL306">
        <v>8.2333333333333343</v>
      </c>
    </row>
    <row r="307" spans="31:38" x14ac:dyDescent="0.25">
      <c r="AE307" s="43" t="s">
        <v>82</v>
      </c>
      <c r="AF307" s="43" t="s">
        <v>60</v>
      </c>
      <c r="AG307" s="43" t="s">
        <v>83</v>
      </c>
      <c r="AH307" s="43" t="s">
        <v>36</v>
      </c>
      <c r="AI307">
        <v>3</v>
      </c>
      <c r="AJ307" t="s">
        <v>273</v>
      </c>
      <c r="AK307" s="43" t="s">
        <v>268</v>
      </c>
      <c r="AL307">
        <v>11.066666666666668</v>
      </c>
    </row>
    <row r="308" spans="31:38" x14ac:dyDescent="0.25">
      <c r="AE308" s="43" t="s">
        <v>46</v>
      </c>
      <c r="AF308" s="43" t="s">
        <v>26</v>
      </c>
      <c r="AG308" s="43" t="s">
        <v>47</v>
      </c>
      <c r="AH308" s="43" t="s">
        <v>36</v>
      </c>
      <c r="AI308">
        <v>3</v>
      </c>
      <c r="AJ308" t="s">
        <v>317</v>
      </c>
      <c r="AK308" s="43" t="s">
        <v>308</v>
      </c>
      <c r="AL308">
        <v>0</v>
      </c>
    </row>
    <row r="309" spans="31:38" x14ac:dyDescent="0.25">
      <c r="AE309" s="43" t="s">
        <v>46</v>
      </c>
      <c r="AF309" s="43" t="s">
        <v>26</v>
      </c>
      <c r="AG309" s="43" t="s">
        <v>47</v>
      </c>
      <c r="AH309" s="43" t="s">
        <v>36</v>
      </c>
      <c r="AI309">
        <v>3</v>
      </c>
      <c r="AJ309" t="s">
        <v>317</v>
      </c>
      <c r="AK309" s="43" t="s">
        <v>309</v>
      </c>
      <c r="AL309">
        <v>0</v>
      </c>
    </row>
    <row r="310" spans="31:38" x14ac:dyDescent="0.25">
      <c r="AE310" s="43" t="s">
        <v>46</v>
      </c>
      <c r="AF310" s="43" t="s">
        <v>26</v>
      </c>
      <c r="AG310" s="43" t="s">
        <v>47</v>
      </c>
      <c r="AH310" s="43" t="s">
        <v>36</v>
      </c>
      <c r="AI310">
        <v>3</v>
      </c>
      <c r="AJ310" t="s">
        <v>317</v>
      </c>
      <c r="AK310" s="43" t="s">
        <v>268</v>
      </c>
      <c r="AL310">
        <v>0</v>
      </c>
    </row>
    <row r="311" spans="31:38" x14ac:dyDescent="0.25">
      <c r="AE311" s="43" t="s">
        <v>46</v>
      </c>
      <c r="AF311" s="43" t="s">
        <v>26</v>
      </c>
      <c r="AG311" s="43" t="s">
        <v>47</v>
      </c>
      <c r="AH311" s="43" t="s">
        <v>36</v>
      </c>
      <c r="AI311">
        <v>3</v>
      </c>
      <c r="AJ311" t="s">
        <v>325</v>
      </c>
      <c r="AK311" s="43" t="s">
        <v>308</v>
      </c>
      <c r="AL311">
        <v>2.4</v>
      </c>
    </row>
    <row r="312" spans="31:38" x14ac:dyDescent="0.25">
      <c r="AE312" s="43" t="s">
        <v>46</v>
      </c>
      <c r="AF312" s="43" t="s">
        <v>26</v>
      </c>
      <c r="AG312" s="43" t="s">
        <v>47</v>
      </c>
      <c r="AH312" s="43" t="s">
        <v>36</v>
      </c>
      <c r="AI312">
        <v>3</v>
      </c>
      <c r="AJ312" t="s">
        <v>325</v>
      </c>
      <c r="AK312" s="43" t="s">
        <v>309</v>
      </c>
      <c r="AL312">
        <v>8.6</v>
      </c>
    </row>
    <row r="313" spans="31:38" x14ac:dyDescent="0.25">
      <c r="AE313" s="43" t="s">
        <v>46</v>
      </c>
      <c r="AF313" s="43" t="s">
        <v>26</v>
      </c>
      <c r="AG313" s="43" t="s">
        <v>47</v>
      </c>
      <c r="AH313" s="43" t="s">
        <v>36</v>
      </c>
      <c r="AI313">
        <v>3</v>
      </c>
      <c r="AJ313" t="s">
        <v>325</v>
      </c>
      <c r="AK313" s="43" t="s">
        <v>268</v>
      </c>
      <c r="AL313">
        <v>11</v>
      </c>
    </row>
    <row r="314" spans="31:38" x14ac:dyDescent="0.25">
      <c r="AE314" s="43" t="s">
        <v>46</v>
      </c>
      <c r="AF314" s="43" t="s">
        <v>26</v>
      </c>
      <c r="AG314" s="43" t="s">
        <v>47</v>
      </c>
      <c r="AH314" s="43" t="s">
        <v>36</v>
      </c>
      <c r="AI314">
        <v>3</v>
      </c>
      <c r="AJ314" t="s">
        <v>330</v>
      </c>
      <c r="AK314" s="43" t="s">
        <v>308</v>
      </c>
      <c r="AL314">
        <v>3.1</v>
      </c>
    </row>
    <row r="315" spans="31:38" x14ac:dyDescent="0.25">
      <c r="AE315" s="43" t="s">
        <v>46</v>
      </c>
      <c r="AF315" s="43" t="s">
        <v>26</v>
      </c>
      <c r="AG315" s="43" t="s">
        <v>47</v>
      </c>
      <c r="AH315" s="43" t="s">
        <v>36</v>
      </c>
      <c r="AI315">
        <v>3</v>
      </c>
      <c r="AJ315" t="s">
        <v>330</v>
      </c>
      <c r="AK315" s="43" t="s">
        <v>309</v>
      </c>
      <c r="AL315">
        <v>8.6</v>
      </c>
    </row>
    <row r="316" spans="31:38" x14ac:dyDescent="0.25">
      <c r="AE316" s="43" t="s">
        <v>46</v>
      </c>
      <c r="AF316" s="43" t="s">
        <v>26</v>
      </c>
      <c r="AG316" s="43" t="s">
        <v>47</v>
      </c>
      <c r="AH316" s="43" t="s">
        <v>36</v>
      </c>
      <c r="AI316">
        <v>3</v>
      </c>
      <c r="AJ316" t="s">
        <v>330</v>
      </c>
      <c r="AK316" s="43" t="s">
        <v>268</v>
      </c>
      <c r="AL316">
        <v>11.7</v>
      </c>
    </row>
    <row r="317" spans="31:38" x14ac:dyDescent="0.25">
      <c r="AE317" s="43" t="s">
        <v>46</v>
      </c>
      <c r="AF317" s="43" t="s">
        <v>26</v>
      </c>
      <c r="AG317" s="43" t="s">
        <v>47</v>
      </c>
      <c r="AH317" s="43" t="s">
        <v>36</v>
      </c>
      <c r="AI317">
        <v>3</v>
      </c>
      <c r="AJ317" t="s">
        <v>331</v>
      </c>
      <c r="AK317" s="43" t="s">
        <v>308</v>
      </c>
      <c r="AL317">
        <v>2.4</v>
      </c>
    </row>
    <row r="318" spans="31:38" x14ac:dyDescent="0.25">
      <c r="AE318" s="43" t="s">
        <v>46</v>
      </c>
      <c r="AF318" s="43" t="s">
        <v>26</v>
      </c>
      <c r="AG318" s="43" t="s">
        <v>47</v>
      </c>
      <c r="AH318" s="43" t="s">
        <v>36</v>
      </c>
      <c r="AI318">
        <v>3</v>
      </c>
      <c r="AJ318" t="s">
        <v>331</v>
      </c>
      <c r="AK318" s="43" t="s">
        <v>309</v>
      </c>
      <c r="AL318">
        <v>8</v>
      </c>
    </row>
    <row r="319" spans="31:38" x14ac:dyDescent="0.25">
      <c r="AE319" s="43" t="s">
        <v>46</v>
      </c>
      <c r="AF319" s="43" t="s">
        <v>26</v>
      </c>
      <c r="AG319" s="43" t="s">
        <v>47</v>
      </c>
      <c r="AH319" s="43" t="s">
        <v>36</v>
      </c>
      <c r="AI319">
        <v>3</v>
      </c>
      <c r="AJ319" t="s">
        <v>331</v>
      </c>
      <c r="AK319" s="43" t="s">
        <v>268</v>
      </c>
      <c r="AL319">
        <v>10.4</v>
      </c>
    </row>
    <row r="320" spans="31:38" x14ac:dyDescent="0.25">
      <c r="AE320" s="43" t="s">
        <v>46</v>
      </c>
      <c r="AF320" s="43" t="s">
        <v>26</v>
      </c>
      <c r="AG320" s="43" t="s">
        <v>47</v>
      </c>
      <c r="AH320" s="43" t="s">
        <v>36</v>
      </c>
      <c r="AI320">
        <v>3</v>
      </c>
      <c r="AJ320" t="s">
        <v>341</v>
      </c>
      <c r="AK320" s="43" t="s">
        <v>308</v>
      </c>
      <c r="AL320">
        <v>7.9</v>
      </c>
    </row>
    <row r="321" spans="31:38" x14ac:dyDescent="0.25">
      <c r="AE321" s="43" t="s">
        <v>46</v>
      </c>
      <c r="AF321" s="43" t="s">
        <v>26</v>
      </c>
      <c r="AG321" s="43" t="s">
        <v>47</v>
      </c>
      <c r="AH321" s="43" t="s">
        <v>36</v>
      </c>
      <c r="AI321">
        <v>3</v>
      </c>
      <c r="AJ321" t="s">
        <v>341</v>
      </c>
      <c r="AK321" s="43" t="s">
        <v>309</v>
      </c>
      <c r="AL321">
        <v>25.2</v>
      </c>
    </row>
    <row r="322" spans="31:38" x14ac:dyDescent="0.25">
      <c r="AE322" s="43" t="s">
        <v>46</v>
      </c>
      <c r="AF322" s="43" t="s">
        <v>26</v>
      </c>
      <c r="AG322" s="43" t="s">
        <v>47</v>
      </c>
      <c r="AH322" s="43" t="s">
        <v>36</v>
      </c>
      <c r="AI322">
        <v>3</v>
      </c>
      <c r="AJ322" t="s">
        <v>341</v>
      </c>
      <c r="AK322" s="43" t="s">
        <v>268</v>
      </c>
      <c r="AL322">
        <v>33.1</v>
      </c>
    </row>
    <row r="323" spans="31:38" x14ac:dyDescent="0.25">
      <c r="AE323" s="43" t="s">
        <v>46</v>
      </c>
      <c r="AF323" s="43" t="s">
        <v>26</v>
      </c>
      <c r="AG323" s="43" t="s">
        <v>47</v>
      </c>
      <c r="AH323" s="43" t="s">
        <v>36</v>
      </c>
      <c r="AI323">
        <v>3</v>
      </c>
      <c r="AJ323" t="s">
        <v>273</v>
      </c>
      <c r="AK323" s="43" t="s">
        <v>308</v>
      </c>
      <c r="AL323">
        <v>2.6333333333333333</v>
      </c>
    </row>
    <row r="324" spans="31:38" x14ac:dyDescent="0.25">
      <c r="AE324" s="43" t="s">
        <v>46</v>
      </c>
      <c r="AF324" s="43" t="s">
        <v>26</v>
      </c>
      <c r="AG324" s="43" t="s">
        <v>47</v>
      </c>
      <c r="AH324" s="43" t="s">
        <v>36</v>
      </c>
      <c r="AI324">
        <v>3</v>
      </c>
      <c r="AJ324" t="s">
        <v>273</v>
      </c>
      <c r="AK324" s="43" t="s">
        <v>309</v>
      </c>
      <c r="AL324">
        <v>8.4</v>
      </c>
    </row>
    <row r="325" spans="31:38" x14ac:dyDescent="0.25">
      <c r="AE325" s="43" t="s">
        <v>46</v>
      </c>
      <c r="AF325" s="43" t="s">
        <v>26</v>
      </c>
      <c r="AG325" s="43" t="s">
        <v>47</v>
      </c>
      <c r="AH325" s="43" t="s">
        <v>36</v>
      </c>
      <c r="AI325">
        <v>3</v>
      </c>
      <c r="AJ325" t="s">
        <v>273</v>
      </c>
      <c r="AK325" s="43" t="s">
        <v>268</v>
      </c>
      <c r="AL325">
        <v>11.033333333333333</v>
      </c>
    </row>
    <row r="326" spans="31:38" x14ac:dyDescent="0.25">
      <c r="AE326" s="43" t="s">
        <v>42</v>
      </c>
      <c r="AF326" s="43" t="s">
        <v>26</v>
      </c>
      <c r="AG326" s="43" t="s">
        <v>43</v>
      </c>
      <c r="AH326" s="43" t="s">
        <v>36</v>
      </c>
      <c r="AI326">
        <v>3</v>
      </c>
      <c r="AJ326" t="s">
        <v>317</v>
      </c>
      <c r="AK326" s="43" t="s">
        <v>308</v>
      </c>
      <c r="AL326">
        <v>0</v>
      </c>
    </row>
    <row r="327" spans="31:38" x14ac:dyDescent="0.25">
      <c r="AE327" s="43" t="s">
        <v>42</v>
      </c>
      <c r="AF327" s="43" t="s">
        <v>26</v>
      </c>
      <c r="AG327" s="43" t="s">
        <v>43</v>
      </c>
      <c r="AH327" s="43" t="s">
        <v>36</v>
      </c>
      <c r="AI327">
        <v>3</v>
      </c>
      <c r="AJ327" t="s">
        <v>317</v>
      </c>
      <c r="AK327" s="43" t="s">
        <v>309</v>
      </c>
      <c r="AL327">
        <v>0</v>
      </c>
    </row>
    <row r="328" spans="31:38" x14ac:dyDescent="0.25">
      <c r="AE328" s="43" t="s">
        <v>42</v>
      </c>
      <c r="AF328" s="43" t="s">
        <v>26</v>
      </c>
      <c r="AG328" s="43" t="s">
        <v>43</v>
      </c>
      <c r="AH328" s="43" t="s">
        <v>36</v>
      </c>
      <c r="AI328">
        <v>3</v>
      </c>
      <c r="AJ328" t="s">
        <v>317</v>
      </c>
      <c r="AK328" s="43" t="s">
        <v>268</v>
      </c>
      <c r="AL328">
        <v>0</v>
      </c>
    </row>
    <row r="329" spans="31:38" x14ac:dyDescent="0.25">
      <c r="AE329" s="43" t="s">
        <v>42</v>
      </c>
      <c r="AF329" s="43" t="s">
        <v>26</v>
      </c>
      <c r="AG329" s="43" t="s">
        <v>43</v>
      </c>
      <c r="AH329" s="43" t="s">
        <v>36</v>
      </c>
      <c r="AI329">
        <v>3</v>
      </c>
      <c r="AJ329" t="s">
        <v>325</v>
      </c>
      <c r="AK329" s="43" t="s">
        <v>308</v>
      </c>
      <c r="AL329">
        <v>3.1</v>
      </c>
    </row>
    <row r="330" spans="31:38" x14ac:dyDescent="0.25">
      <c r="AE330" s="43" t="s">
        <v>42</v>
      </c>
      <c r="AF330" s="43" t="s">
        <v>26</v>
      </c>
      <c r="AG330" s="43" t="s">
        <v>43</v>
      </c>
      <c r="AH330" s="43" t="s">
        <v>36</v>
      </c>
      <c r="AI330">
        <v>3</v>
      </c>
      <c r="AJ330" t="s">
        <v>325</v>
      </c>
      <c r="AK330" s="43" t="s">
        <v>309</v>
      </c>
      <c r="AL330">
        <v>8.5500000000000007</v>
      </c>
    </row>
    <row r="331" spans="31:38" x14ac:dyDescent="0.25">
      <c r="AE331" s="43" t="s">
        <v>42</v>
      </c>
      <c r="AF331" s="43" t="s">
        <v>26</v>
      </c>
      <c r="AG331" s="43" t="s">
        <v>43</v>
      </c>
      <c r="AH331" s="43" t="s">
        <v>36</v>
      </c>
      <c r="AI331">
        <v>3</v>
      </c>
      <c r="AJ331" t="s">
        <v>325</v>
      </c>
      <c r="AK331" s="43" t="s">
        <v>268</v>
      </c>
      <c r="AL331">
        <v>11.65</v>
      </c>
    </row>
    <row r="332" spans="31:38" x14ac:dyDescent="0.25">
      <c r="AE332" s="43" t="s">
        <v>42</v>
      </c>
      <c r="AF332" s="43" t="s">
        <v>26</v>
      </c>
      <c r="AG332" s="43" t="s">
        <v>43</v>
      </c>
      <c r="AH332" s="43" t="s">
        <v>36</v>
      </c>
      <c r="AI332">
        <v>3</v>
      </c>
      <c r="AJ332" t="s">
        <v>330</v>
      </c>
      <c r="AK332" s="43" t="s">
        <v>308</v>
      </c>
      <c r="AL332">
        <v>3.1</v>
      </c>
    </row>
    <row r="333" spans="31:38" x14ac:dyDescent="0.25">
      <c r="AE333" s="43" t="s">
        <v>42</v>
      </c>
      <c r="AF333" s="43" t="s">
        <v>26</v>
      </c>
      <c r="AG333" s="43" t="s">
        <v>43</v>
      </c>
      <c r="AH333" s="43" t="s">
        <v>36</v>
      </c>
      <c r="AI333">
        <v>3</v>
      </c>
      <c r="AJ333" t="s">
        <v>330</v>
      </c>
      <c r="AK333" s="43" t="s">
        <v>309</v>
      </c>
      <c r="AL333">
        <v>7.1</v>
      </c>
    </row>
    <row r="334" spans="31:38" x14ac:dyDescent="0.25">
      <c r="AE334" s="43" t="s">
        <v>42</v>
      </c>
      <c r="AF334" s="43" t="s">
        <v>26</v>
      </c>
      <c r="AG334" s="43" t="s">
        <v>43</v>
      </c>
      <c r="AH334" s="43" t="s">
        <v>36</v>
      </c>
      <c r="AI334">
        <v>3</v>
      </c>
      <c r="AJ334" t="s">
        <v>330</v>
      </c>
      <c r="AK334" s="43" t="s">
        <v>268</v>
      </c>
      <c r="AL334">
        <v>10.199999999999999</v>
      </c>
    </row>
    <row r="335" spans="31:38" x14ac:dyDescent="0.25">
      <c r="AE335" s="43" t="s">
        <v>42</v>
      </c>
      <c r="AF335" s="43" t="s">
        <v>26</v>
      </c>
      <c r="AG335" s="43" t="s">
        <v>43</v>
      </c>
      <c r="AH335" s="43" t="s">
        <v>36</v>
      </c>
      <c r="AI335">
        <v>3</v>
      </c>
      <c r="AJ335" t="s">
        <v>331</v>
      </c>
      <c r="AK335" s="43" t="s">
        <v>308</v>
      </c>
      <c r="AL335">
        <v>2.4</v>
      </c>
    </row>
    <row r="336" spans="31:38" x14ac:dyDescent="0.25">
      <c r="AE336" s="43" t="s">
        <v>42</v>
      </c>
      <c r="AF336" s="43" t="s">
        <v>26</v>
      </c>
      <c r="AG336" s="43" t="s">
        <v>43</v>
      </c>
      <c r="AH336" s="43" t="s">
        <v>36</v>
      </c>
      <c r="AI336">
        <v>3</v>
      </c>
      <c r="AJ336" t="s">
        <v>331</v>
      </c>
      <c r="AK336" s="43" t="s">
        <v>309</v>
      </c>
      <c r="AL336">
        <v>8.8000000000000007</v>
      </c>
    </row>
    <row r="337" spans="31:38" x14ac:dyDescent="0.25">
      <c r="AE337" s="43" t="s">
        <v>42</v>
      </c>
      <c r="AF337" s="43" t="s">
        <v>26</v>
      </c>
      <c r="AG337" s="43" t="s">
        <v>43</v>
      </c>
      <c r="AH337" s="43" t="s">
        <v>36</v>
      </c>
      <c r="AI337">
        <v>3</v>
      </c>
      <c r="AJ337" t="s">
        <v>331</v>
      </c>
      <c r="AK337" s="43" t="s">
        <v>268</v>
      </c>
      <c r="AL337">
        <v>11.2</v>
      </c>
    </row>
    <row r="338" spans="31:38" x14ac:dyDescent="0.25">
      <c r="AE338" s="43" t="s">
        <v>42</v>
      </c>
      <c r="AF338" s="43" t="s">
        <v>26</v>
      </c>
      <c r="AG338" s="43" t="s">
        <v>43</v>
      </c>
      <c r="AH338" s="43" t="s">
        <v>36</v>
      </c>
      <c r="AI338">
        <v>3</v>
      </c>
      <c r="AJ338" t="s">
        <v>341</v>
      </c>
      <c r="AK338" s="43" t="s">
        <v>308</v>
      </c>
      <c r="AL338">
        <v>8.6</v>
      </c>
    </row>
    <row r="339" spans="31:38" x14ac:dyDescent="0.25">
      <c r="AE339" s="43" t="s">
        <v>42</v>
      </c>
      <c r="AF339" s="43" t="s">
        <v>26</v>
      </c>
      <c r="AG339" s="43" t="s">
        <v>43</v>
      </c>
      <c r="AH339" s="43" t="s">
        <v>36</v>
      </c>
      <c r="AI339">
        <v>3</v>
      </c>
      <c r="AJ339" t="s">
        <v>341</v>
      </c>
      <c r="AK339" s="43" t="s">
        <v>309</v>
      </c>
      <c r="AL339">
        <v>24.450000000000003</v>
      </c>
    </row>
    <row r="340" spans="31:38" x14ac:dyDescent="0.25">
      <c r="AE340" s="43" t="s">
        <v>42</v>
      </c>
      <c r="AF340" s="43" t="s">
        <v>26</v>
      </c>
      <c r="AG340" s="43" t="s">
        <v>43</v>
      </c>
      <c r="AH340" s="43" t="s">
        <v>36</v>
      </c>
      <c r="AI340">
        <v>3</v>
      </c>
      <c r="AJ340" t="s">
        <v>341</v>
      </c>
      <c r="AK340" s="43" t="s">
        <v>268</v>
      </c>
      <c r="AL340">
        <v>33.049999999999997</v>
      </c>
    </row>
    <row r="341" spans="31:38" x14ac:dyDescent="0.25">
      <c r="AE341" s="43" t="s">
        <v>42</v>
      </c>
      <c r="AF341" s="43" t="s">
        <v>26</v>
      </c>
      <c r="AG341" s="43" t="s">
        <v>43</v>
      </c>
      <c r="AH341" s="43" t="s">
        <v>36</v>
      </c>
      <c r="AI341">
        <v>3</v>
      </c>
      <c r="AJ341" t="s">
        <v>273</v>
      </c>
      <c r="AK341" s="43" t="s">
        <v>308</v>
      </c>
      <c r="AL341">
        <v>2.8666666666666667</v>
      </c>
    </row>
    <row r="342" spans="31:38" x14ac:dyDescent="0.25">
      <c r="AE342" s="43" t="s">
        <v>42</v>
      </c>
      <c r="AF342" s="43" t="s">
        <v>26</v>
      </c>
      <c r="AG342" s="43" t="s">
        <v>43</v>
      </c>
      <c r="AH342" s="43" t="s">
        <v>36</v>
      </c>
      <c r="AI342">
        <v>3</v>
      </c>
      <c r="AJ342" t="s">
        <v>273</v>
      </c>
      <c r="AK342" s="43" t="s">
        <v>309</v>
      </c>
      <c r="AL342">
        <v>8.15</v>
      </c>
    </row>
    <row r="343" spans="31:38" x14ac:dyDescent="0.25">
      <c r="AE343" s="43" t="s">
        <v>42</v>
      </c>
      <c r="AF343" s="43" t="s">
        <v>26</v>
      </c>
      <c r="AG343" s="43" t="s">
        <v>43</v>
      </c>
      <c r="AH343" s="43" t="s">
        <v>36</v>
      </c>
      <c r="AI343">
        <v>3</v>
      </c>
      <c r="AJ343" t="s">
        <v>273</v>
      </c>
      <c r="AK343" s="43" t="s">
        <v>268</v>
      </c>
      <c r="AL343">
        <v>11.016666666666666</v>
      </c>
    </row>
    <row r="344" spans="31:38" x14ac:dyDescent="0.25">
      <c r="AE344" s="43" t="s">
        <v>114</v>
      </c>
      <c r="AF344" s="43" t="s">
        <v>26</v>
      </c>
      <c r="AG344" s="43" t="s">
        <v>115</v>
      </c>
      <c r="AH344" s="43" t="s">
        <v>36</v>
      </c>
      <c r="AI344">
        <v>3</v>
      </c>
      <c r="AJ344" t="s">
        <v>317</v>
      </c>
      <c r="AK344" s="43" t="s">
        <v>308</v>
      </c>
      <c r="AL344">
        <v>2.4</v>
      </c>
    </row>
    <row r="345" spans="31:38" x14ac:dyDescent="0.25">
      <c r="AE345" s="43" t="s">
        <v>114</v>
      </c>
      <c r="AF345" s="43" t="s">
        <v>26</v>
      </c>
      <c r="AG345" s="43" t="s">
        <v>115</v>
      </c>
      <c r="AH345" s="43" t="s">
        <v>36</v>
      </c>
      <c r="AI345">
        <v>3</v>
      </c>
      <c r="AJ345" t="s">
        <v>317</v>
      </c>
      <c r="AK345" s="43" t="s">
        <v>309</v>
      </c>
      <c r="AL345">
        <v>8.1</v>
      </c>
    </row>
    <row r="346" spans="31:38" x14ac:dyDescent="0.25">
      <c r="AE346" s="43" t="s">
        <v>114</v>
      </c>
      <c r="AF346" s="43" t="s">
        <v>26</v>
      </c>
      <c r="AG346" s="43" t="s">
        <v>115</v>
      </c>
      <c r="AH346" s="43" t="s">
        <v>36</v>
      </c>
      <c r="AI346">
        <v>3</v>
      </c>
      <c r="AJ346" t="s">
        <v>317</v>
      </c>
      <c r="AK346" s="43" t="s">
        <v>268</v>
      </c>
      <c r="AL346">
        <v>10.5</v>
      </c>
    </row>
    <row r="347" spans="31:38" x14ac:dyDescent="0.25">
      <c r="AE347" s="43" t="s">
        <v>114</v>
      </c>
      <c r="AF347" s="43" t="s">
        <v>26</v>
      </c>
      <c r="AG347" s="43" t="s">
        <v>115</v>
      </c>
      <c r="AH347" s="43" t="s">
        <v>36</v>
      </c>
      <c r="AI347">
        <v>3</v>
      </c>
      <c r="AJ347" t="s">
        <v>325</v>
      </c>
      <c r="AK347" s="43" t="s">
        <v>308</v>
      </c>
      <c r="AL347">
        <v>0</v>
      </c>
    </row>
    <row r="348" spans="31:38" x14ac:dyDescent="0.25">
      <c r="AE348" s="43" t="s">
        <v>114</v>
      </c>
      <c r="AF348" s="43" t="s">
        <v>26</v>
      </c>
      <c r="AG348" s="43" t="s">
        <v>115</v>
      </c>
      <c r="AH348" s="43" t="s">
        <v>36</v>
      </c>
      <c r="AI348">
        <v>3</v>
      </c>
      <c r="AJ348" t="s">
        <v>325</v>
      </c>
      <c r="AK348" s="43" t="s">
        <v>309</v>
      </c>
      <c r="AL348">
        <v>0</v>
      </c>
    </row>
    <row r="349" spans="31:38" x14ac:dyDescent="0.25">
      <c r="AE349" s="43" t="s">
        <v>114</v>
      </c>
      <c r="AF349" s="43" t="s">
        <v>26</v>
      </c>
      <c r="AG349" s="43" t="s">
        <v>115</v>
      </c>
      <c r="AH349" s="43" t="s">
        <v>36</v>
      </c>
      <c r="AI349">
        <v>3</v>
      </c>
      <c r="AJ349" t="s">
        <v>325</v>
      </c>
      <c r="AK349" s="43" t="s">
        <v>268</v>
      </c>
      <c r="AL349">
        <v>0</v>
      </c>
    </row>
    <row r="350" spans="31:38" x14ac:dyDescent="0.25">
      <c r="AE350" s="43" t="s">
        <v>114</v>
      </c>
      <c r="AF350" s="43" t="s">
        <v>26</v>
      </c>
      <c r="AG350" s="43" t="s">
        <v>115</v>
      </c>
      <c r="AH350" s="43" t="s">
        <v>36</v>
      </c>
      <c r="AI350">
        <v>3</v>
      </c>
      <c r="AJ350" t="s">
        <v>330</v>
      </c>
      <c r="AK350" s="43" t="s">
        <v>308</v>
      </c>
      <c r="AL350">
        <v>2.4</v>
      </c>
    </row>
    <row r="351" spans="31:38" x14ac:dyDescent="0.25">
      <c r="AE351" s="43" t="s">
        <v>114</v>
      </c>
      <c r="AF351" s="43" t="s">
        <v>26</v>
      </c>
      <c r="AG351" s="43" t="s">
        <v>115</v>
      </c>
      <c r="AH351" s="43" t="s">
        <v>36</v>
      </c>
      <c r="AI351">
        <v>3</v>
      </c>
      <c r="AJ351" t="s">
        <v>330</v>
      </c>
      <c r="AK351" s="43" t="s">
        <v>309</v>
      </c>
      <c r="AL351">
        <v>8</v>
      </c>
    </row>
    <row r="352" spans="31:38" x14ac:dyDescent="0.25">
      <c r="AE352" s="43" t="s">
        <v>114</v>
      </c>
      <c r="AF352" s="43" t="s">
        <v>26</v>
      </c>
      <c r="AG352" s="43" t="s">
        <v>115</v>
      </c>
      <c r="AH352" s="43" t="s">
        <v>36</v>
      </c>
      <c r="AI352">
        <v>3</v>
      </c>
      <c r="AJ352" t="s">
        <v>330</v>
      </c>
      <c r="AK352" s="43" t="s">
        <v>268</v>
      </c>
      <c r="AL352">
        <v>10.4</v>
      </c>
    </row>
    <row r="353" spans="31:38" x14ac:dyDescent="0.25">
      <c r="AE353" s="43" t="s">
        <v>114</v>
      </c>
      <c r="AF353" s="43" t="s">
        <v>26</v>
      </c>
      <c r="AG353" s="43" t="s">
        <v>115</v>
      </c>
      <c r="AH353" s="43" t="s">
        <v>36</v>
      </c>
      <c r="AI353">
        <v>3</v>
      </c>
      <c r="AJ353" t="s">
        <v>331</v>
      </c>
      <c r="AK353" s="43" t="s">
        <v>308</v>
      </c>
      <c r="AL353">
        <v>2.4</v>
      </c>
    </row>
    <row r="354" spans="31:38" x14ac:dyDescent="0.25">
      <c r="AE354" s="43" t="s">
        <v>114</v>
      </c>
      <c r="AF354" s="43" t="s">
        <v>26</v>
      </c>
      <c r="AG354" s="43" t="s">
        <v>115</v>
      </c>
      <c r="AH354" s="43" t="s">
        <v>36</v>
      </c>
      <c r="AI354">
        <v>3</v>
      </c>
      <c r="AJ354" t="s">
        <v>331</v>
      </c>
      <c r="AK354" s="43" t="s">
        <v>309</v>
      </c>
      <c r="AL354">
        <v>8.8000000000000007</v>
      </c>
    </row>
    <row r="355" spans="31:38" x14ac:dyDescent="0.25">
      <c r="AE355" s="43" t="s">
        <v>114</v>
      </c>
      <c r="AF355" s="43" t="s">
        <v>26</v>
      </c>
      <c r="AG355" s="43" t="s">
        <v>115</v>
      </c>
      <c r="AH355" s="43" t="s">
        <v>36</v>
      </c>
      <c r="AI355">
        <v>3</v>
      </c>
      <c r="AJ355" t="s">
        <v>331</v>
      </c>
      <c r="AK355" s="43" t="s">
        <v>268</v>
      </c>
      <c r="AL355">
        <v>11.2</v>
      </c>
    </row>
    <row r="356" spans="31:38" x14ac:dyDescent="0.25">
      <c r="AE356" s="43" t="s">
        <v>114</v>
      </c>
      <c r="AF356" s="43" t="s">
        <v>26</v>
      </c>
      <c r="AG356" s="43" t="s">
        <v>115</v>
      </c>
      <c r="AH356" s="43" t="s">
        <v>36</v>
      </c>
      <c r="AI356">
        <v>3</v>
      </c>
      <c r="AJ356" t="s">
        <v>341</v>
      </c>
      <c r="AK356" s="43" t="s">
        <v>308</v>
      </c>
      <c r="AL356">
        <v>7.1999999999999993</v>
      </c>
    </row>
    <row r="357" spans="31:38" x14ac:dyDescent="0.25">
      <c r="AE357" s="43" t="s">
        <v>114</v>
      </c>
      <c r="AF357" s="43" t="s">
        <v>26</v>
      </c>
      <c r="AG357" s="43" t="s">
        <v>115</v>
      </c>
      <c r="AH357" s="43" t="s">
        <v>36</v>
      </c>
      <c r="AI357">
        <v>3</v>
      </c>
      <c r="AJ357" t="s">
        <v>341</v>
      </c>
      <c r="AK357" s="43" t="s">
        <v>309</v>
      </c>
      <c r="AL357">
        <v>24.9</v>
      </c>
    </row>
    <row r="358" spans="31:38" x14ac:dyDescent="0.25">
      <c r="AE358" s="43" t="s">
        <v>114</v>
      </c>
      <c r="AF358" s="43" t="s">
        <v>26</v>
      </c>
      <c r="AG358" s="43" t="s">
        <v>115</v>
      </c>
      <c r="AH358" s="43" t="s">
        <v>36</v>
      </c>
      <c r="AI358">
        <v>3</v>
      </c>
      <c r="AJ358" t="s">
        <v>341</v>
      </c>
      <c r="AK358" s="43" t="s">
        <v>268</v>
      </c>
      <c r="AL358">
        <v>32.1</v>
      </c>
    </row>
    <row r="359" spans="31:38" x14ac:dyDescent="0.25">
      <c r="AE359" s="43" t="s">
        <v>114</v>
      </c>
      <c r="AF359" s="43" t="s">
        <v>26</v>
      </c>
      <c r="AG359" s="43" t="s">
        <v>115</v>
      </c>
      <c r="AH359" s="43" t="s">
        <v>36</v>
      </c>
      <c r="AI359">
        <v>3</v>
      </c>
      <c r="AJ359" t="s">
        <v>273</v>
      </c>
      <c r="AK359" s="43" t="s">
        <v>308</v>
      </c>
      <c r="AL359">
        <v>2.4</v>
      </c>
    </row>
    <row r="360" spans="31:38" x14ac:dyDescent="0.25">
      <c r="AE360" s="43" t="s">
        <v>114</v>
      </c>
      <c r="AF360" s="43" t="s">
        <v>26</v>
      </c>
      <c r="AG360" s="43" t="s">
        <v>115</v>
      </c>
      <c r="AH360" s="43" t="s">
        <v>36</v>
      </c>
      <c r="AI360">
        <v>3</v>
      </c>
      <c r="AJ360" t="s">
        <v>273</v>
      </c>
      <c r="AK360" s="43" t="s">
        <v>309</v>
      </c>
      <c r="AL360">
        <v>8.2999999999999989</v>
      </c>
    </row>
    <row r="361" spans="31:38" x14ac:dyDescent="0.25">
      <c r="AE361" s="43" t="s">
        <v>114</v>
      </c>
      <c r="AF361" s="43" t="s">
        <v>26</v>
      </c>
      <c r="AG361" s="43" t="s">
        <v>115</v>
      </c>
      <c r="AH361" s="43" t="s">
        <v>36</v>
      </c>
      <c r="AI361">
        <v>3</v>
      </c>
      <c r="AJ361" t="s">
        <v>273</v>
      </c>
      <c r="AK361" s="43" t="s">
        <v>268</v>
      </c>
      <c r="AL361">
        <v>10.700000000000001</v>
      </c>
    </row>
    <row r="362" spans="31:38" x14ac:dyDescent="0.25">
      <c r="AE362" s="43" t="s">
        <v>86</v>
      </c>
      <c r="AF362" s="43" t="s">
        <v>60</v>
      </c>
      <c r="AG362" s="43" t="s">
        <v>87</v>
      </c>
      <c r="AH362" s="43" t="s">
        <v>72</v>
      </c>
      <c r="AI362">
        <v>4</v>
      </c>
      <c r="AJ362" t="s">
        <v>317</v>
      </c>
      <c r="AK362" s="43" t="s">
        <v>308</v>
      </c>
      <c r="AL362">
        <v>2.6</v>
      </c>
    </row>
    <row r="363" spans="31:38" x14ac:dyDescent="0.25">
      <c r="AE363" s="43" t="s">
        <v>86</v>
      </c>
      <c r="AF363" s="43" t="s">
        <v>60</v>
      </c>
      <c r="AG363" s="43" t="s">
        <v>87</v>
      </c>
      <c r="AH363" s="43" t="s">
        <v>72</v>
      </c>
      <c r="AI363">
        <v>4</v>
      </c>
      <c r="AJ363" t="s">
        <v>317</v>
      </c>
      <c r="AK363" s="43" t="s">
        <v>309</v>
      </c>
      <c r="AL363">
        <v>5.65</v>
      </c>
    </row>
    <row r="364" spans="31:38" x14ac:dyDescent="0.25">
      <c r="AE364" s="43" t="s">
        <v>86</v>
      </c>
      <c r="AF364" s="43" t="s">
        <v>60</v>
      </c>
      <c r="AG364" s="43" t="s">
        <v>87</v>
      </c>
      <c r="AH364" s="43" t="s">
        <v>72</v>
      </c>
      <c r="AI364">
        <v>4</v>
      </c>
      <c r="AJ364" t="s">
        <v>317</v>
      </c>
      <c r="AK364" s="43" t="s">
        <v>268</v>
      </c>
      <c r="AL364">
        <v>8.25</v>
      </c>
    </row>
    <row r="365" spans="31:38" x14ac:dyDescent="0.25">
      <c r="AE365" s="43" t="s">
        <v>86</v>
      </c>
      <c r="AF365" s="43" t="s">
        <v>60</v>
      </c>
      <c r="AG365" s="43" t="s">
        <v>87</v>
      </c>
      <c r="AH365" s="43" t="s">
        <v>72</v>
      </c>
      <c r="AI365">
        <v>4</v>
      </c>
      <c r="AJ365" t="s">
        <v>325</v>
      </c>
      <c r="AK365" s="43" t="s">
        <v>308</v>
      </c>
      <c r="AL365">
        <v>2.8</v>
      </c>
    </row>
    <row r="366" spans="31:38" x14ac:dyDescent="0.25">
      <c r="AE366" s="43" t="s">
        <v>86</v>
      </c>
      <c r="AF366" s="43" t="s">
        <v>60</v>
      </c>
      <c r="AG366" s="43" t="s">
        <v>87</v>
      </c>
      <c r="AH366" s="43" t="s">
        <v>72</v>
      </c>
      <c r="AI366">
        <v>4</v>
      </c>
      <c r="AJ366" t="s">
        <v>325</v>
      </c>
      <c r="AK366" s="43" t="s">
        <v>309</v>
      </c>
      <c r="AL366">
        <v>7.5</v>
      </c>
    </row>
    <row r="367" spans="31:38" x14ac:dyDescent="0.25">
      <c r="AE367" s="43" t="s">
        <v>86</v>
      </c>
      <c r="AF367" s="43" t="s">
        <v>60</v>
      </c>
      <c r="AG367" s="43" t="s">
        <v>87</v>
      </c>
      <c r="AH367" s="43" t="s">
        <v>72</v>
      </c>
      <c r="AI367">
        <v>4</v>
      </c>
      <c r="AJ367" t="s">
        <v>325</v>
      </c>
      <c r="AK367" s="43" t="s">
        <v>268</v>
      </c>
      <c r="AL367">
        <v>10.3</v>
      </c>
    </row>
    <row r="368" spans="31:38" x14ac:dyDescent="0.25">
      <c r="AE368" s="43" t="s">
        <v>86</v>
      </c>
      <c r="AF368" s="43" t="s">
        <v>60</v>
      </c>
      <c r="AG368" s="43" t="s">
        <v>87</v>
      </c>
      <c r="AH368" s="43" t="s">
        <v>72</v>
      </c>
      <c r="AI368">
        <v>4</v>
      </c>
      <c r="AJ368" t="s">
        <v>330</v>
      </c>
      <c r="AK368" s="43" t="s">
        <v>308</v>
      </c>
      <c r="AL368">
        <v>2.9</v>
      </c>
    </row>
    <row r="369" spans="31:38" x14ac:dyDescent="0.25">
      <c r="AE369" s="43" t="s">
        <v>86</v>
      </c>
      <c r="AF369" s="43" t="s">
        <v>60</v>
      </c>
      <c r="AG369" s="43" t="s">
        <v>87</v>
      </c>
      <c r="AH369" s="43" t="s">
        <v>72</v>
      </c>
      <c r="AI369">
        <v>4</v>
      </c>
      <c r="AJ369" t="s">
        <v>330</v>
      </c>
      <c r="AK369" s="43" t="s">
        <v>309</v>
      </c>
      <c r="AL369">
        <v>7.2</v>
      </c>
    </row>
    <row r="370" spans="31:38" x14ac:dyDescent="0.25">
      <c r="AE370" s="43" t="s">
        <v>86</v>
      </c>
      <c r="AF370" s="43" t="s">
        <v>60</v>
      </c>
      <c r="AG370" s="43" t="s">
        <v>87</v>
      </c>
      <c r="AH370" s="43" t="s">
        <v>72</v>
      </c>
      <c r="AI370">
        <v>4</v>
      </c>
      <c r="AJ370" t="s">
        <v>330</v>
      </c>
      <c r="AK370" s="43" t="s">
        <v>268</v>
      </c>
      <c r="AL370">
        <v>10.1</v>
      </c>
    </row>
    <row r="371" spans="31:38" x14ac:dyDescent="0.25">
      <c r="AE371" s="43" t="s">
        <v>86</v>
      </c>
      <c r="AF371" s="43" t="s">
        <v>60</v>
      </c>
      <c r="AG371" s="43" t="s">
        <v>87</v>
      </c>
      <c r="AH371" s="43" t="s">
        <v>72</v>
      </c>
      <c r="AI371">
        <v>4</v>
      </c>
      <c r="AJ371" t="s">
        <v>331</v>
      </c>
      <c r="AK371" s="43" t="s">
        <v>308</v>
      </c>
      <c r="AL371">
        <v>2.4</v>
      </c>
    </row>
    <row r="372" spans="31:38" x14ac:dyDescent="0.25">
      <c r="AE372" s="43" t="s">
        <v>86</v>
      </c>
      <c r="AF372" s="43" t="s">
        <v>60</v>
      </c>
      <c r="AG372" s="43" t="s">
        <v>87</v>
      </c>
      <c r="AH372" s="43" t="s">
        <v>72</v>
      </c>
      <c r="AI372">
        <v>4</v>
      </c>
      <c r="AJ372" t="s">
        <v>331</v>
      </c>
      <c r="AK372" s="43" t="s">
        <v>309</v>
      </c>
      <c r="AL372">
        <v>4</v>
      </c>
    </row>
    <row r="373" spans="31:38" x14ac:dyDescent="0.25">
      <c r="AE373" s="43" t="s">
        <v>86</v>
      </c>
      <c r="AF373" s="43" t="s">
        <v>60</v>
      </c>
      <c r="AG373" s="43" t="s">
        <v>87</v>
      </c>
      <c r="AH373" s="43" t="s">
        <v>72</v>
      </c>
      <c r="AI373">
        <v>4</v>
      </c>
      <c r="AJ373" t="s">
        <v>331</v>
      </c>
      <c r="AK373" s="43" t="s">
        <v>268</v>
      </c>
      <c r="AL373">
        <v>6.4</v>
      </c>
    </row>
    <row r="374" spans="31:38" x14ac:dyDescent="0.25">
      <c r="AE374" s="43" t="s">
        <v>86</v>
      </c>
      <c r="AF374" s="43" t="s">
        <v>60</v>
      </c>
      <c r="AG374" s="43" t="s">
        <v>87</v>
      </c>
      <c r="AH374" s="43" t="s">
        <v>72</v>
      </c>
      <c r="AI374">
        <v>4</v>
      </c>
      <c r="AJ374" t="s">
        <v>341</v>
      </c>
      <c r="AK374" s="43" t="s">
        <v>308</v>
      </c>
      <c r="AL374">
        <v>8.2999999999999989</v>
      </c>
    </row>
    <row r="375" spans="31:38" x14ac:dyDescent="0.25">
      <c r="AE375" s="43" t="s">
        <v>86</v>
      </c>
      <c r="AF375" s="43" t="s">
        <v>60</v>
      </c>
      <c r="AG375" s="43" t="s">
        <v>87</v>
      </c>
      <c r="AH375" s="43" t="s">
        <v>72</v>
      </c>
      <c r="AI375">
        <v>4</v>
      </c>
      <c r="AJ375" t="s">
        <v>341</v>
      </c>
      <c r="AK375" s="43" t="s">
        <v>309</v>
      </c>
      <c r="AL375">
        <v>20.350000000000001</v>
      </c>
    </row>
    <row r="376" spans="31:38" x14ac:dyDescent="0.25">
      <c r="AE376" s="43" t="s">
        <v>86</v>
      </c>
      <c r="AF376" s="43" t="s">
        <v>60</v>
      </c>
      <c r="AG376" s="43" t="s">
        <v>87</v>
      </c>
      <c r="AH376" s="43" t="s">
        <v>72</v>
      </c>
      <c r="AI376">
        <v>4</v>
      </c>
      <c r="AJ376" t="s">
        <v>341</v>
      </c>
      <c r="AK376" s="43" t="s">
        <v>268</v>
      </c>
      <c r="AL376">
        <v>28.65</v>
      </c>
    </row>
    <row r="377" spans="31:38" x14ac:dyDescent="0.25">
      <c r="AE377" s="43" t="s">
        <v>86</v>
      </c>
      <c r="AF377" s="43" t="s">
        <v>60</v>
      </c>
      <c r="AG377" s="43" t="s">
        <v>87</v>
      </c>
      <c r="AH377" s="43" t="s">
        <v>72</v>
      </c>
      <c r="AI377">
        <v>4</v>
      </c>
      <c r="AJ377" t="s">
        <v>273</v>
      </c>
      <c r="AK377" s="43" t="s">
        <v>308</v>
      </c>
      <c r="AL377">
        <v>2.7666666666666662</v>
      </c>
    </row>
    <row r="378" spans="31:38" x14ac:dyDescent="0.25">
      <c r="AE378" s="43" t="s">
        <v>86</v>
      </c>
      <c r="AF378" s="43" t="s">
        <v>60</v>
      </c>
      <c r="AG378" s="43" t="s">
        <v>87</v>
      </c>
      <c r="AH378" s="43" t="s">
        <v>72</v>
      </c>
      <c r="AI378">
        <v>4</v>
      </c>
      <c r="AJ378" t="s">
        <v>273</v>
      </c>
      <c r="AK378" s="43" t="s">
        <v>309</v>
      </c>
      <c r="AL378">
        <v>6.7833333333333341</v>
      </c>
    </row>
    <row r="379" spans="31:38" x14ac:dyDescent="0.25">
      <c r="AE379" s="43" t="s">
        <v>86</v>
      </c>
      <c r="AF379" s="43" t="s">
        <v>60</v>
      </c>
      <c r="AG379" s="43" t="s">
        <v>87</v>
      </c>
      <c r="AH379" s="43" t="s">
        <v>72</v>
      </c>
      <c r="AI379">
        <v>4</v>
      </c>
      <c r="AJ379" t="s">
        <v>273</v>
      </c>
      <c r="AK379" s="43" t="s">
        <v>268</v>
      </c>
      <c r="AL379">
        <v>9.5499999999999989</v>
      </c>
    </row>
    <row r="380" spans="31:38" x14ac:dyDescent="0.25">
      <c r="AE380" s="43" t="s">
        <v>65</v>
      </c>
      <c r="AF380" s="43" t="s">
        <v>60</v>
      </c>
      <c r="AG380" s="43" t="s">
        <v>66</v>
      </c>
      <c r="AH380" s="43" t="s">
        <v>67</v>
      </c>
      <c r="AI380">
        <v>2</v>
      </c>
      <c r="AJ380" t="s">
        <v>317</v>
      </c>
      <c r="AK380" s="43" t="s">
        <v>308</v>
      </c>
      <c r="AL380">
        <v>0</v>
      </c>
    </row>
    <row r="381" spans="31:38" x14ac:dyDescent="0.25">
      <c r="AE381" s="43" t="s">
        <v>65</v>
      </c>
      <c r="AF381" s="43" t="s">
        <v>60</v>
      </c>
      <c r="AG381" s="43" t="s">
        <v>66</v>
      </c>
      <c r="AH381" s="43" t="s">
        <v>67</v>
      </c>
      <c r="AI381">
        <v>2</v>
      </c>
      <c r="AJ381" t="s">
        <v>317</v>
      </c>
      <c r="AK381" s="43" t="s">
        <v>309</v>
      </c>
      <c r="AL381">
        <v>0</v>
      </c>
    </row>
    <row r="382" spans="31:38" x14ac:dyDescent="0.25">
      <c r="AE382" s="43" t="s">
        <v>65</v>
      </c>
      <c r="AF382" s="43" t="s">
        <v>60</v>
      </c>
      <c r="AG382" s="43" t="s">
        <v>66</v>
      </c>
      <c r="AH382" s="43" t="s">
        <v>67</v>
      </c>
      <c r="AI382">
        <v>2</v>
      </c>
      <c r="AJ382" t="s">
        <v>317</v>
      </c>
      <c r="AK382" s="43" t="s">
        <v>268</v>
      </c>
      <c r="AL382">
        <v>0</v>
      </c>
    </row>
    <row r="383" spans="31:38" x14ac:dyDescent="0.25">
      <c r="AE383" s="43" t="s">
        <v>65</v>
      </c>
      <c r="AF383" s="43" t="s">
        <v>60</v>
      </c>
      <c r="AG383" s="43" t="s">
        <v>66</v>
      </c>
      <c r="AH383" s="43" t="s">
        <v>67</v>
      </c>
      <c r="AI383">
        <v>2</v>
      </c>
      <c r="AJ383" t="s">
        <v>325</v>
      </c>
      <c r="AK383" s="43" t="s">
        <v>308</v>
      </c>
      <c r="AL383">
        <v>3</v>
      </c>
    </row>
    <row r="384" spans="31:38" x14ac:dyDescent="0.25">
      <c r="AE384" s="43" t="s">
        <v>65</v>
      </c>
      <c r="AF384" s="43" t="s">
        <v>60</v>
      </c>
      <c r="AG384" s="43" t="s">
        <v>66</v>
      </c>
      <c r="AH384" s="43" t="s">
        <v>67</v>
      </c>
      <c r="AI384">
        <v>2</v>
      </c>
      <c r="AJ384" t="s">
        <v>325</v>
      </c>
      <c r="AK384" s="43" t="s">
        <v>309</v>
      </c>
      <c r="AL384">
        <v>9.35</v>
      </c>
    </row>
    <row r="385" spans="31:38" x14ac:dyDescent="0.25">
      <c r="AE385" s="43" t="s">
        <v>65</v>
      </c>
      <c r="AF385" s="43" t="s">
        <v>60</v>
      </c>
      <c r="AG385" s="43" t="s">
        <v>66</v>
      </c>
      <c r="AH385" s="43" t="s">
        <v>67</v>
      </c>
      <c r="AI385">
        <v>2</v>
      </c>
      <c r="AJ385" t="s">
        <v>325</v>
      </c>
      <c r="AK385" s="43" t="s">
        <v>268</v>
      </c>
      <c r="AL385">
        <v>12.35</v>
      </c>
    </row>
    <row r="386" spans="31:38" x14ac:dyDescent="0.25">
      <c r="AE386" s="43" t="s">
        <v>65</v>
      </c>
      <c r="AF386" s="43" t="s">
        <v>60</v>
      </c>
      <c r="AG386" s="43" t="s">
        <v>66</v>
      </c>
      <c r="AH386" s="43" t="s">
        <v>67</v>
      </c>
      <c r="AI386">
        <v>2</v>
      </c>
      <c r="AJ386" t="s">
        <v>330</v>
      </c>
      <c r="AK386" s="43" t="s">
        <v>308</v>
      </c>
      <c r="AL386">
        <v>0</v>
      </c>
    </row>
    <row r="387" spans="31:38" x14ac:dyDescent="0.25">
      <c r="AE387" s="43" t="s">
        <v>65</v>
      </c>
      <c r="AF387" s="43" t="s">
        <v>60</v>
      </c>
      <c r="AG387" s="43" t="s">
        <v>66</v>
      </c>
      <c r="AH387" s="43" t="s">
        <v>67</v>
      </c>
      <c r="AI387">
        <v>2</v>
      </c>
      <c r="AJ387" t="s">
        <v>330</v>
      </c>
      <c r="AK387" s="43" t="s">
        <v>309</v>
      </c>
      <c r="AL387">
        <v>0</v>
      </c>
    </row>
    <row r="388" spans="31:38" x14ac:dyDescent="0.25">
      <c r="AE388" s="43" t="s">
        <v>65</v>
      </c>
      <c r="AF388" s="43" t="s">
        <v>60</v>
      </c>
      <c r="AG388" s="43" t="s">
        <v>66</v>
      </c>
      <c r="AH388" s="43" t="s">
        <v>67</v>
      </c>
      <c r="AI388">
        <v>2</v>
      </c>
      <c r="AJ388" t="s">
        <v>330</v>
      </c>
      <c r="AK388" s="43" t="s">
        <v>268</v>
      </c>
      <c r="AL388">
        <v>0</v>
      </c>
    </row>
    <row r="389" spans="31:38" x14ac:dyDescent="0.25">
      <c r="AE389" s="43" t="s">
        <v>65</v>
      </c>
      <c r="AF389" s="43" t="s">
        <v>60</v>
      </c>
      <c r="AG389" s="43" t="s">
        <v>66</v>
      </c>
      <c r="AH389" s="43" t="s">
        <v>67</v>
      </c>
      <c r="AI389">
        <v>2</v>
      </c>
      <c r="AJ389" t="s">
        <v>331</v>
      </c>
      <c r="AK389" s="43" t="s">
        <v>308</v>
      </c>
      <c r="AL389">
        <v>3.4</v>
      </c>
    </row>
    <row r="390" spans="31:38" x14ac:dyDescent="0.25">
      <c r="AE390" s="43" t="s">
        <v>65</v>
      </c>
      <c r="AF390" s="43" t="s">
        <v>60</v>
      </c>
      <c r="AG390" s="43" t="s">
        <v>66</v>
      </c>
      <c r="AH390" s="43" t="s">
        <v>67</v>
      </c>
      <c r="AI390">
        <v>2</v>
      </c>
      <c r="AJ390" t="s">
        <v>331</v>
      </c>
      <c r="AK390" s="43" t="s">
        <v>309</v>
      </c>
      <c r="AL390">
        <v>9</v>
      </c>
    </row>
    <row r="391" spans="31:38" x14ac:dyDescent="0.25">
      <c r="AE391" s="43" t="s">
        <v>65</v>
      </c>
      <c r="AF391" s="43" t="s">
        <v>60</v>
      </c>
      <c r="AG391" s="43" t="s">
        <v>66</v>
      </c>
      <c r="AH391" s="43" t="s">
        <v>67</v>
      </c>
      <c r="AI391">
        <v>2</v>
      </c>
      <c r="AJ391" t="s">
        <v>331</v>
      </c>
      <c r="AK391" s="43" t="s">
        <v>268</v>
      </c>
      <c r="AL391">
        <v>12.4</v>
      </c>
    </row>
    <row r="392" spans="31:38" x14ac:dyDescent="0.25">
      <c r="AE392" s="43" t="s">
        <v>65</v>
      </c>
      <c r="AF392" s="43" t="s">
        <v>60</v>
      </c>
      <c r="AG392" s="43" t="s">
        <v>66</v>
      </c>
      <c r="AH392" s="43" t="s">
        <v>67</v>
      </c>
      <c r="AI392">
        <v>2</v>
      </c>
      <c r="AJ392" t="s">
        <v>341</v>
      </c>
      <c r="AK392" s="43" t="s">
        <v>308</v>
      </c>
      <c r="AL392">
        <v>6.4</v>
      </c>
    </row>
    <row r="393" spans="31:38" x14ac:dyDescent="0.25">
      <c r="AE393" s="43" t="s">
        <v>65</v>
      </c>
      <c r="AF393" s="43" t="s">
        <v>60</v>
      </c>
      <c r="AG393" s="43" t="s">
        <v>66</v>
      </c>
      <c r="AH393" s="43" t="s">
        <v>67</v>
      </c>
      <c r="AI393">
        <v>2</v>
      </c>
      <c r="AJ393" t="s">
        <v>341</v>
      </c>
      <c r="AK393" s="43" t="s">
        <v>309</v>
      </c>
      <c r="AL393">
        <v>18.350000000000001</v>
      </c>
    </row>
    <row r="394" spans="31:38" x14ac:dyDescent="0.25">
      <c r="AE394" s="43" t="s">
        <v>65</v>
      </c>
      <c r="AF394" s="43" t="s">
        <v>60</v>
      </c>
      <c r="AG394" s="43" t="s">
        <v>66</v>
      </c>
      <c r="AH394" s="43" t="s">
        <v>67</v>
      </c>
      <c r="AI394">
        <v>2</v>
      </c>
      <c r="AJ394" t="s">
        <v>341</v>
      </c>
      <c r="AK394" s="43" t="s">
        <v>268</v>
      </c>
      <c r="AL394">
        <v>24.75</v>
      </c>
    </row>
    <row r="395" spans="31:38" x14ac:dyDescent="0.25">
      <c r="AE395" s="43" t="s">
        <v>65</v>
      </c>
      <c r="AF395" s="43" t="s">
        <v>60</v>
      </c>
      <c r="AG395" s="43" t="s">
        <v>66</v>
      </c>
      <c r="AH395" s="43" t="s">
        <v>67</v>
      </c>
      <c r="AI395">
        <v>2</v>
      </c>
      <c r="AJ395" t="s">
        <v>273</v>
      </c>
      <c r="AK395" s="43" t="s">
        <v>308</v>
      </c>
      <c r="AL395">
        <v>0</v>
      </c>
    </row>
    <row r="396" spans="31:38" x14ac:dyDescent="0.25">
      <c r="AE396" s="43" t="s">
        <v>65</v>
      </c>
      <c r="AF396" s="43" t="s">
        <v>60</v>
      </c>
      <c r="AG396" s="43" t="s">
        <v>66</v>
      </c>
      <c r="AH396" s="43" t="s">
        <v>67</v>
      </c>
      <c r="AI396">
        <v>2</v>
      </c>
      <c r="AJ396" t="s">
        <v>273</v>
      </c>
      <c r="AK396" s="43" t="s">
        <v>309</v>
      </c>
      <c r="AL396">
        <v>0</v>
      </c>
    </row>
    <row r="397" spans="31:38" x14ac:dyDescent="0.25">
      <c r="AE397" s="43" t="s">
        <v>65</v>
      </c>
      <c r="AF397" s="43" t="s">
        <v>60</v>
      </c>
      <c r="AG397" s="43" t="s">
        <v>66</v>
      </c>
      <c r="AH397" s="43" t="s">
        <v>67</v>
      </c>
      <c r="AI397">
        <v>2</v>
      </c>
      <c r="AJ397" t="s">
        <v>273</v>
      </c>
      <c r="AK397" s="43" t="s">
        <v>268</v>
      </c>
      <c r="AL397">
        <v>0</v>
      </c>
    </row>
    <row r="398" spans="31:38" x14ac:dyDescent="0.25">
      <c r="AE398" s="43" t="s">
        <v>75</v>
      </c>
      <c r="AF398" s="43" t="s">
        <v>60</v>
      </c>
      <c r="AG398" s="43" t="s">
        <v>76</v>
      </c>
      <c r="AH398" s="43" t="s">
        <v>28</v>
      </c>
      <c r="AI398">
        <v>2</v>
      </c>
      <c r="AJ398" t="s">
        <v>317</v>
      </c>
      <c r="AK398" s="43" t="s">
        <v>308</v>
      </c>
      <c r="AL398">
        <v>0</v>
      </c>
    </row>
    <row r="399" spans="31:38" x14ac:dyDescent="0.25">
      <c r="AE399" s="43" t="s">
        <v>75</v>
      </c>
      <c r="AF399" s="43" t="s">
        <v>60</v>
      </c>
      <c r="AG399" s="43" t="s">
        <v>76</v>
      </c>
      <c r="AH399" s="43" t="s">
        <v>28</v>
      </c>
      <c r="AI399">
        <v>2</v>
      </c>
      <c r="AJ399" t="s">
        <v>317</v>
      </c>
      <c r="AK399" s="43" t="s">
        <v>309</v>
      </c>
      <c r="AL399">
        <v>0</v>
      </c>
    </row>
    <row r="400" spans="31:38" x14ac:dyDescent="0.25">
      <c r="AE400" s="43" t="s">
        <v>75</v>
      </c>
      <c r="AF400" s="43" t="s">
        <v>60</v>
      </c>
      <c r="AG400" s="43" t="s">
        <v>76</v>
      </c>
      <c r="AH400" s="43" t="s">
        <v>28</v>
      </c>
      <c r="AI400">
        <v>2</v>
      </c>
      <c r="AJ400" t="s">
        <v>317</v>
      </c>
      <c r="AK400" s="43" t="s">
        <v>268</v>
      </c>
      <c r="AL400">
        <v>0</v>
      </c>
    </row>
    <row r="401" spans="31:38" x14ac:dyDescent="0.25">
      <c r="AE401" s="43" t="s">
        <v>75</v>
      </c>
      <c r="AF401" s="43" t="s">
        <v>60</v>
      </c>
      <c r="AG401" s="43" t="s">
        <v>76</v>
      </c>
      <c r="AH401" s="43" t="s">
        <v>28</v>
      </c>
      <c r="AI401">
        <v>2</v>
      </c>
      <c r="AJ401" t="s">
        <v>325</v>
      </c>
      <c r="AK401" s="43" t="s">
        <v>308</v>
      </c>
      <c r="AL401">
        <v>3.5</v>
      </c>
    </row>
    <row r="402" spans="31:38" x14ac:dyDescent="0.25">
      <c r="AE402" s="43" t="s">
        <v>75</v>
      </c>
      <c r="AF402" s="43" t="s">
        <v>60</v>
      </c>
      <c r="AG402" s="43" t="s">
        <v>76</v>
      </c>
      <c r="AH402" s="43" t="s">
        <v>28</v>
      </c>
      <c r="AI402">
        <v>2</v>
      </c>
      <c r="AJ402" t="s">
        <v>325</v>
      </c>
      <c r="AK402" s="43" t="s">
        <v>309</v>
      </c>
      <c r="AL402">
        <v>8.0500000000000007</v>
      </c>
    </row>
    <row r="403" spans="31:38" x14ac:dyDescent="0.25">
      <c r="AE403" s="43" t="s">
        <v>75</v>
      </c>
      <c r="AF403" s="43" t="s">
        <v>60</v>
      </c>
      <c r="AG403" s="43" t="s">
        <v>76</v>
      </c>
      <c r="AH403" s="43" t="s">
        <v>28</v>
      </c>
      <c r="AI403">
        <v>2</v>
      </c>
      <c r="AJ403" t="s">
        <v>325</v>
      </c>
      <c r="AK403" s="43" t="s">
        <v>268</v>
      </c>
      <c r="AL403">
        <v>11.55</v>
      </c>
    </row>
    <row r="404" spans="31:38" x14ac:dyDescent="0.25">
      <c r="AE404" s="43" t="s">
        <v>75</v>
      </c>
      <c r="AF404" s="43" t="s">
        <v>60</v>
      </c>
      <c r="AG404" s="43" t="s">
        <v>76</v>
      </c>
      <c r="AH404" s="43" t="s">
        <v>28</v>
      </c>
      <c r="AI404">
        <v>2</v>
      </c>
      <c r="AJ404" t="s">
        <v>330</v>
      </c>
      <c r="AK404" s="43" t="s">
        <v>308</v>
      </c>
      <c r="AL404">
        <v>3.5</v>
      </c>
    </row>
    <row r="405" spans="31:38" x14ac:dyDescent="0.25">
      <c r="AE405" s="43" t="s">
        <v>75</v>
      </c>
      <c r="AF405" s="43" t="s">
        <v>60</v>
      </c>
      <c r="AG405" s="43" t="s">
        <v>76</v>
      </c>
      <c r="AH405" s="43" t="s">
        <v>28</v>
      </c>
      <c r="AI405">
        <v>2</v>
      </c>
      <c r="AJ405" t="s">
        <v>330</v>
      </c>
      <c r="AK405" s="43" t="s">
        <v>309</v>
      </c>
      <c r="AL405">
        <v>9.1</v>
      </c>
    </row>
    <row r="406" spans="31:38" x14ac:dyDescent="0.25">
      <c r="AE406" s="43" t="s">
        <v>75</v>
      </c>
      <c r="AF406" s="43" t="s">
        <v>60</v>
      </c>
      <c r="AG406" s="43" t="s">
        <v>76</v>
      </c>
      <c r="AH406" s="43" t="s">
        <v>28</v>
      </c>
      <c r="AI406">
        <v>2</v>
      </c>
      <c r="AJ406" t="s">
        <v>330</v>
      </c>
      <c r="AK406" s="43" t="s">
        <v>268</v>
      </c>
      <c r="AL406">
        <v>12.6</v>
      </c>
    </row>
    <row r="407" spans="31:38" x14ac:dyDescent="0.25">
      <c r="AE407" s="43" t="s">
        <v>75</v>
      </c>
      <c r="AF407" s="43" t="s">
        <v>60</v>
      </c>
      <c r="AG407" s="43" t="s">
        <v>76</v>
      </c>
      <c r="AH407" s="43" t="s">
        <v>28</v>
      </c>
      <c r="AI407">
        <v>2</v>
      </c>
      <c r="AJ407" t="s">
        <v>331</v>
      </c>
      <c r="AK407" s="43" t="s">
        <v>308</v>
      </c>
      <c r="AL407">
        <v>0</v>
      </c>
    </row>
    <row r="408" spans="31:38" x14ac:dyDescent="0.25">
      <c r="AE408" s="43" t="s">
        <v>75</v>
      </c>
      <c r="AF408" s="43" t="s">
        <v>60</v>
      </c>
      <c r="AG408" s="43" t="s">
        <v>76</v>
      </c>
      <c r="AH408" s="43" t="s">
        <v>28</v>
      </c>
      <c r="AI408">
        <v>2</v>
      </c>
      <c r="AJ408" t="s">
        <v>331</v>
      </c>
      <c r="AK408" s="43" t="s">
        <v>309</v>
      </c>
      <c r="AL408">
        <v>0</v>
      </c>
    </row>
    <row r="409" spans="31:38" x14ac:dyDescent="0.25">
      <c r="AE409" s="43" t="s">
        <v>75</v>
      </c>
      <c r="AF409" s="43" t="s">
        <v>60</v>
      </c>
      <c r="AG409" s="43" t="s">
        <v>76</v>
      </c>
      <c r="AH409" s="43" t="s">
        <v>28</v>
      </c>
      <c r="AI409">
        <v>2</v>
      </c>
      <c r="AJ409" t="s">
        <v>331</v>
      </c>
      <c r="AK409" s="43" t="s">
        <v>268</v>
      </c>
      <c r="AL409">
        <v>0</v>
      </c>
    </row>
    <row r="410" spans="31:38" x14ac:dyDescent="0.25">
      <c r="AE410" s="43" t="s">
        <v>75</v>
      </c>
      <c r="AF410" s="43" t="s">
        <v>60</v>
      </c>
      <c r="AG410" s="43" t="s">
        <v>76</v>
      </c>
      <c r="AH410" s="43" t="s">
        <v>28</v>
      </c>
      <c r="AI410">
        <v>2</v>
      </c>
      <c r="AJ410" t="s">
        <v>341</v>
      </c>
      <c r="AK410" s="43" t="s">
        <v>308</v>
      </c>
      <c r="AL410">
        <v>7</v>
      </c>
    </row>
    <row r="411" spans="31:38" x14ac:dyDescent="0.25">
      <c r="AE411" s="43" t="s">
        <v>75</v>
      </c>
      <c r="AF411" s="43" t="s">
        <v>60</v>
      </c>
      <c r="AG411" s="43" t="s">
        <v>76</v>
      </c>
      <c r="AH411" s="43" t="s">
        <v>28</v>
      </c>
      <c r="AI411">
        <v>2</v>
      </c>
      <c r="AJ411" t="s">
        <v>341</v>
      </c>
      <c r="AK411" s="43" t="s">
        <v>309</v>
      </c>
      <c r="AL411">
        <v>17.149999999999999</v>
      </c>
    </row>
    <row r="412" spans="31:38" x14ac:dyDescent="0.25">
      <c r="AE412" s="43" t="s">
        <v>75</v>
      </c>
      <c r="AF412" s="43" t="s">
        <v>60</v>
      </c>
      <c r="AG412" s="43" t="s">
        <v>76</v>
      </c>
      <c r="AH412" s="43" t="s">
        <v>28</v>
      </c>
      <c r="AI412">
        <v>2</v>
      </c>
      <c r="AJ412" t="s">
        <v>341</v>
      </c>
      <c r="AK412" s="43" t="s">
        <v>268</v>
      </c>
      <c r="AL412">
        <v>24.15</v>
      </c>
    </row>
    <row r="413" spans="31:38" x14ac:dyDescent="0.25">
      <c r="AE413" s="43" t="s">
        <v>75</v>
      </c>
      <c r="AF413" s="43" t="s">
        <v>60</v>
      </c>
      <c r="AG413" s="43" t="s">
        <v>76</v>
      </c>
      <c r="AH413" s="43" t="s">
        <v>28</v>
      </c>
      <c r="AI413">
        <v>2</v>
      </c>
      <c r="AJ413" t="s">
        <v>273</v>
      </c>
      <c r="AK413" s="43" t="s">
        <v>308</v>
      </c>
      <c r="AL413">
        <v>0</v>
      </c>
    </row>
    <row r="414" spans="31:38" x14ac:dyDescent="0.25">
      <c r="AE414" s="43" t="s">
        <v>75</v>
      </c>
      <c r="AF414" s="43" t="s">
        <v>60</v>
      </c>
      <c r="AG414" s="43" t="s">
        <v>76</v>
      </c>
      <c r="AH414" s="43" t="s">
        <v>28</v>
      </c>
      <c r="AI414">
        <v>2</v>
      </c>
      <c r="AJ414" t="s">
        <v>273</v>
      </c>
      <c r="AK414" s="43" t="s">
        <v>309</v>
      </c>
      <c r="AL414">
        <v>0</v>
      </c>
    </row>
    <row r="415" spans="31:38" x14ac:dyDescent="0.25">
      <c r="AE415" s="43" t="s">
        <v>75</v>
      </c>
      <c r="AF415" s="43" t="s">
        <v>60</v>
      </c>
      <c r="AG415" s="43" t="s">
        <v>76</v>
      </c>
      <c r="AH415" s="43" t="s">
        <v>28</v>
      </c>
      <c r="AI415">
        <v>2</v>
      </c>
      <c r="AJ415" t="s">
        <v>273</v>
      </c>
      <c r="AK415" s="43" t="s">
        <v>268</v>
      </c>
      <c r="AL415">
        <v>0</v>
      </c>
    </row>
    <row r="416" spans="31:38" x14ac:dyDescent="0.25">
      <c r="AE416" s="43" t="s">
        <v>127</v>
      </c>
      <c r="AF416" s="43" t="s">
        <v>60</v>
      </c>
      <c r="AG416" s="43" t="s">
        <v>128</v>
      </c>
      <c r="AH416" s="43" t="s">
        <v>72</v>
      </c>
      <c r="AI416">
        <v>2</v>
      </c>
      <c r="AJ416" t="s">
        <v>317</v>
      </c>
      <c r="AK416" s="43" t="s">
        <v>308</v>
      </c>
      <c r="AL416">
        <v>3.8</v>
      </c>
    </row>
    <row r="417" spans="31:38" x14ac:dyDescent="0.25">
      <c r="AE417" s="43" t="s">
        <v>127</v>
      </c>
      <c r="AF417" s="43" t="s">
        <v>60</v>
      </c>
      <c r="AG417" s="43" t="s">
        <v>128</v>
      </c>
      <c r="AH417" s="43" t="s">
        <v>72</v>
      </c>
      <c r="AI417">
        <v>2</v>
      </c>
      <c r="AJ417" t="s">
        <v>317</v>
      </c>
      <c r="AK417" s="43" t="s">
        <v>309</v>
      </c>
      <c r="AL417">
        <v>7.55</v>
      </c>
    </row>
    <row r="418" spans="31:38" x14ac:dyDescent="0.25">
      <c r="AE418" s="43" t="s">
        <v>127</v>
      </c>
      <c r="AF418" s="43" t="s">
        <v>60</v>
      </c>
      <c r="AG418" s="43" t="s">
        <v>128</v>
      </c>
      <c r="AH418" s="43" t="s">
        <v>72</v>
      </c>
      <c r="AI418">
        <v>2</v>
      </c>
      <c r="AJ418" t="s">
        <v>317</v>
      </c>
      <c r="AK418" s="43" t="s">
        <v>268</v>
      </c>
      <c r="AL418">
        <v>11.35</v>
      </c>
    </row>
    <row r="419" spans="31:38" x14ac:dyDescent="0.25">
      <c r="AE419" s="43" t="s">
        <v>127</v>
      </c>
      <c r="AF419" s="43" t="s">
        <v>60</v>
      </c>
      <c r="AG419" s="43" t="s">
        <v>128</v>
      </c>
      <c r="AH419" s="43" t="s">
        <v>72</v>
      </c>
      <c r="AI419">
        <v>2</v>
      </c>
      <c r="AJ419" t="s">
        <v>325</v>
      </c>
      <c r="AK419" s="43" t="s">
        <v>308</v>
      </c>
      <c r="AL419">
        <v>0</v>
      </c>
    </row>
    <row r="420" spans="31:38" x14ac:dyDescent="0.25">
      <c r="AE420" s="43" t="s">
        <v>127</v>
      </c>
      <c r="AF420" s="43" t="s">
        <v>60</v>
      </c>
      <c r="AG420" s="43" t="s">
        <v>128</v>
      </c>
      <c r="AH420" s="43" t="s">
        <v>72</v>
      </c>
      <c r="AI420">
        <v>2</v>
      </c>
      <c r="AJ420" t="s">
        <v>325</v>
      </c>
      <c r="AK420" s="43" t="s">
        <v>309</v>
      </c>
      <c r="AL420">
        <v>0</v>
      </c>
    </row>
    <row r="421" spans="31:38" x14ac:dyDescent="0.25">
      <c r="AE421" s="43" t="s">
        <v>127</v>
      </c>
      <c r="AF421" s="43" t="s">
        <v>60</v>
      </c>
      <c r="AG421" s="43" t="s">
        <v>128</v>
      </c>
      <c r="AH421" s="43" t="s">
        <v>72</v>
      </c>
      <c r="AI421">
        <v>2</v>
      </c>
      <c r="AJ421" t="s">
        <v>325</v>
      </c>
      <c r="AK421" s="43" t="s">
        <v>268</v>
      </c>
      <c r="AL421">
        <v>0</v>
      </c>
    </row>
    <row r="422" spans="31:38" x14ac:dyDescent="0.25">
      <c r="AE422" s="43" t="s">
        <v>127</v>
      </c>
      <c r="AF422" s="43" t="s">
        <v>60</v>
      </c>
      <c r="AG422" s="43" t="s">
        <v>128</v>
      </c>
      <c r="AH422" s="43" t="s">
        <v>72</v>
      </c>
      <c r="AI422">
        <v>2</v>
      </c>
      <c r="AJ422" t="s">
        <v>330</v>
      </c>
      <c r="AK422" s="43" t="s">
        <v>308</v>
      </c>
      <c r="AL422">
        <v>4</v>
      </c>
    </row>
    <row r="423" spans="31:38" x14ac:dyDescent="0.25">
      <c r="AE423" s="43" t="s">
        <v>127</v>
      </c>
      <c r="AF423" s="43" t="s">
        <v>60</v>
      </c>
      <c r="AG423" s="43" t="s">
        <v>128</v>
      </c>
      <c r="AH423" s="43" t="s">
        <v>72</v>
      </c>
      <c r="AI423">
        <v>2</v>
      </c>
      <c r="AJ423" t="s">
        <v>330</v>
      </c>
      <c r="AK423" s="43" t="s">
        <v>309</v>
      </c>
      <c r="AL423">
        <v>8.3000000000000007</v>
      </c>
    </row>
    <row r="424" spans="31:38" x14ac:dyDescent="0.25">
      <c r="AE424" s="43" t="s">
        <v>127</v>
      </c>
      <c r="AF424" s="43" t="s">
        <v>60</v>
      </c>
      <c r="AG424" s="43" t="s">
        <v>128</v>
      </c>
      <c r="AH424" s="43" t="s">
        <v>72</v>
      </c>
      <c r="AI424">
        <v>2</v>
      </c>
      <c r="AJ424" t="s">
        <v>330</v>
      </c>
      <c r="AK424" s="43" t="s">
        <v>268</v>
      </c>
      <c r="AL424">
        <v>12.3</v>
      </c>
    </row>
    <row r="425" spans="31:38" x14ac:dyDescent="0.25">
      <c r="AE425" s="43" t="s">
        <v>127</v>
      </c>
      <c r="AF425" s="43" t="s">
        <v>60</v>
      </c>
      <c r="AG425" s="43" t="s">
        <v>128</v>
      </c>
      <c r="AH425" s="43" t="s">
        <v>72</v>
      </c>
      <c r="AI425">
        <v>2</v>
      </c>
      <c r="AJ425" t="s">
        <v>331</v>
      </c>
      <c r="AK425" s="43" t="s">
        <v>308</v>
      </c>
      <c r="AL425">
        <v>0</v>
      </c>
    </row>
    <row r="426" spans="31:38" x14ac:dyDescent="0.25">
      <c r="AE426" s="43" t="s">
        <v>127</v>
      </c>
      <c r="AF426" s="43" t="s">
        <v>60</v>
      </c>
      <c r="AG426" s="43" t="s">
        <v>128</v>
      </c>
      <c r="AH426" s="43" t="s">
        <v>72</v>
      </c>
      <c r="AI426">
        <v>2</v>
      </c>
      <c r="AJ426" t="s">
        <v>331</v>
      </c>
      <c r="AK426" s="43" t="s">
        <v>309</v>
      </c>
      <c r="AL426">
        <v>0</v>
      </c>
    </row>
    <row r="427" spans="31:38" x14ac:dyDescent="0.25">
      <c r="AE427" s="43" t="s">
        <v>127</v>
      </c>
      <c r="AF427" s="43" t="s">
        <v>60</v>
      </c>
      <c r="AG427" s="43" t="s">
        <v>128</v>
      </c>
      <c r="AH427" s="43" t="s">
        <v>72</v>
      </c>
      <c r="AI427">
        <v>2</v>
      </c>
      <c r="AJ427" t="s">
        <v>331</v>
      </c>
      <c r="AK427" s="43" t="s">
        <v>268</v>
      </c>
      <c r="AL427">
        <v>0</v>
      </c>
    </row>
    <row r="428" spans="31:38" x14ac:dyDescent="0.25">
      <c r="AE428" s="43" t="s">
        <v>127</v>
      </c>
      <c r="AF428" s="43" t="s">
        <v>60</v>
      </c>
      <c r="AG428" s="43" t="s">
        <v>128</v>
      </c>
      <c r="AH428" s="43" t="s">
        <v>72</v>
      </c>
      <c r="AI428">
        <v>2</v>
      </c>
      <c r="AJ428" t="s">
        <v>341</v>
      </c>
      <c r="AK428" s="43" t="s">
        <v>308</v>
      </c>
      <c r="AL428">
        <v>7.8</v>
      </c>
    </row>
    <row r="429" spans="31:38" x14ac:dyDescent="0.25">
      <c r="AE429" s="43" t="s">
        <v>127</v>
      </c>
      <c r="AF429" s="43" t="s">
        <v>60</v>
      </c>
      <c r="AG429" s="43" t="s">
        <v>128</v>
      </c>
      <c r="AH429" s="43" t="s">
        <v>72</v>
      </c>
      <c r="AI429">
        <v>2</v>
      </c>
      <c r="AJ429" t="s">
        <v>341</v>
      </c>
      <c r="AK429" s="43" t="s">
        <v>309</v>
      </c>
      <c r="AL429">
        <v>15.850000000000001</v>
      </c>
    </row>
    <row r="430" spans="31:38" x14ac:dyDescent="0.25">
      <c r="AE430" s="43" t="s">
        <v>127</v>
      </c>
      <c r="AF430" s="43" t="s">
        <v>60</v>
      </c>
      <c r="AG430" s="43" t="s">
        <v>128</v>
      </c>
      <c r="AH430" s="43" t="s">
        <v>72</v>
      </c>
      <c r="AI430">
        <v>2</v>
      </c>
      <c r="AJ430" t="s">
        <v>341</v>
      </c>
      <c r="AK430" s="43" t="s">
        <v>268</v>
      </c>
      <c r="AL430">
        <v>23.65</v>
      </c>
    </row>
    <row r="431" spans="31:38" x14ac:dyDescent="0.25">
      <c r="AE431" s="43" t="s">
        <v>127</v>
      </c>
      <c r="AF431" s="43" t="s">
        <v>60</v>
      </c>
      <c r="AG431" s="43" t="s">
        <v>128</v>
      </c>
      <c r="AH431" s="43" t="s">
        <v>72</v>
      </c>
      <c r="AI431">
        <v>2</v>
      </c>
      <c r="AJ431" t="s">
        <v>273</v>
      </c>
      <c r="AK431" s="43" t="s">
        <v>308</v>
      </c>
      <c r="AL431">
        <v>0</v>
      </c>
    </row>
    <row r="432" spans="31:38" x14ac:dyDescent="0.25">
      <c r="AE432" s="43" t="s">
        <v>127</v>
      </c>
      <c r="AF432" s="43" t="s">
        <v>60</v>
      </c>
      <c r="AG432" s="43" t="s">
        <v>128</v>
      </c>
      <c r="AH432" s="43" t="s">
        <v>72</v>
      </c>
      <c r="AI432">
        <v>2</v>
      </c>
      <c r="AJ432" t="s">
        <v>273</v>
      </c>
      <c r="AK432" s="43" t="s">
        <v>309</v>
      </c>
      <c r="AL432">
        <v>0</v>
      </c>
    </row>
    <row r="433" spans="31:38" x14ac:dyDescent="0.25">
      <c r="AE433" s="43" t="s">
        <v>127</v>
      </c>
      <c r="AF433" s="43" t="s">
        <v>60</v>
      </c>
      <c r="AG433" s="43" t="s">
        <v>128</v>
      </c>
      <c r="AH433" s="43" t="s">
        <v>72</v>
      </c>
      <c r="AI433">
        <v>2</v>
      </c>
      <c r="AJ433" t="s">
        <v>273</v>
      </c>
      <c r="AK433" s="43" t="s">
        <v>268</v>
      </c>
      <c r="AL433">
        <v>0</v>
      </c>
    </row>
    <row r="434" spans="31:38" x14ac:dyDescent="0.25">
      <c r="AE434" s="43" t="s">
        <v>94</v>
      </c>
      <c r="AF434" s="43" t="s">
        <v>60</v>
      </c>
      <c r="AG434" s="43" t="s">
        <v>95</v>
      </c>
      <c r="AH434" s="43" t="s">
        <v>72</v>
      </c>
      <c r="AI434">
        <v>2</v>
      </c>
      <c r="AJ434" t="s">
        <v>317</v>
      </c>
      <c r="AK434" s="43" t="s">
        <v>308</v>
      </c>
      <c r="AL434">
        <v>0</v>
      </c>
    </row>
    <row r="435" spans="31:38" x14ac:dyDescent="0.25">
      <c r="AE435" s="43" t="s">
        <v>94</v>
      </c>
      <c r="AF435" s="43" t="s">
        <v>60</v>
      </c>
      <c r="AG435" s="43" t="s">
        <v>95</v>
      </c>
      <c r="AH435" s="43" t="s">
        <v>72</v>
      </c>
      <c r="AI435">
        <v>2</v>
      </c>
      <c r="AJ435" t="s">
        <v>317</v>
      </c>
      <c r="AK435" s="43" t="s">
        <v>309</v>
      </c>
      <c r="AL435">
        <v>0</v>
      </c>
    </row>
    <row r="436" spans="31:38" x14ac:dyDescent="0.25">
      <c r="AE436" s="43" t="s">
        <v>94</v>
      </c>
      <c r="AF436" s="43" t="s">
        <v>60</v>
      </c>
      <c r="AG436" s="43" t="s">
        <v>95</v>
      </c>
      <c r="AH436" s="43" t="s">
        <v>72</v>
      </c>
      <c r="AI436">
        <v>2</v>
      </c>
      <c r="AJ436" t="s">
        <v>317</v>
      </c>
      <c r="AK436" s="43" t="s">
        <v>268</v>
      </c>
      <c r="AL436">
        <v>0</v>
      </c>
    </row>
    <row r="437" spans="31:38" x14ac:dyDescent="0.25">
      <c r="AE437" s="43" t="s">
        <v>94</v>
      </c>
      <c r="AF437" s="43" t="s">
        <v>60</v>
      </c>
      <c r="AG437" s="43" t="s">
        <v>95</v>
      </c>
      <c r="AH437" s="43" t="s">
        <v>72</v>
      </c>
      <c r="AI437">
        <v>2</v>
      </c>
      <c r="AJ437" t="s">
        <v>325</v>
      </c>
      <c r="AK437" s="43" t="s">
        <v>308</v>
      </c>
      <c r="AL437">
        <v>3.1</v>
      </c>
    </row>
    <row r="438" spans="31:38" x14ac:dyDescent="0.25">
      <c r="AE438" s="43" t="s">
        <v>94</v>
      </c>
      <c r="AF438" s="43" t="s">
        <v>60</v>
      </c>
      <c r="AG438" s="43" t="s">
        <v>95</v>
      </c>
      <c r="AH438" s="43" t="s">
        <v>72</v>
      </c>
      <c r="AI438">
        <v>2</v>
      </c>
      <c r="AJ438" t="s">
        <v>325</v>
      </c>
      <c r="AK438" s="43" t="s">
        <v>309</v>
      </c>
      <c r="AL438">
        <v>8.85</v>
      </c>
    </row>
    <row r="439" spans="31:38" x14ac:dyDescent="0.25">
      <c r="AE439" s="43" t="s">
        <v>94</v>
      </c>
      <c r="AF439" s="43" t="s">
        <v>60</v>
      </c>
      <c r="AG439" s="43" t="s">
        <v>95</v>
      </c>
      <c r="AH439" s="43" t="s">
        <v>72</v>
      </c>
      <c r="AI439">
        <v>2</v>
      </c>
      <c r="AJ439" t="s">
        <v>325</v>
      </c>
      <c r="AK439" s="43" t="s">
        <v>268</v>
      </c>
      <c r="AL439">
        <v>11.95</v>
      </c>
    </row>
    <row r="440" spans="31:38" x14ac:dyDescent="0.25">
      <c r="AE440" s="43" t="s">
        <v>94</v>
      </c>
      <c r="AF440" s="43" t="s">
        <v>60</v>
      </c>
      <c r="AG440" s="43" t="s">
        <v>95</v>
      </c>
      <c r="AH440" s="43" t="s">
        <v>72</v>
      </c>
      <c r="AI440">
        <v>2</v>
      </c>
      <c r="AJ440" t="s">
        <v>330</v>
      </c>
      <c r="AK440" s="43" t="s">
        <v>308</v>
      </c>
      <c r="AL440">
        <v>3.2</v>
      </c>
    </row>
    <row r="441" spans="31:38" x14ac:dyDescent="0.25">
      <c r="AE441" s="43" t="s">
        <v>94</v>
      </c>
      <c r="AF441" s="43" t="s">
        <v>60</v>
      </c>
      <c r="AG441" s="43" t="s">
        <v>95</v>
      </c>
      <c r="AH441" s="43" t="s">
        <v>72</v>
      </c>
      <c r="AI441">
        <v>2</v>
      </c>
      <c r="AJ441" t="s">
        <v>330</v>
      </c>
      <c r="AK441" s="43" t="s">
        <v>309</v>
      </c>
      <c r="AL441">
        <v>8.35</v>
      </c>
    </row>
    <row r="442" spans="31:38" x14ac:dyDescent="0.25">
      <c r="AE442" s="43" t="s">
        <v>94</v>
      </c>
      <c r="AF442" s="43" t="s">
        <v>60</v>
      </c>
      <c r="AG442" s="43" t="s">
        <v>95</v>
      </c>
      <c r="AH442" s="43" t="s">
        <v>72</v>
      </c>
      <c r="AI442">
        <v>2</v>
      </c>
      <c r="AJ442" t="s">
        <v>330</v>
      </c>
      <c r="AK442" s="43" t="s">
        <v>268</v>
      </c>
      <c r="AL442">
        <v>11.55</v>
      </c>
    </row>
    <row r="443" spans="31:38" x14ac:dyDescent="0.25">
      <c r="AE443" s="43" t="s">
        <v>94</v>
      </c>
      <c r="AF443" s="43" t="s">
        <v>60</v>
      </c>
      <c r="AG443" s="43" t="s">
        <v>95</v>
      </c>
      <c r="AH443" s="43" t="s">
        <v>72</v>
      </c>
      <c r="AI443">
        <v>2</v>
      </c>
      <c r="AJ443" t="s">
        <v>331</v>
      </c>
      <c r="AK443" s="43" t="s">
        <v>308</v>
      </c>
      <c r="AL443">
        <v>0</v>
      </c>
    </row>
    <row r="444" spans="31:38" x14ac:dyDescent="0.25">
      <c r="AE444" s="43" t="s">
        <v>94</v>
      </c>
      <c r="AF444" s="43" t="s">
        <v>60</v>
      </c>
      <c r="AG444" s="43" t="s">
        <v>95</v>
      </c>
      <c r="AH444" s="43" t="s">
        <v>72</v>
      </c>
      <c r="AI444">
        <v>2</v>
      </c>
      <c r="AJ444" t="s">
        <v>331</v>
      </c>
      <c r="AK444" s="43" t="s">
        <v>309</v>
      </c>
      <c r="AL444">
        <v>0</v>
      </c>
    </row>
    <row r="445" spans="31:38" x14ac:dyDescent="0.25">
      <c r="AE445" s="43" t="s">
        <v>94</v>
      </c>
      <c r="AF445" s="43" t="s">
        <v>60</v>
      </c>
      <c r="AG445" s="43" t="s">
        <v>95</v>
      </c>
      <c r="AH445" s="43" t="s">
        <v>72</v>
      </c>
      <c r="AI445">
        <v>2</v>
      </c>
      <c r="AJ445" t="s">
        <v>331</v>
      </c>
      <c r="AK445" s="43" t="s">
        <v>268</v>
      </c>
      <c r="AL445">
        <v>0</v>
      </c>
    </row>
    <row r="446" spans="31:38" x14ac:dyDescent="0.25">
      <c r="AE446" s="43" t="s">
        <v>94</v>
      </c>
      <c r="AF446" s="43" t="s">
        <v>60</v>
      </c>
      <c r="AG446" s="43" t="s">
        <v>95</v>
      </c>
      <c r="AH446" s="43" t="s">
        <v>72</v>
      </c>
      <c r="AI446">
        <v>2</v>
      </c>
      <c r="AJ446" t="s">
        <v>341</v>
      </c>
      <c r="AK446" s="43" t="s">
        <v>308</v>
      </c>
      <c r="AL446">
        <v>6.3000000000000007</v>
      </c>
    </row>
    <row r="447" spans="31:38" x14ac:dyDescent="0.25">
      <c r="AE447" s="43" t="s">
        <v>94</v>
      </c>
      <c r="AF447" s="43" t="s">
        <v>60</v>
      </c>
      <c r="AG447" s="43" t="s">
        <v>95</v>
      </c>
      <c r="AH447" s="43" t="s">
        <v>72</v>
      </c>
      <c r="AI447">
        <v>2</v>
      </c>
      <c r="AJ447" t="s">
        <v>341</v>
      </c>
      <c r="AK447" s="43" t="s">
        <v>309</v>
      </c>
      <c r="AL447">
        <v>17.2</v>
      </c>
    </row>
    <row r="448" spans="31:38" x14ac:dyDescent="0.25">
      <c r="AE448" s="43" t="s">
        <v>94</v>
      </c>
      <c r="AF448" s="43" t="s">
        <v>60</v>
      </c>
      <c r="AG448" s="43" t="s">
        <v>95</v>
      </c>
      <c r="AH448" s="43" t="s">
        <v>72</v>
      </c>
      <c r="AI448">
        <v>2</v>
      </c>
      <c r="AJ448" t="s">
        <v>341</v>
      </c>
      <c r="AK448" s="43" t="s">
        <v>268</v>
      </c>
      <c r="AL448">
        <v>23.5</v>
      </c>
    </row>
    <row r="449" spans="31:38" x14ac:dyDescent="0.25">
      <c r="AE449" s="43" t="s">
        <v>94</v>
      </c>
      <c r="AF449" s="43" t="s">
        <v>60</v>
      </c>
      <c r="AG449" s="43" t="s">
        <v>95</v>
      </c>
      <c r="AH449" s="43" t="s">
        <v>72</v>
      </c>
      <c r="AI449">
        <v>2</v>
      </c>
      <c r="AJ449" t="s">
        <v>273</v>
      </c>
      <c r="AK449" s="43" t="s">
        <v>308</v>
      </c>
      <c r="AL449">
        <v>0</v>
      </c>
    </row>
    <row r="450" spans="31:38" x14ac:dyDescent="0.25">
      <c r="AE450" s="43" t="s">
        <v>94</v>
      </c>
      <c r="AF450" s="43" t="s">
        <v>60</v>
      </c>
      <c r="AG450" s="43" t="s">
        <v>95</v>
      </c>
      <c r="AH450" s="43" t="s">
        <v>72</v>
      </c>
      <c r="AI450">
        <v>2</v>
      </c>
      <c r="AJ450" t="s">
        <v>273</v>
      </c>
      <c r="AK450" s="43" t="s">
        <v>309</v>
      </c>
      <c r="AL450">
        <v>0</v>
      </c>
    </row>
    <row r="451" spans="31:38" x14ac:dyDescent="0.25">
      <c r="AE451" s="43" t="s">
        <v>94</v>
      </c>
      <c r="AF451" s="43" t="s">
        <v>60</v>
      </c>
      <c r="AG451" s="43" t="s">
        <v>95</v>
      </c>
      <c r="AH451" s="43" t="s">
        <v>72</v>
      </c>
      <c r="AI451">
        <v>2</v>
      </c>
      <c r="AJ451" t="s">
        <v>273</v>
      </c>
      <c r="AK451" s="43" t="s">
        <v>268</v>
      </c>
      <c r="AL451">
        <v>0</v>
      </c>
    </row>
    <row r="452" spans="31:38" x14ac:dyDescent="0.25">
      <c r="AE452" s="43" t="s">
        <v>116</v>
      </c>
      <c r="AF452" s="43" t="s">
        <v>60</v>
      </c>
      <c r="AG452" s="43" t="s">
        <v>117</v>
      </c>
      <c r="AH452" s="43" t="s">
        <v>62</v>
      </c>
      <c r="AI452">
        <v>2</v>
      </c>
      <c r="AJ452" t="s">
        <v>317</v>
      </c>
      <c r="AK452" s="43" t="s">
        <v>308</v>
      </c>
      <c r="AL452">
        <v>0</v>
      </c>
    </row>
    <row r="453" spans="31:38" x14ac:dyDescent="0.25">
      <c r="AE453" s="43" t="s">
        <v>116</v>
      </c>
      <c r="AF453" s="43" t="s">
        <v>60</v>
      </c>
      <c r="AG453" s="43" t="s">
        <v>117</v>
      </c>
      <c r="AH453" s="43" t="s">
        <v>62</v>
      </c>
      <c r="AI453">
        <v>2</v>
      </c>
      <c r="AJ453" t="s">
        <v>317</v>
      </c>
      <c r="AK453" s="43" t="s">
        <v>309</v>
      </c>
      <c r="AL453">
        <v>0</v>
      </c>
    </row>
    <row r="454" spans="31:38" x14ac:dyDescent="0.25">
      <c r="AE454" s="43" t="s">
        <v>116</v>
      </c>
      <c r="AF454" s="43" t="s">
        <v>60</v>
      </c>
      <c r="AG454" s="43" t="s">
        <v>117</v>
      </c>
      <c r="AH454" s="43" t="s">
        <v>62</v>
      </c>
      <c r="AI454">
        <v>2</v>
      </c>
      <c r="AJ454" t="s">
        <v>317</v>
      </c>
      <c r="AK454" s="43" t="s">
        <v>268</v>
      </c>
      <c r="AL454">
        <v>0</v>
      </c>
    </row>
    <row r="455" spans="31:38" x14ac:dyDescent="0.25">
      <c r="AE455" s="43" t="s">
        <v>116</v>
      </c>
      <c r="AF455" s="43" t="s">
        <v>60</v>
      </c>
      <c r="AG455" s="43" t="s">
        <v>117</v>
      </c>
      <c r="AH455" s="43" t="s">
        <v>62</v>
      </c>
      <c r="AI455">
        <v>2</v>
      </c>
      <c r="AJ455" t="s">
        <v>325</v>
      </c>
      <c r="AK455" s="43" t="s">
        <v>308</v>
      </c>
      <c r="AL455">
        <v>0</v>
      </c>
    </row>
    <row r="456" spans="31:38" x14ac:dyDescent="0.25">
      <c r="AE456" s="43" t="s">
        <v>116</v>
      </c>
      <c r="AF456" s="43" t="s">
        <v>60</v>
      </c>
      <c r="AG456" s="43" t="s">
        <v>117</v>
      </c>
      <c r="AH456" s="43" t="s">
        <v>62</v>
      </c>
      <c r="AI456">
        <v>2</v>
      </c>
      <c r="AJ456" t="s">
        <v>325</v>
      </c>
      <c r="AK456" s="43" t="s">
        <v>309</v>
      </c>
      <c r="AL456">
        <v>0</v>
      </c>
    </row>
    <row r="457" spans="31:38" x14ac:dyDescent="0.25">
      <c r="AE457" s="43" t="s">
        <v>116</v>
      </c>
      <c r="AF457" s="43" t="s">
        <v>60</v>
      </c>
      <c r="AG457" s="43" t="s">
        <v>117</v>
      </c>
      <c r="AH457" s="43" t="s">
        <v>62</v>
      </c>
      <c r="AI457">
        <v>2</v>
      </c>
      <c r="AJ457" t="s">
        <v>325</v>
      </c>
      <c r="AK457" s="43" t="s">
        <v>268</v>
      </c>
      <c r="AL457">
        <v>0</v>
      </c>
    </row>
    <row r="458" spans="31:38" x14ac:dyDescent="0.25">
      <c r="AE458" s="43" t="s">
        <v>116</v>
      </c>
      <c r="AF458" s="43" t="s">
        <v>60</v>
      </c>
      <c r="AG458" s="43" t="s">
        <v>117</v>
      </c>
      <c r="AH458" s="43" t="s">
        <v>62</v>
      </c>
      <c r="AI458">
        <v>2</v>
      </c>
      <c r="AJ458" t="s">
        <v>330</v>
      </c>
      <c r="AK458" s="43" t="s">
        <v>308</v>
      </c>
      <c r="AL458">
        <v>4.5</v>
      </c>
    </row>
    <row r="459" spans="31:38" x14ac:dyDescent="0.25">
      <c r="AE459" s="43" t="s">
        <v>116</v>
      </c>
      <c r="AF459" s="43" t="s">
        <v>60</v>
      </c>
      <c r="AG459" s="43" t="s">
        <v>117</v>
      </c>
      <c r="AH459" s="43" t="s">
        <v>62</v>
      </c>
      <c r="AI459">
        <v>2</v>
      </c>
      <c r="AJ459" t="s">
        <v>330</v>
      </c>
      <c r="AK459" s="43" t="s">
        <v>309</v>
      </c>
      <c r="AL459">
        <v>6.45</v>
      </c>
    </row>
    <row r="460" spans="31:38" x14ac:dyDescent="0.25">
      <c r="AE460" s="43" t="s">
        <v>116</v>
      </c>
      <c r="AF460" s="43" t="s">
        <v>60</v>
      </c>
      <c r="AG460" s="43" t="s">
        <v>117</v>
      </c>
      <c r="AH460" s="43" t="s">
        <v>62</v>
      </c>
      <c r="AI460">
        <v>2</v>
      </c>
      <c r="AJ460" t="s">
        <v>330</v>
      </c>
      <c r="AK460" s="43" t="s">
        <v>268</v>
      </c>
      <c r="AL460">
        <v>10.95</v>
      </c>
    </row>
    <row r="461" spans="31:38" x14ac:dyDescent="0.25">
      <c r="AE461" s="43" t="s">
        <v>116</v>
      </c>
      <c r="AF461" s="43" t="s">
        <v>60</v>
      </c>
      <c r="AG461" s="43" t="s">
        <v>117</v>
      </c>
      <c r="AH461" s="43" t="s">
        <v>62</v>
      </c>
      <c r="AI461">
        <v>2</v>
      </c>
      <c r="AJ461" t="s">
        <v>331</v>
      </c>
      <c r="AK461" s="43" t="s">
        <v>308</v>
      </c>
      <c r="AL461">
        <v>4.9000000000000004</v>
      </c>
    </row>
    <row r="462" spans="31:38" x14ac:dyDescent="0.25">
      <c r="AE462" s="43" t="s">
        <v>116</v>
      </c>
      <c r="AF462" s="43" t="s">
        <v>60</v>
      </c>
      <c r="AG462" s="43" t="s">
        <v>117</v>
      </c>
      <c r="AH462" s="43" t="s">
        <v>62</v>
      </c>
      <c r="AI462">
        <v>2</v>
      </c>
      <c r="AJ462" t="s">
        <v>331</v>
      </c>
      <c r="AK462" s="43" t="s">
        <v>309</v>
      </c>
      <c r="AL462">
        <v>7.4</v>
      </c>
    </row>
    <row r="463" spans="31:38" x14ac:dyDescent="0.25">
      <c r="AE463" s="43" t="s">
        <v>116</v>
      </c>
      <c r="AF463" s="43" t="s">
        <v>60</v>
      </c>
      <c r="AG463" s="43" t="s">
        <v>117</v>
      </c>
      <c r="AH463" s="43" t="s">
        <v>62</v>
      </c>
      <c r="AI463">
        <v>2</v>
      </c>
      <c r="AJ463" t="s">
        <v>331</v>
      </c>
      <c r="AK463" s="43" t="s">
        <v>268</v>
      </c>
      <c r="AL463">
        <v>12.3</v>
      </c>
    </row>
    <row r="464" spans="31:38" x14ac:dyDescent="0.25">
      <c r="AE464" s="43" t="s">
        <v>116</v>
      </c>
      <c r="AF464" s="43" t="s">
        <v>60</v>
      </c>
      <c r="AG464" s="43" t="s">
        <v>117</v>
      </c>
      <c r="AH464" s="43" t="s">
        <v>62</v>
      </c>
      <c r="AI464">
        <v>2</v>
      </c>
      <c r="AJ464" t="s">
        <v>341</v>
      </c>
      <c r="AK464" s="43" t="s">
        <v>308</v>
      </c>
      <c r="AL464">
        <v>9.4</v>
      </c>
    </row>
    <row r="465" spans="31:38" x14ac:dyDescent="0.25">
      <c r="AE465" s="43" t="s">
        <v>116</v>
      </c>
      <c r="AF465" s="43" t="s">
        <v>60</v>
      </c>
      <c r="AG465" s="43" t="s">
        <v>117</v>
      </c>
      <c r="AH465" s="43" t="s">
        <v>62</v>
      </c>
      <c r="AI465">
        <v>2</v>
      </c>
      <c r="AJ465" t="s">
        <v>341</v>
      </c>
      <c r="AK465" s="43" t="s">
        <v>309</v>
      </c>
      <c r="AL465">
        <v>13.850000000000001</v>
      </c>
    </row>
    <row r="466" spans="31:38" x14ac:dyDescent="0.25">
      <c r="AE466" s="43" t="s">
        <v>116</v>
      </c>
      <c r="AF466" s="43" t="s">
        <v>60</v>
      </c>
      <c r="AG466" s="43" t="s">
        <v>117</v>
      </c>
      <c r="AH466" s="43" t="s">
        <v>62</v>
      </c>
      <c r="AI466">
        <v>2</v>
      </c>
      <c r="AJ466" t="s">
        <v>341</v>
      </c>
      <c r="AK466" s="43" t="s">
        <v>268</v>
      </c>
      <c r="AL466">
        <v>23.25</v>
      </c>
    </row>
    <row r="467" spans="31:38" x14ac:dyDescent="0.25">
      <c r="AE467" s="43" t="s">
        <v>116</v>
      </c>
      <c r="AF467" s="43" t="s">
        <v>60</v>
      </c>
      <c r="AG467" s="43" t="s">
        <v>117</v>
      </c>
      <c r="AH467" s="43" t="s">
        <v>62</v>
      </c>
      <c r="AI467">
        <v>2</v>
      </c>
      <c r="AJ467" t="s">
        <v>273</v>
      </c>
      <c r="AK467" s="43" t="s">
        <v>308</v>
      </c>
      <c r="AL467">
        <v>0</v>
      </c>
    </row>
    <row r="468" spans="31:38" x14ac:dyDescent="0.25">
      <c r="AE468" s="43" t="s">
        <v>116</v>
      </c>
      <c r="AF468" s="43" t="s">
        <v>60</v>
      </c>
      <c r="AG468" s="43" t="s">
        <v>117</v>
      </c>
      <c r="AH468" s="43" t="s">
        <v>62</v>
      </c>
      <c r="AI468">
        <v>2</v>
      </c>
      <c r="AJ468" t="s">
        <v>273</v>
      </c>
      <c r="AK468" s="43" t="s">
        <v>309</v>
      </c>
      <c r="AL468">
        <v>0</v>
      </c>
    </row>
    <row r="469" spans="31:38" x14ac:dyDescent="0.25">
      <c r="AE469" s="43" t="s">
        <v>116</v>
      </c>
      <c r="AF469" s="43" t="s">
        <v>60</v>
      </c>
      <c r="AG469" s="43" t="s">
        <v>117</v>
      </c>
      <c r="AH469" s="43" t="s">
        <v>62</v>
      </c>
      <c r="AI469">
        <v>2</v>
      </c>
      <c r="AJ469" t="s">
        <v>273</v>
      </c>
      <c r="AK469" s="43" t="s">
        <v>268</v>
      </c>
      <c r="AL469">
        <v>0</v>
      </c>
    </row>
    <row r="470" spans="31:38" x14ac:dyDescent="0.25">
      <c r="AE470" s="43" t="s">
        <v>112</v>
      </c>
      <c r="AF470" s="43" t="s">
        <v>26</v>
      </c>
      <c r="AG470" s="43" t="s">
        <v>113</v>
      </c>
      <c r="AH470" s="43" t="s">
        <v>31</v>
      </c>
      <c r="AI470">
        <v>2</v>
      </c>
      <c r="AJ470" t="s">
        <v>317</v>
      </c>
      <c r="AK470" s="43" t="s">
        <v>308</v>
      </c>
      <c r="AL470">
        <v>3.1</v>
      </c>
    </row>
    <row r="471" spans="31:38" x14ac:dyDescent="0.25">
      <c r="AE471" s="43" t="s">
        <v>112</v>
      </c>
      <c r="AF471" s="43" t="s">
        <v>26</v>
      </c>
      <c r="AG471" s="43" t="s">
        <v>113</v>
      </c>
      <c r="AH471" s="43" t="s">
        <v>31</v>
      </c>
      <c r="AI471">
        <v>2</v>
      </c>
      <c r="AJ471" t="s">
        <v>317</v>
      </c>
      <c r="AK471" s="43" t="s">
        <v>309</v>
      </c>
      <c r="AL471">
        <v>8.65</v>
      </c>
    </row>
    <row r="472" spans="31:38" x14ac:dyDescent="0.25">
      <c r="AE472" s="43" t="s">
        <v>112</v>
      </c>
      <c r="AF472" s="43" t="s">
        <v>26</v>
      </c>
      <c r="AG472" s="43" t="s">
        <v>113</v>
      </c>
      <c r="AH472" s="43" t="s">
        <v>31</v>
      </c>
      <c r="AI472">
        <v>2</v>
      </c>
      <c r="AJ472" t="s">
        <v>317</v>
      </c>
      <c r="AK472" s="43" t="s">
        <v>268</v>
      </c>
      <c r="AL472">
        <v>11.75</v>
      </c>
    </row>
    <row r="473" spans="31:38" x14ac:dyDescent="0.25">
      <c r="AE473" s="43" t="s">
        <v>112</v>
      </c>
      <c r="AF473" s="43" t="s">
        <v>26</v>
      </c>
      <c r="AG473" s="43" t="s">
        <v>113</v>
      </c>
      <c r="AH473" s="43" t="s">
        <v>31</v>
      </c>
      <c r="AI473">
        <v>2</v>
      </c>
      <c r="AJ473" t="s">
        <v>325</v>
      </c>
      <c r="AK473" s="43" t="s">
        <v>308</v>
      </c>
      <c r="AL473">
        <v>0</v>
      </c>
    </row>
    <row r="474" spans="31:38" x14ac:dyDescent="0.25">
      <c r="AE474" s="43" t="s">
        <v>112</v>
      </c>
      <c r="AF474" s="43" t="s">
        <v>26</v>
      </c>
      <c r="AG474" s="43" t="s">
        <v>113</v>
      </c>
      <c r="AH474" s="43" t="s">
        <v>31</v>
      </c>
      <c r="AI474">
        <v>2</v>
      </c>
      <c r="AJ474" t="s">
        <v>325</v>
      </c>
      <c r="AK474" s="43" t="s">
        <v>309</v>
      </c>
      <c r="AL474">
        <v>0</v>
      </c>
    </row>
    <row r="475" spans="31:38" x14ac:dyDescent="0.25">
      <c r="AE475" s="43" t="s">
        <v>112</v>
      </c>
      <c r="AF475" s="43" t="s">
        <v>26</v>
      </c>
      <c r="AG475" s="43" t="s">
        <v>113</v>
      </c>
      <c r="AH475" s="43" t="s">
        <v>31</v>
      </c>
      <c r="AI475">
        <v>2</v>
      </c>
      <c r="AJ475" t="s">
        <v>325</v>
      </c>
      <c r="AK475" s="43" t="s">
        <v>268</v>
      </c>
      <c r="AL475">
        <v>0</v>
      </c>
    </row>
    <row r="476" spans="31:38" x14ac:dyDescent="0.25">
      <c r="AE476" s="43" t="s">
        <v>112</v>
      </c>
      <c r="AF476" s="43" t="s">
        <v>26</v>
      </c>
      <c r="AG476" s="43" t="s">
        <v>113</v>
      </c>
      <c r="AH476" s="43" t="s">
        <v>31</v>
      </c>
      <c r="AI476">
        <v>2</v>
      </c>
      <c r="AJ476" t="s">
        <v>330</v>
      </c>
      <c r="AK476" s="43" t="s">
        <v>308</v>
      </c>
      <c r="AL476">
        <v>0</v>
      </c>
    </row>
    <row r="477" spans="31:38" x14ac:dyDescent="0.25">
      <c r="AE477" s="43" t="s">
        <v>112</v>
      </c>
      <c r="AF477" s="43" t="s">
        <v>26</v>
      </c>
      <c r="AG477" s="43" t="s">
        <v>113</v>
      </c>
      <c r="AH477" s="43" t="s">
        <v>31</v>
      </c>
      <c r="AI477">
        <v>2</v>
      </c>
      <c r="AJ477" t="s">
        <v>330</v>
      </c>
      <c r="AK477" s="43" t="s">
        <v>309</v>
      </c>
      <c r="AL477">
        <v>0</v>
      </c>
    </row>
    <row r="478" spans="31:38" x14ac:dyDescent="0.25">
      <c r="AE478" s="43" t="s">
        <v>112</v>
      </c>
      <c r="AF478" s="43" t="s">
        <v>26</v>
      </c>
      <c r="AG478" s="43" t="s">
        <v>113</v>
      </c>
      <c r="AH478" s="43" t="s">
        <v>31</v>
      </c>
      <c r="AI478">
        <v>2</v>
      </c>
      <c r="AJ478" t="s">
        <v>330</v>
      </c>
      <c r="AK478" s="43" t="s">
        <v>268</v>
      </c>
      <c r="AL478">
        <v>0</v>
      </c>
    </row>
    <row r="479" spans="31:38" x14ac:dyDescent="0.25">
      <c r="AE479" s="43" t="s">
        <v>112</v>
      </c>
      <c r="AF479" s="43" t="s">
        <v>26</v>
      </c>
      <c r="AG479" s="43" t="s">
        <v>113</v>
      </c>
      <c r="AH479" s="43" t="s">
        <v>31</v>
      </c>
      <c r="AI479">
        <v>2</v>
      </c>
      <c r="AJ479" t="s">
        <v>331</v>
      </c>
      <c r="AK479" s="43" t="s">
        <v>308</v>
      </c>
      <c r="AL479">
        <v>3.2</v>
      </c>
    </row>
    <row r="480" spans="31:38" x14ac:dyDescent="0.25">
      <c r="AE480" s="43" t="s">
        <v>112</v>
      </c>
      <c r="AF480" s="43" t="s">
        <v>26</v>
      </c>
      <c r="AG480" s="43" t="s">
        <v>113</v>
      </c>
      <c r="AH480" s="43" t="s">
        <v>31</v>
      </c>
      <c r="AI480">
        <v>2</v>
      </c>
      <c r="AJ480" t="s">
        <v>331</v>
      </c>
      <c r="AK480" s="43" t="s">
        <v>309</v>
      </c>
      <c r="AL480">
        <v>7.4</v>
      </c>
    </row>
    <row r="481" spans="31:38" x14ac:dyDescent="0.25">
      <c r="AE481" s="43" t="s">
        <v>112</v>
      </c>
      <c r="AF481" s="43" t="s">
        <v>26</v>
      </c>
      <c r="AG481" s="43" t="s">
        <v>113</v>
      </c>
      <c r="AH481" s="43" t="s">
        <v>31</v>
      </c>
      <c r="AI481">
        <v>2</v>
      </c>
      <c r="AJ481" t="s">
        <v>331</v>
      </c>
      <c r="AK481" s="43" t="s">
        <v>268</v>
      </c>
      <c r="AL481">
        <v>10.6</v>
      </c>
    </row>
    <row r="482" spans="31:38" x14ac:dyDescent="0.25">
      <c r="AE482" s="43" t="s">
        <v>112</v>
      </c>
      <c r="AF482" s="43" t="s">
        <v>26</v>
      </c>
      <c r="AG482" s="43" t="s">
        <v>113</v>
      </c>
      <c r="AH482" s="43" t="s">
        <v>31</v>
      </c>
      <c r="AI482">
        <v>2</v>
      </c>
      <c r="AJ482" t="s">
        <v>341</v>
      </c>
      <c r="AK482" s="43" t="s">
        <v>308</v>
      </c>
      <c r="AL482">
        <v>6.3000000000000007</v>
      </c>
    </row>
    <row r="483" spans="31:38" x14ac:dyDescent="0.25">
      <c r="AE483" s="43" t="s">
        <v>112</v>
      </c>
      <c r="AF483" s="43" t="s">
        <v>26</v>
      </c>
      <c r="AG483" s="43" t="s">
        <v>113</v>
      </c>
      <c r="AH483" s="43" t="s">
        <v>31</v>
      </c>
      <c r="AI483">
        <v>2</v>
      </c>
      <c r="AJ483" t="s">
        <v>341</v>
      </c>
      <c r="AK483" s="43" t="s">
        <v>309</v>
      </c>
      <c r="AL483">
        <v>16.05</v>
      </c>
    </row>
    <row r="484" spans="31:38" x14ac:dyDescent="0.25">
      <c r="AE484" s="43" t="s">
        <v>112</v>
      </c>
      <c r="AF484" s="43" t="s">
        <v>26</v>
      </c>
      <c r="AG484" s="43" t="s">
        <v>113</v>
      </c>
      <c r="AH484" s="43" t="s">
        <v>31</v>
      </c>
      <c r="AI484">
        <v>2</v>
      </c>
      <c r="AJ484" t="s">
        <v>341</v>
      </c>
      <c r="AK484" s="43" t="s">
        <v>268</v>
      </c>
      <c r="AL484">
        <v>22.35</v>
      </c>
    </row>
    <row r="485" spans="31:38" x14ac:dyDescent="0.25">
      <c r="AE485" s="43" t="s">
        <v>112</v>
      </c>
      <c r="AF485" s="43" t="s">
        <v>26</v>
      </c>
      <c r="AG485" s="43" t="s">
        <v>113</v>
      </c>
      <c r="AH485" s="43" t="s">
        <v>31</v>
      </c>
      <c r="AI485">
        <v>2</v>
      </c>
      <c r="AJ485" t="s">
        <v>273</v>
      </c>
      <c r="AK485" s="43" t="s">
        <v>308</v>
      </c>
      <c r="AL485">
        <v>0</v>
      </c>
    </row>
    <row r="486" spans="31:38" x14ac:dyDescent="0.25">
      <c r="AE486" s="43" t="s">
        <v>112</v>
      </c>
      <c r="AF486" s="43" t="s">
        <v>26</v>
      </c>
      <c r="AG486" s="43" t="s">
        <v>113</v>
      </c>
      <c r="AH486" s="43" t="s">
        <v>31</v>
      </c>
      <c r="AI486">
        <v>2</v>
      </c>
      <c r="AJ486" t="s">
        <v>273</v>
      </c>
      <c r="AK486" s="43" t="s">
        <v>309</v>
      </c>
      <c r="AL486">
        <v>0</v>
      </c>
    </row>
    <row r="487" spans="31:38" x14ac:dyDescent="0.25">
      <c r="AE487" s="43" t="s">
        <v>112</v>
      </c>
      <c r="AF487" s="43" t="s">
        <v>26</v>
      </c>
      <c r="AG487" s="43" t="s">
        <v>113</v>
      </c>
      <c r="AH487" s="43" t="s">
        <v>31</v>
      </c>
      <c r="AI487">
        <v>2</v>
      </c>
      <c r="AJ487" t="s">
        <v>273</v>
      </c>
      <c r="AK487" s="43" t="s">
        <v>268</v>
      </c>
      <c r="AL487">
        <v>0</v>
      </c>
    </row>
    <row r="488" spans="31:38" x14ac:dyDescent="0.25">
      <c r="AE488" s="43" t="s">
        <v>98</v>
      </c>
      <c r="AF488" s="43" t="s">
        <v>60</v>
      </c>
      <c r="AG488" s="43" t="s">
        <v>99</v>
      </c>
      <c r="AH488" s="43" t="s">
        <v>72</v>
      </c>
      <c r="AI488">
        <v>2</v>
      </c>
      <c r="AJ488" t="s">
        <v>317</v>
      </c>
      <c r="AK488" s="43" t="s">
        <v>308</v>
      </c>
      <c r="AL488">
        <v>0</v>
      </c>
    </row>
    <row r="489" spans="31:38" x14ac:dyDescent="0.25">
      <c r="AE489" s="43" t="s">
        <v>98</v>
      </c>
      <c r="AF489" s="43" t="s">
        <v>60</v>
      </c>
      <c r="AG489" s="43" t="s">
        <v>99</v>
      </c>
      <c r="AH489" s="43" t="s">
        <v>72</v>
      </c>
      <c r="AI489">
        <v>2</v>
      </c>
      <c r="AJ489" t="s">
        <v>317</v>
      </c>
      <c r="AK489" s="43" t="s">
        <v>309</v>
      </c>
      <c r="AL489">
        <v>0</v>
      </c>
    </row>
    <row r="490" spans="31:38" x14ac:dyDescent="0.25">
      <c r="AE490" s="43" t="s">
        <v>98</v>
      </c>
      <c r="AF490" s="43" t="s">
        <v>60</v>
      </c>
      <c r="AG490" s="43" t="s">
        <v>99</v>
      </c>
      <c r="AH490" s="43" t="s">
        <v>72</v>
      </c>
      <c r="AI490">
        <v>2</v>
      </c>
      <c r="AJ490" t="s">
        <v>317</v>
      </c>
      <c r="AK490" s="43" t="s">
        <v>268</v>
      </c>
      <c r="AL490">
        <v>0</v>
      </c>
    </row>
    <row r="491" spans="31:38" x14ac:dyDescent="0.25">
      <c r="AE491" s="43" t="s">
        <v>98</v>
      </c>
      <c r="AF491" s="43" t="s">
        <v>60</v>
      </c>
      <c r="AG491" s="43" t="s">
        <v>99</v>
      </c>
      <c r="AH491" s="43" t="s">
        <v>72</v>
      </c>
      <c r="AI491">
        <v>2</v>
      </c>
      <c r="AJ491" t="s">
        <v>325</v>
      </c>
      <c r="AK491" s="43" t="s">
        <v>308</v>
      </c>
      <c r="AL491">
        <v>2.4</v>
      </c>
    </row>
    <row r="492" spans="31:38" x14ac:dyDescent="0.25">
      <c r="AE492" s="43" t="s">
        <v>98</v>
      </c>
      <c r="AF492" s="43" t="s">
        <v>60</v>
      </c>
      <c r="AG492" s="43" t="s">
        <v>99</v>
      </c>
      <c r="AH492" s="43" t="s">
        <v>72</v>
      </c>
      <c r="AI492">
        <v>2</v>
      </c>
      <c r="AJ492" t="s">
        <v>325</v>
      </c>
      <c r="AK492" s="43" t="s">
        <v>309</v>
      </c>
      <c r="AL492">
        <v>8.6</v>
      </c>
    </row>
    <row r="493" spans="31:38" x14ac:dyDescent="0.25">
      <c r="AE493" s="43" t="s">
        <v>98</v>
      </c>
      <c r="AF493" s="43" t="s">
        <v>60</v>
      </c>
      <c r="AG493" s="43" t="s">
        <v>99</v>
      </c>
      <c r="AH493" s="43" t="s">
        <v>72</v>
      </c>
      <c r="AI493">
        <v>2</v>
      </c>
      <c r="AJ493" t="s">
        <v>325</v>
      </c>
      <c r="AK493" s="43" t="s">
        <v>268</v>
      </c>
      <c r="AL493">
        <v>11</v>
      </c>
    </row>
    <row r="494" spans="31:38" x14ac:dyDescent="0.25">
      <c r="AE494" s="43" t="s">
        <v>98</v>
      </c>
      <c r="AF494" s="43" t="s">
        <v>60</v>
      </c>
      <c r="AG494" s="43" t="s">
        <v>99</v>
      </c>
      <c r="AH494" s="43" t="s">
        <v>72</v>
      </c>
      <c r="AI494">
        <v>2</v>
      </c>
      <c r="AJ494" t="s">
        <v>330</v>
      </c>
      <c r="AK494" s="43" t="s">
        <v>308</v>
      </c>
      <c r="AL494">
        <v>2.5</v>
      </c>
    </row>
    <row r="495" spans="31:38" x14ac:dyDescent="0.25">
      <c r="AE495" s="43" t="s">
        <v>98</v>
      </c>
      <c r="AF495" s="43" t="s">
        <v>60</v>
      </c>
      <c r="AG495" s="43" t="s">
        <v>99</v>
      </c>
      <c r="AH495" s="43" t="s">
        <v>72</v>
      </c>
      <c r="AI495">
        <v>2</v>
      </c>
      <c r="AJ495" t="s">
        <v>330</v>
      </c>
      <c r="AK495" s="43" t="s">
        <v>309</v>
      </c>
      <c r="AL495">
        <v>8.6999999999999993</v>
      </c>
    </row>
    <row r="496" spans="31:38" x14ac:dyDescent="0.25">
      <c r="AE496" s="43" t="s">
        <v>98</v>
      </c>
      <c r="AF496" s="43" t="s">
        <v>60</v>
      </c>
      <c r="AG496" s="43" t="s">
        <v>99</v>
      </c>
      <c r="AH496" s="43" t="s">
        <v>72</v>
      </c>
      <c r="AI496">
        <v>2</v>
      </c>
      <c r="AJ496" t="s">
        <v>330</v>
      </c>
      <c r="AK496" s="43" t="s">
        <v>268</v>
      </c>
      <c r="AL496">
        <v>11.2</v>
      </c>
    </row>
    <row r="497" spans="31:38" x14ac:dyDescent="0.25">
      <c r="AE497" s="43" t="s">
        <v>98</v>
      </c>
      <c r="AF497" s="43" t="s">
        <v>60</v>
      </c>
      <c r="AG497" s="43" t="s">
        <v>99</v>
      </c>
      <c r="AH497" s="43" t="s">
        <v>72</v>
      </c>
      <c r="AI497">
        <v>2</v>
      </c>
      <c r="AJ497" t="s">
        <v>331</v>
      </c>
      <c r="AK497" s="43" t="s">
        <v>308</v>
      </c>
      <c r="AL497">
        <v>0</v>
      </c>
    </row>
    <row r="498" spans="31:38" x14ac:dyDescent="0.25">
      <c r="AE498" s="43" t="s">
        <v>98</v>
      </c>
      <c r="AF498" s="43" t="s">
        <v>60</v>
      </c>
      <c r="AG498" s="43" t="s">
        <v>99</v>
      </c>
      <c r="AH498" s="43" t="s">
        <v>72</v>
      </c>
      <c r="AI498">
        <v>2</v>
      </c>
      <c r="AJ498" t="s">
        <v>331</v>
      </c>
      <c r="AK498" s="43" t="s">
        <v>309</v>
      </c>
      <c r="AL498">
        <v>0</v>
      </c>
    </row>
    <row r="499" spans="31:38" x14ac:dyDescent="0.25">
      <c r="AE499" s="43" t="s">
        <v>98</v>
      </c>
      <c r="AF499" s="43" t="s">
        <v>60</v>
      </c>
      <c r="AG499" s="43" t="s">
        <v>99</v>
      </c>
      <c r="AH499" s="43" t="s">
        <v>72</v>
      </c>
      <c r="AI499">
        <v>2</v>
      </c>
      <c r="AJ499" t="s">
        <v>331</v>
      </c>
      <c r="AK499" s="43" t="s">
        <v>268</v>
      </c>
      <c r="AL499">
        <v>0</v>
      </c>
    </row>
    <row r="500" spans="31:38" x14ac:dyDescent="0.25">
      <c r="AE500" s="43" t="s">
        <v>98</v>
      </c>
      <c r="AF500" s="43" t="s">
        <v>60</v>
      </c>
      <c r="AG500" s="43" t="s">
        <v>99</v>
      </c>
      <c r="AH500" s="43" t="s">
        <v>72</v>
      </c>
      <c r="AI500">
        <v>2</v>
      </c>
      <c r="AJ500" t="s">
        <v>341</v>
      </c>
      <c r="AK500" s="43" t="s">
        <v>308</v>
      </c>
      <c r="AL500">
        <v>4.9000000000000004</v>
      </c>
    </row>
    <row r="501" spans="31:38" x14ac:dyDescent="0.25">
      <c r="AE501" s="43" t="s">
        <v>98</v>
      </c>
      <c r="AF501" s="43" t="s">
        <v>60</v>
      </c>
      <c r="AG501" s="43" t="s">
        <v>99</v>
      </c>
      <c r="AH501" s="43" t="s">
        <v>72</v>
      </c>
      <c r="AI501">
        <v>2</v>
      </c>
      <c r="AJ501" t="s">
        <v>341</v>
      </c>
      <c r="AK501" s="43" t="s">
        <v>309</v>
      </c>
      <c r="AL501">
        <v>17.299999999999997</v>
      </c>
    </row>
    <row r="502" spans="31:38" x14ac:dyDescent="0.25">
      <c r="AE502" s="43" t="s">
        <v>98</v>
      </c>
      <c r="AF502" s="43" t="s">
        <v>60</v>
      </c>
      <c r="AG502" s="43" t="s">
        <v>99</v>
      </c>
      <c r="AH502" s="43" t="s">
        <v>72</v>
      </c>
      <c r="AI502">
        <v>2</v>
      </c>
      <c r="AJ502" t="s">
        <v>341</v>
      </c>
      <c r="AK502" s="43" t="s">
        <v>268</v>
      </c>
      <c r="AL502">
        <v>22.2</v>
      </c>
    </row>
    <row r="503" spans="31:38" x14ac:dyDescent="0.25">
      <c r="AE503" s="43" t="s">
        <v>98</v>
      </c>
      <c r="AF503" s="43" t="s">
        <v>60</v>
      </c>
      <c r="AG503" s="43" t="s">
        <v>99</v>
      </c>
      <c r="AH503" s="43" t="s">
        <v>72</v>
      </c>
      <c r="AI503">
        <v>2</v>
      </c>
      <c r="AJ503" t="s">
        <v>273</v>
      </c>
      <c r="AK503" s="43" t="s">
        <v>308</v>
      </c>
      <c r="AL503">
        <v>0</v>
      </c>
    </row>
    <row r="504" spans="31:38" x14ac:dyDescent="0.25">
      <c r="AE504" s="43" t="s">
        <v>98</v>
      </c>
      <c r="AF504" s="43" t="s">
        <v>60</v>
      </c>
      <c r="AG504" s="43" t="s">
        <v>99</v>
      </c>
      <c r="AH504" s="43" t="s">
        <v>72</v>
      </c>
      <c r="AI504">
        <v>2</v>
      </c>
      <c r="AJ504" t="s">
        <v>273</v>
      </c>
      <c r="AK504" s="43" t="s">
        <v>309</v>
      </c>
      <c r="AL504">
        <v>0</v>
      </c>
    </row>
    <row r="505" spans="31:38" x14ac:dyDescent="0.25">
      <c r="AE505" s="43" t="s">
        <v>98</v>
      </c>
      <c r="AF505" s="43" t="s">
        <v>60</v>
      </c>
      <c r="AG505" s="43" t="s">
        <v>99</v>
      </c>
      <c r="AH505" s="43" t="s">
        <v>72</v>
      </c>
      <c r="AI505">
        <v>2</v>
      </c>
      <c r="AJ505" t="s">
        <v>273</v>
      </c>
      <c r="AK505" s="43" t="s">
        <v>268</v>
      </c>
      <c r="AL505">
        <v>0</v>
      </c>
    </row>
    <row r="506" spans="31:38" x14ac:dyDescent="0.25">
      <c r="AE506" s="43" t="s">
        <v>96</v>
      </c>
      <c r="AF506" s="43" t="s">
        <v>60</v>
      </c>
      <c r="AG506" s="43" t="s">
        <v>97</v>
      </c>
      <c r="AH506" s="43" t="s">
        <v>62</v>
      </c>
      <c r="AI506">
        <v>2</v>
      </c>
      <c r="AJ506" t="s">
        <v>317</v>
      </c>
      <c r="AK506" s="43" t="s">
        <v>308</v>
      </c>
      <c r="AL506">
        <v>0</v>
      </c>
    </row>
    <row r="507" spans="31:38" x14ac:dyDescent="0.25">
      <c r="AE507" s="43" t="s">
        <v>96</v>
      </c>
      <c r="AF507" s="43" t="s">
        <v>60</v>
      </c>
      <c r="AG507" s="43" t="s">
        <v>97</v>
      </c>
      <c r="AH507" s="43" t="s">
        <v>62</v>
      </c>
      <c r="AI507">
        <v>2</v>
      </c>
      <c r="AJ507" t="s">
        <v>317</v>
      </c>
      <c r="AK507" s="43" t="s">
        <v>309</v>
      </c>
      <c r="AL507">
        <v>0</v>
      </c>
    </row>
    <row r="508" spans="31:38" x14ac:dyDescent="0.25">
      <c r="AE508" s="43" t="s">
        <v>96</v>
      </c>
      <c r="AF508" s="43" t="s">
        <v>60</v>
      </c>
      <c r="AG508" s="43" t="s">
        <v>97</v>
      </c>
      <c r="AH508" s="43" t="s">
        <v>62</v>
      </c>
      <c r="AI508">
        <v>2</v>
      </c>
      <c r="AJ508" t="s">
        <v>317</v>
      </c>
      <c r="AK508" s="43" t="s">
        <v>268</v>
      </c>
      <c r="AL508">
        <v>0</v>
      </c>
    </row>
    <row r="509" spans="31:38" x14ac:dyDescent="0.25">
      <c r="AE509" s="43" t="s">
        <v>96</v>
      </c>
      <c r="AF509" s="43" t="s">
        <v>60</v>
      </c>
      <c r="AG509" s="43" t="s">
        <v>97</v>
      </c>
      <c r="AH509" s="43" t="s">
        <v>62</v>
      </c>
      <c r="AI509">
        <v>2</v>
      </c>
      <c r="AJ509" t="s">
        <v>325</v>
      </c>
      <c r="AK509" s="43" t="s">
        <v>308</v>
      </c>
      <c r="AL509">
        <v>4</v>
      </c>
    </row>
    <row r="510" spans="31:38" x14ac:dyDescent="0.25">
      <c r="AE510" s="43" t="s">
        <v>96</v>
      </c>
      <c r="AF510" s="43" t="s">
        <v>60</v>
      </c>
      <c r="AG510" s="43" t="s">
        <v>97</v>
      </c>
      <c r="AH510" s="43" t="s">
        <v>62</v>
      </c>
      <c r="AI510">
        <v>2</v>
      </c>
      <c r="AJ510" t="s">
        <v>325</v>
      </c>
      <c r="AK510" s="43" t="s">
        <v>309</v>
      </c>
      <c r="AL510">
        <v>6.6</v>
      </c>
    </row>
    <row r="511" spans="31:38" x14ac:dyDescent="0.25">
      <c r="AE511" s="43" t="s">
        <v>96</v>
      </c>
      <c r="AF511" s="43" t="s">
        <v>60</v>
      </c>
      <c r="AG511" s="43" t="s">
        <v>97</v>
      </c>
      <c r="AH511" s="43" t="s">
        <v>62</v>
      </c>
      <c r="AI511">
        <v>2</v>
      </c>
      <c r="AJ511" t="s">
        <v>325</v>
      </c>
      <c r="AK511" s="43" t="s">
        <v>268</v>
      </c>
      <c r="AL511">
        <v>10.6</v>
      </c>
    </row>
    <row r="512" spans="31:38" x14ac:dyDescent="0.25">
      <c r="AE512" s="43" t="s">
        <v>96</v>
      </c>
      <c r="AF512" s="43" t="s">
        <v>60</v>
      </c>
      <c r="AG512" s="43" t="s">
        <v>97</v>
      </c>
      <c r="AH512" s="43" t="s">
        <v>62</v>
      </c>
      <c r="AI512">
        <v>2</v>
      </c>
      <c r="AJ512" t="s">
        <v>330</v>
      </c>
      <c r="AK512" s="43" t="s">
        <v>308</v>
      </c>
      <c r="AL512">
        <v>3.8</v>
      </c>
    </row>
    <row r="513" spans="31:38" x14ac:dyDescent="0.25">
      <c r="AE513" s="43" t="s">
        <v>96</v>
      </c>
      <c r="AF513" s="43" t="s">
        <v>60</v>
      </c>
      <c r="AG513" s="43" t="s">
        <v>97</v>
      </c>
      <c r="AH513" s="43" t="s">
        <v>62</v>
      </c>
      <c r="AI513">
        <v>2</v>
      </c>
      <c r="AJ513" t="s">
        <v>330</v>
      </c>
      <c r="AK513" s="43" t="s">
        <v>309</v>
      </c>
      <c r="AL513">
        <v>7.2</v>
      </c>
    </row>
    <row r="514" spans="31:38" x14ac:dyDescent="0.25">
      <c r="AE514" s="43" t="s">
        <v>96</v>
      </c>
      <c r="AF514" s="43" t="s">
        <v>60</v>
      </c>
      <c r="AG514" s="43" t="s">
        <v>97</v>
      </c>
      <c r="AH514" s="43" t="s">
        <v>62</v>
      </c>
      <c r="AI514">
        <v>2</v>
      </c>
      <c r="AJ514" t="s">
        <v>330</v>
      </c>
      <c r="AK514" s="43" t="s">
        <v>268</v>
      </c>
      <c r="AL514">
        <v>11</v>
      </c>
    </row>
    <row r="515" spans="31:38" x14ac:dyDescent="0.25">
      <c r="AE515" s="43" t="s">
        <v>96</v>
      </c>
      <c r="AF515" s="43" t="s">
        <v>60</v>
      </c>
      <c r="AG515" s="43" t="s">
        <v>97</v>
      </c>
      <c r="AH515" s="43" t="s">
        <v>62</v>
      </c>
      <c r="AI515">
        <v>2</v>
      </c>
      <c r="AJ515" t="s">
        <v>331</v>
      </c>
      <c r="AK515" s="43" t="s">
        <v>308</v>
      </c>
      <c r="AL515">
        <v>0</v>
      </c>
    </row>
    <row r="516" spans="31:38" x14ac:dyDescent="0.25">
      <c r="AE516" s="43" t="s">
        <v>96</v>
      </c>
      <c r="AF516" s="43" t="s">
        <v>60</v>
      </c>
      <c r="AG516" s="43" t="s">
        <v>97</v>
      </c>
      <c r="AH516" s="43" t="s">
        <v>62</v>
      </c>
      <c r="AI516">
        <v>2</v>
      </c>
      <c r="AJ516" t="s">
        <v>331</v>
      </c>
      <c r="AK516" s="43" t="s">
        <v>309</v>
      </c>
      <c r="AL516">
        <v>0</v>
      </c>
    </row>
    <row r="517" spans="31:38" x14ac:dyDescent="0.25">
      <c r="AE517" s="43" t="s">
        <v>96</v>
      </c>
      <c r="AF517" s="43" t="s">
        <v>60</v>
      </c>
      <c r="AG517" s="43" t="s">
        <v>97</v>
      </c>
      <c r="AH517" s="43" t="s">
        <v>62</v>
      </c>
      <c r="AI517">
        <v>2</v>
      </c>
      <c r="AJ517" t="s">
        <v>331</v>
      </c>
      <c r="AK517" s="43" t="s">
        <v>268</v>
      </c>
      <c r="AL517">
        <v>0</v>
      </c>
    </row>
    <row r="518" spans="31:38" x14ac:dyDescent="0.25">
      <c r="AE518" s="43" t="s">
        <v>96</v>
      </c>
      <c r="AF518" s="43" t="s">
        <v>60</v>
      </c>
      <c r="AG518" s="43" t="s">
        <v>97</v>
      </c>
      <c r="AH518" s="43" t="s">
        <v>62</v>
      </c>
      <c r="AI518">
        <v>2</v>
      </c>
      <c r="AJ518" t="s">
        <v>341</v>
      </c>
      <c r="AK518" s="43" t="s">
        <v>308</v>
      </c>
      <c r="AL518">
        <v>7.8</v>
      </c>
    </row>
    <row r="519" spans="31:38" x14ac:dyDescent="0.25">
      <c r="AE519" s="43" t="s">
        <v>96</v>
      </c>
      <c r="AF519" s="43" t="s">
        <v>60</v>
      </c>
      <c r="AG519" s="43" t="s">
        <v>97</v>
      </c>
      <c r="AH519" s="43" t="s">
        <v>62</v>
      </c>
      <c r="AI519">
        <v>2</v>
      </c>
      <c r="AJ519" t="s">
        <v>341</v>
      </c>
      <c r="AK519" s="43" t="s">
        <v>309</v>
      </c>
      <c r="AL519">
        <v>13.8</v>
      </c>
    </row>
    <row r="520" spans="31:38" x14ac:dyDescent="0.25">
      <c r="AE520" s="43" t="s">
        <v>96</v>
      </c>
      <c r="AF520" s="43" t="s">
        <v>60</v>
      </c>
      <c r="AG520" s="43" t="s">
        <v>97</v>
      </c>
      <c r="AH520" s="43" t="s">
        <v>62</v>
      </c>
      <c r="AI520">
        <v>2</v>
      </c>
      <c r="AJ520" t="s">
        <v>341</v>
      </c>
      <c r="AK520" s="43" t="s">
        <v>268</v>
      </c>
      <c r="AL520">
        <v>21.6</v>
      </c>
    </row>
    <row r="521" spans="31:38" x14ac:dyDescent="0.25">
      <c r="AE521" s="43" t="s">
        <v>96</v>
      </c>
      <c r="AF521" s="43" t="s">
        <v>60</v>
      </c>
      <c r="AG521" s="43" t="s">
        <v>97</v>
      </c>
      <c r="AH521" s="43" t="s">
        <v>62</v>
      </c>
      <c r="AI521">
        <v>2</v>
      </c>
      <c r="AJ521" t="s">
        <v>273</v>
      </c>
      <c r="AK521" s="43" t="s">
        <v>308</v>
      </c>
      <c r="AL521">
        <v>0</v>
      </c>
    </row>
    <row r="522" spans="31:38" x14ac:dyDescent="0.25">
      <c r="AE522" s="43" t="s">
        <v>96</v>
      </c>
      <c r="AF522" s="43" t="s">
        <v>60</v>
      </c>
      <c r="AG522" s="43" t="s">
        <v>97</v>
      </c>
      <c r="AH522" s="43" t="s">
        <v>62</v>
      </c>
      <c r="AI522">
        <v>2</v>
      </c>
      <c r="AJ522" t="s">
        <v>273</v>
      </c>
      <c r="AK522" s="43" t="s">
        <v>309</v>
      </c>
      <c r="AL522">
        <v>0</v>
      </c>
    </row>
    <row r="523" spans="31:38" x14ac:dyDescent="0.25">
      <c r="AE523" s="43" t="s">
        <v>96</v>
      </c>
      <c r="AF523" s="43" t="s">
        <v>60</v>
      </c>
      <c r="AG523" s="43" t="s">
        <v>97</v>
      </c>
      <c r="AH523" s="43" t="s">
        <v>62</v>
      </c>
      <c r="AI523">
        <v>2</v>
      </c>
      <c r="AJ523" t="s">
        <v>273</v>
      </c>
      <c r="AK523" s="43" t="s">
        <v>268</v>
      </c>
      <c r="AL523">
        <v>0</v>
      </c>
    </row>
    <row r="524" spans="31:38" x14ac:dyDescent="0.25">
      <c r="AE524" s="43" t="s">
        <v>100</v>
      </c>
      <c r="AF524" s="43" t="s">
        <v>60</v>
      </c>
      <c r="AG524" s="43" t="s">
        <v>101</v>
      </c>
      <c r="AH524" s="43" t="s">
        <v>31</v>
      </c>
      <c r="AI524">
        <v>2</v>
      </c>
      <c r="AJ524" t="s">
        <v>317</v>
      </c>
      <c r="AK524" s="43" t="s">
        <v>308</v>
      </c>
      <c r="AL524">
        <v>2.9</v>
      </c>
    </row>
    <row r="525" spans="31:38" x14ac:dyDescent="0.25">
      <c r="AE525" s="43" t="s">
        <v>100</v>
      </c>
      <c r="AF525" s="43" t="s">
        <v>60</v>
      </c>
      <c r="AG525" s="43" t="s">
        <v>101</v>
      </c>
      <c r="AH525" s="43" t="s">
        <v>31</v>
      </c>
      <c r="AI525">
        <v>2</v>
      </c>
      <c r="AJ525" t="s">
        <v>317</v>
      </c>
      <c r="AK525" s="43" t="s">
        <v>309</v>
      </c>
      <c r="AL525">
        <v>7.75</v>
      </c>
    </row>
    <row r="526" spans="31:38" x14ac:dyDescent="0.25">
      <c r="AE526" s="43" t="s">
        <v>100</v>
      </c>
      <c r="AF526" s="43" t="s">
        <v>60</v>
      </c>
      <c r="AG526" s="43" t="s">
        <v>101</v>
      </c>
      <c r="AH526" s="43" t="s">
        <v>31</v>
      </c>
      <c r="AI526">
        <v>2</v>
      </c>
      <c r="AJ526" t="s">
        <v>317</v>
      </c>
      <c r="AK526" s="43" t="s">
        <v>268</v>
      </c>
      <c r="AL526">
        <v>10.65</v>
      </c>
    </row>
    <row r="527" spans="31:38" x14ac:dyDescent="0.25">
      <c r="AE527" s="43" t="s">
        <v>100</v>
      </c>
      <c r="AF527" s="43" t="s">
        <v>60</v>
      </c>
      <c r="AG527" s="43" t="s">
        <v>101</v>
      </c>
      <c r="AH527" s="43" t="s">
        <v>31</v>
      </c>
      <c r="AI527">
        <v>2</v>
      </c>
      <c r="AJ527" t="s">
        <v>325</v>
      </c>
      <c r="AK527" s="43" t="s">
        <v>308</v>
      </c>
      <c r="AL527">
        <v>2.4</v>
      </c>
    </row>
    <row r="528" spans="31:38" x14ac:dyDescent="0.25">
      <c r="AE528" s="43" t="s">
        <v>100</v>
      </c>
      <c r="AF528" s="43" t="s">
        <v>60</v>
      </c>
      <c r="AG528" s="43" t="s">
        <v>101</v>
      </c>
      <c r="AH528" s="43" t="s">
        <v>31</v>
      </c>
      <c r="AI528">
        <v>2</v>
      </c>
      <c r="AJ528" t="s">
        <v>325</v>
      </c>
      <c r="AK528" s="43" t="s">
        <v>309</v>
      </c>
      <c r="AL528">
        <v>8.0500000000000007</v>
      </c>
    </row>
    <row r="529" spans="31:38" x14ac:dyDescent="0.25">
      <c r="AE529" s="43" t="s">
        <v>100</v>
      </c>
      <c r="AF529" s="43" t="s">
        <v>60</v>
      </c>
      <c r="AG529" s="43" t="s">
        <v>101</v>
      </c>
      <c r="AH529" s="43" t="s">
        <v>31</v>
      </c>
      <c r="AI529">
        <v>2</v>
      </c>
      <c r="AJ529" t="s">
        <v>325</v>
      </c>
      <c r="AK529" s="43" t="s">
        <v>268</v>
      </c>
      <c r="AL529">
        <v>10.45</v>
      </c>
    </row>
    <row r="530" spans="31:38" x14ac:dyDescent="0.25">
      <c r="AE530" s="43" t="s">
        <v>100</v>
      </c>
      <c r="AF530" s="43" t="s">
        <v>60</v>
      </c>
      <c r="AG530" s="43" t="s">
        <v>101</v>
      </c>
      <c r="AH530" s="43" t="s">
        <v>31</v>
      </c>
      <c r="AI530">
        <v>2</v>
      </c>
      <c r="AJ530" t="s">
        <v>330</v>
      </c>
      <c r="AK530" s="43" t="s">
        <v>308</v>
      </c>
      <c r="AL530">
        <v>0</v>
      </c>
    </row>
    <row r="531" spans="31:38" x14ac:dyDescent="0.25">
      <c r="AE531" s="43" t="s">
        <v>100</v>
      </c>
      <c r="AF531" s="43" t="s">
        <v>60</v>
      </c>
      <c r="AG531" s="43" t="s">
        <v>101</v>
      </c>
      <c r="AH531" s="43" t="s">
        <v>31</v>
      </c>
      <c r="AI531">
        <v>2</v>
      </c>
      <c r="AJ531" t="s">
        <v>330</v>
      </c>
      <c r="AK531" s="43" t="s">
        <v>309</v>
      </c>
      <c r="AL531">
        <v>0</v>
      </c>
    </row>
    <row r="532" spans="31:38" x14ac:dyDescent="0.25">
      <c r="AE532" s="43" t="s">
        <v>100</v>
      </c>
      <c r="AF532" s="43" t="s">
        <v>60</v>
      </c>
      <c r="AG532" s="43" t="s">
        <v>101</v>
      </c>
      <c r="AH532" s="43" t="s">
        <v>31</v>
      </c>
      <c r="AI532">
        <v>2</v>
      </c>
      <c r="AJ532" t="s">
        <v>330</v>
      </c>
      <c r="AK532" s="43" t="s">
        <v>268</v>
      </c>
      <c r="AL532">
        <v>0</v>
      </c>
    </row>
    <row r="533" spans="31:38" x14ac:dyDescent="0.25">
      <c r="AE533" s="43" t="s">
        <v>100</v>
      </c>
      <c r="AF533" s="43" t="s">
        <v>60</v>
      </c>
      <c r="AG533" s="43" t="s">
        <v>101</v>
      </c>
      <c r="AH533" s="43" t="s">
        <v>31</v>
      </c>
      <c r="AI533">
        <v>2</v>
      </c>
      <c r="AJ533" t="s">
        <v>331</v>
      </c>
      <c r="AK533" s="43" t="s">
        <v>308</v>
      </c>
      <c r="AL533">
        <v>0</v>
      </c>
    </row>
    <row r="534" spans="31:38" x14ac:dyDescent="0.25">
      <c r="AE534" s="43" t="s">
        <v>100</v>
      </c>
      <c r="AF534" s="43" t="s">
        <v>60</v>
      </c>
      <c r="AG534" s="43" t="s">
        <v>101</v>
      </c>
      <c r="AH534" s="43" t="s">
        <v>31</v>
      </c>
      <c r="AI534">
        <v>2</v>
      </c>
      <c r="AJ534" t="s">
        <v>331</v>
      </c>
      <c r="AK534" s="43" t="s">
        <v>309</v>
      </c>
      <c r="AL534">
        <v>0</v>
      </c>
    </row>
    <row r="535" spans="31:38" x14ac:dyDescent="0.25">
      <c r="AE535" s="43" t="s">
        <v>100</v>
      </c>
      <c r="AF535" s="43" t="s">
        <v>60</v>
      </c>
      <c r="AG535" s="43" t="s">
        <v>101</v>
      </c>
      <c r="AH535" s="43" t="s">
        <v>31</v>
      </c>
      <c r="AI535">
        <v>2</v>
      </c>
      <c r="AJ535" t="s">
        <v>331</v>
      </c>
      <c r="AK535" s="43" t="s">
        <v>268</v>
      </c>
      <c r="AL535">
        <v>0</v>
      </c>
    </row>
    <row r="536" spans="31:38" x14ac:dyDescent="0.25">
      <c r="AE536" s="43" t="s">
        <v>100</v>
      </c>
      <c r="AF536" s="43" t="s">
        <v>60</v>
      </c>
      <c r="AG536" s="43" t="s">
        <v>101</v>
      </c>
      <c r="AH536" s="43" t="s">
        <v>31</v>
      </c>
      <c r="AI536">
        <v>2</v>
      </c>
      <c r="AJ536" t="s">
        <v>341</v>
      </c>
      <c r="AK536" s="43" t="s">
        <v>308</v>
      </c>
      <c r="AL536">
        <v>5.3</v>
      </c>
    </row>
    <row r="537" spans="31:38" x14ac:dyDescent="0.25">
      <c r="AE537" s="43" t="s">
        <v>100</v>
      </c>
      <c r="AF537" s="43" t="s">
        <v>60</v>
      </c>
      <c r="AG537" s="43" t="s">
        <v>101</v>
      </c>
      <c r="AH537" s="43" t="s">
        <v>31</v>
      </c>
      <c r="AI537">
        <v>2</v>
      </c>
      <c r="AJ537" t="s">
        <v>341</v>
      </c>
      <c r="AK537" s="43" t="s">
        <v>309</v>
      </c>
      <c r="AL537">
        <v>15.8</v>
      </c>
    </row>
    <row r="538" spans="31:38" x14ac:dyDescent="0.25">
      <c r="AE538" s="43" t="s">
        <v>100</v>
      </c>
      <c r="AF538" s="43" t="s">
        <v>60</v>
      </c>
      <c r="AG538" s="43" t="s">
        <v>101</v>
      </c>
      <c r="AH538" s="43" t="s">
        <v>31</v>
      </c>
      <c r="AI538">
        <v>2</v>
      </c>
      <c r="AJ538" t="s">
        <v>341</v>
      </c>
      <c r="AK538" s="43" t="s">
        <v>268</v>
      </c>
      <c r="AL538">
        <v>21.1</v>
      </c>
    </row>
    <row r="539" spans="31:38" x14ac:dyDescent="0.25">
      <c r="AE539" s="43" t="s">
        <v>100</v>
      </c>
      <c r="AF539" s="43" t="s">
        <v>60</v>
      </c>
      <c r="AG539" s="43" t="s">
        <v>101</v>
      </c>
      <c r="AH539" s="43" t="s">
        <v>31</v>
      </c>
      <c r="AI539">
        <v>2</v>
      </c>
      <c r="AJ539" t="s">
        <v>273</v>
      </c>
      <c r="AK539" s="43" t="s">
        <v>308</v>
      </c>
      <c r="AL539">
        <v>0</v>
      </c>
    </row>
    <row r="540" spans="31:38" x14ac:dyDescent="0.25">
      <c r="AE540" s="43" t="s">
        <v>100</v>
      </c>
      <c r="AF540" s="43" t="s">
        <v>60</v>
      </c>
      <c r="AG540" s="43" t="s">
        <v>101</v>
      </c>
      <c r="AH540" s="43" t="s">
        <v>31</v>
      </c>
      <c r="AI540">
        <v>2</v>
      </c>
      <c r="AJ540" t="s">
        <v>273</v>
      </c>
      <c r="AK540" s="43" t="s">
        <v>309</v>
      </c>
      <c r="AL540">
        <v>0</v>
      </c>
    </row>
    <row r="541" spans="31:38" x14ac:dyDescent="0.25">
      <c r="AE541" s="43" t="s">
        <v>100</v>
      </c>
      <c r="AF541" s="43" t="s">
        <v>60</v>
      </c>
      <c r="AG541" s="43" t="s">
        <v>101</v>
      </c>
      <c r="AH541" s="43" t="s">
        <v>31</v>
      </c>
      <c r="AI541">
        <v>2</v>
      </c>
      <c r="AJ541" t="s">
        <v>273</v>
      </c>
      <c r="AK541" s="43" t="s">
        <v>268</v>
      </c>
      <c r="AL541">
        <v>0</v>
      </c>
    </row>
    <row r="542" spans="31:38" x14ac:dyDescent="0.25">
      <c r="AE542" s="43" t="s">
        <v>88</v>
      </c>
      <c r="AF542" s="43" t="s">
        <v>60</v>
      </c>
      <c r="AG542" s="43" t="s">
        <v>89</v>
      </c>
      <c r="AH542" s="43" t="s">
        <v>36</v>
      </c>
      <c r="AI542">
        <v>2</v>
      </c>
      <c r="AJ542" t="s">
        <v>317</v>
      </c>
      <c r="AK542" s="43" t="s">
        <v>308</v>
      </c>
      <c r="AL542">
        <v>0</v>
      </c>
    </row>
    <row r="543" spans="31:38" x14ac:dyDescent="0.25">
      <c r="AE543" s="43" t="s">
        <v>88</v>
      </c>
      <c r="AF543" s="43" t="s">
        <v>60</v>
      </c>
      <c r="AG543" s="43" t="s">
        <v>89</v>
      </c>
      <c r="AH543" s="43" t="s">
        <v>36</v>
      </c>
      <c r="AI543">
        <v>2</v>
      </c>
      <c r="AJ543" t="s">
        <v>317</v>
      </c>
      <c r="AK543" s="43" t="s">
        <v>309</v>
      </c>
      <c r="AL543">
        <v>0</v>
      </c>
    </row>
    <row r="544" spans="31:38" x14ac:dyDescent="0.25">
      <c r="AE544" s="43" t="s">
        <v>88</v>
      </c>
      <c r="AF544" s="43" t="s">
        <v>60</v>
      </c>
      <c r="AG544" s="43" t="s">
        <v>89</v>
      </c>
      <c r="AH544" s="43" t="s">
        <v>36</v>
      </c>
      <c r="AI544">
        <v>2</v>
      </c>
      <c r="AJ544" t="s">
        <v>317</v>
      </c>
      <c r="AK544" s="43" t="s">
        <v>268</v>
      </c>
      <c r="AL544">
        <v>0</v>
      </c>
    </row>
    <row r="545" spans="31:38" x14ac:dyDescent="0.25">
      <c r="AE545" s="43" t="s">
        <v>88</v>
      </c>
      <c r="AF545" s="43" t="s">
        <v>60</v>
      </c>
      <c r="AG545" s="43" t="s">
        <v>89</v>
      </c>
      <c r="AH545" s="43" t="s">
        <v>36</v>
      </c>
      <c r="AI545">
        <v>2</v>
      </c>
      <c r="AJ545" t="s">
        <v>325</v>
      </c>
      <c r="AK545" s="43" t="s">
        <v>308</v>
      </c>
      <c r="AL545">
        <v>2.8</v>
      </c>
    </row>
    <row r="546" spans="31:38" x14ac:dyDescent="0.25">
      <c r="AE546" s="43" t="s">
        <v>88</v>
      </c>
      <c r="AF546" s="43" t="s">
        <v>60</v>
      </c>
      <c r="AG546" s="43" t="s">
        <v>89</v>
      </c>
      <c r="AH546" s="43" t="s">
        <v>36</v>
      </c>
      <c r="AI546">
        <v>2</v>
      </c>
      <c r="AJ546" t="s">
        <v>325</v>
      </c>
      <c r="AK546" s="43" t="s">
        <v>309</v>
      </c>
      <c r="AL546">
        <v>7.4</v>
      </c>
    </row>
    <row r="547" spans="31:38" x14ac:dyDescent="0.25">
      <c r="AE547" s="43" t="s">
        <v>88</v>
      </c>
      <c r="AF547" s="43" t="s">
        <v>60</v>
      </c>
      <c r="AG547" s="43" t="s">
        <v>89</v>
      </c>
      <c r="AH547" s="43" t="s">
        <v>36</v>
      </c>
      <c r="AI547">
        <v>2</v>
      </c>
      <c r="AJ547" t="s">
        <v>325</v>
      </c>
      <c r="AK547" s="43" t="s">
        <v>268</v>
      </c>
      <c r="AL547">
        <v>10.199999999999999</v>
      </c>
    </row>
    <row r="548" spans="31:38" x14ac:dyDescent="0.25">
      <c r="AE548" s="43" t="s">
        <v>88</v>
      </c>
      <c r="AF548" s="43" t="s">
        <v>60</v>
      </c>
      <c r="AG548" s="43" t="s">
        <v>89</v>
      </c>
      <c r="AH548" s="43" t="s">
        <v>36</v>
      </c>
      <c r="AI548">
        <v>2</v>
      </c>
      <c r="AJ548" t="s">
        <v>330</v>
      </c>
      <c r="AK548" s="43" t="s">
        <v>308</v>
      </c>
      <c r="AL548">
        <v>0</v>
      </c>
    </row>
    <row r="549" spans="31:38" x14ac:dyDescent="0.25">
      <c r="AE549" s="43" t="s">
        <v>88</v>
      </c>
      <c r="AF549" s="43" t="s">
        <v>60</v>
      </c>
      <c r="AG549" s="43" t="s">
        <v>89</v>
      </c>
      <c r="AH549" s="43" t="s">
        <v>36</v>
      </c>
      <c r="AI549">
        <v>2</v>
      </c>
      <c r="AJ549" t="s">
        <v>330</v>
      </c>
      <c r="AK549" s="43" t="s">
        <v>309</v>
      </c>
      <c r="AL549">
        <v>0</v>
      </c>
    </row>
    <row r="550" spans="31:38" x14ac:dyDescent="0.25">
      <c r="AE550" s="43" t="s">
        <v>88</v>
      </c>
      <c r="AF550" s="43" t="s">
        <v>60</v>
      </c>
      <c r="AG550" s="43" t="s">
        <v>89</v>
      </c>
      <c r="AH550" s="43" t="s">
        <v>36</v>
      </c>
      <c r="AI550">
        <v>2</v>
      </c>
      <c r="AJ550" t="s">
        <v>330</v>
      </c>
      <c r="AK550" s="43" t="s">
        <v>268</v>
      </c>
      <c r="AL550">
        <v>0</v>
      </c>
    </row>
    <row r="551" spans="31:38" x14ac:dyDescent="0.25">
      <c r="AE551" s="43" t="s">
        <v>88</v>
      </c>
      <c r="AF551" s="43" t="s">
        <v>60</v>
      </c>
      <c r="AG551" s="43" t="s">
        <v>89</v>
      </c>
      <c r="AH551" s="43" t="s">
        <v>36</v>
      </c>
      <c r="AI551">
        <v>2</v>
      </c>
      <c r="AJ551" t="s">
        <v>331</v>
      </c>
      <c r="AK551" s="43" t="s">
        <v>308</v>
      </c>
      <c r="AL551">
        <v>2.7</v>
      </c>
    </row>
    <row r="552" spans="31:38" x14ac:dyDescent="0.25">
      <c r="AE552" s="43" t="s">
        <v>88</v>
      </c>
      <c r="AF552" s="43" t="s">
        <v>60</v>
      </c>
      <c r="AG552" s="43" t="s">
        <v>89</v>
      </c>
      <c r="AH552" s="43" t="s">
        <v>36</v>
      </c>
      <c r="AI552">
        <v>2</v>
      </c>
      <c r="AJ552" t="s">
        <v>331</v>
      </c>
      <c r="AK552" s="43" t="s">
        <v>309</v>
      </c>
      <c r="AL552">
        <v>7.9</v>
      </c>
    </row>
    <row r="553" spans="31:38" x14ac:dyDescent="0.25">
      <c r="AE553" s="43" t="s">
        <v>88</v>
      </c>
      <c r="AF553" s="43" t="s">
        <v>60</v>
      </c>
      <c r="AG553" s="43" t="s">
        <v>89</v>
      </c>
      <c r="AH553" s="43" t="s">
        <v>36</v>
      </c>
      <c r="AI553">
        <v>2</v>
      </c>
      <c r="AJ553" t="s">
        <v>331</v>
      </c>
      <c r="AK553" s="43" t="s">
        <v>268</v>
      </c>
      <c r="AL553">
        <v>10.6</v>
      </c>
    </row>
    <row r="554" spans="31:38" x14ac:dyDescent="0.25">
      <c r="AE554" s="43" t="s">
        <v>88</v>
      </c>
      <c r="AF554" s="43" t="s">
        <v>60</v>
      </c>
      <c r="AG554" s="43" t="s">
        <v>89</v>
      </c>
      <c r="AH554" s="43" t="s">
        <v>36</v>
      </c>
      <c r="AI554">
        <v>2</v>
      </c>
      <c r="AJ554" t="s">
        <v>341</v>
      </c>
      <c r="AK554" s="43" t="s">
        <v>308</v>
      </c>
      <c r="AL554">
        <v>5.5</v>
      </c>
    </row>
    <row r="555" spans="31:38" x14ac:dyDescent="0.25">
      <c r="AE555" s="43" t="s">
        <v>88</v>
      </c>
      <c r="AF555" s="43" t="s">
        <v>60</v>
      </c>
      <c r="AG555" s="43" t="s">
        <v>89</v>
      </c>
      <c r="AH555" s="43" t="s">
        <v>36</v>
      </c>
      <c r="AI555">
        <v>2</v>
      </c>
      <c r="AJ555" t="s">
        <v>341</v>
      </c>
      <c r="AK555" s="43" t="s">
        <v>309</v>
      </c>
      <c r="AL555">
        <v>15.3</v>
      </c>
    </row>
    <row r="556" spans="31:38" x14ac:dyDescent="0.25">
      <c r="AE556" s="43" t="s">
        <v>88</v>
      </c>
      <c r="AF556" s="43" t="s">
        <v>60</v>
      </c>
      <c r="AG556" s="43" t="s">
        <v>89</v>
      </c>
      <c r="AH556" s="43" t="s">
        <v>36</v>
      </c>
      <c r="AI556">
        <v>2</v>
      </c>
      <c r="AJ556" t="s">
        <v>341</v>
      </c>
      <c r="AK556" s="43" t="s">
        <v>268</v>
      </c>
      <c r="AL556">
        <v>20.799999999999997</v>
      </c>
    </row>
    <row r="557" spans="31:38" x14ac:dyDescent="0.25">
      <c r="AE557" s="43" t="s">
        <v>88</v>
      </c>
      <c r="AF557" s="43" t="s">
        <v>60</v>
      </c>
      <c r="AG557" s="43" t="s">
        <v>89</v>
      </c>
      <c r="AH557" s="43" t="s">
        <v>36</v>
      </c>
      <c r="AI557">
        <v>2</v>
      </c>
      <c r="AJ557" t="s">
        <v>273</v>
      </c>
      <c r="AK557" s="43" t="s">
        <v>308</v>
      </c>
      <c r="AL557">
        <v>0</v>
      </c>
    </row>
    <row r="558" spans="31:38" x14ac:dyDescent="0.25">
      <c r="AE558" s="43" t="s">
        <v>88</v>
      </c>
      <c r="AF558" s="43" t="s">
        <v>60</v>
      </c>
      <c r="AG558" s="43" t="s">
        <v>89</v>
      </c>
      <c r="AH558" s="43" t="s">
        <v>36</v>
      </c>
      <c r="AI558">
        <v>2</v>
      </c>
      <c r="AJ558" t="s">
        <v>273</v>
      </c>
      <c r="AK558" s="43" t="s">
        <v>309</v>
      </c>
      <c r="AL558">
        <v>0</v>
      </c>
    </row>
    <row r="559" spans="31:38" x14ac:dyDescent="0.25">
      <c r="AE559" s="43" t="s">
        <v>88</v>
      </c>
      <c r="AF559" s="43" t="s">
        <v>60</v>
      </c>
      <c r="AG559" s="43" t="s">
        <v>89</v>
      </c>
      <c r="AH559" s="43" t="s">
        <v>36</v>
      </c>
      <c r="AI559">
        <v>2</v>
      </c>
      <c r="AJ559" t="s">
        <v>273</v>
      </c>
      <c r="AK559" s="43" t="s">
        <v>268</v>
      </c>
      <c r="AL559">
        <v>0</v>
      </c>
    </row>
    <row r="560" spans="31:38" x14ac:dyDescent="0.25">
      <c r="AE560" s="43" t="s">
        <v>120</v>
      </c>
      <c r="AF560" s="43" t="s">
        <v>26</v>
      </c>
      <c r="AG560" s="43" t="s">
        <v>121</v>
      </c>
      <c r="AH560" s="43" t="s">
        <v>39</v>
      </c>
      <c r="AI560">
        <v>2</v>
      </c>
      <c r="AJ560" t="s">
        <v>317</v>
      </c>
      <c r="AK560" s="43" t="s">
        <v>308</v>
      </c>
      <c r="AL560">
        <v>3.1</v>
      </c>
    </row>
    <row r="561" spans="31:38" x14ac:dyDescent="0.25">
      <c r="AE561" s="43" t="s">
        <v>120</v>
      </c>
      <c r="AF561" s="43" t="s">
        <v>26</v>
      </c>
      <c r="AG561" s="43" t="s">
        <v>121</v>
      </c>
      <c r="AH561" s="43" t="s">
        <v>39</v>
      </c>
      <c r="AI561">
        <v>2</v>
      </c>
      <c r="AJ561" t="s">
        <v>317</v>
      </c>
      <c r="AK561" s="43" t="s">
        <v>309</v>
      </c>
      <c r="AL561">
        <v>7.45</v>
      </c>
    </row>
    <row r="562" spans="31:38" x14ac:dyDescent="0.25">
      <c r="AE562" s="43" t="s">
        <v>120</v>
      </c>
      <c r="AF562" s="43" t="s">
        <v>26</v>
      </c>
      <c r="AG562" s="43" t="s">
        <v>121</v>
      </c>
      <c r="AH562" s="43" t="s">
        <v>39</v>
      </c>
      <c r="AI562">
        <v>2</v>
      </c>
      <c r="AJ562" t="s">
        <v>317</v>
      </c>
      <c r="AK562" s="43" t="s">
        <v>268</v>
      </c>
      <c r="AL562">
        <v>10.55</v>
      </c>
    </row>
    <row r="563" spans="31:38" x14ac:dyDescent="0.25">
      <c r="AE563" s="43" t="s">
        <v>120</v>
      </c>
      <c r="AF563" s="43" t="s">
        <v>26</v>
      </c>
      <c r="AG563" s="43" t="s">
        <v>121</v>
      </c>
      <c r="AH563" s="43" t="s">
        <v>39</v>
      </c>
      <c r="AI563">
        <v>2</v>
      </c>
      <c r="AJ563" t="s">
        <v>325</v>
      </c>
      <c r="AK563" s="43" t="s">
        <v>308</v>
      </c>
      <c r="AL563">
        <v>0</v>
      </c>
    </row>
    <row r="564" spans="31:38" x14ac:dyDescent="0.25">
      <c r="AE564" s="43" t="s">
        <v>120</v>
      </c>
      <c r="AF564" s="43" t="s">
        <v>26</v>
      </c>
      <c r="AG564" s="43" t="s">
        <v>121</v>
      </c>
      <c r="AH564" s="43" t="s">
        <v>39</v>
      </c>
      <c r="AI564">
        <v>2</v>
      </c>
      <c r="AJ564" t="s">
        <v>325</v>
      </c>
      <c r="AK564" s="43" t="s">
        <v>309</v>
      </c>
      <c r="AL564">
        <v>0</v>
      </c>
    </row>
    <row r="565" spans="31:38" x14ac:dyDescent="0.25">
      <c r="AE565" s="43" t="s">
        <v>120</v>
      </c>
      <c r="AF565" s="43" t="s">
        <v>26</v>
      </c>
      <c r="AG565" s="43" t="s">
        <v>121</v>
      </c>
      <c r="AH565" s="43" t="s">
        <v>39</v>
      </c>
      <c r="AI565">
        <v>2</v>
      </c>
      <c r="AJ565" t="s">
        <v>325</v>
      </c>
      <c r="AK565" s="43" t="s">
        <v>268</v>
      </c>
      <c r="AL565">
        <v>0</v>
      </c>
    </row>
    <row r="566" spans="31:38" x14ac:dyDescent="0.25">
      <c r="AE566" s="43" t="s">
        <v>120</v>
      </c>
      <c r="AF566" s="43" t="s">
        <v>26</v>
      </c>
      <c r="AG566" s="43" t="s">
        <v>121</v>
      </c>
      <c r="AH566" s="43" t="s">
        <v>39</v>
      </c>
      <c r="AI566">
        <v>2</v>
      </c>
      <c r="AJ566" t="s">
        <v>330</v>
      </c>
      <c r="AK566" s="43" t="s">
        <v>308</v>
      </c>
      <c r="AL566">
        <v>2.2999999999999998</v>
      </c>
    </row>
    <row r="567" spans="31:38" x14ac:dyDescent="0.25">
      <c r="AE567" s="43" t="s">
        <v>120</v>
      </c>
      <c r="AF567" s="43" t="s">
        <v>26</v>
      </c>
      <c r="AG567" s="43" t="s">
        <v>121</v>
      </c>
      <c r="AH567" s="43" t="s">
        <v>39</v>
      </c>
      <c r="AI567">
        <v>2</v>
      </c>
      <c r="AJ567" t="s">
        <v>330</v>
      </c>
      <c r="AK567" s="43" t="s">
        <v>309</v>
      </c>
      <c r="AL567">
        <v>7.45</v>
      </c>
    </row>
    <row r="568" spans="31:38" x14ac:dyDescent="0.25">
      <c r="AE568" s="43" t="s">
        <v>120</v>
      </c>
      <c r="AF568" s="43" t="s">
        <v>26</v>
      </c>
      <c r="AG568" s="43" t="s">
        <v>121</v>
      </c>
      <c r="AH568" s="43" t="s">
        <v>39</v>
      </c>
      <c r="AI568">
        <v>2</v>
      </c>
      <c r="AJ568" t="s">
        <v>330</v>
      </c>
      <c r="AK568" s="43" t="s">
        <v>268</v>
      </c>
      <c r="AL568">
        <v>9.75</v>
      </c>
    </row>
    <row r="569" spans="31:38" x14ac:dyDescent="0.25">
      <c r="AE569" s="43" t="s">
        <v>120</v>
      </c>
      <c r="AF569" s="43" t="s">
        <v>26</v>
      </c>
      <c r="AG569" s="43" t="s">
        <v>121</v>
      </c>
      <c r="AH569" s="43" t="s">
        <v>39</v>
      </c>
      <c r="AI569">
        <v>2</v>
      </c>
      <c r="AJ569" t="s">
        <v>331</v>
      </c>
      <c r="AK569" s="43" t="s">
        <v>308</v>
      </c>
      <c r="AL569">
        <v>0</v>
      </c>
    </row>
    <row r="570" spans="31:38" x14ac:dyDescent="0.25">
      <c r="AE570" s="43" t="s">
        <v>120</v>
      </c>
      <c r="AF570" s="43" t="s">
        <v>26</v>
      </c>
      <c r="AG570" s="43" t="s">
        <v>121</v>
      </c>
      <c r="AH570" s="43" t="s">
        <v>39</v>
      </c>
      <c r="AI570">
        <v>2</v>
      </c>
      <c r="AJ570" t="s">
        <v>331</v>
      </c>
      <c r="AK570" s="43" t="s">
        <v>309</v>
      </c>
      <c r="AL570">
        <v>0</v>
      </c>
    </row>
    <row r="571" spans="31:38" x14ac:dyDescent="0.25">
      <c r="AE571" s="43" t="s">
        <v>120</v>
      </c>
      <c r="AF571" s="43" t="s">
        <v>26</v>
      </c>
      <c r="AG571" s="43" t="s">
        <v>121</v>
      </c>
      <c r="AH571" s="43" t="s">
        <v>39</v>
      </c>
      <c r="AI571">
        <v>2</v>
      </c>
      <c r="AJ571" t="s">
        <v>331</v>
      </c>
      <c r="AK571" s="43" t="s">
        <v>268</v>
      </c>
      <c r="AL571">
        <v>0</v>
      </c>
    </row>
    <row r="572" spans="31:38" x14ac:dyDescent="0.25">
      <c r="AE572" s="43" t="s">
        <v>120</v>
      </c>
      <c r="AF572" s="43" t="s">
        <v>26</v>
      </c>
      <c r="AG572" s="43" t="s">
        <v>121</v>
      </c>
      <c r="AH572" s="43" t="s">
        <v>39</v>
      </c>
      <c r="AI572">
        <v>2</v>
      </c>
      <c r="AJ572" t="s">
        <v>341</v>
      </c>
      <c r="AK572" s="43" t="s">
        <v>308</v>
      </c>
      <c r="AL572">
        <v>5.4</v>
      </c>
    </row>
    <row r="573" spans="31:38" x14ac:dyDescent="0.25">
      <c r="AE573" s="43" t="s">
        <v>120</v>
      </c>
      <c r="AF573" s="43" t="s">
        <v>26</v>
      </c>
      <c r="AG573" s="43" t="s">
        <v>121</v>
      </c>
      <c r="AH573" s="43" t="s">
        <v>39</v>
      </c>
      <c r="AI573">
        <v>2</v>
      </c>
      <c r="AJ573" t="s">
        <v>341</v>
      </c>
      <c r="AK573" s="43" t="s">
        <v>309</v>
      </c>
      <c r="AL573">
        <v>14.9</v>
      </c>
    </row>
    <row r="574" spans="31:38" x14ac:dyDescent="0.25">
      <c r="AE574" s="43" t="s">
        <v>120</v>
      </c>
      <c r="AF574" s="43" t="s">
        <v>26</v>
      </c>
      <c r="AG574" s="43" t="s">
        <v>121</v>
      </c>
      <c r="AH574" s="43" t="s">
        <v>39</v>
      </c>
      <c r="AI574">
        <v>2</v>
      </c>
      <c r="AJ574" t="s">
        <v>341</v>
      </c>
      <c r="AK574" s="43" t="s">
        <v>268</v>
      </c>
      <c r="AL574">
        <v>20.3</v>
      </c>
    </row>
    <row r="575" spans="31:38" x14ac:dyDescent="0.25">
      <c r="AE575" s="43" t="s">
        <v>120</v>
      </c>
      <c r="AF575" s="43" t="s">
        <v>26</v>
      </c>
      <c r="AG575" s="43" t="s">
        <v>121</v>
      </c>
      <c r="AH575" s="43" t="s">
        <v>39</v>
      </c>
      <c r="AI575">
        <v>2</v>
      </c>
      <c r="AJ575" t="s">
        <v>273</v>
      </c>
      <c r="AK575" s="43" t="s">
        <v>308</v>
      </c>
      <c r="AL575">
        <v>0</v>
      </c>
    </row>
    <row r="576" spans="31:38" x14ac:dyDescent="0.25">
      <c r="AE576" s="43" t="s">
        <v>120</v>
      </c>
      <c r="AF576" s="43" t="s">
        <v>26</v>
      </c>
      <c r="AG576" s="43" t="s">
        <v>121</v>
      </c>
      <c r="AH576" s="43" t="s">
        <v>39</v>
      </c>
      <c r="AI576">
        <v>2</v>
      </c>
      <c r="AJ576" t="s">
        <v>273</v>
      </c>
      <c r="AK576" s="43" t="s">
        <v>309</v>
      </c>
      <c r="AL576">
        <v>0</v>
      </c>
    </row>
    <row r="577" spans="31:38" x14ac:dyDescent="0.25">
      <c r="AE577" s="43" t="s">
        <v>120</v>
      </c>
      <c r="AF577" s="43" t="s">
        <v>26</v>
      </c>
      <c r="AG577" s="43" t="s">
        <v>121</v>
      </c>
      <c r="AH577" s="43" t="s">
        <v>39</v>
      </c>
      <c r="AI577">
        <v>2</v>
      </c>
      <c r="AJ577" t="s">
        <v>273</v>
      </c>
      <c r="AK577" s="43" t="s">
        <v>268</v>
      </c>
      <c r="AL577">
        <v>0</v>
      </c>
    </row>
    <row r="578" spans="31:38" x14ac:dyDescent="0.25">
      <c r="AE578" s="43" t="s">
        <v>70</v>
      </c>
      <c r="AF578" s="43" t="s">
        <v>60</v>
      </c>
      <c r="AG578" s="43" t="s">
        <v>71</v>
      </c>
      <c r="AH578" s="43" t="s">
        <v>72</v>
      </c>
      <c r="AI578">
        <v>1</v>
      </c>
      <c r="AJ578" t="s">
        <v>317</v>
      </c>
      <c r="AK578" s="43" t="s">
        <v>308</v>
      </c>
      <c r="AL578">
        <v>0</v>
      </c>
    </row>
    <row r="579" spans="31:38" x14ac:dyDescent="0.25">
      <c r="AE579" s="43" t="s">
        <v>70</v>
      </c>
      <c r="AF579" s="43" t="s">
        <v>60</v>
      </c>
      <c r="AG579" s="43" t="s">
        <v>71</v>
      </c>
      <c r="AH579" s="43" t="s">
        <v>72</v>
      </c>
      <c r="AI579">
        <v>1</v>
      </c>
      <c r="AJ579" t="s">
        <v>317</v>
      </c>
      <c r="AK579" s="43" t="s">
        <v>309</v>
      </c>
      <c r="AL579">
        <v>0</v>
      </c>
    </row>
    <row r="580" spans="31:38" x14ac:dyDescent="0.25">
      <c r="AE580" s="43" t="s">
        <v>70</v>
      </c>
      <c r="AF580" s="43" t="s">
        <v>60</v>
      </c>
      <c r="AG580" s="43" t="s">
        <v>71</v>
      </c>
      <c r="AH580" s="43" t="s">
        <v>72</v>
      </c>
      <c r="AI580">
        <v>1</v>
      </c>
      <c r="AJ580" t="s">
        <v>317</v>
      </c>
      <c r="AK580" s="43" t="s">
        <v>268</v>
      </c>
      <c r="AL580">
        <v>0</v>
      </c>
    </row>
    <row r="581" spans="31:38" x14ac:dyDescent="0.25">
      <c r="AE581" s="43" t="s">
        <v>70</v>
      </c>
      <c r="AF581" s="43" t="s">
        <v>60</v>
      </c>
      <c r="AG581" s="43" t="s">
        <v>71</v>
      </c>
      <c r="AH581" s="43" t="s">
        <v>72</v>
      </c>
      <c r="AI581">
        <v>1</v>
      </c>
      <c r="AJ581" t="s">
        <v>325</v>
      </c>
      <c r="AK581" s="43" t="s">
        <v>308</v>
      </c>
      <c r="AL581">
        <v>4.3</v>
      </c>
    </row>
    <row r="582" spans="31:38" x14ac:dyDescent="0.25">
      <c r="AE582" s="43" t="s">
        <v>70</v>
      </c>
      <c r="AF582" s="43" t="s">
        <v>60</v>
      </c>
      <c r="AG582" s="43" t="s">
        <v>71</v>
      </c>
      <c r="AH582" s="43" t="s">
        <v>72</v>
      </c>
      <c r="AI582">
        <v>1</v>
      </c>
      <c r="AJ582" t="s">
        <v>325</v>
      </c>
      <c r="AK582" s="43" t="s">
        <v>309</v>
      </c>
      <c r="AL582">
        <v>8.1999999999999993</v>
      </c>
    </row>
    <row r="583" spans="31:38" x14ac:dyDescent="0.25">
      <c r="AE583" s="43" t="s">
        <v>70</v>
      </c>
      <c r="AF583" s="43" t="s">
        <v>60</v>
      </c>
      <c r="AG583" s="43" t="s">
        <v>71</v>
      </c>
      <c r="AH583" s="43" t="s">
        <v>72</v>
      </c>
      <c r="AI583">
        <v>1</v>
      </c>
      <c r="AJ583" t="s">
        <v>325</v>
      </c>
      <c r="AK583" s="43" t="s">
        <v>268</v>
      </c>
      <c r="AL583">
        <v>12.5</v>
      </c>
    </row>
    <row r="584" spans="31:38" x14ac:dyDescent="0.25">
      <c r="AE584" s="43" t="s">
        <v>70</v>
      </c>
      <c r="AF584" s="43" t="s">
        <v>60</v>
      </c>
      <c r="AG584" s="43" t="s">
        <v>71</v>
      </c>
      <c r="AH584" s="43" t="s">
        <v>72</v>
      </c>
      <c r="AI584">
        <v>1</v>
      </c>
      <c r="AJ584" t="s">
        <v>330</v>
      </c>
      <c r="AK584" s="43" t="s">
        <v>308</v>
      </c>
      <c r="AL584">
        <v>0</v>
      </c>
    </row>
    <row r="585" spans="31:38" x14ac:dyDescent="0.25">
      <c r="AE585" s="43" t="s">
        <v>70</v>
      </c>
      <c r="AF585" s="43" t="s">
        <v>60</v>
      </c>
      <c r="AG585" s="43" t="s">
        <v>71</v>
      </c>
      <c r="AH585" s="43" t="s">
        <v>72</v>
      </c>
      <c r="AI585">
        <v>1</v>
      </c>
      <c r="AJ585" t="s">
        <v>330</v>
      </c>
      <c r="AK585" s="43" t="s">
        <v>309</v>
      </c>
      <c r="AL585">
        <v>0</v>
      </c>
    </row>
    <row r="586" spans="31:38" x14ac:dyDescent="0.25">
      <c r="AE586" s="43" t="s">
        <v>70</v>
      </c>
      <c r="AF586" s="43" t="s">
        <v>60</v>
      </c>
      <c r="AG586" s="43" t="s">
        <v>71</v>
      </c>
      <c r="AH586" s="43" t="s">
        <v>72</v>
      </c>
      <c r="AI586">
        <v>1</v>
      </c>
      <c r="AJ586" t="s">
        <v>330</v>
      </c>
      <c r="AK586" s="43" t="s">
        <v>268</v>
      </c>
      <c r="AL586">
        <v>0</v>
      </c>
    </row>
    <row r="587" spans="31:38" x14ac:dyDescent="0.25">
      <c r="AE587" s="43" t="s">
        <v>70</v>
      </c>
      <c r="AF587" s="43" t="s">
        <v>60</v>
      </c>
      <c r="AG587" s="43" t="s">
        <v>71</v>
      </c>
      <c r="AH587" s="43" t="s">
        <v>72</v>
      </c>
      <c r="AI587">
        <v>1</v>
      </c>
      <c r="AJ587" t="s">
        <v>331</v>
      </c>
      <c r="AK587" s="43" t="s">
        <v>308</v>
      </c>
      <c r="AL587">
        <v>0</v>
      </c>
    </row>
    <row r="588" spans="31:38" x14ac:dyDescent="0.25">
      <c r="AE588" s="43" t="s">
        <v>70</v>
      </c>
      <c r="AF588" s="43" t="s">
        <v>60</v>
      </c>
      <c r="AG588" s="43" t="s">
        <v>71</v>
      </c>
      <c r="AH588" s="43" t="s">
        <v>72</v>
      </c>
      <c r="AI588">
        <v>1</v>
      </c>
      <c r="AJ588" t="s">
        <v>331</v>
      </c>
      <c r="AK588" s="43" t="s">
        <v>309</v>
      </c>
      <c r="AL588">
        <v>0</v>
      </c>
    </row>
    <row r="589" spans="31:38" x14ac:dyDescent="0.25">
      <c r="AE589" s="43" t="s">
        <v>70</v>
      </c>
      <c r="AF589" s="43" t="s">
        <v>60</v>
      </c>
      <c r="AG589" s="43" t="s">
        <v>71</v>
      </c>
      <c r="AH589" s="43" t="s">
        <v>72</v>
      </c>
      <c r="AI589">
        <v>1</v>
      </c>
      <c r="AJ589" t="s">
        <v>331</v>
      </c>
      <c r="AK589" s="43" t="s">
        <v>268</v>
      </c>
      <c r="AL589">
        <v>0</v>
      </c>
    </row>
    <row r="590" spans="31:38" x14ac:dyDescent="0.25">
      <c r="AE590" s="43" t="s">
        <v>70</v>
      </c>
      <c r="AF590" s="43" t="s">
        <v>60</v>
      </c>
      <c r="AG590" s="43" t="s">
        <v>71</v>
      </c>
      <c r="AH590" s="43" t="s">
        <v>72</v>
      </c>
      <c r="AI590">
        <v>1</v>
      </c>
      <c r="AJ590" t="s">
        <v>341</v>
      </c>
      <c r="AK590" s="43" t="s">
        <v>308</v>
      </c>
      <c r="AL590">
        <v>4.3</v>
      </c>
    </row>
    <row r="591" spans="31:38" x14ac:dyDescent="0.25">
      <c r="AE591" s="43" t="s">
        <v>70</v>
      </c>
      <c r="AF591" s="43" t="s">
        <v>60</v>
      </c>
      <c r="AG591" s="43" t="s">
        <v>71</v>
      </c>
      <c r="AH591" s="43" t="s">
        <v>72</v>
      </c>
      <c r="AI591">
        <v>1</v>
      </c>
      <c r="AJ591" t="s">
        <v>341</v>
      </c>
      <c r="AK591" s="43" t="s">
        <v>309</v>
      </c>
      <c r="AL591">
        <v>8.1999999999999993</v>
      </c>
    </row>
    <row r="592" spans="31:38" x14ac:dyDescent="0.25">
      <c r="AE592" s="43" t="s">
        <v>70</v>
      </c>
      <c r="AF592" s="43" t="s">
        <v>60</v>
      </c>
      <c r="AG592" s="43" t="s">
        <v>71</v>
      </c>
      <c r="AH592" s="43" t="s">
        <v>72</v>
      </c>
      <c r="AI592">
        <v>1</v>
      </c>
      <c r="AJ592" t="s">
        <v>341</v>
      </c>
      <c r="AK592" s="43" t="s">
        <v>268</v>
      </c>
      <c r="AL592">
        <v>12.5</v>
      </c>
    </row>
    <row r="593" spans="31:38" x14ac:dyDescent="0.25">
      <c r="AE593" s="43" t="s">
        <v>70</v>
      </c>
      <c r="AF593" s="43" t="s">
        <v>60</v>
      </c>
      <c r="AG593" s="43" t="s">
        <v>71</v>
      </c>
      <c r="AH593" s="43" t="s">
        <v>72</v>
      </c>
      <c r="AI593">
        <v>1</v>
      </c>
      <c r="AJ593" t="s">
        <v>273</v>
      </c>
      <c r="AK593" s="43" t="s">
        <v>308</v>
      </c>
      <c r="AL593">
        <v>0</v>
      </c>
    </row>
    <row r="594" spans="31:38" x14ac:dyDescent="0.25">
      <c r="AE594" s="43" t="s">
        <v>70</v>
      </c>
      <c r="AF594" s="43" t="s">
        <v>60</v>
      </c>
      <c r="AG594" s="43" t="s">
        <v>71</v>
      </c>
      <c r="AH594" s="43" t="s">
        <v>72</v>
      </c>
      <c r="AI594">
        <v>1</v>
      </c>
      <c r="AJ594" t="s">
        <v>273</v>
      </c>
      <c r="AK594" s="43" t="s">
        <v>309</v>
      </c>
      <c r="AL594">
        <v>0</v>
      </c>
    </row>
    <row r="595" spans="31:38" x14ac:dyDescent="0.25">
      <c r="AE595" s="43" t="s">
        <v>70</v>
      </c>
      <c r="AF595" s="43" t="s">
        <v>60</v>
      </c>
      <c r="AG595" s="43" t="s">
        <v>71</v>
      </c>
      <c r="AH595" s="43" t="s">
        <v>72</v>
      </c>
      <c r="AI595">
        <v>1</v>
      </c>
      <c r="AJ595" t="s">
        <v>273</v>
      </c>
      <c r="AK595" s="43" t="s">
        <v>268</v>
      </c>
      <c r="AL595">
        <v>0</v>
      </c>
    </row>
    <row r="596" spans="31:38" x14ac:dyDescent="0.25">
      <c r="AE596" s="43" t="s">
        <v>90</v>
      </c>
      <c r="AF596" s="43" t="s">
        <v>60</v>
      </c>
      <c r="AG596" s="43" t="s">
        <v>91</v>
      </c>
      <c r="AH596" s="43" t="s">
        <v>36</v>
      </c>
      <c r="AI596">
        <v>1</v>
      </c>
      <c r="AJ596" t="s">
        <v>317</v>
      </c>
      <c r="AK596" s="43" t="s">
        <v>308</v>
      </c>
      <c r="AL596">
        <v>0</v>
      </c>
    </row>
    <row r="597" spans="31:38" x14ac:dyDescent="0.25">
      <c r="AE597" s="43" t="s">
        <v>90</v>
      </c>
      <c r="AF597" s="43" t="s">
        <v>60</v>
      </c>
      <c r="AG597" s="43" t="s">
        <v>91</v>
      </c>
      <c r="AH597" s="43" t="s">
        <v>36</v>
      </c>
      <c r="AI597">
        <v>1</v>
      </c>
      <c r="AJ597" t="s">
        <v>317</v>
      </c>
      <c r="AK597" s="43" t="s">
        <v>309</v>
      </c>
      <c r="AL597">
        <v>0</v>
      </c>
    </row>
    <row r="598" spans="31:38" x14ac:dyDescent="0.25">
      <c r="AE598" s="43" t="s">
        <v>90</v>
      </c>
      <c r="AF598" s="43" t="s">
        <v>60</v>
      </c>
      <c r="AG598" s="43" t="s">
        <v>91</v>
      </c>
      <c r="AH598" s="43" t="s">
        <v>36</v>
      </c>
      <c r="AI598">
        <v>1</v>
      </c>
      <c r="AJ598" t="s">
        <v>317</v>
      </c>
      <c r="AK598" s="43" t="s">
        <v>268</v>
      </c>
      <c r="AL598">
        <v>0</v>
      </c>
    </row>
    <row r="599" spans="31:38" x14ac:dyDescent="0.25">
      <c r="AE599" s="43" t="s">
        <v>90</v>
      </c>
      <c r="AF599" s="43" t="s">
        <v>60</v>
      </c>
      <c r="AG599" s="43" t="s">
        <v>91</v>
      </c>
      <c r="AH599" s="43" t="s">
        <v>36</v>
      </c>
      <c r="AI599">
        <v>1</v>
      </c>
      <c r="AJ599" t="s">
        <v>325</v>
      </c>
      <c r="AK599" s="43" t="s">
        <v>308</v>
      </c>
      <c r="AL599">
        <v>0</v>
      </c>
    </row>
    <row r="600" spans="31:38" x14ac:dyDescent="0.25">
      <c r="AE600" s="43" t="s">
        <v>90</v>
      </c>
      <c r="AF600" s="43" t="s">
        <v>60</v>
      </c>
      <c r="AG600" s="43" t="s">
        <v>91</v>
      </c>
      <c r="AH600" s="43" t="s">
        <v>36</v>
      </c>
      <c r="AI600">
        <v>1</v>
      </c>
      <c r="AJ600" t="s">
        <v>325</v>
      </c>
      <c r="AK600" s="43" t="s">
        <v>309</v>
      </c>
      <c r="AL600">
        <v>0</v>
      </c>
    </row>
    <row r="601" spans="31:38" x14ac:dyDescent="0.25">
      <c r="AE601" s="43" t="s">
        <v>90</v>
      </c>
      <c r="AF601" s="43" t="s">
        <v>60</v>
      </c>
      <c r="AG601" s="43" t="s">
        <v>91</v>
      </c>
      <c r="AH601" s="43" t="s">
        <v>36</v>
      </c>
      <c r="AI601">
        <v>1</v>
      </c>
      <c r="AJ601" t="s">
        <v>325</v>
      </c>
      <c r="AK601" s="43" t="s">
        <v>268</v>
      </c>
      <c r="AL601">
        <v>0</v>
      </c>
    </row>
    <row r="602" spans="31:38" x14ac:dyDescent="0.25">
      <c r="AE602" s="43" t="s">
        <v>90</v>
      </c>
      <c r="AF602" s="43" t="s">
        <v>60</v>
      </c>
      <c r="AG602" s="43" t="s">
        <v>91</v>
      </c>
      <c r="AH602" s="43" t="s">
        <v>36</v>
      </c>
      <c r="AI602">
        <v>1</v>
      </c>
      <c r="AJ602" t="s">
        <v>330</v>
      </c>
      <c r="AK602" s="43" t="s">
        <v>308</v>
      </c>
      <c r="AL602">
        <v>2.9</v>
      </c>
    </row>
    <row r="603" spans="31:38" x14ac:dyDescent="0.25">
      <c r="AE603" s="43" t="s">
        <v>90</v>
      </c>
      <c r="AF603" s="43" t="s">
        <v>60</v>
      </c>
      <c r="AG603" s="43" t="s">
        <v>91</v>
      </c>
      <c r="AH603" s="43" t="s">
        <v>36</v>
      </c>
      <c r="AI603">
        <v>1</v>
      </c>
      <c r="AJ603" t="s">
        <v>330</v>
      </c>
      <c r="AK603" s="43" t="s">
        <v>309</v>
      </c>
      <c r="AL603">
        <v>8.5</v>
      </c>
    </row>
    <row r="604" spans="31:38" x14ac:dyDescent="0.25">
      <c r="AE604" s="43" t="s">
        <v>90</v>
      </c>
      <c r="AF604" s="43" t="s">
        <v>60</v>
      </c>
      <c r="AG604" s="43" t="s">
        <v>91</v>
      </c>
      <c r="AH604" s="43" t="s">
        <v>36</v>
      </c>
      <c r="AI604">
        <v>1</v>
      </c>
      <c r="AJ604" t="s">
        <v>330</v>
      </c>
      <c r="AK604" s="43" t="s">
        <v>268</v>
      </c>
      <c r="AL604">
        <v>11.4</v>
      </c>
    </row>
    <row r="605" spans="31:38" x14ac:dyDescent="0.25">
      <c r="AE605" s="43" t="s">
        <v>90</v>
      </c>
      <c r="AF605" s="43" t="s">
        <v>60</v>
      </c>
      <c r="AG605" s="43" t="s">
        <v>91</v>
      </c>
      <c r="AH605" s="43" t="s">
        <v>36</v>
      </c>
      <c r="AI605">
        <v>1</v>
      </c>
      <c r="AJ605" t="s">
        <v>331</v>
      </c>
      <c r="AK605" s="43" t="s">
        <v>308</v>
      </c>
      <c r="AL605">
        <v>0</v>
      </c>
    </row>
    <row r="606" spans="31:38" x14ac:dyDescent="0.25">
      <c r="AE606" s="43" t="s">
        <v>90</v>
      </c>
      <c r="AF606" s="43" t="s">
        <v>60</v>
      </c>
      <c r="AG606" s="43" t="s">
        <v>91</v>
      </c>
      <c r="AH606" s="43" t="s">
        <v>36</v>
      </c>
      <c r="AI606">
        <v>1</v>
      </c>
      <c r="AJ606" t="s">
        <v>331</v>
      </c>
      <c r="AK606" s="43" t="s">
        <v>309</v>
      </c>
      <c r="AL606">
        <v>0</v>
      </c>
    </row>
    <row r="607" spans="31:38" x14ac:dyDescent="0.25">
      <c r="AE607" s="43" t="s">
        <v>90</v>
      </c>
      <c r="AF607" s="43" t="s">
        <v>60</v>
      </c>
      <c r="AG607" s="43" t="s">
        <v>91</v>
      </c>
      <c r="AH607" s="43" t="s">
        <v>36</v>
      </c>
      <c r="AI607">
        <v>1</v>
      </c>
      <c r="AJ607" t="s">
        <v>331</v>
      </c>
      <c r="AK607" s="43" t="s">
        <v>268</v>
      </c>
      <c r="AL607">
        <v>0</v>
      </c>
    </row>
    <row r="608" spans="31:38" x14ac:dyDescent="0.25">
      <c r="AE608" s="43" t="s">
        <v>90</v>
      </c>
      <c r="AF608" s="43" t="s">
        <v>60</v>
      </c>
      <c r="AG608" s="43" t="s">
        <v>91</v>
      </c>
      <c r="AH608" s="43" t="s">
        <v>36</v>
      </c>
      <c r="AI608">
        <v>1</v>
      </c>
      <c r="AJ608" t="s">
        <v>341</v>
      </c>
      <c r="AK608" s="43" t="s">
        <v>308</v>
      </c>
      <c r="AL608">
        <v>2.9</v>
      </c>
    </row>
    <row r="609" spans="31:38" x14ac:dyDescent="0.25">
      <c r="AE609" s="43" t="s">
        <v>90</v>
      </c>
      <c r="AF609" s="43" t="s">
        <v>60</v>
      </c>
      <c r="AG609" s="43" t="s">
        <v>91</v>
      </c>
      <c r="AH609" s="43" t="s">
        <v>36</v>
      </c>
      <c r="AI609">
        <v>1</v>
      </c>
      <c r="AJ609" t="s">
        <v>341</v>
      </c>
      <c r="AK609" s="43" t="s">
        <v>309</v>
      </c>
      <c r="AL609">
        <v>8.5</v>
      </c>
    </row>
    <row r="610" spans="31:38" x14ac:dyDescent="0.25">
      <c r="AE610" s="43" t="s">
        <v>90</v>
      </c>
      <c r="AF610" s="43" t="s">
        <v>60</v>
      </c>
      <c r="AG610" s="43" t="s">
        <v>91</v>
      </c>
      <c r="AH610" s="43" t="s">
        <v>36</v>
      </c>
      <c r="AI610">
        <v>1</v>
      </c>
      <c r="AJ610" t="s">
        <v>341</v>
      </c>
      <c r="AK610" s="43" t="s">
        <v>268</v>
      </c>
      <c r="AL610">
        <v>11.4</v>
      </c>
    </row>
    <row r="611" spans="31:38" x14ac:dyDescent="0.25">
      <c r="AE611" s="43" t="s">
        <v>90</v>
      </c>
      <c r="AF611" s="43" t="s">
        <v>60</v>
      </c>
      <c r="AG611" s="43" t="s">
        <v>91</v>
      </c>
      <c r="AH611" s="43" t="s">
        <v>36</v>
      </c>
      <c r="AI611">
        <v>1</v>
      </c>
      <c r="AJ611" t="s">
        <v>273</v>
      </c>
      <c r="AK611" s="43" t="s">
        <v>308</v>
      </c>
      <c r="AL611">
        <v>0</v>
      </c>
    </row>
    <row r="612" spans="31:38" x14ac:dyDescent="0.25">
      <c r="AE612" s="43" t="s">
        <v>90</v>
      </c>
      <c r="AF612" s="43" t="s">
        <v>60</v>
      </c>
      <c r="AG612" s="43" t="s">
        <v>91</v>
      </c>
      <c r="AH612" s="43" t="s">
        <v>36</v>
      </c>
      <c r="AI612">
        <v>1</v>
      </c>
      <c r="AJ612" t="s">
        <v>273</v>
      </c>
      <c r="AK612" s="43" t="s">
        <v>309</v>
      </c>
      <c r="AL612">
        <v>0</v>
      </c>
    </row>
    <row r="613" spans="31:38" x14ac:dyDescent="0.25">
      <c r="AE613" s="43" t="s">
        <v>90</v>
      </c>
      <c r="AF613" s="43" t="s">
        <v>60</v>
      </c>
      <c r="AG613" s="43" t="s">
        <v>91</v>
      </c>
      <c r="AH613" s="43" t="s">
        <v>36</v>
      </c>
      <c r="AI613">
        <v>1</v>
      </c>
      <c r="AJ613" t="s">
        <v>273</v>
      </c>
      <c r="AK613" s="43" t="s">
        <v>268</v>
      </c>
      <c r="AL613">
        <v>0</v>
      </c>
    </row>
    <row r="614" spans="31:38" x14ac:dyDescent="0.25">
      <c r="AE614" s="43" t="s">
        <v>118</v>
      </c>
      <c r="AF614" s="43" t="s">
        <v>60</v>
      </c>
      <c r="AG614" s="43" t="s">
        <v>119</v>
      </c>
      <c r="AH614" s="43" t="s">
        <v>31</v>
      </c>
      <c r="AI614">
        <v>1</v>
      </c>
      <c r="AJ614" t="s">
        <v>317</v>
      </c>
      <c r="AK614" s="43" t="s">
        <v>308</v>
      </c>
      <c r="AL614">
        <v>0</v>
      </c>
    </row>
    <row r="615" spans="31:38" x14ac:dyDescent="0.25">
      <c r="AE615" s="43" t="s">
        <v>118</v>
      </c>
      <c r="AF615" s="43" t="s">
        <v>60</v>
      </c>
      <c r="AG615" s="43" t="s">
        <v>119</v>
      </c>
      <c r="AH615" s="43" t="s">
        <v>31</v>
      </c>
      <c r="AI615">
        <v>1</v>
      </c>
      <c r="AJ615" t="s">
        <v>317</v>
      </c>
      <c r="AK615" s="43" t="s">
        <v>309</v>
      </c>
      <c r="AL615">
        <v>0</v>
      </c>
    </row>
    <row r="616" spans="31:38" x14ac:dyDescent="0.25">
      <c r="AE616" s="43" t="s">
        <v>118</v>
      </c>
      <c r="AF616" s="43" t="s">
        <v>60</v>
      </c>
      <c r="AG616" s="43" t="s">
        <v>119</v>
      </c>
      <c r="AH616" s="43" t="s">
        <v>31</v>
      </c>
      <c r="AI616">
        <v>1</v>
      </c>
      <c r="AJ616" t="s">
        <v>317</v>
      </c>
      <c r="AK616" s="43" t="s">
        <v>268</v>
      </c>
      <c r="AL616">
        <v>0</v>
      </c>
    </row>
    <row r="617" spans="31:38" x14ac:dyDescent="0.25">
      <c r="AE617" s="43" t="s">
        <v>118</v>
      </c>
      <c r="AF617" s="43" t="s">
        <v>60</v>
      </c>
      <c r="AG617" s="43" t="s">
        <v>119</v>
      </c>
      <c r="AH617" s="43" t="s">
        <v>31</v>
      </c>
      <c r="AI617">
        <v>1</v>
      </c>
      <c r="AJ617" t="s">
        <v>325</v>
      </c>
      <c r="AK617" s="43" t="s">
        <v>308</v>
      </c>
      <c r="AL617">
        <v>0</v>
      </c>
    </row>
    <row r="618" spans="31:38" x14ac:dyDescent="0.25">
      <c r="AE618" s="43" t="s">
        <v>118</v>
      </c>
      <c r="AF618" s="43" t="s">
        <v>60</v>
      </c>
      <c r="AG618" s="43" t="s">
        <v>119</v>
      </c>
      <c r="AH618" s="43" t="s">
        <v>31</v>
      </c>
      <c r="AI618">
        <v>1</v>
      </c>
      <c r="AJ618" t="s">
        <v>325</v>
      </c>
      <c r="AK618" s="43" t="s">
        <v>309</v>
      </c>
      <c r="AL618">
        <v>0</v>
      </c>
    </row>
    <row r="619" spans="31:38" x14ac:dyDescent="0.25">
      <c r="AE619" s="43" t="s">
        <v>118</v>
      </c>
      <c r="AF619" s="43" t="s">
        <v>60</v>
      </c>
      <c r="AG619" s="43" t="s">
        <v>119</v>
      </c>
      <c r="AH619" s="43" t="s">
        <v>31</v>
      </c>
      <c r="AI619">
        <v>1</v>
      </c>
      <c r="AJ619" t="s">
        <v>325</v>
      </c>
      <c r="AK619" s="43" t="s">
        <v>268</v>
      </c>
      <c r="AL619">
        <v>0</v>
      </c>
    </row>
    <row r="620" spans="31:38" x14ac:dyDescent="0.25">
      <c r="AE620" s="43" t="s">
        <v>118</v>
      </c>
      <c r="AF620" s="43" t="s">
        <v>60</v>
      </c>
      <c r="AG620" s="43" t="s">
        <v>119</v>
      </c>
      <c r="AH620" s="43" t="s">
        <v>31</v>
      </c>
      <c r="AI620">
        <v>1</v>
      </c>
      <c r="AJ620" t="s">
        <v>330</v>
      </c>
      <c r="AK620" s="43" t="s">
        <v>308</v>
      </c>
      <c r="AL620">
        <v>4.3</v>
      </c>
    </row>
    <row r="621" spans="31:38" x14ac:dyDescent="0.25">
      <c r="AE621" s="43" t="s">
        <v>118</v>
      </c>
      <c r="AF621" s="43" t="s">
        <v>60</v>
      </c>
      <c r="AG621" s="43" t="s">
        <v>119</v>
      </c>
      <c r="AH621" s="43" t="s">
        <v>31</v>
      </c>
      <c r="AI621">
        <v>1</v>
      </c>
      <c r="AJ621" t="s">
        <v>330</v>
      </c>
      <c r="AK621" s="43" t="s">
        <v>309</v>
      </c>
      <c r="AL621">
        <v>7.1</v>
      </c>
    </row>
    <row r="622" spans="31:38" x14ac:dyDescent="0.25">
      <c r="AE622" s="43" t="s">
        <v>118</v>
      </c>
      <c r="AF622" s="43" t="s">
        <v>60</v>
      </c>
      <c r="AG622" s="43" t="s">
        <v>119</v>
      </c>
      <c r="AH622" s="43" t="s">
        <v>31</v>
      </c>
      <c r="AI622">
        <v>1</v>
      </c>
      <c r="AJ622" t="s">
        <v>330</v>
      </c>
      <c r="AK622" s="43" t="s">
        <v>268</v>
      </c>
      <c r="AL622">
        <v>11.4</v>
      </c>
    </row>
    <row r="623" spans="31:38" x14ac:dyDescent="0.25">
      <c r="AE623" s="43" t="s">
        <v>118</v>
      </c>
      <c r="AF623" s="43" t="s">
        <v>60</v>
      </c>
      <c r="AG623" s="43" t="s">
        <v>119</v>
      </c>
      <c r="AH623" s="43" t="s">
        <v>31</v>
      </c>
      <c r="AI623">
        <v>1</v>
      </c>
      <c r="AJ623" t="s">
        <v>331</v>
      </c>
      <c r="AK623" s="43" t="s">
        <v>308</v>
      </c>
      <c r="AL623">
        <v>0</v>
      </c>
    </row>
    <row r="624" spans="31:38" x14ac:dyDescent="0.25">
      <c r="AE624" s="43" t="s">
        <v>118</v>
      </c>
      <c r="AF624" s="43" t="s">
        <v>60</v>
      </c>
      <c r="AG624" s="43" t="s">
        <v>119</v>
      </c>
      <c r="AH624" s="43" t="s">
        <v>31</v>
      </c>
      <c r="AI624">
        <v>1</v>
      </c>
      <c r="AJ624" t="s">
        <v>331</v>
      </c>
      <c r="AK624" s="43" t="s">
        <v>309</v>
      </c>
      <c r="AL624">
        <v>0</v>
      </c>
    </row>
    <row r="625" spans="31:38" x14ac:dyDescent="0.25">
      <c r="AE625" s="43" t="s">
        <v>118</v>
      </c>
      <c r="AF625" s="43" t="s">
        <v>60</v>
      </c>
      <c r="AG625" s="43" t="s">
        <v>119</v>
      </c>
      <c r="AH625" s="43" t="s">
        <v>31</v>
      </c>
      <c r="AI625">
        <v>1</v>
      </c>
      <c r="AJ625" t="s">
        <v>331</v>
      </c>
      <c r="AK625" s="43" t="s">
        <v>268</v>
      </c>
      <c r="AL625">
        <v>0</v>
      </c>
    </row>
    <row r="626" spans="31:38" x14ac:dyDescent="0.25">
      <c r="AE626" s="43" t="s">
        <v>118</v>
      </c>
      <c r="AF626" s="43" t="s">
        <v>60</v>
      </c>
      <c r="AG626" s="43" t="s">
        <v>119</v>
      </c>
      <c r="AH626" s="43" t="s">
        <v>31</v>
      </c>
      <c r="AI626">
        <v>1</v>
      </c>
      <c r="AJ626" t="s">
        <v>341</v>
      </c>
      <c r="AK626" s="43" t="s">
        <v>308</v>
      </c>
      <c r="AL626">
        <v>4.3</v>
      </c>
    </row>
    <row r="627" spans="31:38" x14ac:dyDescent="0.25">
      <c r="AE627" s="43" t="s">
        <v>118</v>
      </c>
      <c r="AF627" s="43" t="s">
        <v>60</v>
      </c>
      <c r="AG627" s="43" t="s">
        <v>119</v>
      </c>
      <c r="AH627" s="43" t="s">
        <v>31</v>
      </c>
      <c r="AI627">
        <v>1</v>
      </c>
      <c r="AJ627" t="s">
        <v>341</v>
      </c>
      <c r="AK627" s="43" t="s">
        <v>309</v>
      </c>
      <c r="AL627">
        <v>7.1</v>
      </c>
    </row>
    <row r="628" spans="31:38" x14ac:dyDescent="0.25">
      <c r="AE628" s="43" t="s">
        <v>118</v>
      </c>
      <c r="AF628" s="43" t="s">
        <v>60</v>
      </c>
      <c r="AG628" s="43" t="s">
        <v>119</v>
      </c>
      <c r="AH628" s="43" t="s">
        <v>31</v>
      </c>
      <c r="AI628">
        <v>1</v>
      </c>
      <c r="AJ628" t="s">
        <v>341</v>
      </c>
      <c r="AK628" s="43" t="s">
        <v>268</v>
      </c>
      <c r="AL628">
        <v>11.4</v>
      </c>
    </row>
    <row r="629" spans="31:38" x14ac:dyDescent="0.25">
      <c r="AE629" s="43" t="s">
        <v>118</v>
      </c>
      <c r="AF629" s="43" t="s">
        <v>60</v>
      </c>
      <c r="AG629" s="43" t="s">
        <v>119</v>
      </c>
      <c r="AH629" s="43" t="s">
        <v>31</v>
      </c>
      <c r="AI629">
        <v>1</v>
      </c>
      <c r="AJ629" t="s">
        <v>273</v>
      </c>
      <c r="AK629" s="43" t="s">
        <v>308</v>
      </c>
      <c r="AL629">
        <v>0</v>
      </c>
    </row>
    <row r="630" spans="31:38" x14ac:dyDescent="0.25">
      <c r="AE630" s="43" t="s">
        <v>118</v>
      </c>
      <c r="AF630" s="43" t="s">
        <v>60</v>
      </c>
      <c r="AG630" s="43" t="s">
        <v>119</v>
      </c>
      <c r="AH630" s="43" t="s">
        <v>31</v>
      </c>
      <c r="AI630">
        <v>1</v>
      </c>
      <c r="AJ630" t="s">
        <v>273</v>
      </c>
      <c r="AK630" s="43" t="s">
        <v>309</v>
      </c>
      <c r="AL630">
        <v>0</v>
      </c>
    </row>
    <row r="631" spans="31:38" x14ac:dyDescent="0.25">
      <c r="AE631" s="43" t="s">
        <v>118</v>
      </c>
      <c r="AF631" s="43" t="s">
        <v>60</v>
      </c>
      <c r="AG631" s="43" t="s">
        <v>119</v>
      </c>
      <c r="AH631" s="43" t="s">
        <v>31</v>
      </c>
      <c r="AI631">
        <v>1</v>
      </c>
      <c r="AJ631" t="s">
        <v>273</v>
      </c>
      <c r="AK631" s="43" t="s">
        <v>268</v>
      </c>
      <c r="AL631">
        <v>0</v>
      </c>
    </row>
    <row r="632" spans="31:38" x14ac:dyDescent="0.25">
      <c r="AE632" s="43" t="s">
        <v>142</v>
      </c>
      <c r="AF632" s="43" t="s">
        <v>60</v>
      </c>
      <c r="AG632" s="43" t="s">
        <v>143</v>
      </c>
      <c r="AH632" s="43" t="s">
        <v>62</v>
      </c>
      <c r="AI632">
        <v>1</v>
      </c>
      <c r="AJ632" t="s">
        <v>317</v>
      </c>
      <c r="AK632" s="43" t="s">
        <v>308</v>
      </c>
      <c r="AL632">
        <v>3.4</v>
      </c>
    </row>
    <row r="633" spans="31:38" x14ac:dyDescent="0.25">
      <c r="AE633" s="43" t="s">
        <v>142</v>
      </c>
      <c r="AF633" s="43" t="s">
        <v>60</v>
      </c>
      <c r="AG633" s="43" t="s">
        <v>143</v>
      </c>
      <c r="AH633" s="43" t="s">
        <v>62</v>
      </c>
      <c r="AI633">
        <v>1</v>
      </c>
      <c r="AJ633" t="s">
        <v>317</v>
      </c>
      <c r="AK633" s="43" t="s">
        <v>309</v>
      </c>
      <c r="AL633">
        <v>7.9</v>
      </c>
    </row>
    <row r="634" spans="31:38" x14ac:dyDescent="0.25">
      <c r="AE634" s="43" t="s">
        <v>142</v>
      </c>
      <c r="AF634" s="43" t="s">
        <v>60</v>
      </c>
      <c r="AG634" s="43" t="s">
        <v>143</v>
      </c>
      <c r="AH634" s="43" t="s">
        <v>62</v>
      </c>
      <c r="AI634">
        <v>1</v>
      </c>
      <c r="AJ634" t="s">
        <v>317</v>
      </c>
      <c r="AK634" s="43" t="s">
        <v>268</v>
      </c>
      <c r="AL634">
        <v>11.3</v>
      </c>
    </row>
    <row r="635" spans="31:38" x14ac:dyDescent="0.25">
      <c r="AE635" s="43" t="s">
        <v>142</v>
      </c>
      <c r="AF635" s="43" t="s">
        <v>60</v>
      </c>
      <c r="AG635" s="43" t="s">
        <v>143</v>
      </c>
      <c r="AH635" s="43" t="s">
        <v>62</v>
      </c>
      <c r="AI635">
        <v>1</v>
      </c>
      <c r="AJ635" t="s">
        <v>325</v>
      </c>
      <c r="AK635" s="43" t="s">
        <v>308</v>
      </c>
      <c r="AL635">
        <v>0</v>
      </c>
    </row>
    <row r="636" spans="31:38" x14ac:dyDescent="0.25">
      <c r="AE636" s="43" t="s">
        <v>142</v>
      </c>
      <c r="AF636" s="43" t="s">
        <v>60</v>
      </c>
      <c r="AG636" s="43" t="s">
        <v>143</v>
      </c>
      <c r="AH636" s="43" t="s">
        <v>62</v>
      </c>
      <c r="AI636">
        <v>1</v>
      </c>
      <c r="AJ636" t="s">
        <v>325</v>
      </c>
      <c r="AK636" s="43" t="s">
        <v>309</v>
      </c>
      <c r="AL636">
        <v>0</v>
      </c>
    </row>
    <row r="637" spans="31:38" x14ac:dyDescent="0.25">
      <c r="AE637" s="43" t="s">
        <v>142</v>
      </c>
      <c r="AF637" s="43" t="s">
        <v>60</v>
      </c>
      <c r="AG637" s="43" t="s">
        <v>143</v>
      </c>
      <c r="AH637" s="43" t="s">
        <v>62</v>
      </c>
      <c r="AI637">
        <v>1</v>
      </c>
      <c r="AJ637" t="s">
        <v>325</v>
      </c>
      <c r="AK637" s="43" t="s">
        <v>268</v>
      </c>
      <c r="AL637">
        <v>0</v>
      </c>
    </row>
    <row r="638" spans="31:38" x14ac:dyDescent="0.25">
      <c r="AE638" s="43" t="s">
        <v>142</v>
      </c>
      <c r="AF638" s="43" t="s">
        <v>60</v>
      </c>
      <c r="AG638" s="43" t="s">
        <v>143</v>
      </c>
      <c r="AH638" s="43" t="s">
        <v>62</v>
      </c>
      <c r="AI638">
        <v>1</v>
      </c>
      <c r="AJ638" t="s">
        <v>330</v>
      </c>
      <c r="AK638" s="43" t="s">
        <v>308</v>
      </c>
      <c r="AL638">
        <v>0</v>
      </c>
    </row>
    <row r="639" spans="31:38" x14ac:dyDescent="0.25">
      <c r="AE639" s="43" t="s">
        <v>142</v>
      </c>
      <c r="AF639" s="43" t="s">
        <v>60</v>
      </c>
      <c r="AG639" s="43" t="s">
        <v>143</v>
      </c>
      <c r="AH639" s="43" t="s">
        <v>62</v>
      </c>
      <c r="AI639">
        <v>1</v>
      </c>
      <c r="AJ639" t="s">
        <v>330</v>
      </c>
      <c r="AK639" s="43" t="s">
        <v>309</v>
      </c>
      <c r="AL639">
        <v>0</v>
      </c>
    </row>
    <row r="640" spans="31:38" x14ac:dyDescent="0.25">
      <c r="AE640" s="43" t="s">
        <v>142</v>
      </c>
      <c r="AF640" s="43" t="s">
        <v>60</v>
      </c>
      <c r="AG640" s="43" t="s">
        <v>143</v>
      </c>
      <c r="AH640" s="43" t="s">
        <v>62</v>
      </c>
      <c r="AI640">
        <v>1</v>
      </c>
      <c r="AJ640" t="s">
        <v>330</v>
      </c>
      <c r="AK640" s="43" t="s">
        <v>268</v>
      </c>
      <c r="AL640">
        <v>0</v>
      </c>
    </row>
    <row r="641" spans="31:38" x14ac:dyDescent="0.25">
      <c r="AE641" s="43" t="s">
        <v>142</v>
      </c>
      <c r="AF641" s="43" t="s">
        <v>60</v>
      </c>
      <c r="AG641" s="43" t="s">
        <v>143</v>
      </c>
      <c r="AH641" s="43" t="s">
        <v>62</v>
      </c>
      <c r="AI641">
        <v>1</v>
      </c>
      <c r="AJ641" t="s">
        <v>331</v>
      </c>
      <c r="AK641" s="43" t="s">
        <v>308</v>
      </c>
      <c r="AL641">
        <v>0</v>
      </c>
    </row>
    <row r="642" spans="31:38" x14ac:dyDescent="0.25">
      <c r="AE642" s="43" t="s">
        <v>142</v>
      </c>
      <c r="AF642" s="43" t="s">
        <v>60</v>
      </c>
      <c r="AG642" s="43" t="s">
        <v>143</v>
      </c>
      <c r="AH642" s="43" t="s">
        <v>62</v>
      </c>
      <c r="AI642">
        <v>1</v>
      </c>
      <c r="AJ642" t="s">
        <v>331</v>
      </c>
      <c r="AK642" s="43" t="s">
        <v>309</v>
      </c>
      <c r="AL642">
        <v>0</v>
      </c>
    </row>
    <row r="643" spans="31:38" x14ac:dyDescent="0.25">
      <c r="AE643" s="43" t="s">
        <v>142</v>
      </c>
      <c r="AF643" s="43" t="s">
        <v>60</v>
      </c>
      <c r="AG643" s="43" t="s">
        <v>143</v>
      </c>
      <c r="AH643" s="43" t="s">
        <v>62</v>
      </c>
      <c r="AI643">
        <v>1</v>
      </c>
      <c r="AJ643" t="s">
        <v>331</v>
      </c>
      <c r="AK643" s="43" t="s">
        <v>268</v>
      </c>
      <c r="AL643">
        <v>0</v>
      </c>
    </row>
    <row r="644" spans="31:38" x14ac:dyDescent="0.25">
      <c r="AE644" s="43" t="s">
        <v>142</v>
      </c>
      <c r="AF644" s="43" t="s">
        <v>60</v>
      </c>
      <c r="AG644" s="43" t="s">
        <v>143</v>
      </c>
      <c r="AH644" s="43" t="s">
        <v>62</v>
      </c>
      <c r="AI644">
        <v>1</v>
      </c>
      <c r="AJ644" t="s">
        <v>341</v>
      </c>
      <c r="AK644" s="43" t="s">
        <v>308</v>
      </c>
      <c r="AL644">
        <v>3.4</v>
      </c>
    </row>
    <row r="645" spans="31:38" x14ac:dyDescent="0.25">
      <c r="AE645" s="43" t="s">
        <v>142</v>
      </c>
      <c r="AF645" s="43" t="s">
        <v>60</v>
      </c>
      <c r="AG645" s="43" t="s">
        <v>143</v>
      </c>
      <c r="AH645" s="43" t="s">
        <v>62</v>
      </c>
      <c r="AI645">
        <v>1</v>
      </c>
      <c r="AJ645" t="s">
        <v>341</v>
      </c>
      <c r="AK645" s="43" t="s">
        <v>309</v>
      </c>
      <c r="AL645">
        <v>7.9</v>
      </c>
    </row>
    <row r="646" spans="31:38" x14ac:dyDescent="0.25">
      <c r="AE646" s="43" t="s">
        <v>142</v>
      </c>
      <c r="AF646" s="43" t="s">
        <v>60</v>
      </c>
      <c r="AG646" s="43" t="s">
        <v>143</v>
      </c>
      <c r="AH646" s="43" t="s">
        <v>62</v>
      </c>
      <c r="AI646">
        <v>1</v>
      </c>
      <c r="AJ646" t="s">
        <v>341</v>
      </c>
      <c r="AK646" s="43" t="s">
        <v>268</v>
      </c>
      <c r="AL646">
        <v>11.3</v>
      </c>
    </row>
    <row r="647" spans="31:38" x14ac:dyDescent="0.25">
      <c r="AE647" s="43" t="s">
        <v>142</v>
      </c>
      <c r="AF647" s="43" t="s">
        <v>60</v>
      </c>
      <c r="AG647" s="43" t="s">
        <v>143</v>
      </c>
      <c r="AH647" s="43" t="s">
        <v>62</v>
      </c>
      <c r="AI647">
        <v>1</v>
      </c>
      <c r="AJ647" t="s">
        <v>273</v>
      </c>
      <c r="AK647" s="43" t="s">
        <v>308</v>
      </c>
      <c r="AL647">
        <v>0</v>
      </c>
    </row>
    <row r="648" spans="31:38" x14ac:dyDescent="0.25">
      <c r="AE648" s="43" t="s">
        <v>142</v>
      </c>
      <c r="AF648" s="43" t="s">
        <v>60</v>
      </c>
      <c r="AG648" s="43" t="s">
        <v>143</v>
      </c>
      <c r="AH648" s="43" t="s">
        <v>62</v>
      </c>
      <c r="AI648">
        <v>1</v>
      </c>
      <c r="AJ648" t="s">
        <v>273</v>
      </c>
      <c r="AK648" s="43" t="s">
        <v>309</v>
      </c>
      <c r="AL648">
        <v>0</v>
      </c>
    </row>
    <row r="649" spans="31:38" x14ac:dyDescent="0.25">
      <c r="AE649" s="43" t="s">
        <v>142</v>
      </c>
      <c r="AF649" s="43" t="s">
        <v>60</v>
      </c>
      <c r="AG649" s="43" t="s">
        <v>143</v>
      </c>
      <c r="AH649" s="43" t="s">
        <v>62</v>
      </c>
      <c r="AI649">
        <v>1</v>
      </c>
      <c r="AJ649" t="s">
        <v>273</v>
      </c>
      <c r="AK649" s="43" t="s">
        <v>268</v>
      </c>
      <c r="AL649">
        <v>0</v>
      </c>
    </row>
    <row r="650" spans="31:38" x14ac:dyDescent="0.25">
      <c r="AE650" s="43" t="s">
        <v>129</v>
      </c>
      <c r="AF650" s="43" t="s">
        <v>60</v>
      </c>
      <c r="AG650" s="43" t="s">
        <v>130</v>
      </c>
      <c r="AH650" s="43" t="s">
        <v>72</v>
      </c>
      <c r="AI650">
        <v>1</v>
      </c>
      <c r="AJ650" t="s">
        <v>317</v>
      </c>
      <c r="AK650" s="43" t="s">
        <v>308</v>
      </c>
      <c r="AL650">
        <v>0</v>
      </c>
    </row>
    <row r="651" spans="31:38" x14ac:dyDescent="0.25">
      <c r="AE651" s="43" t="s">
        <v>129</v>
      </c>
      <c r="AF651" s="43" t="s">
        <v>60</v>
      </c>
      <c r="AG651" s="43" t="s">
        <v>130</v>
      </c>
      <c r="AH651" s="43" t="s">
        <v>72</v>
      </c>
      <c r="AI651">
        <v>1</v>
      </c>
      <c r="AJ651" t="s">
        <v>317</v>
      </c>
      <c r="AK651" s="43" t="s">
        <v>309</v>
      </c>
      <c r="AL651">
        <v>0</v>
      </c>
    </row>
    <row r="652" spans="31:38" x14ac:dyDescent="0.25">
      <c r="AE652" s="43" t="s">
        <v>129</v>
      </c>
      <c r="AF652" s="43" t="s">
        <v>60</v>
      </c>
      <c r="AG652" s="43" t="s">
        <v>130</v>
      </c>
      <c r="AH652" s="43" t="s">
        <v>72</v>
      </c>
      <c r="AI652">
        <v>1</v>
      </c>
      <c r="AJ652" t="s">
        <v>317</v>
      </c>
      <c r="AK652" s="43" t="s">
        <v>268</v>
      </c>
      <c r="AL652">
        <v>0</v>
      </c>
    </row>
    <row r="653" spans="31:38" x14ac:dyDescent="0.25">
      <c r="AE653" s="43" t="s">
        <v>129</v>
      </c>
      <c r="AF653" s="43" t="s">
        <v>60</v>
      </c>
      <c r="AG653" s="43" t="s">
        <v>130</v>
      </c>
      <c r="AH653" s="43" t="s">
        <v>72</v>
      </c>
      <c r="AI653">
        <v>1</v>
      </c>
      <c r="AJ653" t="s">
        <v>325</v>
      </c>
      <c r="AK653" s="43" t="s">
        <v>308</v>
      </c>
      <c r="AL653">
        <v>0</v>
      </c>
    </row>
    <row r="654" spans="31:38" x14ac:dyDescent="0.25">
      <c r="AE654" s="43" t="s">
        <v>129</v>
      </c>
      <c r="AF654" s="43" t="s">
        <v>60</v>
      </c>
      <c r="AG654" s="43" t="s">
        <v>130</v>
      </c>
      <c r="AH654" s="43" t="s">
        <v>72</v>
      </c>
      <c r="AI654">
        <v>1</v>
      </c>
      <c r="AJ654" t="s">
        <v>325</v>
      </c>
      <c r="AK654" s="43" t="s">
        <v>309</v>
      </c>
      <c r="AL654">
        <v>0</v>
      </c>
    </row>
    <row r="655" spans="31:38" x14ac:dyDescent="0.25">
      <c r="AE655" s="43" t="s">
        <v>129</v>
      </c>
      <c r="AF655" s="43" t="s">
        <v>60</v>
      </c>
      <c r="AG655" s="43" t="s">
        <v>130</v>
      </c>
      <c r="AH655" s="43" t="s">
        <v>72</v>
      </c>
      <c r="AI655">
        <v>1</v>
      </c>
      <c r="AJ655" t="s">
        <v>325</v>
      </c>
      <c r="AK655" s="43" t="s">
        <v>268</v>
      </c>
      <c r="AL655">
        <v>0</v>
      </c>
    </row>
    <row r="656" spans="31:38" x14ac:dyDescent="0.25">
      <c r="AE656" s="43" t="s">
        <v>129</v>
      </c>
      <c r="AF656" s="43" t="s">
        <v>60</v>
      </c>
      <c r="AG656" s="43" t="s">
        <v>130</v>
      </c>
      <c r="AH656" s="43" t="s">
        <v>72</v>
      </c>
      <c r="AI656">
        <v>1</v>
      </c>
      <c r="AJ656" t="s">
        <v>330</v>
      </c>
      <c r="AK656" s="43" t="s">
        <v>308</v>
      </c>
      <c r="AL656">
        <v>2.7</v>
      </c>
    </row>
    <row r="657" spans="31:38" x14ac:dyDescent="0.25">
      <c r="AE657" s="43" t="s">
        <v>129</v>
      </c>
      <c r="AF657" s="43" t="s">
        <v>60</v>
      </c>
      <c r="AG657" s="43" t="s">
        <v>130</v>
      </c>
      <c r="AH657" s="43" t="s">
        <v>72</v>
      </c>
      <c r="AI657">
        <v>1</v>
      </c>
      <c r="AJ657" t="s">
        <v>330</v>
      </c>
      <c r="AK657" s="43" t="s">
        <v>309</v>
      </c>
      <c r="AL657">
        <v>8.5500000000000007</v>
      </c>
    </row>
    <row r="658" spans="31:38" x14ac:dyDescent="0.25">
      <c r="AE658" s="43" t="s">
        <v>129</v>
      </c>
      <c r="AF658" s="43" t="s">
        <v>60</v>
      </c>
      <c r="AG658" s="43" t="s">
        <v>130</v>
      </c>
      <c r="AH658" s="43" t="s">
        <v>72</v>
      </c>
      <c r="AI658">
        <v>1</v>
      </c>
      <c r="AJ658" t="s">
        <v>330</v>
      </c>
      <c r="AK658" s="43" t="s">
        <v>268</v>
      </c>
      <c r="AL658">
        <v>11.25</v>
      </c>
    </row>
    <row r="659" spans="31:38" x14ac:dyDescent="0.25">
      <c r="AE659" s="43" t="s">
        <v>129</v>
      </c>
      <c r="AF659" s="43" t="s">
        <v>60</v>
      </c>
      <c r="AG659" s="43" t="s">
        <v>130</v>
      </c>
      <c r="AH659" s="43" t="s">
        <v>72</v>
      </c>
      <c r="AI659">
        <v>1</v>
      </c>
      <c r="AJ659" t="s">
        <v>331</v>
      </c>
      <c r="AK659" s="43" t="s">
        <v>308</v>
      </c>
      <c r="AL659">
        <v>0</v>
      </c>
    </row>
    <row r="660" spans="31:38" x14ac:dyDescent="0.25">
      <c r="AE660" s="43" t="s">
        <v>129</v>
      </c>
      <c r="AF660" s="43" t="s">
        <v>60</v>
      </c>
      <c r="AG660" s="43" t="s">
        <v>130</v>
      </c>
      <c r="AH660" s="43" t="s">
        <v>72</v>
      </c>
      <c r="AI660">
        <v>1</v>
      </c>
      <c r="AJ660" t="s">
        <v>331</v>
      </c>
      <c r="AK660" s="43" t="s">
        <v>309</v>
      </c>
      <c r="AL660">
        <v>0</v>
      </c>
    </row>
    <row r="661" spans="31:38" x14ac:dyDescent="0.25">
      <c r="AE661" s="43" t="s">
        <v>129</v>
      </c>
      <c r="AF661" s="43" t="s">
        <v>60</v>
      </c>
      <c r="AG661" s="43" t="s">
        <v>130</v>
      </c>
      <c r="AH661" s="43" t="s">
        <v>72</v>
      </c>
      <c r="AI661">
        <v>1</v>
      </c>
      <c r="AJ661" t="s">
        <v>331</v>
      </c>
      <c r="AK661" s="43" t="s">
        <v>268</v>
      </c>
      <c r="AL661">
        <v>0</v>
      </c>
    </row>
    <row r="662" spans="31:38" x14ac:dyDescent="0.25">
      <c r="AE662" s="43" t="s">
        <v>129</v>
      </c>
      <c r="AF662" s="43" t="s">
        <v>60</v>
      </c>
      <c r="AG662" s="43" t="s">
        <v>130</v>
      </c>
      <c r="AH662" s="43" t="s">
        <v>72</v>
      </c>
      <c r="AI662">
        <v>1</v>
      </c>
      <c r="AJ662" t="s">
        <v>341</v>
      </c>
      <c r="AK662" s="43" t="s">
        <v>308</v>
      </c>
      <c r="AL662">
        <v>2.7</v>
      </c>
    </row>
    <row r="663" spans="31:38" x14ac:dyDescent="0.25">
      <c r="AE663" s="43" t="s">
        <v>129</v>
      </c>
      <c r="AF663" s="43" t="s">
        <v>60</v>
      </c>
      <c r="AG663" s="43" t="s">
        <v>130</v>
      </c>
      <c r="AH663" s="43" t="s">
        <v>72</v>
      </c>
      <c r="AI663">
        <v>1</v>
      </c>
      <c r="AJ663" t="s">
        <v>341</v>
      </c>
      <c r="AK663" s="43" t="s">
        <v>309</v>
      </c>
      <c r="AL663">
        <v>8.5500000000000007</v>
      </c>
    </row>
    <row r="664" spans="31:38" x14ac:dyDescent="0.25">
      <c r="AE664" s="43" t="s">
        <v>129</v>
      </c>
      <c r="AF664" s="43" t="s">
        <v>60</v>
      </c>
      <c r="AG664" s="43" t="s">
        <v>130</v>
      </c>
      <c r="AH664" s="43" t="s">
        <v>72</v>
      </c>
      <c r="AI664">
        <v>1</v>
      </c>
      <c r="AJ664" t="s">
        <v>341</v>
      </c>
      <c r="AK664" s="43" t="s">
        <v>268</v>
      </c>
      <c r="AL664">
        <v>11.25</v>
      </c>
    </row>
    <row r="665" spans="31:38" x14ac:dyDescent="0.25">
      <c r="AE665" s="43" t="s">
        <v>129</v>
      </c>
      <c r="AF665" s="43" t="s">
        <v>60</v>
      </c>
      <c r="AG665" s="43" t="s">
        <v>130</v>
      </c>
      <c r="AH665" s="43" t="s">
        <v>72</v>
      </c>
      <c r="AI665">
        <v>1</v>
      </c>
      <c r="AJ665" t="s">
        <v>273</v>
      </c>
      <c r="AK665" s="43" t="s">
        <v>308</v>
      </c>
      <c r="AL665">
        <v>0</v>
      </c>
    </row>
    <row r="666" spans="31:38" x14ac:dyDescent="0.25">
      <c r="AE666" s="43" t="s">
        <v>129</v>
      </c>
      <c r="AF666" s="43" t="s">
        <v>60</v>
      </c>
      <c r="AG666" s="43" t="s">
        <v>130</v>
      </c>
      <c r="AH666" s="43" t="s">
        <v>72</v>
      </c>
      <c r="AI666">
        <v>1</v>
      </c>
      <c r="AJ666" t="s">
        <v>273</v>
      </c>
      <c r="AK666" s="43" t="s">
        <v>309</v>
      </c>
      <c r="AL666">
        <v>0</v>
      </c>
    </row>
    <row r="667" spans="31:38" x14ac:dyDescent="0.25">
      <c r="AE667" s="43" t="s">
        <v>129</v>
      </c>
      <c r="AF667" s="43" t="s">
        <v>60</v>
      </c>
      <c r="AG667" s="43" t="s">
        <v>130</v>
      </c>
      <c r="AH667" s="43" t="s">
        <v>72</v>
      </c>
      <c r="AI667">
        <v>1</v>
      </c>
      <c r="AJ667" t="s">
        <v>273</v>
      </c>
      <c r="AK667" s="43" t="s">
        <v>268</v>
      </c>
      <c r="AL667">
        <v>0</v>
      </c>
    </row>
    <row r="668" spans="31:38" x14ac:dyDescent="0.25">
      <c r="AE668" s="43" t="s">
        <v>132</v>
      </c>
      <c r="AF668" s="43" t="s">
        <v>26</v>
      </c>
      <c r="AG668" s="43" t="s">
        <v>133</v>
      </c>
      <c r="AH668" s="43" t="s">
        <v>39</v>
      </c>
      <c r="AI668">
        <v>1</v>
      </c>
      <c r="AJ668" t="s">
        <v>317</v>
      </c>
      <c r="AK668" s="43" t="s">
        <v>308</v>
      </c>
      <c r="AL668">
        <v>3</v>
      </c>
    </row>
    <row r="669" spans="31:38" x14ac:dyDescent="0.25">
      <c r="AE669" s="43" t="s">
        <v>132</v>
      </c>
      <c r="AF669" s="43" t="s">
        <v>26</v>
      </c>
      <c r="AG669" s="43" t="s">
        <v>133</v>
      </c>
      <c r="AH669" s="43" t="s">
        <v>39</v>
      </c>
      <c r="AI669">
        <v>1</v>
      </c>
      <c r="AJ669" t="s">
        <v>317</v>
      </c>
      <c r="AK669" s="43" t="s">
        <v>309</v>
      </c>
      <c r="AL669">
        <v>8.0500000000000007</v>
      </c>
    </row>
    <row r="670" spans="31:38" x14ac:dyDescent="0.25">
      <c r="AE670" s="43" t="s">
        <v>132</v>
      </c>
      <c r="AF670" s="43" t="s">
        <v>26</v>
      </c>
      <c r="AG670" s="43" t="s">
        <v>133</v>
      </c>
      <c r="AH670" s="43" t="s">
        <v>39</v>
      </c>
      <c r="AI670">
        <v>1</v>
      </c>
      <c r="AJ670" t="s">
        <v>317</v>
      </c>
      <c r="AK670" s="43" t="s">
        <v>268</v>
      </c>
      <c r="AL670">
        <v>11.05</v>
      </c>
    </row>
    <row r="671" spans="31:38" x14ac:dyDescent="0.25">
      <c r="AE671" s="43" t="s">
        <v>132</v>
      </c>
      <c r="AF671" s="43" t="s">
        <v>26</v>
      </c>
      <c r="AG671" s="43" t="s">
        <v>133</v>
      </c>
      <c r="AH671" s="43" t="s">
        <v>39</v>
      </c>
      <c r="AI671">
        <v>1</v>
      </c>
      <c r="AJ671" t="s">
        <v>325</v>
      </c>
      <c r="AK671" s="43" t="s">
        <v>308</v>
      </c>
      <c r="AL671">
        <v>0</v>
      </c>
    </row>
    <row r="672" spans="31:38" x14ac:dyDescent="0.25">
      <c r="AE672" s="43" t="s">
        <v>132</v>
      </c>
      <c r="AF672" s="43" t="s">
        <v>26</v>
      </c>
      <c r="AG672" s="43" t="s">
        <v>133</v>
      </c>
      <c r="AH672" s="43" t="s">
        <v>39</v>
      </c>
      <c r="AI672">
        <v>1</v>
      </c>
      <c r="AJ672" t="s">
        <v>325</v>
      </c>
      <c r="AK672" s="43" t="s">
        <v>309</v>
      </c>
      <c r="AL672">
        <v>0</v>
      </c>
    </row>
    <row r="673" spans="31:38" x14ac:dyDescent="0.25">
      <c r="AE673" s="43" t="s">
        <v>132</v>
      </c>
      <c r="AF673" s="43" t="s">
        <v>26</v>
      </c>
      <c r="AG673" s="43" t="s">
        <v>133</v>
      </c>
      <c r="AH673" s="43" t="s">
        <v>39</v>
      </c>
      <c r="AI673">
        <v>1</v>
      </c>
      <c r="AJ673" t="s">
        <v>325</v>
      </c>
      <c r="AK673" s="43" t="s">
        <v>268</v>
      </c>
      <c r="AL673">
        <v>0</v>
      </c>
    </row>
    <row r="674" spans="31:38" x14ac:dyDescent="0.25">
      <c r="AE674" s="43" t="s">
        <v>132</v>
      </c>
      <c r="AF674" s="43" t="s">
        <v>26</v>
      </c>
      <c r="AG674" s="43" t="s">
        <v>133</v>
      </c>
      <c r="AH674" s="43" t="s">
        <v>39</v>
      </c>
      <c r="AI674">
        <v>1</v>
      </c>
      <c r="AJ674" t="s">
        <v>330</v>
      </c>
      <c r="AK674" s="43" t="s">
        <v>308</v>
      </c>
      <c r="AL674">
        <v>0</v>
      </c>
    </row>
    <row r="675" spans="31:38" x14ac:dyDescent="0.25">
      <c r="AE675" s="43" t="s">
        <v>132</v>
      </c>
      <c r="AF675" s="43" t="s">
        <v>26</v>
      </c>
      <c r="AG675" s="43" t="s">
        <v>133</v>
      </c>
      <c r="AH675" s="43" t="s">
        <v>39</v>
      </c>
      <c r="AI675">
        <v>1</v>
      </c>
      <c r="AJ675" t="s">
        <v>330</v>
      </c>
      <c r="AK675" s="43" t="s">
        <v>309</v>
      </c>
      <c r="AL675">
        <v>0</v>
      </c>
    </row>
    <row r="676" spans="31:38" x14ac:dyDescent="0.25">
      <c r="AE676" s="43" t="s">
        <v>132</v>
      </c>
      <c r="AF676" s="43" t="s">
        <v>26</v>
      </c>
      <c r="AG676" s="43" t="s">
        <v>133</v>
      </c>
      <c r="AH676" s="43" t="s">
        <v>39</v>
      </c>
      <c r="AI676">
        <v>1</v>
      </c>
      <c r="AJ676" t="s">
        <v>330</v>
      </c>
      <c r="AK676" s="43" t="s">
        <v>268</v>
      </c>
      <c r="AL676">
        <v>0</v>
      </c>
    </row>
    <row r="677" spans="31:38" x14ac:dyDescent="0.25">
      <c r="AE677" s="43" t="s">
        <v>132</v>
      </c>
      <c r="AF677" s="43" t="s">
        <v>26</v>
      </c>
      <c r="AG677" s="43" t="s">
        <v>133</v>
      </c>
      <c r="AH677" s="43" t="s">
        <v>39</v>
      </c>
      <c r="AI677">
        <v>1</v>
      </c>
      <c r="AJ677" t="s">
        <v>331</v>
      </c>
      <c r="AK677" s="43" t="s">
        <v>308</v>
      </c>
      <c r="AL677">
        <v>0</v>
      </c>
    </row>
    <row r="678" spans="31:38" x14ac:dyDescent="0.25">
      <c r="AE678" s="43" t="s">
        <v>132</v>
      </c>
      <c r="AF678" s="43" t="s">
        <v>26</v>
      </c>
      <c r="AG678" s="43" t="s">
        <v>133</v>
      </c>
      <c r="AH678" s="43" t="s">
        <v>39</v>
      </c>
      <c r="AI678">
        <v>1</v>
      </c>
      <c r="AJ678" t="s">
        <v>331</v>
      </c>
      <c r="AK678" s="43" t="s">
        <v>309</v>
      </c>
      <c r="AL678">
        <v>0</v>
      </c>
    </row>
    <row r="679" spans="31:38" x14ac:dyDescent="0.25">
      <c r="AE679" s="43" t="s">
        <v>132</v>
      </c>
      <c r="AF679" s="43" t="s">
        <v>26</v>
      </c>
      <c r="AG679" s="43" t="s">
        <v>133</v>
      </c>
      <c r="AH679" s="43" t="s">
        <v>39</v>
      </c>
      <c r="AI679">
        <v>1</v>
      </c>
      <c r="AJ679" t="s">
        <v>331</v>
      </c>
      <c r="AK679" s="43" t="s">
        <v>268</v>
      </c>
      <c r="AL679">
        <v>0</v>
      </c>
    </row>
    <row r="680" spans="31:38" x14ac:dyDescent="0.25">
      <c r="AE680" s="43" t="s">
        <v>132</v>
      </c>
      <c r="AF680" s="43" t="s">
        <v>26</v>
      </c>
      <c r="AG680" s="43" t="s">
        <v>133</v>
      </c>
      <c r="AH680" s="43" t="s">
        <v>39</v>
      </c>
      <c r="AI680">
        <v>1</v>
      </c>
      <c r="AJ680" t="s">
        <v>341</v>
      </c>
      <c r="AK680" s="43" t="s">
        <v>308</v>
      </c>
      <c r="AL680">
        <v>3</v>
      </c>
    </row>
    <row r="681" spans="31:38" x14ac:dyDescent="0.25">
      <c r="AE681" s="43" t="s">
        <v>132</v>
      </c>
      <c r="AF681" s="43" t="s">
        <v>26</v>
      </c>
      <c r="AG681" s="43" t="s">
        <v>133</v>
      </c>
      <c r="AH681" s="43" t="s">
        <v>39</v>
      </c>
      <c r="AI681">
        <v>1</v>
      </c>
      <c r="AJ681" t="s">
        <v>341</v>
      </c>
      <c r="AK681" s="43" t="s">
        <v>309</v>
      </c>
      <c r="AL681">
        <v>8.0500000000000007</v>
      </c>
    </row>
    <row r="682" spans="31:38" x14ac:dyDescent="0.25">
      <c r="AE682" s="43" t="s">
        <v>132</v>
      </c>
      <c r="AF682" s="43" t="s">
        <v>26</v>
      </c>
      <c r="AG682" s="43" t="s">
        <v>133</v>
      </c>
      <c r="AH682" s="43" t="s">
        <v>39</v>
      </c>
      <c r="AI682">
        <v>1</v>
      </c>
      <c r="AJ682" t="s">
        <v>341</v>
      </c>
      <c r="AK682" s="43" t="s">
        <v>268</v>
      </c>
      <c r="AL682">
        <v>11.05</v>
      </c>
    </row>
    <row r="683" spans="31:38" x14ac:dyDescent="0.25">
      <c r="AE683" s="43" t="s">
        <v>132</v>
      </c>
      <c r="AF683" s="43" t="s">
        <v>26</v>
      </c>
      <c r="AG683" s="43" t="s">
        <v>133</v>
      </c>
      <c r="AH683" s="43" t="s">
        <v>39</v>
      </c>
      <c r="AI683">
        <v>1</v>
      </c>
      <c r="AJ683" t="s">
        <v>273</v>
      </c>
      <c r="AK683" s="43" t="s">
        <v>308</v>
      </c>
      <c r="AL683">
        <v>0</v>
      </c>
    </row>
    <row r="684" spans="31:38" x14ac:dyDescent="0.25">
      <c r="AE684" s="43" t="s">
        <v>132</v>
      </c>
      <c r="AF684" s="43" t="s">
        <v>26</v>
      </c>
      <c r="AG684" s="43" t="s">
        <v>133</v>
      </c>
      <c r="AH684" s="43" t="s">
        <v>39</v>
      </c>
      <c r="AI684">
        <v>1</v>
      </c>
      <c r="AJ684" t="s">
        <v>273</v>
      </c>
      <c r="AK684" s="43" t="s">
        <v>309</v>
      </c>
      <c r="AL684">
        <v>0</v>
      </c>
    </row>
    <row r="685" spans="31:38" x14ac:dyDescent="0.25">
      <c r="AE685" s="43" t="s">
        <v>132</v>
      </c>
      <c r="AF685" s="43" t="s">
        <v>26</v>
      </c>
      <c r="AG685" s="43" t="s">
        <v>133</v>
      </c>
      <c r="AH685" s="43" t="s">
        <v>39</v>
      </c>
      <c r="AI685">
        <v>1</v>
      </c>
      <c r="AJ685" t="s">
        <v>273</v>
      </c>
      <c r="AK685" s="43" t="s">
        <v>268</v>
      </c>
      <c r="AL685">
        <v>0</v>
      </c>
    </row>
    <row r="686" spans="31:38" x14ac:dyDescent="0.25">
      <c r="AE686" s="43" t="s">
        <v>106</v>
      </c>
      <c r="AF686" s="43" t="s">
        <v>60</v>
      </c>
      <c r="AG686" s="43" t="s">
        <v>107</v>
      </c>
      <c r="AH686" s="43" t="s">
        <v>31</v>
      </c>
      <c r="AI686">
        <v>1</v>
      </c>
      <c r="AJ686" t="s">
        <v>317</v>
      </c>
      <c r="AK686" s="43" t="s">
        <v>308</v>
      </c>
      <c r="AL686">
        <v>2.5</v>
      </c>
    </row>
    <row r="687" spans="31:38" x14ac:dyDescent="0.25">
      <c r="AE687" s="43" t="s">
        <v>106</v>
      </c>
      <c r="AF687" s="43" t="s">
        <v>60</v>
      </c>
      <c r="AG687" s="43" t="s">
        <v>107</v>
      </c>
      <c r="AH687" s="43" t="s">
        <v>31</v>
      </c>
      <c r="AI687">
        <v>1</v>
      </c>
      <c r="AJ687" t="s">
        <v>317</v>
      </c>
      <c r="AK687" s="43" t="s">
        <v>309</v>
      </c>
      <c r="AL687">
        <v>7.45</v>
      </c>
    </row>
    <row r="688" spans="31:38" x14ac:dyDescent="0.25">
      <c r="AE688" s="43" t="s">
        <v>106</v>
      </c>
      <c r="AF688" s="43" t="s">
        <v>60</v>
      </c>
      <c r="AG688" s="43" t="s">
        <v>107</v>
      </c>
      <c r="AH688" s="43" t="s">
        <v>31</v>
      </c>
      <c r="AI688">
        <v>1</v>
      </c>
      <c r="AJ688" t="s">
        <v>317</v>
      </c>
      <c r="AK688" s="43" t="s">
        <v>268</v>
      </c>
      <c r="AL688">
        <v>9.9499999999999993</v>
      </c>
    </row>
    <row r="689" spans="31:38" x14ac:dyDescent="0.25">
      <c r="AE689" s="43" t="s">
        <v>106</v>
      </c>
      <c r="AF689" s="43" t="s">
        <v>60</v>
      </c>
      <c r="AG689" s="43" t="s">
        <v>107</v>
      </c>
      <c r="AH689" s="43" t="s">
        <v>31</v>
      </c>
      <c r="AI689">
        <v>1</v>
      </c>
      <c r="AJ689" t="s">
        <v>325</v>
      </c>
      <c r="AK689" s="43" t="s">
        <v>308</v>
      </c>
      <c r="AL689">
        <v>0</v>
      </c>
    </row>
    <row r="690" spans="31:38" x14ac:dyDescent="0.25">
      <c r="AE690" s="43" t="s">
        <v>106</v>
      </c>
      <c r="AF690" s="43" t="s">
        <v>60</v>
      </c>
      <c r="AG690" s="43" t="s">
        <v>107</v>
      </c>
      <c r="AH690" s="43" t="s">
        <v>31</v>
      </c>
      <c r="AI690">
        <v>1</v>
      </c>
      <c r="AJ690" t="s">
        <v>325</v>
      </c>
      <c r="AK690" s="43" t="s">
        <v>309</v>
      </c>
      <c r="AL690">
        <v>0</v>
      </c>
    </row>
    <row r="691" spans="31:38" x14ac:dyDescent="0.25">
      <c r="AE691" s="43" t="s">
        <v>106</v>
      </c>
      <c r="AF691" s="43" t="s">
        <v>60</v>
      </c>
      <c r="AG691" s="43" t="s">
        <v>107</v>
      </c>
      <c r="AH691" s="43" t="s">
        <v>31</v>
      </c>
      <c r="AI691">
        <v>1</v>
      </c>
      <c r="AJ691" t="s">
        <v>325</v>
      </c>
      <c r="AK691" s="43" t="s">
        <v>268</v>
      </c>
      <c r="AL691">
        <v>0</v>
      </c>
    </row>
    <row r="692" spans="31:38" x14ac:dyDescent="0.25">
      <c r="AE692" s="43" t="s">
        <v>106</v>
      </c>
      <c r="AF692" s="43" t="s">
        <v>60</v>
      </c>
      <c r="AG692" s="43" t="s">
        <v>107</v>
      </c>
      <c r="AH692" s="43" t="s">
        <v>31</v>
      </c>
      <c r="AI692">
        <v>1</v>
      </c>
      <c r="AJ692" t="s">
        <v>330</v>
      </c>
      <c r="AK692" s="43" t="s">
        <v>308</v>
      </c>
      <c r="AL692">
        <v>0</v>
      </c>
    </row>
    <row r="693" spans="31:38" x14ac:dyDescent="0.25">
      <c r="AE693" s="43" t="s">
        <v>106</v>
      </c>
      <c r="AF693" s="43" t="s">
        <v>60</v>
      </c>
      <c r="AG693" s="43" t="s">
        <v>107</v>
      </c>
      <c r="AH693" s="43" t="s">
        <v>31</v>
      </c>
      <c r="AI693">
        <v>1</v>
      </c>
      <c r="AJ693" t="s">
        <v>330</v>
      </c>
      <c r="AK693" s="43" t="s">
        <v>309</v>
      </c>
      <c r="AL693">
        <v>0</v>
      </c>
    </row>
    <row r="694" spans="31:38" x14ac:dyDescent="0.25">
      <c r="AE694" s="43" t="s">
        <v>106</v>
      </c>
      <c r="AF694" s="43" t="s">
        <v>60</v>
      </c>
      <c r="AG694" s="43" t="s">
        <v>107</v>
      </c>
      <c r="AH694" s="43" t="s">
        <v>31</v>
      </c>
      <c r="AI694">
        <v>1</v>
      </c>
      <c r="AJ694" t="s">
        <v>330</v>
      </c>
      <c r="AK694" s="43" t="s">
        <v>268</v>
      </c>
      <c r="AL694">
        <v>0</v>
      </c>
    </row>
    <row r="695" spans="31:38" x14ac:dyDescent="0.25">
      <c r="AE695" s="43" t="s">
        <v>106</v>
      </c>
      <c r="AF695" s="43" t="s">
        <v>60</v>
      </c>
      <c r="AG695" s="43" t="s">
        <v>107</v>
      </c>
      <c r="AH695" s="43" t="s">
        <v>31</v>
      </c>
      <c r="AI695">
        <v>1</v>
      </c>
      <c r="AJ695" t="s">
        <v>331</v>
      </c>
      <c r="AK695" s="43" t="s">
        <v>308</v>
      </c>
      <c r="AL695">
        <v>0</v>
      </c>
    </row>
    <row r="696" spans="31:38" x14ac:dyDescent="0.25">
      <c r="AE696" s="43" t="s">
        <v>106</v>
      </c>
      <c r="AF696" s="43" t="s">
        <v>60</v>
      </c>
      <c r="AG696" s="43" t="s">
        <v>107</v>
      </c>
      <c r="AH696" s="43" t="s">
        <v>31</v>
      </c>
      <c r="AI696">
        <v>1</v>
      </c>
      <c r="AJ696" t="s">
        <v>331</v>
      </c>
      <c r="AK696" s="43" t="s">
        <v>309</v>
      </c>
      <c r="AL696">
        <v>0</v>
      </c>
    </row>
    <row r="697" spans="31:38" x14ac:dyDescent="0.25">
      <c r="AE697" s="43" t="s">
        <v>106</v>
      </c>
      <c r="AF697" s="43" t="s">
        <v>60</v>
      </c>
      <c r="AG697" s="43" t="s">
        <v>107</v>
      </c>
      <c r="AH697" s="43" t="s">
        <v>31</v>
      </c>
      <c r="AI697">
        <v>1</v>
      </c>
      <c r="AJ697" t="s">
        <v>331</v>
      </c>
      <c r="AK697" s="43" t="s">
        <v>268</v>
      </c>
      <c r="AL697">
        <v>0</v>
      </c>
    </row>
    <row r="698" spans="31:38" x14ac:dyDescent="0.25">
      <c r="AE698" s="43" t="s">
        <v>106</v>
      </c>
      <c r="AF698" s="43" t="s">
        <v>60</v>
      </c>
      <c r="AG698" s="43" t="s">
        <v>107</v>
      </c>
      <c r="AH698" s="43" t="s">
        <v>31</v>
      </c>
      <c r="AI698">
        <v>1</v>
      </c>
      <c r="AJ698" t="s">
        <v>341</v>
      </c>
      <c r="AK698" s="43" t="s">
        <v>308</v>
      </c>
      <c r="AL698">
        <v>2.5</v>
      </c>
    </row>
    <row r="699" spans="31:38" x14ac:dyDescent="0.25">
      <c r="AE699" s="43" t="s">
        <v>106</v>
      </c>
      <c r="AF699" s="43" t="s">
        <v>60</v>
      </c>
      <c r="AG699" s="43" t="s">
        <v>107</v>
      </c>
      <c r="AH699" s="43" t="s">
        <v>31</v>
      </c>
      <c r="AI699">
        <v>1</v>
      </c>
      <c r="AJ699" t="s">
        <v>341</v>
      </c>
      <c r="AK699" s="43" t="s">
        <v>309</v>
      </c>
      <c r="AL699">
        <v>7.45</v>
      </c>
    </row>
    <row r="700" spans="31:38" x14ac:dyDescent="0.25">
      <c r="AE700" s="43" t="s">
        <v>106</v>
      </c>
      <c r="AF700" s="43" t="s">
        <v>60</v>
      </c>
      <c r="AG700" s="43" t="s">
        <v>107</v>
      </c>
      <c r="AH700" s="43" t="s">
        <v>31</v>
      </c>
      <c r="AI700">
        <v>1</v>
      </c>
      <c r="AJ700" t="s">
        <v>341</v>
      </c>
      <c r="AK700" s="43" t="s">
        <v>268</v>
      </c>
      <c r="AL700">
        <v>9.9499999999999993</v>
      </c>
    </row>
    <row r="701" spans="31:38" x14ac:dyDescent="0.25">
      <c r="AE701" s="43" t="s">
        <v>106</v>
      </c>
      <c r="AF701" s="43" t="s">
        <v>60</v>
      </c>
      <c r="AG701" s="43" t="s">
        <v>107</v>
      </c>
      <c r="AH701" s="43" t="s">
        <v>31</v>
      </c>
      <c r="AI701">
        <v>1</v>
      </c>
      <c r="AJ701" t="s">
        <v>273</v>
      </c>
      <c r="AK701" s="43" t="s">
        <v>308</v>
      </c>
      <c r="AL701">
        <v>0</v>
      </c>
    </row>
    <row r="702" spans="31:38" x14ac:dyDescent="0.25">
      <c r="AE702" s="43" t="s">
        <v>106</v>
      </c>
      <c r="AF702" s="43" t="s">
        <v>60</v>
      </c>
      <c r="AG702" s="43" t="s">
        <v>107</v>
      </c>
      <c r="AH702" s="43" t="s">
        <v>31</v>
      </c>
      <c r="AI702">
        <v>1</v>
      </c>
      <c r="AJ702" t="s">
        <v>273</v>
      </c>
      <c r="AK702" s="43" t="s">
        <v>309</v>
      </c>
      <c r="AL702">
        <v>0</v>
      </c>
    </row>
    <row r="703" spans="31:38" x14ac:dyDescent="0.25">
      <c r="AE703" s="43" t="s">
        <v>106</v>
      </c>
      <c r="AF703" s="43" t="s">
        <v>60</v>
      </c>
      <c r="AG703" s="43" t="s">
        <v>107</v>
      </c>
      <c r="AH703" s="43" t="s">
        <v>31</v>
      </c>
      <c r="AI703">
        <v>1</v>
      </c>
      <c r="AJ703" t="s">
        <v>273</v>
      </c>
      <c r="AK703" s="43" t="s">
        <v>268</v>
      </c>
      <c r="AL703">
        <v>0</v>
      </c>
    </row>
    <row r="704" spans="31:38" x14ac:dyDescent="0.25">
      <c r="AE704" s="43" t="s">
        <v>57</v>
      </c>
      <c r="AF704" s="43" t="s">
        <v>26</v>
      </c>
      <c r="AG704" s="43" t="s">
        <v>58</v>
      </c>
      <c r="AH704" s="43" t="s">
        <v>36</v>
      </c>
      <c r="AI704">
        <v>1</v>
      </c>
      <c r="AJ704" t="s">
        <v>317</v>
      </c>
      <c r="AK704" s="43" t="s">
        <v>308</v>
      </c>
      <c r="AL704">
        <v>2.5</v>
      </c>
    </row>
    <row r="705" spans="31:38" x14ac:dyDescent="0.25">
      <c r="AE705" s="43" t="s">
        <v>57</v>
      </c>
      <c r="AF705" s="43" t="s">
        <v>26</v>
      </c>
      <c r="AG705" s="43" t="s">
        <v>58</v>
      </c>
      <c r="AH705" s="43" t="s">
        <v>36</v>
      </c>
      <c r="AI705">
        <v>1</v>
      </c>
      <c r="AJ705" t="s">
        <v>317</v>
      </c>
      <c r="AK705" s="43" t="s">
        <v>309</v>
      </c>
      <c r="AL705">
        <v>5.7</v>
      </c>
    </row>
    <row r="706" spans="31:38" x14ac:dyDescent="0.25">
      <c r="AE706" s="43" t="s">
        <v>57</v>
      </c>
      <c r="AF706" s="43" t="s">
        <v>26</v>
      </c>
      <c r="AG706" s="43" t="s">
        <v>58</v>
      </c>
      <c r="AH706" s="43" t="s">
        <v>36</v>
      </c>
      <c r="AI706">
        <v>1</v>
      </c>
      <c r="AJ706" t="s">
        <v>317</v>
      </c>
      <c r="AK706" s="43" t="s">
        <v>268</v>
      </c>
      <c r="AL706">
        <v>8.1999999999999993</v>
      </c>
    </row>
    <row r="707" spans="31:38" x14ac:dyDescent="0.25">
      <c r="AE707" s="43" t="s">
        <v>57</v>
      </c>
      <c r="AF707" s="43" t="s">
        <v>26</v>
      </c>
      <c r="AG707" s="43" t="s">
        <v>58</v>
      </c>
      <c r="AH707" s="43" t="s">
        <v>36</v>
      </c>
      <c r="AI707">
        <v>1</v>
      </c>
      <c r="AJ707" t="s">
        <v>325</v>
      </c>
      <c r="AK707" s="43" t="s">
        <v>308</v>
      </c>
      <c r="AL707">
        <v>0</v>
      </c>
    </row>
    <row r="708" spans="31:38" x14ac:dyDescent="0.25">
      <c r="AE708" s="43" t="s">
        <v>57</v>
      </c>
      <c r="AF708" s="43" t="s">
        <v>26</v>
      </c>
      <c r="AG708" s="43" t="s">
        <v>58</v>
      </c>
      <c r="AH708" s="43" t="s">
        <v>36</v>
      </c>
      <c r="AI708">
        <v>1</v>
      </c>
      <c r="AJ708" t="s">
        <v>325</v>
      </c>
      <c r="AK708" s="43" t="s">
        <v>309</v>
      </c>
      <c r="AL708">
        <v>0</v>
      </c>
    </row>
    <row r="709" spans="31:38" x14ac:dyDescent="0.25">
      <c r="AE709" s="43" t="s">
        <v>57</v>
      </c>
      <c r="AF709" s="43" t="s">
        <v>26</v>
      </c>
      <c r="AG709" s="43" t="s">
        <v>58</v>
      </c>
      <c r="AH709" s="43" t="s">
        <v>36</v>
      </c>
      <c r="AI709">
        <v>1</v>
      </c>
      <c r="AJ709" t="s">
        <v>325</v>
      </c>
      <c r="AK709" s="43" t="s">
        <v>268</v>
      </c>
      <c r="AL709">
        <v>0</v>
      </c>
    </row>
    <row r="710" spans="31:38" x14ac:dyDescent="0.25">
      <c r="AE710" s="43" t="s">
        <v>57</v>
      </c>
      <c r="AF710" s="43" t="s">
        <v>26</v>
      </c>
      <c r="AG710" s="43" t="s">
        <v>58</v>
      </c>
      <c r="AH710" s="43" t="s">
        <v>36</v>
      </c>
      <c r="AI710">
        <v>1</v>
      </c>
      <c r="AJ710" t="s">
        <v>330</v>
      </c>
      <c r="AK710" s="43" t="s">
        <v>308</v>
      </c>
      <c r="AL710">
        <v>0</v>
      </c>
    </row>
    <row r="711" spans="31:38" x14ac:dyDescent="0.25">
      <c r="AE711" s="43" t="s">
        <v>57</v>
      </c>
      <c r="AF711" s="43" t="s">
        <v>26</v>
      </c>
      <c r="AG711" s="43" t="s">
        <v>58</v>
      </c>
      <c r="AH711" s="43" t="s">
        <v>36</v>
      </c>
      <c r="AI711">
        <v>1</v>
      </c>
      <c r="AJ711" t="s">
        <v>330</v>
      </c>
      <c r="AK711" s="43" t="s">
        <v>309</v>
      </c>
      <c r="AL711">
        <v>0</v>
      </c>
    </row>
    <row r="712" spans="31:38" x14ac:dyDescent="0.25">
      <c r="AE712" s="43" t="s">
        <v>57</v>
      </c>
      <c r="AF712" s="43" t="s">
        <v>26</v>
      </c>
      <c r="AG712" s="43" t="s">
        <v>58</v>
      </c>
      <c r="AH712" s="43" t="s">
        <v>36</v>
      </c>
      <c r="AI712">
        <v>1</v>
      </c>
      <c r="AJ712" t="s">
        <v>330</v>
      </c>
      <c r="AK712" s="43" t="s">
        <v>268</v>
      </c>
      <c r="AL712">
        <v>0</v>
      </c>
    </row>
    <row r="713" spans="31:38" x14ac:dyDescent="0.25">
      <c r="AE713" s="43" t="s">
        <v>57</v>
      </c>
      <c r="AF713" s="43" t="s">
        <v>26</v>
      </c>
      <c r="AG713" s="43" t="s">
        <v>58</v>
      </c>
      <c r="AH713" s="43" t="s">
        <v>36</v>
      </c>
      <c r="AI713">
        <v>1</v>
      </c>
      <c r="AJ713" t="s">
        <v>331</v>
      </c>
      <c r="AK713" s="43" t="s">
        <v>308</v>
      </c>
      <c r="AL713">
        <v>0</v>
      </c>
    </row>
    <row r="714" spans="31:38" x14ac:dyDescent="0.25">
      <c r="AE714" s="43" t="s">
        <v>57</v>
      </c>
      <c r="AF714" s="43" t="s">
        <v>26</v>
      </c>
      <c r="AG714" s="43" t="s">
        <v>58</v>
      </c>
      <c r="AH714" s="43" t="s">
        <v>36</v>
      </c>
      <c r="AI714">
        <v>1</v>
      </c>
      <c r="AJ714" t="s">
        <v>331</v>
      </c>
      <c r="AK714" s="43" t="s">
        <v>309</v>
      </c>
      <c r="AL714">
        <v>0</v>
      </c>
    </row>
    <row r="715" spans="31:38" x14ac:dyDescent="0.25">
      <c r="AE715" s="43" t="s">
        <v>57</v>
      </c>
      <c r="AF715" s="43" t="s">
        <v>26</v>
      </c>
      <c r="AG715" s="43" t="s">
        <v>58</v>
      </c>
      <c r="AH715" s="43" t="s">
        <v>36</v>
      </c>
      <c r="AI715">
        <v>1</v>
      </c>
      <c r="AJ715" t="s">
        <v>331</v>
      </c>
      <c r="AK715" s="43" t="s">
        <v>268</v>
      </c>
      <c r="AL715">
        <v>0</v>
      </c>
    </row>
    <row r="716" spans="31:38" x14ac:dyDescent="0.25">
      <c r="AE716" s="43" t="s">
        <v>57</v>
      </c>
      <c r="AF716" s="43" t="s">
        <v>26</v>
      </c>
      <c r="AG716" s="43" t="s">
        <v>58</v>
      </c>
      <c r="AH716" s="43" t="s">
        <v>36</v>
      </c>
      <c r="AI716">
        <v>1</v>
      </c>
      <c r="AJ716" t="s">
        <v>341</v>
      </c>
      <c r="AK716" s="43" t="s">
        <v>308</v>
      </c>
      <c r="AL716">
        <v>2.5</v>
      </c>
    </row>
    <row r="717" spans="31:38" x14ac:dyDescent="0.25">
      <c r="AE717" s="43" t="s">
        <v>57</v>
      </c>
      <c r="AF717" s="43" t="s">
        <v>26</v>
      </c>
      <c r="AG717" s="43" t="s">
        <v>58</v>
      </c>
      <c r="AH717" s="43" t="s">
        <v>36</v>
      </c>
      <c r="AI717">
        <v>1</v>
      </c>
      <c r="AJ717" t="s">
        <v>341</v>
      </c>
      <c r="AK717" s="43" t="s">
        <v>309</v>
      </c>
      <c r="AL717">
        <v>5.7</v>
      </c>
    </row>
    <row r="718" spans="31:38" x14ac:dyDescent="0.25">
      <c r="AE718" s="43" t="s">
        <v>57</v>
      </c>
      <c r="AF718" s="43" t="s">
        <v>26</v>
      </c>
      <c r="AG718" s="43" t="s">
        <v>58</v>
      </c>
      <c r="AH718" s="43" t="s">
        <v>36</v>
      </c>
      <c r="AI718">
        <v>1</v>
      </c>
      <c r="AJ718" t="s">
        <v>341</v>
      </c>
      <c r="AK718" s="43" t="s">
        <v>268</v>
      </c>
      <c r="AL718">
        <v>8.1999999999999993</v>
      </c>
    </row>
    <row r="719" spans="31:38" x14ac:dyDescent="0.25">
      <c r="AE719" s="43" t="s">
        <v>57</v>
      </c>
      <c r="AF719" s="43" t="s">
        <v>26</v>
      </c>
      <c r="AG719" s="43" t="s">
        <v>58</v>
      </c>
      <c r="AH719" s="43" t="s">
        <v>36</v>
      </c>
      <c r="AI719">
        <v>1</v>
      </c>
      <c r="AJ719" t="s">
        <v>273</v>
      </c>
      <c r="AK719" s="43" t="s">
        <v>308</v>
      </c>
      <c r="AL719">
        <v>0</v>
      </c>
    </row>
    <row r="720" spans="31:38" x14ac:dyDescent="0.25">
      <c r="AE720" s="43" t="s">
        <v>57</v>
      </c>
      <c r="AF720" s="43" t="s">
        <v>26</v>
      </c>
      <c r="AG720" s="43" t="s">
        <v>58</v>
      </c>
      <c r="AH720" s="43" t="s">
        <v>36</v>
      </c>
      <c r="AI720">
        <v>1</v>
      </c>
      <c r="AJ720" t="s">
        <v>273</v>
      </c>
      <c r="AK720" s="43" t="s">
        <v>309</v>
      </c>
      <c r="AL720">
        <v>0</v>
      </c>
    </row>
    <row r="721" spans="31:38" x14ac:dyDescent="0.25">
      <c r="AE721" s="43" t="s">
        <v>57</v>
      </c>
      <c r="AF721" s="43" t="s">
        <v>26</v>
      </c>
      <c r="AG721" s="43" t="s">
        <v>58</v>
      </c>
      <c r="AH721" s="43" t="s">
        <v>36</v>
      </c>
      <c r="AI721">
        <v>1</v>
      </c>
      <c r="AJ721" t="s">
        <v>273</v>
      </c>
      <c r="AK721" s="43" t="s">
        <v>268</v>
      </c>
      <c r="AL721">
        <v>0</v>
      </c>
    </row>
    <row r="722" spans="31:38" x14ac:dyDescent="0.25">
      <c r="AE722" s="43" t="s">
        <v>139</v>
      </c>
      <c r="AF722" s="43" t="s">
        <v>26</v>
      </c>
      <c r="AG722" s="43" t="s">
        <v>140</v>
      </c>
      <c r="AH722" s="43" t="s">
        <v>124</v>
      </c>
      <c r="AI722">
        <v>1</v>
      </c>
      <c r="AJ722" t="s">
        <v>317</v>
      </c>
      <c r="AK722" s="43" t="s">
        <v>308</v>
      </c>
      <c r="AL722">
        <v>2</v>
      </c>
    </row>
    <row r="723" spans="31:38" x14ac:dyDescent="0.25">
      <c r="AE723" s="43" t="s">
        <v>139</v>
      </c>
      <c r="AF723" s="43" t="s">
        <v>26</v>
      </c>
      <c r="AG723" s="43" t="s">
        <v>140</v>
      </c>
      <c r="AH723" s="43" t="s">
        <v>124</v>
      </c>
      <c r="AI723">
        <v>1</v>
      </c>
      <c r="AJ723" t="s">
        <v>317</v>
      </c>
      <c r="AK723" s="43" t="s">
        <v>309</v>
      </c>
      <c r="AL723">
        <v>3.45</v>
      </c>
    </row>
    <row r="724" spans="31:38" x14ac:dyDescent="0.25">
      <c r="AE724" s="43" t="s">
        <v>139</v>
      </c>
      <c r="AF724" s="43" t="s">
        <v>26</v>
      </c>
      <c r="AG724" s="43" t="s">
        <v>140</v>
      </c>
      <c r="AH724" s="43" t="s">
        <v>124</v>
      </c>
      <c r="AI724">
        <v>1</v>
      </c>
      <c r="AJ724" t="s">
        <v>317</v>
      </c>
      <c r="AK724" s="43" t="s">
        <v>268</v>
      </c>
      <c r="AL724">
        <v>5.45</v>
      </c>
    </row>
    <row r="725" spans="31:38" x14ac:dyDescent="0.25">
      <c r="AE725" s="43" t="s">
        <v>139</v>
      </c>
      <c r="AF725" s="43" t="s">
        <v>26</v>
      </c>
      <c r="AG725" s="43" t="s">
        <v>140</v>
      </c>
      <c r="AH725" s="43" t="s">
        <v>124</v>
      </c>
      <c r="AI725">
        <v>1</v>
      </c>
      <c r="AJ725" t="s">
        <v>325</v>
      </c>
      <c r="AK725" s="43" t="s">
        <v>308</v>
      </c>
      <c r="AL725">
        <v>0</v>
      </c>
    </row>
    <row r="726" spans="31:38" x14ac:dyDescent="0.25">
      <c r="AE726" s="43" t="s">
        <v>139</v>
      </c>
      <c r="AF726" s="43" t="s">
        <v>26</v>
      </c>
      <c r="AG726" s="43" t="s">
        <v>140</v>
      </c>
      <c r="AH726" s="43" t="s">
        <v>124</v>
      </c>
      <c r="AI726">
        <v>1</v>
      </c>
      <c r="AJ726" t="s">
        <v>325</v>
      </c>
      <c r="AK726" s="43" t="s">
        <v>309</v>
      </c>
      <c r="AL726">
        <v>0</v>
      </c>
    </row>
    <row r="727" spans="31:38" x14ac:dyDescent="0.25">
      <c r="AE727" s="43" t="s">
        <v>139</v>
      </c>
      <c r="AF727" s="43" t="s">
        <v>26</v>
      </c>
      <c r="AG727" s="43" t="s">
        <v>140</v>
      </c>
      <c r="AH727" s="43" t="s">
        <v>124</v>
      </c>
      <c r="AI727">
        <v>1</v>
      </c>
      <c r="AJ727" t="s">
        <v>325</v>
      </c>
      <c r="AK727" s="43" t="s">
        <v>268</v>
      </c>
      <c r="AL727">
        <v>0</v>
      </c>
    </row>
    <row r="728" spans="31:38" x14ac:dyDescent="0.25">
      <c r="AE728" s="43" t="s">
        <v>139</v>
      </c>
      <c r="AF728" s="43" t="s">
        <v>26</v>
      </c>
      <c r="AG728" s="43" t="s">
        <v>140</v>
      </c>
      <c r="AH728" s="43" t="s">
        <v>124</v>
      </c>
      <c r="AI728">
        <v>1</v>
      </c>
      <c r="AJ728" t="s">
        <v>330</v>
      </c>
      <c r="AK728" s="43" t="s">
        <v>308</v>
      </c>
      <c r="AL728">
        <v>0</v>
      </c>
    </row>
    <row r="729" spans="31:38" x14ac:dyDescent="0.25">
      <c r="AE729" s="43" t="s">
        <v>139</v>
      </c>
      <c r="AF729" s="43" t="s">
        <v>26</v>
      </c>
      <c r="AG729" s="43" t="s">
        <v>140</v>
      </c>
      <c r="AH729" s="43" t="s">
        <v>124</v>
      </c>
      <c r="AI729">
        <v>1</v>
      </c>
      <c r="AJ729" t="s">
        <v>330</v>
      </c>
      <c r="AK729" s="43" t="s">
        <v>309</v>
      </c>
      <c r="AL729">
        <v>0</v>
      </c>
    </row>
    <row r="730" spans="31:38" x14ac:dyDescent="0.25">
      <c r="AE730" s="43" t="s">
        <v>139</v>
      </c>
      <c r="AF730" s="43" t="s">
        <v>26</v>
      </c>
      <c r="AG730" s="43" t="s">
        <v>140</v>
      </c>
      <c r="AH730" s="43" t="s">
        <v>124</v>
      </c>
      <c r="AI730">
        <v>1</v>
      </c>
      <c r="AJ730" t="s">
        <v>330</v>
      </c>
      <c r="AK730" s="43" t="s">
        <v>268</v>
      </c>
      <c r="AL730">
        <v>0</v>
      </c>
    </row>
    <row r="731" spans="31:38" x14ac:dyDescent="0.25">
      <c r="AE731" s="43" t="s">
        <v>139</v>
      </c>
      <c r="AF731" s="43" t="s">
        <v>26</v>
      </c>
      <c r="AG731" s="43" t="s">
        <v>140</v>
      </c>
      <c r="AH731" s="43" t="s">
        <v>124</v>
      </c>
      <c r="AI731">
        <v>1</v>
      </c>
      <c r="AJ731" t="s">
        <v>331</v>
      </c>
      <c r="AK731" s="43" t="s">
        <v>308</v>
      </c>
      <c r="AL731">
        <v>0</v>
      </c>
    </row>
    <row r="732" spans="31:38" x14ac:dyDescent="0.25">
      <c r="AE732" s="43" t="s">
        <v>139</v>
      </c>
      <c r="AF732" s="43" t="s">
        <v>26</v>
      </c>
      <c r="AG732" s="43" t="s">
        <v>140</v>
      </c>
      <c r="AH732" s="43" t="s">
        <v>124</v>
      </c>
      <c r="AI732">
        <v>1</v>
      </c>
      <c r="AJ732" t="s">
        <v>331</v>
      </c>
      <c r="AK732" s="43" t="s">
        <v>309</v>
      </c>
      <c r="AL732">
        <v>0</v>
      </c>
    </row>
    <row r="733" spans="31:38" x14ac:dyDescent="0.25">
      <c r="AE733" s="43" t="s">
        <v>139</v>
      </c>
      <c r="AF733" s="43" t="s">
        <v>26</v>
      </c>
      <c r="AG733" s="43" t="s">
        <v>140</v>
      </c>
      <c r="AH733" s="43" t="s">
        <v>124</v>
      </c>
      <c r="AI733">
        <v>1</v>
      </c>
      <c r="AJ733" t="s">
        <v>331</v>
      </c>
      <c r="AK733" s="43" t="s">
        <v>268</v>
      </c>
      <c r="AL733">
        <v>0</v>
      </c>
    </row>
    <row r="734" spans="31:38" x14ac:dyDescent="0.25">
      <c r="AE734" s="43" t="s">
        <v>139</v>
      </c>
      <c r="AF734" s="43" t="s">
        <v>26</v>
      </c>
      <c r="AG734" s="43" t="s">
        <v>140</v>
      </c>
      <c r="AH734" s="43" t="s">
        <v>124</v>
      </c>
      <c r="AI734">
        <v>1</v>
      </c>
      <c r="AJ734" t="s">
        <v>341</v>
      </c>
      <c r="AK734" s="43" t="s">
        <v>308</v>
      </c>
      <c r="AL734">
        <v>2</v>
      </c>
    </row>
    <row r="735" spans="31:38" x14ac:dyDescent="0.25">
      <c r="AE735" s="43" t="s">
        <v>139</v>
      </c>
      <c r="AF735" s="43" t="s">
        <v>26</v>
      </c>
      <c r="AG735" s="43" t="s">
        <v>140</v>
      </c>
      <c r="AH735" s="43" t="s">
        <v>124</v>
      </c>
      <c r="AI735">
        <v>1</v>
      </c>
      <c r="AJ735" t="s">
        <v>341</v>
      </c>
      <c r="AK735" s="43" t="s">
        <v>309</v>
      </c>
      <c r="AL735">
        <v>3.45</v>
      </c>
    </row>
    <row r="736" spans="31:38" x14ac:dyDescent="0.25">
      <c r="AE736" s="43" t="s">
        <v>139</v>
      </c>
      <c r="AF736" s="43" t="s">
        <v>26</v>
      </c>
      <c r="AG736" s="43" t="s">
        <v>140</v>
      </c>
      <c r="AH736" s="43" t="s">
        <v>124</v>
      </c>
      <c r="AI736">
        <v>1</v>
      </c>
      <c r="AJ736" t="s">
        <v>341</v>
      </c>
      <c r="AK736" s="43" t="s">
        <v>268</v>
      </c>
      <c r="AL736">
        <v>5.45</v>
      </c>
    </row>
    <row r="737" spans="31:38" x14ac:dyDescent="0.25">
      <c r="AE737" s="43" t="s">
        <v>139</v>
      </c>
      <c r="AF737" s="43" t="s">
        <v>26</v>
      </c>
      <c r="AG737" s="43" t="s">
        <v>140</v>
      </c>
      <c r="AH737" s="43" t="s">
        <v>124</v>
      </c>
      <c r="AI737">
        <v>1</v>
      </c>
      <c r="AJ737" t="s">
        <v>273</v>
      </c>
      <c r="AK737" s="43" t="s">
        <v>308</v>
      </c>
      <c r="AL737">
        <v>0</v>
      </c>
    </row>
    <row r="738" spans="31:38" x14ac:dyDescent="0.25">
      <c r="AE738" s="43" t="s">
        <v>139</v>
      </c>
      <c r="AF738" s="43" t="s">
        <v>26</v>
      </c>
      <c r="AG738" s="43" t="s">
        <v>140</v>
      </c>
      <c r="AH738" s="43" t="s">
        <v>124</v>
      </c>
      <c r="AI738">
        <v>1</v>
      </c>
      <c r="AJ738" t="s">
        <v>273</v>
      </c>
      <c r="AK738" s="43" t="s">
        <v>309</v>
      </c>
      <c r="AL738">
        <v>0</v>
      </c>
    </row>
    <row r="739" spans="31:38" x14ac:dyDescent="0.25">
      <c r="AE739" s="43" t="s">
        <v>139</v>
      </c>
      <c r="AF739" s="43" t="s">
        <v>26</v>
      </c>
      <c r="AG739" s="43" t="s">
        <v>140</v>
      </c>
      <c r="AH739" s="43" t="s">
        <v>124</v>
      </c>
      <c r="AI739">
        <v>1</v>
      </c>
      <c r="AJ739" t="s">
        <v>273</v>
      </c>
      <c r="AK739" s="43" t="s">
        <v>268</v>
      </c>
      <c r="AL739">
        <v>0</v>
      </c>
    </row>
    <row r="740" spans="31:38" x14ac:dyDescent="0.25">
      <c r="AE740" s="43" t="s">
        <v>137</v>
      </c>
      <c r="AF740" s="43" t="s">
        <v>26</v>
      </c>
      <c r="AG740" s="43" t="s">
        <v>138</v>
      </c>
      <c r="AH740" s="43" t="s">
        <v>124</v>
      </c>
      <c r="AI740">
        <v>1</v>
      </c>
      <c r="AJ740" t="s">
        <v>317</v>
      </c>
      <c r="AK740" s="43" t="s">
        <v>308</v>
      </c>
      <c r="AL740">
        <v>1.9</v>
      </c>
    </row>
    <row r="741" spans="31:38" x14ac:dyDescent="0.25">
      <c r="AE741" s="43" t="s">
        <v>137</v>
      </c>
      <c r="AF741" s="43" t="s">
        <v>26</v>
      </c>
      <c r="AG741" s="43" t="s">
        <v>138</v>
      </c>
      <c r="AH741" s="43" t="s">
        <v>124</v>
      </c>
      <c r="AI741">
        <v>1</v>
      </c>
      <c r="AJ741" t="s">
        <v>317</v>
      </c>
      <c r="AK741" s="43" t="s">
        <v>309</v>
      </c>
      <c r="AL741">
        <v>2.85</v>
      </c>
    </row>
    <row r="742" spans="31:38" x14ac:dyDescent="0.25">
      <c r="AE742" s="43" t="s">
        <v>137</v>
      </c>
      <c r="AF742" s="43" t="s">
        <v>26</v>
      </c>
      <c r="AG742" s="43" t="s">
        <v>138</v>
      </c>
      <c r="AH742" s="43" t="s">
        <v>124</v>
      </c>
      <c r="AI742">
        <v>1</v>
      </c>
      <c r="AJ742" t="s">
        <v>317</v>
      </c>
      <c r="AK742" s="43" t="s">
        <v>268</v>
      </c>
      <c r="AL742">
        <v>4.75</v>
      </c>
    </row>
    <row r="743" spans="31:38" x14ac:dyDescent="0.25">
      <c r="AE743" s="43" t="s">
        <v>137</v>
      </c>
      <c r="AF743" s="43" t="s">
        <v>26</v>
      </c>
      <c r="AG743" s="43" t="s">
        <v>138</v>
      </c>
      <c r="AH743" s="43" t="s">
        <v>124</v>
      </c>
      <c r="AI743">
        <v>1</v>
      </c>
      <c r="AJ743" t="s">
        <v>325</v>
      </c>
      <c r="AK743" s="43" t="s">
        <v>308</v>
      </c>
      <c r="AL743">
        <v>0</v>
      </c>
    </row>
    <row r="744" spans="31:38" x14ac:dyDescent="0.25">
      <c r="AE744" s="43" t="s">
        <v>137</v>
      </c>
      <c r="AF744" s="43" t="s">
        <v>26</v>
      </c>
      <c r="AG744" s="43" t="s">
        <v>138</v>
      </c>
      <c r="AH744" s="43" t="s">
        <v>124</v>
      </c>
      <c r="AI744">
        <v>1</v>
      </c>
      <c r="AJ744" t="s">
        <v>325</v>
      </c>
      <c r="AK744" s="43" t="s">
        <v>309</v>
      </c>
      <c r="AL744">
        <v>0</v>
      </c>
    </row>
    <row r="745" spans="31:38" x14ac:dyDescent="0.25">
      <c r="AE745" s="43" t="s">
        <v>137</v>
      </c>
      <c r="AF745" s="43" t="s">
        <v>26</v>
      </c>
      <c r="AG745" s="43" t="s">
        <v>138</v>
      </c>
      <c r="AH745" s="43" t="s">
        <v>124</v>
      </c>
      <c r="AI745">
        <v>1</v>
      </c>
      <c r="AJ745" t="s">
        <v>325</v>
      </c>
      <c r="AK745" s="43" t="s">
        <v>268</v>
      </c>
      <c r="AL745">
        <v>0</v>
      </c>
    </row>
    <row r="746" spans="31:38" x14ac:dyDescent="0.25">
      <c r="AE746" s="43" t="s">
        <v>137</v>
      </c>
      <c r="AF746" s="43" t="s">
        <v>26</v>
      </c>
      <c r="AG746" s="43" t="s">
        <v>138</v>
      </c>
      <c r="AH746" s="43" t="s">
        <v>124</v>
      </c>
      <c r="AI746">
        <v>1</v>
      </c>
      <c r="AJ746" t="s">
        <v>330</v>
      </c>
      <c r="AK746" s="43" t="s">
        <v>308</v>
      </c>
      <c r="AL746">
        <v>0</v>
      </c>
    </row>
    <row r="747" spans="31:38" x14ac:dyDescent="0.25">
      <c r="AE747" s="43" t="s">
        <v>137</v>
      </c>
      <c r="AF747" s="43" t="s">
        <v>26</v>
      </c>
      <c r="AG747" s="43" t="s">
        <v>138</v>
      </c>
      <c r="AH747" s="43" t="s">
        <v>124</v>
      </c>
      <c r="AI747">
        <v>1</v>
      </c>
      <c r="AJ747" t="s">
        <v>330</v>
      </c>
      <c r="AK747" s="43" t="s">
        <v>309</v>
      </c>
      <c r="AL747">
        <v>0</v>
      </c>
    </row>
    <row r="748" spans="31:38" x14ac:dyDescent="0.25">
      <c r="AE748" s="43" t="s">
        <v>137</v>
      </c>
      <c r="AF748" s="43" t="s">
        <v>26</v>
      </c>
      <c r="AG748" s="43" t="s">
        <v>138</v>
      </c>
      <c r="AH748" s="43" t="s">
        <v>124</v>
      </c>
      <c r="AI748">
        <v>1</v>
      </c>
      <c r="AJ748" t="s">
        <v>330</v>
      </c>
      <c r="AK748" s="43" t="s">
        <v>268</v>
      </c>
      <c r="AL748">
        <v>0</v>
      </c>
    </row>
    <row r="749" spans="31:38" x14ac:dyDescent="0.25">
      <c r="AE749" s="43" t="s">
        <v>137</v>
      </c>
      <c r="AF749" s="43" t="s">
        <v>26</v>
      </c>
      <c r="AG749" s="43" t="s">
        <v>138</v>
      </c>
      <c r="AH749" s="43" t="s">
        <v>124</v>
      </c>
      <c r="AI749">
        <v>1</v>
      </c>
      <c r="AJ749" t="s">
        <v>331</v>
      </c>
      <c r="AK749" s="43" t="s">
        <v>308</v>
      </c>
      <c r="AL749">
        <v>0</v>
      </c>
    </row>
    <row r="750" spans="31:38" x14ac:dyDescent="0.25">
      <c r="AE750" s="43" t="s">
        <v>137</v>
      </c>
      <c r="AF750" s="43" t="s">
        <v>26</v>
      </c>
      <c r="AG750" s="43" t="s">
        <v>138</v>
      </c>
      <c r="AH750" s="43" t="s">
        <v>124</v>
      </c>
      <c r="AI750">
        <v>1</v>
      </c>
      <c r="AJ750" t="s">
        <v>331</v>
      </c>
      <c r="AK750" s="43" t="s">
        <v>309</v>
      </c>
      <c r="AL750">
        <v>0</v>
      </c>
    </row>
    <row r="751" spans="31:38" x14ac:dyDescent="0.25">
      <c r="AE751" s="43" t="s">
        <v>137</v>
      </c>
      <c r="AF751" s="43" t="s">
        <v>26</v>
      </c>
      <c r="AG751" s="43" t="s">
        <v>138</v>
      </c>
      <c r="AH751" s="43" t="s">
        <v>124</v>
      </c>
      <c r="AI751">
        <v>1</v>
      </c>
      <c r="AJ751" t="s">
        <v>331</v>
      </c>
      <c r="AK751" s="43" t="s">
        <v>268</v>
      </c>
      <c r="AL751">
        <v>0</v>
      </c>
    </row>
    <row r="752" spans="31:38" x14ac:dyDescent="0.25">
      <c r="AE752" s="43" t="s">
        <v>137</v>
      </c>
      <c r="AF752" s="43" t="s">
        <v>26</v>
      </c>
      <c r="AG752" s="43" t="s">
        <v>138</v>
      </c>
      <c r="AH752" s="43" t="s">
        <v>124</v>
      </c>
      <c r="AI752">
        <v>1</v>
      </c>
      <c r="AJ752" t="s">
        <v>341</v>
      </c>
      <c r="AK752" s="43" t="s">
        <v>308</v>
      </c>
      <c r="AL752">
        <v>1.9</v>
      </c>
    </row>
    <row r="753" spans="31:38" x14ac:dyDescent="0.25">
      <c r="AE753" s="43" t="s">
        <v>137</v>
      </c>
      <c r="AF753" s="43" t="s">
        <v>26</v>
      </c>
      <c r="AG753" s="43" t="s">
        <v>138</v>
      </c>
      <c r="AH753" s="43" t="s">
        <v>124</v>
      </c>
      <c r="AI753">
        <v>1</v>
      </c>
      <c r="AJ753" t="s">
        <v>341</v>
      </c>
      <c r="AK753" s="43" t="s">
        <v>309</v>
      </c>
      <c r="AL753">
        <v>2.85</v>
      </c>
    </row>
    <row r="754" spans="31:38" x14ac:dyDescent="0.25">
      <c r="AE754" s="43" t="s">
        <v>137</v>
      </c>
      <c r="AF754" s="43" t="s">
        <v>26</v>
      </c>
      <c r="AG754" s="43" t="s">
        <v>138</v>
      </c>
      <c r="AH754" s="43" t="s">
        <v>124</v>
      </c>
      <c r="AI754">
        <v>1</v>
      </c>
      <c r="AJ754" t="s">
        <v>341</v>
      </c>
      <c r="AK754" s="43" t="s">
        <v>268</v>
      </c>
      <c r="AL754">
        <v>4.75</v>
      </c>
    </row>
    <row r="755" spans="31:38" x14ac:dyDescent="0.25">
      <c r="AE755" s="43" t="s">
        <v>137</v>
      </c>
      <c r="AF755" s="43" t="s">
        <v>26</v>
      </c>
      <c r="AG755" s="43" t="s">
        <v>138</v>
      </c>
      <c r="AH755" s="43" t="s">
        <v>124</v>
      </c>
      <c r="AI755">
        <v>1</v>
      </c>
      <c r="AJ755" t="s">
        <v>273</v>
      </c>
      <c r="AK755" s="43" t="s">
        <v>308</v>
      </c>
      <c r="AL755">
        <v>0</v>
      </c>
    </row>
    <row r="756" spans="31:38" x14ac:dyDescent="0.25">
      <c r="AE756" s="43" t="s">
        <v>137</v>
      </c>
      <c r="AF756" s="43" t="s">
        <v>26</v>
      </c>
      <c r="AG756" s="43" t="s">
        <v>138</v>
      </c>
      <c r="AH756" s="43" t="s">
        <v>124</v>
      </c>
      <c r="AI756">
        <v>1</v>
      </c>
      <c r="AJ756" t="s">
        <v>273</v>
      </c>
      <c r="AK756" s="43" t="s">
        <v>309</v>
      </c>
      <c r="AL756">
        <v>0</v>
      </c>
    </row>
    <row r="757" spans="31:38" x14ac:dyDescent="0.25">
      <c r="AE757" s="43" t="s">
        <v>137</v>
      </c>
      <c r="AF757" s="43" t="s">
        <v>26</v>
      </c>
      <c r="AG757" s="43" t="s">
        <v>138</v>
      </c>
      <c r="AH757" s="43" t="s">
        <v>124</v>
      </c>
      <c r="AI757">
        <v>1</v>
      </c>
      <c r="AJ757" t="s">
        <v>273</v>
      </c>
      <c r="AK757" s="43" t="s">
        <v>268</v>
      </c>
      <c r="AL757">
        <v>0</v>
      </c>
    </row>
    <row r="758" spans="31:38" x14ac:dyDescent="0.25">
      <c r="AE758" s="43" t="s">
        <v>135</v>
      </c>
      <c r="AF758" s="43" t="s">
        <v>26</v>
      </c>
      <c r="AG758" s="43" t="s">
        <v>136</v>
      </c>
      <c r="AH758" s="43" t="s">
        <v>124</v>
      </c>
      <c r="AI758">
        <v>1</v>
      </c>
      <c r="AJ758" t="s">
        <v>317</v>
      </c>
      <c r="AK758" s="43" t="s">
        <v>308</v>
      </c>
      <c r="AL758">
        <v>1.4</v>
      </c>
    </row>
    <row r="759" spans="31:38" x14ac:dyDescent="0.25">
      <c r="AE759" s="43" t="s">
        <v>135</v>
      </c>
      <c r="AF759" s="43" t="s">
        <v>26</v>
      </c>
      <c r="AG759" s="43" t="s">
        <v>136</v>
      </c>
      <c r="AH759" s="43" t="s">
        <v>124</v>
      </c>
      <c r="AI759">
        <v>1</v>
      </c>
      <c r="AJ759" t="s">
        <v>317</v>
      </c>
      <c r="AK759" s="43" t="s">
        <v>309</v>
      </c>
      <c r="AL759">
        <v>1.7</v>
      </c>
    </row>
    <row r="760" spans="31:38" x14ac:dyDescent="0.25">
      <c r="AE760" s="43" t="s">
        <v>135</v>
      </c>
      <c r="AF760" s="43" t="s">
        <v>26</v>
      </c>
      <c r="AG760" s="43" t="s">
        <v>136</v>
      </c>
      <c r="AH760" s="43" t="s">
        <v>124</v>
      </c>
      <c r="AI760">
        <v>1</v>
      </c>
      <c r="AJ760" t="s">
        <v>317</v>
      </c>
      <c r="AK760" s="43" t="s">
        <v>268</v>
      </c>
      <c r="AL760">
        <v>3.1</v>
      </c>
    </row>
    <row r="761" spans="31:38" x14ac:dyDescent="0.25">
      <c r="AE761" s="43" t="s">
        <v>135</v>
      </c>
      <c r="AF761" s="43" t="s">
        <v>26</v>
      </c>
      <c r="AG761" s="43" t="s">
        <v>136</v>
      </c>
      <c r="AH761" s="43" t="s">
        <v>124</v>
      </c>
      <c r="AI761">
        <v>1</v>
      </c>
      <c r="AJ761" t="s">
        <v>325</v>
      </c>
      <c r="AK761" s="43" t="s">
        <v>308</v>
      </c>
      <c r="AL761">
        <v>0</v>
      </c>
    </row>
    <row r="762" spans="31:38" x14ac:dyDescent="0.25">
      <c r="AE762" s="43" t="s">
        <v>135</v>
      </c>
      <c r="AF762" s="43" t="s">
        <v>26</v>
      </c>
      <c r="AG762" s="43" t="s">
        <v>136</v>
      </c>
      <c r="AH762" s="43" t="s">
        <v>124</v>
      </c>
      <c r="AI762">
        <v>1</v>
      </c>
      <c r="AJ762" t="s">
        <v>325</v>
      </c>
      <c r="AK762" s="43" t="s">
        <v>309</v>
      </c>
      <c r="AL762">
        <v>0</v>
      </c>
    </row>
    <row r="763" spans="31:38" x14ac:dyDescent="0.25">
      <c r="AE763" s="43" t="s">
        <v>135</v>
      </c>
      <c r="AF763" s="43" t="s">
        <v>26</v>
      </c>
      <c r="AG763" s="43" t="s">
        <v>136</v>
      </c>
      <c r="AH763" s="43" t="s">
        <v>124</v>
      </c>
      <c r="AI763">
        <v>1</v>
      </c>
      <c r="AJ763" t="s">
        <v>325</v>
      </c>
      <c r="AK763" s="43" t="s">
        <v>268</v>
      </c>
      <c r="AL763">
        <v>0</v>
      </c>
    </row>
    <row r="764" spans="31:38" x14ac:dyDescent="0.25">
      <c r="AE764" s="43" t="s">
        <v>135</v>
      </c>
      <c r="AF764" s="43" t="s">
        <v>26</v>
      </c>
      <c r="AG764" s="43" t="s">
        <v>136</v>
      </c>
      <c r="AH764" s="43" t="s">
        <v>124</v>
      </c>
      <c r="AI764">
        <v>1</v>
      </c>
      <c r="AJ764" t="s">
        <v>330</v>
      </c>
      <c r="AK764" s="43" t="s">
        <v>308</v>
      </c>
      <c r="AL764">
        <v>0</v>
      </c>
    </row>
    <row r="765" spans="31:38" x14ac:dyDescent="0.25">
      <c r="AE765" s="43" t="s">
        <v>135</v>
      </c>
      <c r="AF765" s="43" t="s">
        <v>26</v>
      </c>
      <c r="AG765" s="43" t="s">
        <v>136</v>
      </c>
      <c r="AH765" s="43" t="s">
        <v>124</v>
      </c>
      <c r="AI765">
        <v>1</v>
      </c>
      <c r="AJ765" t="s">
        <v>330</v>
      </c>
      <c r="AK765" s="43" t="s">
        <v>309</v>
      </c>
      <c r="AL765">
        <v>0</v>
      </c>
    </row>
    <row r="766" spans="31:38" x14ac:dyDescent="0.25">
      <c r="AE766" s="43" t="s">
        <v>135</v>
      </c>
      <c r="AF766" s="43" t="s">
        <v>26</v>
      </c>
      <c r="AG766" s="43" t="s">
        <v>136</v>
      </c>
      <c r="AH766" s="43" t="s">
        <v>124</v>
      </c>
      <c r="AI766">
        <v>1</v>
      </c>
      <c r="AJ766" t="s">
        <v>330</v>
      </c>
      <c r="AK766" s="43" t="s">
        <v>268</v>
      </c>
      <c r="AL766">
        <v>0</v>
      </c>
    </row>
    <row r="767" spans="31:38" x14ac:dyDescent="0.25">
      <c r="AE767" s="43" t="s">
        <v>135</v>
      </c>
      <c r="AF767" s="43" t="s">
        <v>26</v>
      </c>
      <c r="AG767" s="43" t="s">
        <v>136</v>
      </c>
      <c r="AH767" s="43" t="s">
        <v>124</v>
      </c>
      <c r="AI767">
        <v>1</v>
      </c>
      <c r="AJ767" t="s">
        <v>331</v>
      </c>
      <c r="AK767" s="43" t="s">
        <v>308</v>
      </c>
      <c r="AL767">
        <v>0</v>
      </c>
    </row>
    <row r="768" spans="31:38" x14ac:dyDescent="0.25">
      <c r="AE768" s="43" t="s">
        <v>135</v>
      </c>
      <c r="AF768" s="43" t="s">
        <v>26</v>
      </c>
      <c r="AG768" s="43" t="s">
        <v>136</v>
      </c>
      <c r="AH768" s="43" t="s">
        <v>124</v>
      </c>
      <c r="AI768">
        <v>1</v>
      </c>
      <c r="AJ768" t="s">
        <v>331</v>
      </c>
      <c r="AK768" s="43" t="s">
        <v>309</v>
      </c>
      <c r="AL768">
        <v>0</v>
      </c>
    </row>
    <row r="769" spans="31:38" x14ac:dyDescent="0.25">
      <c r="AE769" s="43" t="s">
        <v>135</v>
      </c>
      <c r="AF769" s="43" t="s">
        <v>26</v>
      </c>
      <c r="AG769" s="43" t="s">
        <v>136</v>
      </c>
      <c r="AH769" s="43" t="s">
        <v>124</v>
      </c>
      <c r="AI769">
        <v>1</v>
      </c>
      <c r="AJ769" t="s">
        <v>331</v>
      </c>
      <c r="AK769" s="43" t="s">
        <v>268</v>
      </c>
      <c r="AL769">
        <v>0</v>
      </c>
    </row>
    <row r="770" spans="31:38" x14ac:dyDescent="0.25">
      <c r="AE770" s="43" t="s">
        <v>135</v>
      </c>
      <c r="AF770" s="43" t="s">
        <v>26</v>
      </c>
      <c r="AG770" s="43" t="s">
        <v>136</v>
      </c>
      <c r="AH770" s="43" t="s">
        <v>124</v>
      </c>
      <c r="AI770">
        <v>1</v>
      </c>
      <c r="AJ770" t="s">
        <v>341</v>
      </c>
      <c r="AK770" s="43" t="s">
        <v>308</v>
      </c>
      <c r="AL770">
        <v>1.4</v>
      </c>
    </row>
    <row r="771" spans="31:38" x14ac:dyDescent="0.25">
      <c r="AE771" s="43" t="s">
        <v>135</v>
      </c>
      <c r="AF771" s="43" t="s">
        <v>26</v>
      </c>
      <c r="AG771" s="43" t="s">
        <v>136</v>
      </c>
      <c r="AH771" s="43" t="s">
        <v>124</v>
      </c>
      <c r="AI771">
        <v>1</v>
      </c>
      <c r="AJ771" t="s">
        <v>341</v>
      </c>
      <c r="AK771" s="43" t="s">
        <v>309</v>
      </c>
      <c r="AL771">
        <v>1.7</v>
      </c>
    </row>
    <row r="772" spans="31:38" x14ac:dyDescent="0.25">
      <c r="AE772" s="43" t="s">
        <v>135</v>
      </c>
      <c r="AF772" s="43" t="s">
        <v>26</v>
      </c>
      <c r="AG772" s="43" t="s">
        <v>136</v>
      </c>
      <c r="AH772" s="43" t="s">
        <v>124</v>
      </c>
      <c r="AI772">
        <v>1</v>
      </c>
      <c r="AJ772" t="s">
        <v>341</v>
      </c>
      <c r="AK772" s="43" t="s">
        <v>268</v>
      </c>
      <c r="AL772">
        <v>3.1</v>
      </c>
    </row>
    <row r="773" spans="31:38" x14ac:dyDescent="0.25">
      <c r="AE773" s="43" t="s">
        <v>135</v>
      </c>
      <c r="AF773" s="43" t="s">
        <v>26</v>
      </c>
      <c r="AG773" s="43" t="s">
        <v>136</v>
      </c>
      <c r="AH773" s="43" t="s">
        <v>124</v>
      </c>
      <c r="AI773">
        <v>1</v>
      </c>
      <c r="AJ773" t="s">
        <v>273</v>
      </c>
      <c r="AK773" s="43" t="s">
        <v>308</v>
      </c>
      <c r="AL773">
        <v>0</v>
      </c>
    </row>
    <row r="774" spans="31:38" x14ac:dyDescent="0.25">
      <c r="AE774" s="43" t="s">
        <v>135</v>
      </c>
      <c r="AF774" s="43" t="s">
        <v>26</v>
      </c>
      <c r="AG774" s="43" t="s">
        <v>136</v>
      </c>
      <c r="AH774" s="43" t="s">
        <v>124</v>
      </c>
      <c r="AI774">
        <v>1</v>
      </c>
      <c r="AJ774" t="s">
        <v>273</v>
      </c>
      <c r="AK774" s="43" t="s">
        <v>309</v>
      </c>
      <c r="AL774">
        <v>0</v>
      </c>
    </row>
    <row r="775" spans="31:38" x14ac:dyDescent="0.25">
      <c r="AE775" s="43" t="s">
        <v>135</v>
      </c>
      <c r="AF775" s="43" t="s">
        <v>26</v>
      </c>
      <c r="AG775" s="43" t="s">
        <v>136</v>
      </c>
      <c r="AH775" s="43" t="s">
        <v>124</v>
      </c>
      <c r="AI775">
        <v>1</v>
      </c>
      <c r="AJ775" t="s">
        <v>273</v>
      </c>
      <c r="AK775" s="43" t="s">
        <v>268</v>
      </c>
      <c r="AL775">
        <v>0</v>
      </c>
    </row>
  </sheetData>
  <mergeCells count="2">
    <mergeCell ref="Y2:Y7"/>
    <mergeCell ref="Y8:Y13"/>
  </mergeCells>
  <conditionalFormatting sqref="A2:A44">
    <cfRule type="expression" dxfId="530" priority="1">
      <formula>IF($B2="junior",$T2=MAX(_xlfn._xlws.FILTER($T$2:$T$47,$B$2:$B$47="junior")),$T2=MAX(_xlfn._xlws.FILTER($T$2:$T$47,$B$2:$B$47="senior")))</formula>
    </cfRule>
    <cfRule type="expression" dxfId="529" priority="2">
      <formula>IF($B2="junior",$T2=LARGE(_xlfn._xlws.FILTER($T$2:$T$47,$B$2:$B$47="junior"),2),$T2=LARGE(_xlfn._xlws.FILTER($T$2:$T$47,$B$2:$B$47="senior"),2))</formula>
    </cfRule>
    <cfRule type="expression" dxfId="528" priority="3">
      <formula>IF($B2="junior",$T2=LARGE(_xlfn._xlws.FILTER($T$2:$T$47,$B$2:$B$47="junior"),3),$T2=LARGE(_xlfn._xlws.FILTER($T$2:$T$47,$B$2:$B$47="senior"),3))</formula>
    </cfRule>
    <cfRule type="expression" dxfId="527" priority="4">
      <formula>IF($B2="junior",$R2=MAX(_xlfn._xlws.FILTER($R$2:$R$47,$B$2:$B$47="junior")),$R2=MAX(_xlfn._xlws.FILTER($R$2:$R$47,$B$2:$B$47="senior")))</formula>
    </cfRule>
    <cfRule type="expression" dxfId="526" priority="5">
      <formula>IF($B2="junior",$S2=MAX(_xlfn._xlws.FILTER($S$2:$S$47,$B$2:$B$47="junior")),$S2=MAX(_xlfn._xlws.FILTER($S$2:$S$47,$B$2:$B$47="senior")))</formula>
    </cfRule>
  </conditionalFormatting>
  <conditionalFormatting sqref="F2:F44 I2:I44 L2:L44 O2:O44 U2:U44">
    <cfRule type="expression" dxfId="525" priority="10">
      <formula>IF($B2="junior",F2&gt;=($AA$8+$AB$8),F2&gt;=($AA$2+$AB$2))</formula>
    </cfRule>
  </conditionalFormatting>
  <conditionalFormatting sqref="F2:F44 I2:I44 L2:L44 O2:O44">
    <cfRule type="expression" dxfId="524" priority="14">
      <formula>AND(AND($B2="junior",F2&lt;2.6),F2&gt;0)</formula>
    </cfRule>
    <cfRule type="expression" dxfId="523" priority="15">
      <formula>AND(AND($B2="senior",F2&lt;2.9),F2&gt;0)</formula>
    </cfRule>
  </conditionalFormatting>
  <conditionalFormatting sqref="F2:W44">
    <cfRule type="cellIs" dxfId="522" priority="16" operator="equal">
      <formula>0</formula>
    </cfRule>
  </conditionalFormatting>
  <conditionalFormatting sqref="H2:H44 K2:K44 N2:N44 Q2:Q44 W2:W44">
    <cfRule type="expression" dxfId="521" priority="11">
      <formula>IF($B2="junior",H2&gt;=($AA$10+$AB$10),H2&gt;=($AA$4+$AB$4))</formula>
    </cfRule>
  </conditionalFormatting>
  <conditionalFormatting sqref="H2:H44 K2:K44 N2:N44 Q2:Q44">
    <cfRule type="expression" dxfId="520" priority="8">
      <formula>IF($B2="junior",H2&gt;=$AC$10,H2&gt;=$AC$4)</formula>
    </cfRule>
  </conditionalFormatting>
  <conditionalFormatting sqref="I1 L1 O1 I45:I53 L45:L53 O45:O53 I61:I1048576 L61:L1048576 O61:O1048576">
    <cfRule type="expression" dxfId="519" priority="35">
      <formula>AND(AND($B1="senior",I1&lt;2.9),I1&gt;0)</formula>
    </cfRule>
    <cfRule type="expression" dxfId="518" priority="36">
      <formula>AND(AND($B1="junior",I1&lt;2.6),I1&gt;0)</formula>
    </cfRule>
  </conditionalFormatting>
  <conditionalFormatting sqref="I54 L54 O54">
    <cfRule type="expression" dxfId="517" priority="160">
      <formula>AND(AND(#REF!="senior",I54&lt;2.9),I54&gt;0)</formula>
    </cfRule>
    <cfRule type="expression" dxfId="516" priority="161">
      <formula>AND(AND(#REF!="junior",I54&lt;2.6),I54&gt;0)</formula>
    </cfRule>
  </conditionalFormatting>
  <conditionalFormatting sqref="I55:I60 L55:L60 O55:O60">
    <cfRule type="expression" dxfId="515" priority="158">
      <formula>AND(AND($B54="senior",I55&lt;2.9),I55&gt;0)</formula>
    </cfRule>
    <cfRule type="expression" dxfId="514" priority="159">
      <formula>AND(AND($B54="junior",I55&lt;2.6),I55&gt;0)</formula>
    </cfRule>
  </conditionalFormatting>
  <conditionalFormatting sqref="R2:R44">
    <cfRule type="expression" dxfId="513" priority="9">
      <formula>IF($B2="junior",R2&gt;=($AA$11+$AB$11),R2&gt;=($AA$5+$AB$5))</formula>
    </cfRule>
  </conditionalFormatting>
  <conditionalFormatting sqref="S2:S44">
    <cfRule type="expression" dxfId="512" priority="13">
      <formula>IF($B2="junior",S2&gt;=$AA$12+$AB$12,S2&gt;=$AA$6+$AB$6)</formula>
    </cfRule>
  </conditionalFormatting>
  <conditionalFormatting sqref="T2:T44">
    <cfRule type="expression" dxfId="511" priority="7">
      <formula>IF($B2="junior",T2&gt;=$AC$13,T2&gt;=$AC$7)</formula>
    </cfRule>
    <cfRule type="expression" dxfId="510" priority="12">
      <formula>IF($B2="junior",T2&gt;=($AA$13+$AB$13),T2&gt;=($AA$7+$AB$7))</formula>
    </cfRule>
  </conditionalFormatting>
  <conditionalFormatting sqref="V2:V44">
    <cfRule type="expression" dxfId="509" priority="6">
      <formula>IF($B2="junior",V2&gt;=$AA$9+$AB$9,V2&gt;=$AA$3+$AB$3)</formula>
    </cfRule>
  </conditionalFormatting>
  <pageMargins left="0.7" right="0.7" top="0.75" bottom="0.75" header="0.3" footer="0.3"/>
  <drawing r:id="rId2"/>
  <tableParts count="3">
    <tablePart r:id="rId3"/>
    <tablePart r:id="rId4"/>
    <tablePart r:id="rId5"/>
  </tablePart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371DA-5178-C74C-934D-39CA6D8DB0E3}">
  <sheetPr codeName="Arkusz11">
    <tabColor theme="5" tint="0.39997558519241921"/>
  </sheetPr>
  <dimension ref="A1:AK667"/>
  <sheetViews>
    <sheetView topLeftCell="J19" zoomScale="75" zoomScaleNormal="75" workbookViewId="0">
      <selection activeCell="X62" sqref="X62"/>
    </sheetView>
  </sheetViews>
  <sheetFormatPr defaultColWidth="11" defaultRowHeight="15.75" x14ac:dyDescent="0.25"/>
  <cols>
    <col min="1" max="1" width="21.125" bestFit="1" customWidth="1"/>
    <col min="2" max="2" width="18.5" style="2" bestFit="1" customWidth="1"/>
    <col min="3" max="3" width="17" style="2" bestFit="1" customWidth="1"/>
    <col min="4" max="4" width="26.625" customWidth="1"/>
    <col min="5" max="5" width="8.5" style="2" customWidth="1"/>
    <col min="6" max="6" width="25.125" style="4" bestFit="1" customWidth="1"/>
    <col min="7" max="8" width="7.875" style="7" customWidth="1"/>
    <col min="9" max="9" width="7.875" style="4" customWidth="1"/>
    <col min="10" max="10" width="21.75" style="7" bestFit="1" customWidth="1"/>
    <col min="11" max="11" width="26.25" style="7" bestFit="1" customWidth="1"/>
    <col min="12" max="12" width="22.75" style="4" bestFit="1" customWidth="1"/>
    <col min="13" max="14" width="7.875" style="7" customWidth="1"/>
    <col min="15" max="15" width="7.875" style="4" customWidth="1"/>
    <col min="16" max="17" width="7.875" style="7" customWidth="1"/>
    <col min="18" max="23" width="7.875" style="2" customWidth="1"/>
    <col min="25" max="25" width="18.5" bestFit="1" customWidth="1"/>
    <col min="26" max="26" width="17.125" bestFit="1" customWidth="1"/>
    <col min="27" max="27" width="14" bestFit="1" customWidth="1"/>
    <col min="28" max="28" width="8.125" bestFit="1" customWidth="1"/>
    <col min="29" max="29" width="14" bestFit="1" customWidth="1"/>
  </cols>
  <sheetData>
    <row r="1" spans="1:37" x14ac:dyDescent="0.25">
      <c r="A1" s="4" t="s">
        <v>1</v>
      </c>
      <c r="B1" s="2" t="s">
        <v>2</v>
      </c>
      <c r="C1" s="2" t="s">
        <v>4</v>
      </c>
      <c r="D1" s="2" t="s">
        <v>5</v>
      </c>
      <c r="E1" s="2" t="s">
        <v>227</v>
      </c>
      <c r="F1" s="2" t="s">
        <v>205</v>
      </c>
      <c r="G1" s="2" t="s">
        <v>206</v>
      </c>
      <c r="H1" s="2" t="s">
        <v>207</v>
      </c>
      <c r="I1" s="2" t="s">
        <v>208</v>
      </c>
      <c r="J1" s="2" t="s">
        <v>209</v>
      </c>
      <c r="K1" s="2" t="s">
        <v>210</v>
      </c>
      <c r="L1" s="2" t="s">
        <v>211</v>
      </c>
      <c r="M1" s="2" t="s">
        <v>212</v>
      </c>
      <c r="N1" s="2" t="s">
        <v>213</v>
      </c>
      <c r="O1" s="2" t="s">
        <v>214</v>
      </c>
      <c r="P1" s="2" t="s">
        <v>215</v>
      </c>
      <c r="Q1" s="2" t="s">
        <v>216</v>
      </c>
      <c r="R1" s="2" t="s">
        <v>219</v>
      </c>
      <c r="S1" s="2" t="s">
        <v>220</v>
      </c>
      <c r="T1" s="2" t="s">
        <v>221</v>
      </c>
      <c r="U1" s="2" t="s">
        <v>235</v>
      </c>
      <c r="V1" s="2" t="s">
        <v>236</v>
      </c>
      <c r="W1" s="2" t="s">
        <v>237</v>
      </c>
      <c r="Y1" s="2"/>
      <c r="Z1" s="2"/>
      <c r="AA1" s="20" t="s">
        <v>273</v>
      </c>
      <c r="AB1" s="20" t="s">
        <v>272</v>
      </c>
      <c r="AC1" s="20" t="s">
        <v>274</v>
      </c>
      <c r="AE1" t="s">
        <v>1</v>
      </c>
      <c r="AF1" t="s">
        <v>2</v>
      </c>
      <c r="AG1" t="s">
        <v>5</v>
      </c>
      <c r="AH1" t="s">
        <v>227</v>
      </c>
      <c r="AI1" t="s">
        <v>342</v>
      </c>
      <c r="AJ1" t="s">
        <v>266</v>
      </c>
      <c r="AK1" t="s">
        <v>307</v>
      </c>
    </row>
    <row r="2" spans="1:37" x14ac:dyDescent="0.25">
      <c r="A2" t="s">
        <v>63</v>
      </c>
      <c r="B2" s="2" t="s">
        <v>60</v>
      </c>
      <c r="C2" s="2" t="s">
        <v>64</v>
      </c>
      <c r="D2" t="s">
        <v>39</v>
      </c>
      <c r="E2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2" s="4">
        <v>4.4000000000000004</v>
      </c>
      <c r="G2" s="7">
        <v>8</v>
      </c>
      <c r="H2" s="7">
        <v>12.4</v>
      </c>
      <c r="I2" s="4">
        <v>4.4000000000000004</v>
      </c>
      <c r="J2" s="7">
        <v>6.8</v>
      </c>
      <c r="K2" s="7">
        <v>11.2</v>
      </c>
      <c r="L2" s="4">
        <v>4.4000000000000004</v>
      </c>
      <c r="M2" s="7">
        <v>8.4</v>
      </c>
      <c r="N2" s="7">
        <v>12.8</v>
      </c>
      <c r="O2" s="4">
        <v>4.2</v>
      </c>
      <c r="P2" s="7">
        <v>8</v>
      </c>
      <c r="Q2" s="7">
        <v>12.2</v>
      </c>
      <c r="R2" s="4">
        <f>LARGE(CHOOSE({1;2;3;4},F2,I2,L2,O2),1)+LARGE(CHOOSE({1;2;3;4},F2,I2,L2,O2),2)+LARGE(CHOOSE({1;2;3;4},F2,I2,L2,O2),3)</f>
        <v>13.200000000000001</v>
      </c>
      <c r="S2" s="7">
        <f>LARGE(CHOOSE({1;2;3;4},G2,J2,M2,P2),1)+LARGE(CHOOSE({1;2;3;4},G2,J2,M2,P2),2)+LARGE(CHOOSE({1;2;3;4},G2,J2,M2,P2),3)</f>
        <v>24.4</v>
      </c>
      <c r="T2" s="7">
        <f>LARGE(CHOOSE({1;2;3;4},H2,K2,N2,Q2),1)+LARGE(CHOOSE({1;2;3;4},H2,K2,N2,Q2),2)+LARGE(CHOOSE({1;2;3;4},H2,K2,N2,Q2),3)</f>
        <v>37.400000000000006</v>
      </c>
      <c r="U2" s="4" cm="1">
        <f t="array" ref="U2">IF(HB[[#This Row],[Number_of_competition]:[Number_of_competition]]&gt;=3,(LARGE(CHOOSE({1;2;3;4},F2,I2,L2,O2),1)+LARGE(CHOOSE({1;2;3;4},F2,I2,L2,O2),2)+LARGE(CHOOSE({1;2;3;4},F2,I2,L2,O2),3))/3,0)</f>
        <v>4.4000000000000004</v>
      </c>
      <c r="V2" s="7" cm="1">
        <f t="array" ref="V2">IF(HB[[#This Row],[Number_of_competition]:[Number_of_competition]]&gt;=3,(LARGE(CHOOSE({1;2;3;4},G2,J2,M2,P2),1)+LARGE(CHOOSE({1;2;3;4},G2,J2,M2,P2),2)+LARGE(CHOOSE({1;2;3;4},G2,J2,M2,P2),3))/3,0)</f>
        <v>8.1333333333333329</v>
      </c>
      <c r="W2" s="7" cm="1">
        <f t="array" ref="W2">IF(HB[[#This Row],[Number_of_competition]:[Number_of_competition]]&gt;=3,(LARGE(CHOOSE({1;2;3;4},H2,K2,N2,Q2),1)+LARGE(CHOOSE({1;2;3;4},H2,K2,N2,Q2),2)+LARGE(CHOOSE({1;2;3;4},H2,K2,N2,Q2),3))/3,0)</f>
        <v>12.466666666666669</v>
      </c>
      <c r="Y2" s="39" t="s">
        <v>60</v>
      </c>
      <c r="Z2" s="20" t="s">
        <v>269</v>
      </c>
      <c r="AA2" s="21" cm="1">
        <f t="array" ref="AA2">SUM(_xlfn._xlws.FILTER(HB[bydgoszcz_HB_Dscore],HB[Category]="senior"),_xlfn._xlws.FILTER(HB[zabrze_HB_Dscore],HB[Category]="senior"),_xlfn._xlws.FILTER(HB[cracow_HB_Dscore],HB[Category]="senior"),_xlfn._xlws.FILTER(HB[gdansk_HB_Dscore],HB[Category]="senior"))/(COUNTIFS(HB[bydgoszcz_HB_Dscore],"&gt;0",HB[Category],"senior")+COUNTIFS(HB[zabrze_HB_Dscore],"&gt;0",HB[Category],"senior")+COUNTIFS(HB[cracow_HB_Dscore],"&gt;0",HB[Category],"senior")+COUNTIFS(HB[gdansk_HB_Dscore],"&gt;0",HB[Category],"senior"))</f>
        <v>3.1875</v>
      </c>
      <c r="AB2" s="21" cm="1">
        <f t="array" ref="AB2">_xlfn.STDEV.S(_xlfn._xlws.FILTER(HB[bydgoszcz_HB_Dscore],(HB[Category]="senior")*(HB[bydgoszcz_HB_Dscore])&gt;0),_xlfn._xlws.FILTER(HB[zabrze_HB_Dscore],(HB[Category]="senior")*(HB[zabrze_HB_Dscore])&gt;0),_xlfn._xlws.FILTER(HB[cracow_HB_Dscore],(HB[Category]="senior")*(HB[cracow_HB_Dscore])&gt;0),_xlfn._xlws.FILTER(HB[gdansk_HB_Dscore],(HB[Category]="senior")*(HB[gdansk_HB_Dscore])&gt;0))</f>
        <v>0.86285646349537393</v>
      </c>
      <c r="AC2" s="21" cm="1">
        <f t="array" ref="AC2">MAX(_xlfn._xlws.FILTER(HB[bydgoszcz_HB_Dscore],HB[Category]="senior"),_xlfn._xlws.FILTER(HB[zabrze_HB_Dscore],HB[Category]="senior"),_xlfn._xlws.FILTER(HB[cracow_HB_Dscore],HB[Category]="senior"),_xlfn._xlws.FILTER(HB[gdansk_HB_Dscore],HB[Category]="senior"))</f>
        <v>4.9000000000000004</v>
      </c>
      <c r="AE2" s="43" t="s">
        <v>63</v>
      </c>
      <c r="AF2" s="43" t="s">
        <v>60</v>
      </c>
      <c r="AG2" s="43" t="s">
        <v>39</v>
      </c>
      <c r="AH2">
        <v>4</v>
      </c>
      <c r="AI2" t="s">
        <v>317</v>
      </c>
      <c r="AJ2" s="43" t="s">
        <v>308</v>
      </c>
      <c r="AK2">
        <v>4.4000000000000004</v>
      </c>
    </row>
    <row r="3" spans="1:37" x14ac:dyDescent="0.25">
      <c r="A3" t="s">
        <v>59</v>
      </c>
      <c r="B3" s="2" t="s">
        <v>60</v>
      </c>
      <c r="C3" s="2" t="s">
        <v>61</v>
      </c>
      <c r="D3" t="s">
        <v>62</v>
      </c>
      <c r="E3" s="6">
        <f>COUNTIF(HB[[#This Row],[bydgoszcz_HB_Total_Score]],"&gt;0")+COUNTIF(HB[[#This Row],[zabrze_HB_Total_Score]],"&gt;0")+COUNTIF(HB[[#This Row],[cracow_HB_Total_Score]],"&gt;0")+COUNTIF(HB[[#This Row],[gdansk_HB_Total_Score]],"&gt;0")</f>
        <v>3</v>
      </c>
      <c r="F3" s="4">
        <v>0</v>
      </c>
      <c r="G3" s="7">
        <v>0</v>
      </c>
      <c r="H3" s="7">
        <v>0</v>
      </c>
      <c r="I3" s="4">
        <v>4.5999999999999996</v>
      </c>
      <c r="J3" s="7">
        <v>7.4</v>
      </c>
      <c r="K3" s="7">
        <v>12</v>
      </c>
      <c r="L3" s="4">
        <v>4.5999999999999996</v>
      </c>
      <c r="M3" s="7">
        <v>8.15</v>
      </c>
      <c r="N3" s="7">
        <v>12.75</v>
      </c>
      <c r="O3" s="4">
        <v>4.9000000000000004</v>
      </c>
      <c r="P3" s="7">
        <v>6.9</v>
      </c>
      <c r="Q3" s="7">
        <v>11.8</v>
      </c>
      <c r="R3" s="4">
        <f>LARGE(CHOOSE({1;2;3;4},F3,I3,L3,O3),1)+LARGE(CHOOSE({1;2;3;4},F3,I3,L3,O3),2)+LARGE(CHOOSE({1;2;3;4},F3,I3,L3,O3),3)</f>
        <v>14.1</v>
      </c>
      <c r="S3" s="7">
        <f>LARGE(CHOOSE({1;2;3;4},G3,J3,M3,P3),1)+LARGE(CHOOSE({1;2;3;4},G3,J3,M3,P3),2)+LARGE(CHOOSE({1;2;3;4},G3,J3,M3,P3),3)</f>
        <v>22.450000000000003</v>
      </c>
      <c r="T3" s="7">
        <f>LARGE(CHOOSE({1;2;3;4},H3,K3,N3,Q3),1)+LARGE(CHOOSE({1;2;3;4},H3,K3,N3,Q3),2)+LARGE(CHOOSE({1;2;3;4},H3,K3,N3,Q3),3)</f>
        <v>36.549999999999997</v>
      </c>
      <c r="U3" s="4" cm="1">
        <f t="array" ref="U3">IF(HB[[#This Row],[Number_of_competition]:[Number_of_competition]]&gt;=3,(LARGE(CHOOSE({1;2;3;4},F3,I3,L3,O3),1)+LARGE(CHOOSE({1;2;3;4},F3,I3,L3,O3),2)+LARGE(CHOOSE({1;2;3;4},F3,I3,L3,O3),3))/3,0)</f>
        <v>4.7</v>
      </c>
      <c r="V3" s="7" cm="1">
        <f t="array" ref="V3">IF(HB[[#This Row],[Number_of_competition]:[Number_of_competition]]&gt;=3,(LARGE(CHOOSE({1;2;3;4},G3,J3,M3,P3),1)+LARGE(CHOOSE({1;2;3;4},G3,J3,M3,P3),2)+LARGE(CHOOSE({1;2;3;4},G3,J3,M3,P3),3))/3,0)</f>
        <v>7.4833333333333343</v>
      </c>
      <c r="W3" s="7" cm="1">
        <f t="array" ref="W3">IF(HB[[#This Row],[Number_of_competition]:[Number_of_competition]]&gt;=3,(LARGE(CHOOSE({1;2;3;4},H3,K3,N3,Q3),1)+LARGE(CHOOSE({1;2;3;4},H3,K3,N3,Q3),2)+LARGE(CHOOSE({1;2;3;4},H3,K3,N3,Q3),3))/3,0)</f>
        <v>12.183333333333332</v>
      </c>
      <c r="Y3" s="40"/>
      <c r="Z3" s="20" t="s">
        <v>267</v>
      </c>
      <c r="AA3" s="22" cm="1">
        <f t="array" ref="AA3">SUM(_xlfn._xlws.FILTER(HB[bydgoszcz_HB_Escore],HB[Category]="senior"),_xlfn._xlws.FILTER(HB[zabrze_HB_Escore],HB[Category]="senior"),_xlfn._xlws.FILTER(HB[cracow_HB_Escore],HB[Category]="senior"),_xlfn._xlws.FILTER(HB[gdansk_HB_Escore],HB[Category]="senior"))/(COUNTIFS(HB[bydgoszcz_HB_Escore],"&gt;0",HB[Category],"senior")+COUNTIFS(HB[zabrze_HB_Escore],"&gt;0",HB[Category],"senior")+COUNTIFS(HB[cracow_HB_Escore],"&gt;0",HB[Category],"senior")+COUNTIFS(HB[gdansk_HB_Escore],"&gt;0",HB[Category],"senior"))</f>
        <v>7.4031249999999984</v>
      </c>
      <c r="AB3" s="22" cm="1">
        <f t="array" ref="AB3">_xlfn.STDEV.S(_xlfn._xlws.FILTER(HB[bydgoszcz_HB_Escore],(HB[Category]="senior")*(HB[bydgoszcz_HB_Escore])&gt;0),_xlfn._xlws.FILTER(HB[zabrze_HB_Escore],(HB[Category]="senior")*(HB[zabrze_HB_Escore])&gt;0),_xlfn._xlws.FILTER(HB[cracow_HB_Escore],(HB[Category]="senior")*(HB[cracow_HB_Escore])&gt;0),_xlfn._xlws.FILTER(HB[gdansk_HB_Escore],(HB[Category]="senior")*(HB[gdansk_HB_Escore])&gt;0))</f>
        <v>1.2906128451078793</v>
      </c>
      <c r="AC3" s="22" cm="1">
        <f t="array" ref="AC3">MAX(_xlfn._xlws.FILTER(HB[bydgoszcz_HB_Escore],HB[Category]="senior"),_xlfn._xlws.FILTER(HB[zabrze_HB_Escore],HB[Category]="senior"),_xlfn._xlws.FILTER(HB[cracow_HB_Escore],HB[Category]="senior"),_xlfn._xlws.FILTER(HB[gdansk_HB_Escore],HB[Category]="senior"))</f>
        <v>8.9</v>
      </c>
      <c r="AE3" s="43" t="s">
        <v>63</v>
      </c>
      <c r="AF3" s="43" t="s">
        <v>60</v>
      </c>
      <c r="AG3" s="43" t="s">
        <v>39</v>
      </c>
      <c r="AH3">
        <v>4</v>
      </c>
      <c r="AI3" t="s">
        <v>317</v>
      </c>
      <c r="AJ3" s="43" t="s">
        <v>309</v>
      </c>
      <c r="AK3">
        <v>8</v>
      </c>
    </row>
    <row r="4" spans="1:37" x14ac:dyDescent="0.25">
      <c r="A4" t="s">
        <v>25</v>
      </c>
      <c r="B4" s="2" t="s">
        <v>26</v>
      </c>
      <c r="C4" s="2" t="s">
        <v>27</v>
      </c>
      <c r="D4" t="s">
        <v>28</v>
      </c>
      <c r="E4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4" s="4">
        <v>2.6</v>
      </c>
      <c r="G4" s="7">
        <v>9</v>
      </c>
      <c r="H4" s="7">
        <v>11.6</v>
      </c>
      <c r="I4" s="4">
        <v>2.7</v>
      </c>
      <c r="J4" s="7">
        <v>9.1</v>
      </c>
      <c r="K4" s="7">
        <v>11.8</v>
      </c>
      <c r="L4" s="4">
        <v>2.7</v>
      </c>
      <c r="M4" s="7">
        <v>9.4499999999999993</v>
      </c>
      <c r="N4" s="7">
        <v>12.15</v>
      </c>
      <c r="O4" s="4">
        <v>2.7</v>
      </c>
      <c r="P4" s="7">
        <v>9.3000000000000007</v>
      </c>
      <c r="Q4" s="7">
        <v>12</v>
      </c>
      <c r="R4" s="4">
        <f>LARGE(CHOOSE({1;2;3;4},F4,I4,L4,O4),1)+LARGE(CHOOSE({1;2;3;4},F4,I4,L4,O4),2)+LARGE(CHOOSE({1;2;3;4},F4,I4,L4,O4),3)</f>
        <v>8.1000000000000014</v>
      </c>
      <c r="S4" s="7">
        <f>LARGE(CHOOSE({1;2;3;4},G4,J4,M4,P4),1)+LARGE(CHOOSE({1;2;3;4},G4,J4,M4,P4),2)+LARGE(CHOOSE({1;2;3;4},G4,J4,M4,P4),3)</f>
        <v>27.85</v>
      </c>
      <c r="T4" s="7">
        <f>LARGE(CHOOSE({1;2;3;4},H4,K4,N4,Q4),1)+LARGE(CHOOSE({1;2;3;4},H4,K4,N4,Q4),2)+LARGE(CHOOSE({1;2;3;4},H4,K4,N4,Q4),3)</f>
        <v>35.950000000000003</v>
      </c>
      <c r="U4" s="4" cm="1">
        <f t="array" ref="U4">IF(HB[[#This Row],[Number_of_competition]:[Number_of_competition]]&gt;=3,(LARGE(CHOOSE({1;2;3;4},F4,I4,L4,O4),1)+LARGE(CHOOSE({1;2;3;4},F4,I4,L4,O4),2)+LARGE(CHOOSE({1;2;3;4},F4,I4,L4,O4),3))/3,0)</f>
        <v>2.7000000000000006</v>
      </c>
      <c r="V4" s="7" cm="1">
        <f t="array" ref="V4">IF(HB[[#This Row],[Number_of_competition]:[Number_of_competition]]&gt;=3,(LARGE(CHOOSE({1;2;3;4},G4,J4,M4,P4),1)+LARGE(CHOOSE({1;2;3;4},G4,J4,M4,P4),2)+LARGE(CHOOSE({1;2;3;4},G4,J4,M4,P4),3))/3,0)</f>
        <v>9.2833333333333332</v>
      </c>
      <c r="W4" s="7" cm="1">
        <f t="array" ref="W4">IF(HB[[#This Row],[Number_of_competition]:[Number_of_competition]]&gt;=3,(LARGE(CHOOSE({1;2;3;4},H4,K4,N4,Q4),1)+LARGE(CHOOSE({1;2;3;4},H4,K4,N4,Q4),2)+LARGE(CHOOSE({1;2;3;4},H4,K4,N4,Q4),3))/3,0)</f>
        <v>11.983333333333334</v>
      </c>
      <c r="Y4" s="40"/>
      <c r="Z4" s="20" t="s">
        <v>268</v>
      </c>
      <c r="AA4" s="22" cm="1">
        <f t="array" ref="AA4">SUM(_xlfn._xlws.FILTER(HB[bydgoszcz_HB_Total_Score],HB[Category]="senior"),_xlfn._xlws.FILTER(HB[zabrze_HB_Total_Score],HB[Category]="senior"),_xlfn._xlws.FILTER(HB[cracow_HB_Total_Score],HB[Category]="senior"),_xlfn._xlws.FILTER(HB[gdansk_HB_Total_Score],HB[Category]="senior"))/(COUNTIFS(HB[bydgoszcz_HB_Total_Score],"&gt;0",HB[Category],"senior")+COUNTIFS(HB[zabrze_HB_Total_Score],"&gt;0",HB[Category],"senior")+COUNTIFS(HB[cracow_HB_Total_Score],"&gt;0",HB[Category],"senior")+COUNTIFS(HB[gdansk_HB_Total_Score],"&gt;0",HB[Category],"senior"))</f>
        <v>10.590624999999999</v>
      </c>
      <c r="AB4" s="22" cm="1">
        <f t="array" ref="AB4">_xlfn.STDEV.S(_xlfn._xlws.FILTER(HB[bydgoszcz_HB_Total_Score],(HB[Category]="senior")*(HB[bydgoszcz_HB_Total_Score])&gt;0),_xlfn._xlws.FILTER(HB[zabrze_HB_Total_Score],(HB[Category]="senior")*(HB[zabrze_HB_Total_Score])&gt;0),_xlfn._xlws.FILTER(HB[cracow_HB_Total_Score],(HB[Category]="senior")*(HB[cracow_HB_Total_Score])&gt;0),_xlfn._xlws.FILTER(HB[gdansk_HB_Total_Score],(HB[Category]="senior")*(HB[gdansk_HB_Total_Score])&gt;0))</f>
        <v>1.6950069431226658</v>
      </c>
      <c r="AC4" s="22" cm="1">
        <f t="array" ref="AC4">MAX(_xlfn._xlws.FILTER(HB[bydgoszcz_HB_Total_Score],HB[Category]="senior"),_xlfn._xlws.FILTER(HB[zabrze_HB_Total_Score],HB[Category]="senior"),_xlfn._xlws.FILTER(HB[cracow_HB_Total_Score],HB[Category]="senior"),_xlfn._xlws.FILTER(HB[gdansk_HB_Total_Score],HB[Category]="senior"))</f>
        <v>12.8</v>
      </c>
      <c r="AE4" s="43" t="s">
        <v>63</v>
      </c>
      <c r="AF4" s="43" t="s">
        <v>60</v>
      </c>
      <c r="AG4" s="43" t="s">
        <v>39</v>
      </c>
      <c r="AH4">
        <v>4</v>
      </c>
      <c r="AI4" t="s">
        <v>317</v>
      </c>
      <c r="AJ4" s="43" t="s">
        <v>268</v>
      </c>
      <c r="AK4">
        <v>12.4</v>
      </c>
    </row>
    <row r="5" spans="1:37" x14ac:dyDescent="0.25">
      <c r="A5" t="s">
        <v>82</v>
      </c>
      <c r="B5" s="2" t="s">
        <v>60</v>
      </c>
      <c r="C5" s="2" t="s">
        <v>83</v>
      </c>
      <c r="D5" t="s">
        <v>36</v>
      </c>
      <c r="E5" s="6">
        <f>COUNTIF(HB[[#This Row],[bydgoszcz_HB_Total_Score]],"&gt;0")+COUNTIF(HB[[#This Row],[zabrze_HB_Total_Score]],"&gt;0")+COUNTIF(HB[[#This Row],[cracow_HB_Total_Score]],"&gt;0")+COUNTIF(HB[[#This Row],[gdansk_HB_Total_Score]],"&gt;0")</f>
        <v>3</v>
      </c>
      <c r="F5" s="4">
        <v>0</v>
      </c>
      <c r="G5" s="7">
        <v>0</v>
      </c>
      <c r="H5" s="7">
        <v>0</v>
      </c>
      <c r="I5" s="4">
        <v>3.3</v>
      </c>
      <c r="J5" s="7">
        <v>7.8</v>
      </c>
      <c r="K5" s="7">
        <v>11.1</v>
      </c>
      <c r="L5" s="4">
        <v>4</v>
      </c>
      <c r="M5" s="7">
        <v>8.25</v>
      </c>
      <c r="N5" s="7">
        <v>12.25</v>
      </c>
      <c r="O5" s="4">
        <v>3.3</v>
      </c>
      <c r="P5" s="7">
        <v>8</v>
      </c>
      <c r="Q5" s="7">
        <v>11.3</v>
      </c>
      <c r="R5" s="4">
        <f>LARGE(CHOOSE({1;2;3;4},F5,I5,L5,O5),1)+LARGE(CHOOSE({1;2;3;4},F5,I5,L5,O5),2)+LARGE(CHOOSE({1;2;3;4},F5,I5,L5,O5),3)</f>
        <v>10.6</v>
      </c>
      <c r="S5" s="7">
        <f>LARGE(CHOOSE({1;2;3;4},G5,J5,M5,P5),1)+LARGE(CHOOSE({1;2;3;4},G5,J5,M5,P5),2)+LARGE(CHOOSE({1;2;3;4},G5,J5,M5,P5),3)</f>
        <v>24.05</v>
      </c>
      <c r="T5" s="7">
        <f>LARGE(CHOOSE({1;2;3;4},H5,K5,N5,Q5),1)+LARGE(CHOOSE({1;2;3;4},H5,K5,N5,Q5),2)+LARGE(CHOOSE({1;2;3;4},H5,K5,N5,Q5),3)</f>
        <v>34.65</v>
      </c>
      <c r="U5" s="4" cm="1">
        <f t="array" ref="U5">IF(HB[[#This Row],[Number_of_competition]:[Number_of_competition]]&gt;=3,(LARGE(CHOOSE({1;2;3;4},F5,I5,L5,O5),1)+LARGE(CHOOSE({1;2;3;4},F5,I5,L5,O5),2)+LARGE(CHOOSE({1;2;3;4},F5,I5,L5,O5),3))/3,0)</f>
        <v>3.5333333333333332</v>
      </c>
      <c r="V5" s="7" cm="1">
        <f t="array" ref="V5">IF(HB[[#This Row],[Number_of_competition]:[Number_of_competition]]&gt;=3,(LARGE(CHOOSE({1;2;3;4},G5,J5,M5,P5),1)+LARGE(CHOOSE({1;2;3;4},G5,J5,M5,P5),2)+LARGE(CHOOSE({1;2;3;4},G5,J5,M5,P5),3))/3,0)</f>
        <v>8.0166666666666675</v>
      </c>
      <c r="W5" s="7" cm="1">
        <f t="array" ref="W5">IF(HB[[#This Row],[Number_of_competition]:[Number_of_competition]]&gt;=3,(LARGE(CHOOSE({1;2;3;4},H5,K5,N5,Q5),1)+LARGE(CHOOSE({1;2;3;4},H5,K5,N5,Q5),2)+LARGE(CHOOSE({1;2;3;4},H5,K5,N5,Q5),3))/3,0)</f>
        <v>11.549999999999999</v>
      </c>
      <c r="Y5" s="40"/>
      <c r="Z5" s="20" t="s">
        <v>275</v>
      </c>
      <c r="AA5" s="21" cm="1">
        <f t="array" ref="AA5">SUM(_xlfn._xlws.FILTER(HB[Year_Dscore],(HB[Category]="senior")*(HB[Number_of_competition]&gt;=3))/COUNTIFS(HB[Number_of_competition],"&gt;=3",HB[Category],"senior"))</f>
        <v>9.5666666666666682</v>
      </c>
      <c r="AB5" s="21" cm="1">
        <f t="array" ref="AB5">_xlfn.STDEV.S(_xlfn._xlws.FILTER(HB[Year_Dscore],(HB[Category]="senior")*(HB[Number_of_competition]&gt;=3)))</f>
        <v>2.552939482243954</v>
      </c>
      <c r="AC5" s="21" cm="1">
        <f t="array" ref="AC5">MAX(_xlfn._xlws.FILTER(HB[Year_Dscore],HB[Category]="senior"))</f>
        <v>14.1</v>
      </c>
      <c r="AE5" s="43" t="s">
        <v>63</v>
      </c>
      <c r="AF5" s="43" t="s">
        <v>60</v>
      </c>
      <c r="AG5" s="43" t="s">
        <v>39</v>
      </c>
      <c r="AH5">
        <v>4</v>
      </c>
      <c r="AI5" t="s">
        <v>325</v>
      </c>
      <c r="AJ5" s="43" t="s">
        <v>308</v>
      </c>
      <c r="AK5">
        <v>4.4000000000000004</v>
      </c>
    </row>
    <row r="6" spans="1:37" x14ac:dyDescent="0.25">
      <c r="A6" t="s">
        <v>34</v>
      </c>
      <c r="B6" s="2" t="s">
        <v>26</v>
      </c>
      <c r="C6" s="2" t="s">
        <v>35</v>
      </c>
      <c r="D6" t="s">
        <v>36</v>
      </c>
      <c r="E6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6" s="4">
        <v>3.4</v>
      </c>
      <c r="G6" s="7">
        <v>7.4</v>
      </c>
      <c r="H6" s="7">
        <v>10.8</v>
      </c>
      <c r="I6" s="4">
        <v>3.4</v>
      </c>
      <c r="J6" s="7">
        <v>7.5</v>
      </c>
      <c r="K6" s="7">
        <v>10.9</v>
      </c>
      <c r="L6" s="4">
        <v>3.4</v>
      </c>
      <c r="M6" s="7">
        <v>8.6</v>
      </c>
      <c r="N6" s="7">
        <v>12</v>
      </c>
      <c r="O6" s="4">
        <v>2.7</v>
      </c>
      <c r="P6" s="7">
        <v>7.5</v>
      </c>
      <c r="Q6" s="7">
        <v>10.199999999999999</v>
      </c>
      <c r="R6" s="4">
        <f>LARGE(CHOOSE({1;2;3;4},F6,I6,L6,O6),1)+LARGE(CHOOSE({1;2;3;4},F6,I6,L6,O6),2)+LARGE(CHOOSE({1;2;3;4},F6,I6,L6,O6),3)</f>
        <v>10.199999999999999</v>
      </c>
      <c r="S6" s="7">
        <f>LARGE(CHOOSE({1;2;3;4},G6,J6,M6,P6),1)+LARGE(CHOOSE({1;2;3;4},G6,J6,M6,P6),2)+LARGE(CHOOSE({1;2;3;4},G6,J6,M6,P6),3)</f>
        <v>23.6</v>
      </c>
      <c r="T6" s="7">
        <f>LARGE(CHOOSE({1;2;3;4},H6,K6,N6,Q6),1)+LARGE(CHOOSE({1;2;3;4},H6,K6,N6,Q6),2)+LARGE(CHOOSE({1;2;3;4},H6,K6,N6,Q6),3)</f>
        <v>33.700000000000003</v>
      </c>
      <c r="U6" s="4" cm="1">
        <f t="array" ref="U6">IF(HB[[#This Row],[Number_of_competition]:[Number_of_competition]]&gt;=3,(LARGE(CHOOSE({1;2;3;4},F6,I6,L6,O6),1)+LARGE(CHOOSE({1;2;3;4},F6,I6,L6,O6),2)+LARGE(CHOOSE({1;2;3;4},F6,I6,L6,O6),3))/3,0)</f>
        <v>3.4</v>
      </c>
      <c r="V6" s="7" cm="1">
        <f t="array" ref="V6">IF(HB[[#This Row],[Number_of_competition]:[Number_of_competition]]&gt;=3,(LARGE(CHOOSE({1;2;3;4},G6,J6,M6,P6),1)+LARGE(CHOOSE({1;2;3;4},G6,J6,M6,P6),2)+LARGE(CHOOSE({1;2;3;4},G6,J6,M6,P6),3))/3,0)</f>
        <v>7.8666666666666671</v>
      </c>
      <c r="W6" s="7" cm="1">
        <f t="array" ref="W6">IF(HB[[#This Row],[Number_of_competition]:[Number_of_competition]]&gt;=3,(LARGE(CHOOSE({1;2;3;4},H6,K6,N6,Q6),1)+LARGE(CHOOSE({1;2;3;4},H6,K6,N6,Q6),2)+LARGE(CHOOSE({1;2;3;4},H6,K6,N6,Q6),3))/3,0)</f>
        <v>11.233333333333334</v>
      </c>
      <c r="Y6" s="40"/>
      <c r="Z6" s="20" t="s">
        <v>276</v>
      </c>
      <c r="AA6" s="22" cm="1">
        <f t="array" ref="AA6">SUM(_xlfn._xlws.FILTER(HB[Year_Escore],(HB[Category]="senior")*(HB[Number_of_competition]&gt;=3))/COUNTIFS(HB[Number_of_competition],"&gt;=3",HB[Category],"senior"))</f>
        <v>23.238888888888891</v>
      </c>
      <c r="AB6" s="22" cm="1">
        <f t="array" ref="AB6">_xlfn.STDEV.S(_xlfn._xlws.FILTER(HB[Year_Escore],(HB[Category]="senior")*(HB[Number_of_competition]&gt;=3)))</f>
        <v>1.3568754958031741</v>
      </c>
      <c r="AC6" s="22" cm="1">
        <f t="array" ref="AC6">MAX(_xlfn._xlws.FILTER(HB[Year_Escore],HB[Category]="senior"))</f>
        <v>25.15</v>
      </c>
      <c r="AE6" s="43" t="s">
        <v>63</v>
      </c>
      <c r="AF6" s="43" t="s">
        <v>60</v>
      </c>
      <c r="AG6" s="43" t="s">
        <v>39</v>
      </c>
      <c r="AH6">
        <v>4</v>
      </c>
      <c r="AI6" t="s">
        <v>325</v>
      </c>
      <c r="AJ6" s="43" t="s">
        <v>309</v>
      </c>
      <c r="AK6">
        <v>6.8</v>
      </c>
    </row>
    <row r="7" spans="1:37" x14ac:dyDescent="0.25">
      <c r="A7" t="s">
        <v>84</v>
      </c>
      <c r="B7" s="2" t="s">
        <v>60</v>
      </c>
      <c r="C7" s="2" t="s">
        <v>85</v>
      </c>
      <c r="D7" t="s">
        <v>39</v>
      </c>
      <c r="E7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7" s="4">
        <v>3.2</v>
      </c>
      <c r="G7" s="7">
        <v>7.2</v>
      </c>
      <c r="H7" s="7">
        <v>10.4</v>
      </c>
      <c r="I7" s="4">
        <v>2.8</v>
      </c>
      <c r="J7" s="7">
        <v>8</v>
      </c>
      <c r="K7" s="7">
        <v>10.8</v>
      </c>
      <c r="L7" s="4">
        <v>2.9</v>
      </c>
      <c r="M7" s="7">
        <v>7.25</v>
      </c>
      <c r="N7" s="7">
        <v>10.15</v>
      </c>
      <c r="O7" s="4">
        <v>2.5</v>
      </c>
      <c r="P7" s="7">
        <v>8.6999999999999993</v>
      </c>
      <c r="Q7" s="7">
        <v>11.2</v>
      </c>
      <c r="R7" s="4">
        <f>LARGE(CHOOSE({1;2;3;4},F7,I7,L7,O7),1)+LARGE(CHOOSE({1;2;3;4},F7,I7,L7,O7),2)+LARGE(CHOOSE({1;2;3;4},F7,I7,L7,O7),3)</f>
        <v>8.8999999999999986</v>
      </c>
      <c r="S7" s="7">
        <f>LARGE(CHOOSE({1;2;3;4},G7,J7,M7,P7),1)+LARGE(CHOOSE({1;2;3;4},G7,J7,M7,P7),2)+LARGE(CHOOSE({1;2;3;4},G7,J7,M7,P7),3)</f>
        <v>23.95</v>
      </c>
      <c r="T7" s="7">
        <f>LARGE(CHOOSE({1;2;3;4},H7,K7,N7,Q7),1)+LARGE(CHOOSE({1;2;3;4},H7,K7,N7,Q7),2)+LARGE(CHOOSE({1;2;3;4},H7,K7,N7,Q7),3)</f>
        <v>32.4</v>
      </c>
      <c r="U7" s="4" cm="1">
        <f t="array" ref="U7">IF(HB[[#This Row],[Number_of_competition]:[Number_of_competition]]&gt;=3,(LARGE(CHOOSE({1;2;3;4},F7,I7,L7,O7),1)+LARGE(CHOOSE({1;2;3;4},F7,I7,L7,O7),2)+LARGE(CHOOSE({1;2;3;4},F7,I7,L7,O7),3))/3,0)</f>
        <v>2.9666666666666663</v>
      </c>
      <c r="V7" s="7" cm="1">
        <f t="array" ref="V7">IF(HB[[#This Row],[Number_of_competition]:[Number_of_competition]]&gt;=3,(LARGE(CHOOSE({1;2;3;4},G7,J7,M7,P7),1)+LARGE(CHOOSE({1;2;3;4},G7,J7,M7,P7),2)+LARGE(CHOOSE({1;2;3;4},G7,J7,M7,P7),3))/3,0)</f>
        <v>7.9833333333333334</v>
      </c>
      <c r="W7" s="7" cm="1">
        <f t="array" ref="W7">IF(HB[[#This Row],[Number_of_competition]:[Number_of_competition]]&gt;=3,(LARGE(CHOOSE({1;2;3;4},H7,K7,N7,Q7),1)+LARGE(CHOOSE({1;2;3;4},H7,K7,N7,Q7),2)+LARGE(CHOOSE({1;2;3;4},H7,K7,N7,Q7),3))/3,0)</f>
        <v>10.799999999999999</v>
      </c>
      <c r="Y7" s="41"/>
      <c r="Z7" s="20" t="s">
        <v>277</v>
      </c>
      <c r="AA7" s="22" cm="1">
        <f t="array" ref="AA7">SUM(_xlfn._xlws.FILTER(HB[Year_Total_Score],(HB[Category]="senior")*(HB[Number_of_competition]&gt;=3))/COUNTIFS(HB[Number_of_competition],"&gt;=3",HB[Category],"senior"))</f>
        <v>32.68333333333333</v>
      </c>
      <c r="AB7" s="22" cm="1">
        <f t="array" ref="AB7">_xlfn.STDEV.S(_xlfn._xlws.FILTER(HB[Year_Total_Score],(HB[Category]="senior")*(HB[Number_of_competition]&gt;=3)))</f>
        <v>3.1069478592342037</v>
      </c>
      <c r="AC7" s="22" cm="1">
        <f t="array" ref="AC7">MAX(_xlfn._xlws.FILTER(HB[Year_Total_Score],HB[Category]="senior"))</f>
        <v>37.400000000000006</v>
      </c>
      <c r="AE7" s="43" t="s">
        <v>63</v>
      </c>
      <c r="AF7" s="43" t="s">
        <v>60</v>
      </c>
      <c r="AG7" s="43" t="s">
        <v>39</v>
      </c>
      <c r="AH7">
        <v>4</v>
      </c>
      <c r="AI7" t="s">
        <v>325</v>
      </c>
      <c r="AJ7" s="43" t="s">
        <v>268</v>
      </c>
      <c r="AK7">
        <v>11.2</v>
      </c>
    </row>
    <row r="8" spans="1:37" x14ac:dyDescent="0.25">
      <c r="A8" t="s">
        <v>68</v>
      </c>
      <c r="B8" s="2" t="s">
        <v>60</v>
      </c>
      <c r="C8" s="2" t="s">
        <v>69</v>
      </c>
      <c r="D8" t="s">
        <v>31</v>
      </c>
      <c r="E8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8" s="4">
        <v>2.1</v>
      </c>
      <c r="G8" s="7">
        <v>8.4</v>
      </c>
      <c r="H8" s="7">
        <v>10.5</v>
      </c>
      <c r="I8" s="4">
        <v>2.2000000000000002</v>
      </c>
      <c r="J8" s="7">
        <v>7.85</v>
      </c>
      <c r="K8" s="7">
        <v>10.050000000000001</v>
      </c>
      <c r="L8" s="4">
        <v>2.6</v>
      </c>
      <c r="M8" s="7">
        <v>8.9</v>
      </c>
      <c r="N8" s="7">
        <v>11.5</v>
      </c>
      <c r="O8" s="4">
        <v>2.6</v>
      </c>
      <c r="P8" s="7">
        <v>7.6</v>
      </c>
      <c r="Q8" s="7">
        <v>10.199999999999999</v>
      </c>
      <c r="R8" s="4">
        <f>LARGE(CHOOSE({1;2;3;4},F8,I8,L8,O8),1)+LARGE(CHOOSE({1;2;3;4},F8,I8,L8,O8),2)+LARGE(CHOOSE({1;2;3;4},F8,I8,L8,O8),3)</f>
        <v>7.4</v>
      </c>
      <c r="S8" s="7">
        <f>LARGE(CHOOSE({1;2;3;4},G8,J8,M8,P8),1)+LARGE(CHOOSE({1;2;3;4},G8,J8,M8,P8),2)+LARGE(CHOOSE({1;2;3;4},G8,J8,M8,P8),3)</f>
        <v>25.15</v>
      </c>
      <c r="T8" s="7">
        <f>LARGE(CHOOSE({1;2;3;4},H8,K8,N8,Q8),1)+LARGE(CHOOSE({1;2;3;4},H8,K8,N8,Q8),2)+LARGE(CHOOSE({1;2;3;4},H8,K8,N8,Q8),3)</f>
        <v>32.200000000000003</v>
      </c>
      <c r="U8" s="4" cm="1">
        <f t="array" ref="U8">IF(HB[[#This Row],[Number_of_competition]:[Number_of_competition]]&gt;=3,(LARGE(CHOOSE({1;2;3;4},F8,I8,L8,O8),1)+LARGE(CHOOSE({1;2;3;4},F8,I8,L8,O8),2)+LARGE(CHOOSE({1;2;3;4},F8,I8,L8,O8),3))/3,0)</f>
        <v>2.4666666666666668</v>
      </c>
      <c r="V8" s="7" cm="1">
        <f t="array" ref="V8">IF(HB[[#This Row],[Number_of_competition]:[Number_of_competition]]&gt;=3,(LARGE(CHOOSE({1;2;3;4},G8,J8,M8,P8),1)+LARGE(CHOOSE({1;2;3;4},G8,J8,M8,P8),2)+LARGE(CHOOSE({1;2;3;4},G8,J8,M8,P8),3))/3,0)</f>
        <v>8.3833333333333329</v>
      </c>
      <c r="W8" s="7" cm="1">
        <f t="array" ref="W8">IF(HB[[#This Row],[Number_of_competition]:[Number_of_competition]]&gt;=3,(LARGE(CHOOSE({1;2;3;4},H8,K8,N8,Q8),1)+LARGE(CHOOSE({1;2;3;4},H8,K8,N8,Q8),2)+LARGE(CHOOSE({1;2;3;4},H8,K8,N8,Q8),3))/3,0)</f>
        <v>10.733333333333334</v>
      </c>
      <c r="Y8" s="39" t="s">
        <v>26</v>
      </c>
      <c r="Z8" s="20" t="s">
        <v>269</v>
      </c>
      <c r="AA8" s="21" cm="1">
        <f t="array" ref="AA8">SUM(_xlfn._xlws.FILTER(HB[bydgoszcz_HB_Dscore],HB[Category]="junior"),_xlfn._xlws.FILTER(HB[zabrze_HB_Dscore],HB[Category]="junior"),_xlfn._xlws.FILTER(HB[cracow_HB_Dscore],HB[Category]="junior"),_xlfn._xlws.FILTER(HB[gdansk_HB_Dscore],HB[Category]="junior"))/(COUNTIFS(HB[bydgoszcz_HB_Dscore],"&gt;0",HB[Category],"junior")+COUNTIFS(HB[zabrze_HB_Dscore],"&gt;0",HB[Category],"junior")+COUNTIFS(HB[cracow_HB_Dscore],"&gt;0",HB[Category],"junior")+COUNTIFS(HB[gdansk_HB_Dscore],"&gt;0",HB[Category],"junior"))</f>
        <v>2.406122448979592</v>
      </c>
      <c r="AB8" s="21" cm="1">
        <f t="array" ref="AB8">_xlfn.STDEV.S(_xlfn._xlws.FILTER(HB[bydgoszcz_HB_Dscore],(HB[Category]="junior")*(HB[bydgoszcz_HB_Dscore])&gt;0),_xlfn._xlws.FILTER(HB[zabrze_HB_Dscore],(HB[Category]="junior")*(HB[zabrze_HB_Dscore])&gt;0),_xlfn._xlws.FILTER(HB[cracow_HB_Dscore],(HB[Category]="junior")*(HB[cracow_HB_Dscore])&gt;0),_xlfn._xlws.FILTER(HB[gdansk_HB_Dscore],(HB[Category]="junior")*(HB[gdansk_HB_Dscore])&gt;0))</f>
        <v>0.67989219833775683</v>
      </c>
      <c r="AC8" s="21" cm="1">
        <f t="array" ref="AC8">MAX(_xlfn._xlws.FILTER(HB[bydgoszcz_HB_Dscore],HB[Category]="junior"),_xlfn._xlws.FILTER(HB[zabrze_HB_Dscore],HB[Category]="junior"),_xlfn._xlws.FILTER(HB[cracow_HB_Dscore],HB[Category]="junior"),_xlfn._xlws.FILTER(HB[gdansk_HB_Dscore],HB[Category]="junior"))</f>
        <v>3.4</v>
      </c>
      <c r="AE8" s="43" t="s">
        <v>63</v>
      </c>
      <c r="AF8" s="43" t="s">
        <v>60</v>
      </c>
      <c r="AG8" s="43" t="s">
        <v>39</v>
      </c>
      <c r="AH8">
        <v>4</v>
      </c>
      <c r="AI8" t="s">
        <v>330</v>
      </c>
      <c r="AJ8" s="43" t="s">
        <v>308</v>
      </c>
      <c r="AK8">
        <v>4.4000000000000004</v>
      </c>
    </row>
    <row r="9" spans="1:37" x14ac:dyDescent="0.25">
      <c r="A9" t="s">
        <v>37</v>
      </c>
      <c r="B9" s="2" t="s">
        <v>26</v>
      </c>
      <c r="C9" s="2" t="s">
        <v>38</v>
      </c>
      <c r="D9" t="s">
        <v>39</v>
      </c>
      <c r="E9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9" s="4">
        <v>3</v>
      </c>
      <c r="G9" s="7">
        <v>7.8</v>
      </c>
      <c r="H9" s="7">
        <v>10.8</v>
      </c>
      <c r="I9" s="4">
        <v>3</v>
      </c>
      <c r="J9" s="7">
        <v>7.2</v>
      </c>
      <c r="K9" s="7">
        <v>10.199999999999999</v>
      </c>
      <c r="L9" s="4">
        <v>3.1</v>
      </c>
      <c r="M9" s="7">
        <v>7.65</v>
      </c>
      <c r="N9" s="7">
        <v>10.75</v>
      </c>
      <c r="O9" s="4">
        <v>2.8</v>
      </c>
      <c r="P9" s="7">
        <v>6.5</v>
      </c>
      <c r="Q9" s="7">
        <v>9.3000000000000007</v>
      </c>
      <c r="R9" s="4">
        <f>LARGE(CHOOSE({1;2;3;4},F9,I9,L9,O9),1)+LARGE(CHOOSE({1;2;3;4},F9,I9,L9,O9),2)+LARGE(CHOOSE({1;2;3;4},F9,I9,L9,O9),3)</f>
        <v>9.1</v>
      </c>
      <c r="S9" s="7">
        <f>LARGE(CHOOSE({1;2;3;4},G9,J9,M9,P9),1)+LARGE(CHOOSE({1;2;3;4},G9,J9,M9,P9),2)+LARGE(CHOOSE({1;2;3;4},G9,J9,M9,P9),3)</f>
        <v>22.65</v>
      </c>
      <c r="T9" s="7">
        <f>LARGE(CHOOSE({1;2;3;4},H9,K9,N9,Q9),1)+LARGE(CHOOSE({1;2;3;4},H9,K9,N9,Q9),2)+LARGE(CHOOSE({1;2;3;4},H9,K9,N9,Q9),3)</f>
        <v>31.75</v>
      </c>
      <c r="U9" s="4" cm="1">
        <f t="array" ref="U9">IF(HB[[#This Row],[Number_of_competition]:[Number_of_competition]]&gt;=3,(LARGE(CHOOSE({1;2;3;4},F9,I9,L9,O9),1)+LARGE(CHOOSE({1;2;3;4},F9,I9,L9,O9),2)+LARGE(CHOOSE({1;2;3;4},F9,I9,L9,O9),3))/3,0)</f>
        <v>3.0333333333333332</v>
      </c>
      <c r="V9" s="7" cm="1">
        <f t="array" ref="V9">IF(HB[[#This Row],[Number_of_competition]:[Number_of_competition]]&gt;=3,(LARGE(CHOOSE({1;2;3;4},G9,J9,M9,P9),1)+LARGE(CHOOSE({1;2;3;4},G9,J9,M9,P9),2)+LARGE(CHOOSE({1;2;3;4},G9,J9,M9,P9),3))/3,0)</f>
        <v>7.55</v>
      </c>
      <c r="W9" s="7" cm="1">
        <f t="array" ref="W9">IF(HB[[#This Row],[Number_of_competition]:[Number_of_competition]]&gt;=3,(LARGE(CHOOSE({1;2;3;4},H9,K9,N9,Q9),1)+LARGE(CHOOSE({1;2;3;4},H9,K9,N9,Q9),2)+LARGE(CHOOSE({1;2;3;4},H9,K9,N9,Q9),3))/3,0)</f>
        <v>10.583333333333334</v>
      </c>
      <c r="Y9" s="40"/>
      <c r="Z9" s="20" t="s">
        <v>267</v>
      </c>
      <c r="AA9" s="22" cm="1">
        <f t="array" ref="AA9">SUM(_xlfn._xlws.FILTER(HB[bydgoszcz_HB_Escore],HB[Category]="junior"),_xlfn._xlws.FILTER(HB[zabrze_HB_Escore],HB[Category]="junior"),_xlfn._xlws.FILTER(HB[cracow_HB_Escore],HB[Category]="junior"),_xlfn._xlws.FILTER(HB[gdansk_HB_Escore],HB[Category]="junior"))/(COUNTIFS(HB[bydgoszcz_HB_Escore],"&gt;0",HB[Category],"junior")+COUNTIFS(HB[zabrze_HB_Escore],"&gt;0",HB[Category],"junior")+COUNTIFS(HB[cracow_HB_Escore],"&gt;0",HB[Category],"junior")+COUNTIFS(HB[gdansk_HB_Escore],"&gt;0",HB[Category],"junior"))</f>
        <v>7.4622448979591836</v>
      </c>
      <c r="AB9" s="22" cm="1">
        <f t="array" ref="AB9">_xlfn.STDEV.S(_xlfn._xlws.FILTER(HB[bydgoszcz_HB_Escore],(HB[Category]="junior")*(HB[bydgoszcz_HB_Escore])&gt;0),_xlfn._xlws.FILTER(HB[zabrze_HB_Escore],(HB[Category]="junior")*(HB[zabrze_HB_Escore])&gt;0),_xlfn._xlws.FILTER(HB[cracow_HB_Escore],(HB[Category]="junior")*(HB[cracow_HB_Escore])&gt;0),_xlfn._xlws.FILTER(HB[gdansk_HB_Escore],(HB[Category]="junior")*(HB[gdansk_HB_Escore])&gt;0))</f>
        <v>1.656443561401604</v>
      </c>
      <c r="AC9" s="22" cm="1">
        <f t="array" ref="AC9">MAX(_xlfn._xlws.FILTER(HB[bydgoszcz_HB_Escore],HB[Category]="junior"),_xlfn._xlws.FILTER(HB[zabrze_HB_Escore],HB[Category]="junior"),_xlfn._xlws.FILTER(HB[cracow_HB_Escore],HB[Category]="junior"),_xlfn._xlws.FILTER(HB[gdansk_HB_Escore],HB[Category]="junior"))</f>
        <v>9.4499999999999993</v>
      </c>
      <c r="AE9" s="43" t="s">
        <v>63</v>
      </c>
      <c r="AF9" s="43" t="s">
        <v>60</v>
      </c>
      <c r="AG9" s="43" t="s">
        <v>39</v>
      </c>
      <c r="AH9">
        <v>4</v>
      </c>
      <c r="AI9" t="s">
        <v>330</v>
      </c>
      <c r="AJ9" s="43" t="s">
        <v>309</v>
      </c>
      <c r="AK9">
        <v>8.4</v>
      </c>
    </row>
    <row r="10" spans="1:37" x14ac:dyDescent="0.25">
      <c r="A10" t="s">
        <v>73</v>
      </c>
      <c r="B10" s="2" t="s">
        <v>60</v>
      </c>
      <c r="C10" s="2" t="s">
        <v>74</v>
      </c>
      <c r="D10" t="s">
        <v>62</v>
      </c>
      <c r="E10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10" s="4">
        <v>3.1</v>
      </c>
      <c r="G10" s="7">
        <v>7.3</v>
      </c>
      <c r="H10" s="7">
        <v>10.4</v>
      </c>
      <c r="I10" s="4">
        <v>2.7</v>
      </c>
      <c r="J10" s="7">
        <v>7.55</v>
      </c>
      <c r="K10" s="7">
        <v>10.25</v>
      </c>
      <c r="L10" s="4">
        <v>2.7</v>
      </c>
      <c r="M10" s="7">
        <v>8.1999999999999993</v>
      </c>
      <c r="N10" s="7">
        <v>10.9</v>
      </c>
      <c r="O10" s="4">
        <v>2.6</v>
      </c>
      <c r="P10" s="7">
        <v>5.8</v>
      </c>
      <c r="Q10" s="7">
        <v>8.4</v>
      </c>
      <c r="R10" s="4">
        <f>LARGE(CHOOSE({1;2;3;4},F10,I10,L10,O10),1)+LARGE(CHOOSE({1;2;3;4},F10,I10,L10,O10),2)+LARGE(CHOOSE({1;2;3;4},F10,I10,L10,O10),3)</f>
        <v>8.5</v>
      </c>
      <c r="S10" s="7">
        <f>LARGE(CHOOSE({1;2;3;4},G10,J10,M10,P10),1)+LARGE(CHOOSE({1;2;3;4},G10,J10,M10,P10),2)+LARGE(CHOOSE({1;2;3;4},G10,J10,M10,P10),3)</f>
        <v>23.05</v>
      </c>
      <c r="T10" s="7">
        <f>LARGE(CHOOSE({1;2;3;4},H10,K10,N10,Q10),1)+LARGE(CHOOSE({1;2;3;4},H10,K10,N10,Q10),2)+LARGE(CHOOSE({1;2;3;4},H10,K10,N10,Q10),3)</f>
        <v>31.55</v>
      </c>
      <c r="U10" s="4" cm="1">
        <f t="array" ref="U10">IF(HB[[#This Row],[Number_of_competition]:[Number_of_competition]]&gt;=3,(LARGE(CHOOSE({1;2;3;4},F10,I10,L10,O10),1)+LARGE(CHOOSE({1;2;3;4},F10,I10,L10,O10),2)+LARGE(CHOOSE({1;2;3;4},F10,I10,L10,O10),3))/3,0)</f>
        <v>2.8333333333333335</v>
      </c>
      <c r="V10" s="7" cm="1">
        <f t="array" ref="V10">IF(HB[[#This Row],[Number_of_competition]:[Number_of_competition]]&gt;=3,(LARGE(CHOOSE({1;2;3;4},G10,J10,M10,P10),1)+LARGE(CHOOSE({1;2;3;4},G10,J10,M10,P10),2)+LARGE(CHOOSE({1;2;3;4},G10,J10,M10,P10),3))/3,0)</f>
        <v>7.6833333333333336</v>
      </c>
      <c r="W10" s="7" cm="1">
        <f t="array" ref="W10">IF(HB[[#This Row],[Number_of_competition]:[Number_of_competition]]&gt;=3,(LARGE(CHOOSE({1;2;3;4},H10,K10,N10,Q10),1)+LARGE(CHOOSE({1;2;3;4},H10,K10,N10,Q10),2)+LARGE(CHOOSE({1;2;3;4},H10,K10,N10,Q10),3))/3,0)</f>
        <v>10.516666666666667</v>
      </c>
      <c r="Y10" s="40"/>
      <c r="Z10" s="20" t="s">
        <v>268</v>
      </c>
      <c r="AA10" s="22" cm="1">
        <f t="array" ref="AA10">SUM(_xlfn._xlws.FILTER(HB[bydgoszcz_HB_Total_Score],HB[Category]="junior"),_xlfn._xlws.FILTER(HB[zabrze_HB_Total_Score],HB[Category]="junior"),_xlfn._xlws.FILTER(HB[cracow_HB_Total_Score],HB[Category]="junior"),_xlfn._xlws.FILTER(HB[gdansk_HB_Total_Score],HB[Category]="junior"))/(COUNTIFS(HB[bydgoszcz_HB_Total_Score],"&gt;0",HB[Category],"junior")+COUNTIFS(HB[zabrze_HB_Total_Score],"&gt;0",HB[Category],"junior")+COUNTIFS(HB[cracow_HB_Total_Score],"&gt;0",HB[Category],"junior")+COUNTIFS(HB[gdansk_HB_Total_Score],"&gt;0",HB[Category],"junior"))</f>
        <v>9.8683673469387774</v>
      </c>
      <c r="AB10" s="22" cm="1">
        <f t="array" ref="AB10">_xlfn.STDEV.S(_xlfn._xlws.FILTER(HB[bydgoszcz_HB_Total_Score],(HB[Category]="junior")*(HB[bydgoszcz_HB_Total_Score])&gt;0),_xlfn._xlws.FILTER(HB[zabrze_HB_Total_Score],(HB[Category]="junior")*(HB[zabrze_HB_Total_Score])&gt;0),_xlfn._xlws.FILTER(HB[cracow_HB_Total_Score],(HB[Category]="junior")*(HB[cracow_HB_Total_Score])&gt;0),_xlfn._xlws.FILTER(HB[gdansk_HB_Total_Score],(HB[Category]="junior")*(HB[gdansk_HB_Total_Score])&gt;0))</f>
        <v>2.0639437845004838</v>
      </c>
      <c r="AC10" s="22" cm="1">
        <f t="array" ref="AC10">MAX(_xlfn._xlws.FILTER(HB[bydgoszcz_HB_Total_Score],HB[Category]="junior"),_xlfn._xlws.FILTER(HB[zabrze_HB_Total_Score],HB[Category]="junior"),_xlfn._xlws.FILTER(HB[cracow_HB_Total_Score],HB[Category]="junior"),_xlfn._xlws.FILTER(HB[gdansk_HB_Total_Score],HB[Category]="junior"))</f>
        <v>12.15</v>
      </c>
      <c r="AE10" s="43" t="s">
        <v>63</v>
      </c>
      <c r="AF10" s="43" t="s">
        <v>60</v>
      </c>
      <c r="AG10" s="43" t="s">
        <v>39</v>
      </c>
      <c r="AH10">
        <v>4</v>
      </c>
      <c r="AI10" t="s">
        <v>330</v>
      </c>
      <c r="AJ10" s="43" t="s">
        <v>268</v>
      </c>
      <c r="AK10">
        <v>12.8</v>
      </c>
    </row>
    <row r="11" spans="1:37" x14ac:dyDescent="0.25">
      <c r="A11" t="s">
        <v>77</v>
      </c>
      <c r="B11" s="2" t="s">
        <v>60</v>
      </c>
      <c r="C11" s="2" t="s">
        <v>78</v>
      </c>
      <c r="D11" t="s">
        <v>79</v>
      </c>
      <c r="E11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11" s="4">
        <v>3</v>
      </c>
      <c r="G11" s="7">
        <v>7.2</v>
      </c>
      <c r="H11" s="7">
        <v>10.199999999999999</v>
      </c>
      <c r="I11" s="4">
        <v>2.6</v>
      </c>
      <c r="J11" s="7">
        <v>7.5</v>
      </c>
      <c r="K11" s="7">
        <v>10.1</v>
      </c>
      <c r="L11" s="4">
        <v>3</v>
      </c>
      <c r="M11" s="7">
        <v>8.1</v>
      </c>
      <c r="N11" s="7">
        <v>11.1</v>
      </c>
      <c r="O11" s="4">
        <v>2.6</v>
      </c>
      <c r="P11" s="7">
        <v>7.3</v>
      </c>
      <c r="Q11" s="7">
        <v>9.9</v>
      </c>
      <c r="R11" s="4">
        <f>LARGE(CHOOSE({1;2;3;4},F11,I11,L11,O11),1)+LARGE(CHOOSE({1;2;3;4},F11,I11,L11,O11),2)+LARGE(CHOOSE({1;2;3;4},F11,I11,L11,O11),3)</f>
        <v>8.6</v>
      </c>
      <c r="S11" s="7">
        <f>LARGE(CHOOSE({1;2;3;4},G11,J11,M11,P11),1)+LARGE(CHOOSE({1;2;3;4},G11,J11,M11,P11),2)+LARGE(CHOOSE({1;2;3;4},G11,J11,M11,P11),3)</f>
        <v>22.9</v>
      </c>
      <c r="T11" s="7">
        <f>LARGE(CHOOSE({1;2;3;4},H11,K11,N11,Q11),1)+LARGE(CHOOSE({1;2;3;4},H11,K11,N11,Q11),2)+LARGE(CHOOSE({1;2;3;4},H11,K11,N11,Q11),3)</f>
        <v>31.4</v>
      </c>
      <c r="U11" s="4" cm="1">
        <f t="array" ref="U11">IF(HB[[#This Row],[Number_of_competition]:[Number_of_competition]]&gt;=3,(LARGE(CHOOSE({1;2;3;4},F11,I11,L11,O11),1)+LARGE(CHOOSE({1;2;3;4},F11,I11,L11,O11),2)+LARGE(CHOOSE({1;2;3;4},F11,I11,L11,O11),3))/3,0)</f>
        <v>2.8666666666666667</v>
      </c>
      <c r="V11" s="7" cm="1">
        <f t="array" ref="V11">IF(HB[[#This Row],[Number_of_competition]:[Number_of_competition]]&gt;=3,(LARGE(CHOOSE({1;2;3;4},G11,J11,M11,P11),1)+LARGE(CHOOSE({1;2;3;4},G11,J11,M11,P11),2)+LARGE(CHOOSE({1;2;3;4},G11,J11,M11,P11),3))/3,0)</f>
        <v>7.6333333333333329</v>
      </c>
      <c r="W11" s="7" cm="1">
        <f t="array" ref="W11">IF(HB[[#This Row],[Number_of_competition]:[Number_of_competition]]&gt;=3,(LARGE(CHOOSE({1;2;3;4},H11,K11,N11,Q11),1)+LARGE(CHOOSE({1;2;3;4},H11,K11,N11,Q11),2)+LARGE(CHOOSE({1;2;3;4},H11,K11,N11,Q11),3))/3,0)</f>
        <v>10.466666666666667</v>
      </c>
      <c r="Y11" s="40"/>
      <c r="Z11" s="20" t="s">
        <v>275</v>
      </c>
      <c r="AA11" s="21" cm="1">
        <f t="array" ref="AA11">SUM(_xlfn._xlws.FILTER(HB[Year_Dscore],(HB[Category]="junior")*(HB[Number_of_competition]&gt;=3))/COUNTIFS(HB[Number_of_competition],"&gt;=3",HB[Category],"junior"))</f>
        <v>7.4363636363636365</v>
      </c>
      <c r="AB11" s="21" cm="1">
        <f t="array" ref="AB11">_xlfn.STDEV.S(_xlfn._xlws.FILTER(HB[Year_Dscore],(HB[Category]="junior")*(HB[Number_of_competition]&gt;=3)))</f>
        <v>1.7755408906993468</v>
      </c>
      <c r="AC11" s="21" cm="1">
        <f t="array" ref="AC11">MAX(_xlfn._xlws.FILTER(HB[Year_Dscore],HB[Category]="junior"))</f>
        <v>10.199999999999999</v>
      </c>
      <c r="AE11" s="43" t="s">
        <v>63</v>
      </c>
      <c r="AF11" s="43" t="s">
        <v>60</v>
      </c>
      <c r="AG11" s="43" t="s">
        <v>39</v>
      </c>
      <c r="AH11">
        <v>4</v>
      </c>
      <c r="AI11" t="s">
        <v>331</v>
      </c>
      <c r="AJ11" s="43" t="s">
        <v>308</v>
      </c>
      <c r="AK11">
        <v>4.2</v>
      </c>
    </row>
    <row r="12" spans="1:37" x14ac:dyDescent="0.25">
      <c r="A12" t="s">
        <v>44</v>
      </c>
      <c r="B12" s="2" t="s">
        <v>26</v>
      </c>
      <c r="C12" s="2" t="s">
        <v>45</v>
      </c>
      <c r="D12" t="s">
        <v>39</v>
      </c>
      <c r="E12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12" s="4">
        <v>2.4</v>
      </c>
      <c r="G12" s="7">
        <v>7.8</v>
      </c>
      <c r="H12" s="7">
        <v>10.199999999999999</v>
      </c>
      <c r="I12" s="4">
        <v>2.4</v>
      </c>
      <c r="J12" s="7">
        <v>7.9</v>
      </c>
      <c r="K12" s="7">
        <v>10.3</v>
      </c>
      <c r="L12" s="4">
        <v>2.7</v>
      </c>
      <c r="M12" s="7">
        <v>8.15</v>
      </c>
      <c r="N12" s="7">
        <v>10.85</v>
      </c>
      <c r="O12" s="4">
        <v>2.2999999999999998</v>
      </c>
      <c r="P12" s="7">
        <v>7.5</v>
      </c>
      <c r="Q12" s="7">
        <v>9.8000000000000007</v>
      </c>
      <c r="R12" s="4">
        <f>LARGE(CHOOSE({1;2;3;4},F12,I12,L12,O12),1)+LARGE(CHOOSE({1;2;3;4},F12,I12,L12,O12),2)+LARGE(CHOOSE({1;2;3;4},F12,I12,L12,O12),3)</f>
        <v>7.5</v>
      </c>
      <c r="S12" s="7">
        <f>LARGE(CHOOSE({1;2;3;4},G12,J12,M12,P12),1)+LARGE(CHOOSE({1;2;3;4},G12,J12,M12,P12),2)+LARGE(CHOOSE({1;2;3;4},G12,J12,M12,P12),3)</f>
        <v>23.85</v>
      </c>
      <c r="T12" s="7">
        <f>LARGE(CHOOSE({1;2;3;4},H12,K12,N12,Q12),1)+LARGE(CHOOSE({1;2;3;4},H12,K12,N12,Q12),2)+LARGE(CHOOSE({1;2;3;4},H12,K12,N12,Q12),3)</f>
        <v>31.349999999999998</v>
      </c>
      <c r="U12" s="4" cm="1">
        <f t="array" ref="U12">IF(HB[[#This Row],[Number_of_competition]:[Number_of_competition]]&gt;=3,(LARGE(CHOOSE({1;2;3;4},F12,I12,L12,O12),1)+LARGE(CHOOSE({1;2;3;4},F12,I12,L12,O12),2)+LARGE(CHOOSE({1;2;3;4},F12,I12,L12,O12),3))/3,0)</f>
        <v>2.5</v>
      </c>
      <c r="V12" s="7" cm="1">
        <f t="array" ref="V12">IF(HB[[#This Row],[Number_of_competition]:[Number_of_competition]]&gt;=3,(LARGE(CHOOSE({1;2;3;4},G12,J12,M12,P12),1)+LARGE(CHOOSE({1;2;3;4},G12,J12,M12,P12),2)+LARGE(CHOOSE({1;2;3;4},G12,J12,M12,P12),3))/3,0)</f>
        <v>7.95</v>
      </c>
      <c r="W12" s="7" cm="1">
        <f t="array" ref="W12">IF(HB[[#This Row],[Number_of_competition]:[Number_of_competition]]&gt;=3,(LARGE(CHOOSE({1;2;3;4},H12,K12,N12,Q12),1)+LARGE(CHOOSE({1;2;3;4},H12,K12,N12,Q12),2)+LARGE(CHOOSE({1;2;3;4},H12,K12,N12,Q12),3))/3,0)</f>
        <v>10.45</v>
      </c>
      <c r="Y12" s="40"/>
      <c r="Z12" s="20" t="s">
        <v>276</v>
      </c>
      <c r="AA12" s="22" cm="1">
        <f t="array" ref="AA12">SUM(_xlfn._xlws.FILTER(HB[Year_Escore],(HB[Category]="junior")*(HB[Number_of_competition]&gt;=3))/COUNTIFS(HB[Number_of_competition],"&gt;=3",HB[Category],"junior"))</f>
        <v>23.386363636363633</v>
      </c>
      <c r="AB12" s="22" cm="1">
        <f t="array" ref="AB12">_xlfn.STDEV.S(_xlfn._xlws.FILTER(HB[Year_Escore],(HB[Category]="junior")*(HB[Number_of_competition]&gt;=3)))</f>
        <v>2.4494990211358441</v>
      </c>
      <c r="AC12" s="22" cm="1">
        <f t="array" ref="AC12">MAX(_xlfn._xlws.FILTER(HB[Year_Escore],HB[Category]="junior"))</f>
        <v>27.85</v>
      </c>
      <c r="AE12" s="43" t="s">
        <v>63</v>
      </c>
      <c r="AF12" s="43" t="s">
        <v>60</v>
      </c>
      <c r="AG12" s="43" t="s">
        <v>39</v>
      </c>
      <c r="AH12">
        <v>4</v>
      </c>
      <c r="AI12" t="s">
        <v>331</v>
      </c>
      <c r="AJ12" s="43" t="s">
        <v>309</v>
      </c>
      <c r="AK12">
        <v>8</v>
      </c>
    </row>
    <row r="13" spans="1:37" x14ac:dyDescent="0.25">
      <c r="A13" t="s">
        <v>32</v>
      </c>
      <c r="B13" s="2" t="s">
        <v>26</v>
      </c>
      <c r="C13" s="2" t="s">
        <v>33</v>
      </c>
      <c r="D13" t="s">
        <v>31</v>
      </c>
      <c r="E13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13" s="4">
        <v>3.1</v>
      </c>
      <c r="G13" s="7">
        <v>7.7</v>
      </c>
      <c r="H13" s="7">
        <v>10.8</v>
      </c>
      <c r="I13" s="4">
        <v>3.2</v>
      </c>
      <c r="J13" s="7">
        <v>7.8</v>
      </c>
      <c r="K13" s="7">
        <v>11</v>
      </c>
      <c r="L13" s="4">
        <v>3.1</v>
      </c>
      <c r="M13" s="7">
        <v>4.7</v>
      </c>
      <c r="N13" s="7">
        <v>7.8</v>
      </c>
      <c r="O13" s="4">
        <v>2.9</v>
      </c>
      <c r="P13" s="7">
        <v>6.2</v>
      </c>
      <c r="Q13" s="7">
        <v>9.1</v>
      </c>
      <c r="R13" s="4">
        <f>LARGE(CHOOSE({1;2;3;4},F13,I13,L13,O13),1)+LARGE(CHOOSE({1;2;3;4},F13,I13,L13,O13),2)+LARGE(CHOOSE({1;2;3;4},F13,I13,L13,O13),3)</f>
        <v>9.4</v>
      </c>
      <c r="S13" s="7">
        <f>LARGE(CHOOSE({1;2;3;4},G13,J13,M13,P13),1)+LARGE(CHOOSE({1;2;3;4},G13,J13,M13,P13),2)+LARGE(CHOOSE({1;2;3;4},G13,J13,M13,P13),3)</f>
        <v>21.7</v>
      </c>
      <c r="T13" s="7">
        <f>LARGE(CHOOSE({1;2;3;4},H13,K13,N13,Q13),1)+LARGE(CHOOSE({1;2;3;4},H13,K13,N13,Q13),2)+LARGE(CHOOSE({1;2;3;4},H13,K13,N13,Q13),3)</f>
        <v>30.9</v>
      </c>
      <c r="U13" s="4" cm="1">
        <f t="array" ref="U13">IF(HB[[#This Row],[Number_of_competition]:[Number_of_competition]]&gt;=3,(LARGE(CHOOSE({1;2;3;4},F13,I13,L13,O13),1)+LARGE(CHOOSE({1;2;3;4},F13,I13,L13,O13),2)+LARGE(CHOOSE({1;2;3;4},F13,I13,L13,O13),3))/3,0)</f>
        <v>3.1333333333333333</v>
      </c>
      <c r="V13" s="7" cm="1">
        <f t="array" ref="V13">IF(HB[[#This Row],[Number_of_competition]:[Number_of_competition]]&gt;=3,(LARGE(CHOOSE({1;2;3;4},G13,J13,M13,P13),1)+LARGE(CHOOSE({1;2;3;4},G13,J13,M13,P13),2)+LARGE(CHOOSE({1;2;3;4},G13,J13,M13,P13),3))/3,0)</f>
        <v>7.2333333333333334</v>
      </c>
      <c r="W13" s="7" cm="1">
        <f t="array" ref="W13">IF(HB[[#This Row],[Number_of_competition]:[Number_of_competition]]&gt;=3,(LARGE(CHOOSE({1;2;3;4},H13,K13,N13,Q13),1)+LARGE(CHOOSE({1;2;3;4},H13,K13,N13,Q13),2)+LARGE(CHOOSE({1;2;3;4},H13,K13,N13,Q13),3))/3,0)</f>
        <v>10.299999999999999</v>
      </c>
      <c r="Y13" s="41"/>
      <c r="Z13" s="20" t="s">
        <v>277</v>
      </c>
      <c r="AA13" s="22" cm="1">
        <f t="array" ref="AA13">SUM(_xlfn._xlws.FILTER(HB[Year_Total_Score],(HB[Category]="junior")*(HB[Number_of_competition]&gt;=3))/COUNTIFS(HB[Number_of_competition],"&gt;=3",HB[Category],"junior"))</f>
        <v>30.795454545454543</v>
      </c>
      <c r="AB13" s="22" cm="1">
        <f t="array" ref="AB13">_xlfn.STDEV.S(_xlfn._xlws.FILTER(HB[Year_Total_Score],(HB[Category]="junior")*(HB[Number_of_competition]&gt;=3)))</f>
        <v>3.0969706606177718</v>
      </c>
      <c r="AC13" s="22" cm="1">
        <f t="array" ref="AC13">MAX(_xlfn._xlws.FILTER(HB[Year_Total_Score],HB[Category]="junior"))</f>
        <v>35.950000000000003</v>
      </c>
      <c r="AE13" s="43" t="s">
        <v>63</v>
      </c>
      <c r="AF13" s="43" t="s">
        <v>60</v>
      </c>
      <c r="AG13" s="43" t="s">
        <v>39</v>
      </c>
      <c r="AH13">
        <v>4</v>
      </c>
      <c r="AI13" t="s">
        <v>331</v>
      </c>
      <c r="AJ13" s="43" t="s">
        <v>268</v>
      </c>
      <c r="AK13">
        <v>12.2</v>
      </c>
    </row>
    <row r="14" spans="1:37" x14ac:dyDescent="0.25">
      <c r="A14" t="s">
        <v>48</v>
      </c>
      <c r="B14" s="2" t="s">
        <v>26</v>
      </c>
      <c r="C14" s="2" t="s">
        <v>49</v>
      </c>
      <c r="D14" t="s">
        <v>36</v>
      </c>
      <c r="E14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14" s="4">
        <v>1.9</v>
      </c>
      <c r="G14" s="7">
        <v>8</v>
      </c>
      <c r="H14" s="7">
        <v>9.9</v>
      </c>
      <c r="I14" s="4">
        <v>1.9</v>
      </c>
      <c r="J14" s="7">
        <v>8.1999999999999993</v>
      </c>
      <c r="K14" s="7">
        <v>10.1</v>
      </c>
      <c r="L14" s="4">
        <v>1.9</v>
      </c>
      <c r="M14" s="7">
        <v>8.6</v>
      </c>
      <c r="N14" s="7">
        <v>10.5</v>
      </c>
      <c r="O14" s="4">
        <v>1.9</v>
      </c>
      <c r="P14" s="7">
        <v>8.1999999999999993</v>
      </c>
      <c r="Q14" s="7">
        <v>10.1</v>
      </c>
      <c r="R14" s="4">
        <f>LARGE(CHOOSE({1;2;3;4},F14,I14,L14,O14),1)+LARGE(CHOOSE({1;2;3;4},F14,I14,L14,O14),2)+LARGE(CHOOSE({1;2;3;4},F14,I14,L14,O14),3)</f>
        <v>5.6999999999999993</v>
      </c>
      <c r="S14" s="7">
        <f>LARGE(CHOOSE({1;2;3;4},G14,J14,M14,P14),1)+LARGE(CHOOSE({1;2;3;4},G14,J14,M14,P14),2)+LARGE(CHOOSE({1;2;3;4},G14,J14,M14,P14),3)</f>
        <v>24.999999999999996</v>
      </c>
      <c r="T14" s="7">
        <f>LARGE(CHOOSE({1;2;3;4},H14,K14,N14,Q14),1)+LARGE(CHOOSE({1;2;3;4},H14,K14,N14,Q14),2)+LARGE(CHOOSE({1;2;3;4},H14,K14,N14,Q14),3)</f>
        <v>30.700000000000003</v>
      </c>
      <c r="U14" s="4" cm="1">
        <f t="array" ref="U14">IF(HB[[#This Row],[Number_of_competition]:[Number_of_competition]]&gt;=3,(LARGE(CHOOSE({1;2;3;4},F14,I14,L14,O14),1)+LARGE(CHOOSE({1;2;3;4},F14,I14,L14,O14),2)+LARGE(CHOOSE({1;2;3;4},F14,I14,L14,O14),3))/3,0)</f>
        <v>1.8999999999999997</v>
      </c>
      <c r="V14" s="7" cm="1">
        <f t="array" ref="V14">IF(HB[[#This Row],[Number_of_competition]:[Number_of_competition]]&gt;=3,(LARGE(CHOOSE({1;2;3;4},G14,J14,M14,P14),1)+LARGE(CHOOSE({1;2;3;4},G14,J14,M14,P14),2)+LARGE(CHOOSE({1;2;3;4},G14,J14,M14,P14),3))/3,0)</f>
        <v>8.3333333333333321</v>
      </c>
      <c r="W14" s="7" cm="1">
        <f t="array" ref="W14">IF(HB[[#This Row],[Number_of_competition]:[Number_of_competition]]&gt;=3,(LARGE(CHOOSE({1;2;3;4},H14,K14,N14,Q14),1)+LARGE(CHOOSE({1;2;3;4},H14,K14,N14,Q14),2)+LARGE(CHOOSE({1;2;3;4},H14,K14,N14,Q14),3))/3,0)</f>
        <v>10.233333333333334</v>
      </c>
      <c r="AE14" s="43" t="s">
        <v>63</v>
      </c>
      <c r="AF14" s="43" t="s">
        <v>60</v>
      </c>
      <c r="AG14" s="43" t="s">
        <v>39</v>
      </c>
      <c r="AH14">
        <v>4</v>
      </c>
      <c r="AI14" t="s">
        <v>341</v>
      </c>
      <c r="AJ14" s="43" t="s">
        <v>308</v>
      </c>
      <c r="AK14">
        <v>13.200000000000001</v>
      </c>
    </row>
    <row r="15" spans="1:37" x14ac:dyDescent="0.25">
      <c r="A15" t="s">
        <v>80</v>
      </c>
      <c r="B15" s="2" t="s">
        <v>60</v>
      </c>
      <c r="C15" s="2" t="s">
        <v>81</v>
      </c>
      <c r="D15" t="s">
        <v>62</v>
      </c>
      <c r="E15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15" s="4">
        <v>3</v>
      </c>
      <c r="G15" s="7">
        <v>7.6</v>
      </c>
      <c r="H15" s="7">
        <v>10.6</v>
      </c>
      <c r="I15" s="4">
        <v>2.5</v>
      </c>
      <c r="J15" s="7">
        <v>7.9</v>
      </c>
      <c r="K15" s="7">
        <v>10.4</v>
      </c>
      <c r="L15" s="4">
        <v>2.5</v>
      </c>
      <c r="M15" s="7">
        <v>7.2</v>
      </c>
      <c r="N15" s="7">
        <v>9.6999999999999993</v>
      </c>
      <c r="O15" s="4">
        <v>2.2000000000000002</v>
      </c>
      <c r="P15" s="7">
        <v>1</v>
      </c>
      <c r="Q15" s="7">
        <v>3.2</v>
      </c>
      <c r="R15" s="4">
        <f>LARGE(CHOOSE({1;2;3;4},F15,I15,L15,O15),1)+LARGE(CHOOSE({1;2;3;4},F15,I15,L15,O15),2)+LARGE(CHOOSE({1;2;3;4},F15,I15,L15,O15),3)</f>
        <v>8</v>
      </c>
      <c r="S15" s="7">
        <f>LARGE(CHOOSE({1;2;3;4},G15,J15,M15,P15),1)+LARGE(CHOOSE({1;2;3;4},G15,J15,M15,P15),2)+LARGE(CHOOSE({1;2;3;4},G15,J15,M15,P15),3)</f>
        <v>22.7</v>
      </c>
      <c r="T15" s="7">
        <f>LARGE(CHOOSE({1;2;3;4},H15,K15,N15,Q15),1)+LARGE(CHOOSE({1;2;3;4},H15,K15,N15,Q15),2)+LARGE(CHOOSE({1;2;3;4},H15,K15,N15,Q15),3)</f>
        <v>30.7</v>
      </c>
      <c r="U15" s="4" cm="1">
        <f t="array" ref="U15">IF(HB[[#This Row],[Number_of_competition]:[Number_of_competition]]&gt;=3,(LARGE(CHOOSE({1;2;3;4},F15,I15,L15,O15),1)+LARGE(CHOOSE({1;2;3;4},F15,I15,L15,O15),2)+LARGE(CHOOSE({1;2;3;4},F15,I15,L15,O15),3))/3,0)</f>
        <v>2.6666666666666665</v>
      </c>
      <c r="V15" s="7" cm="1">
        <f t="array" ref="V15">IF(HB[[#This Row],[Number_of_competition]:[Number_of_competition]]&gt;=3,(LARGE(CHOOSE({1;2;3;4},G15,J15,M15,P15),1)+LARGE(CHOOSE({1;2;3;4},G15,J15,M15,P15),2)+LARGE(CHOOSE({1;2;3;4},G15,J15,M15,P15),3))/3,0)</f>
        <v>7.5666666666666664</v>
      </c>
      <c r="W15" s="7" cm="1">
        <f t="array" ref="W15">IF(HB[[#This Row],[Number_of_competition]:[Number_of_competition]]&gt;=3,(LARGE(CHOOSE({1;2;3;4},H15,K15,N15,Q15),1)+LARGE(CHOOSE({1;2;3;4},H15,K15,N15,Q15),2)+LARGE(CHOOSE({1;2;3;4},H15,K15,N15,Q15),3))/3,0)</f>
        <v>10.233333333333333</v>
      </c>
      <c r="Y15" s="28" t="s">
        <v>296</v>
      </c>
      <c r="AE15" s="43" t="s">
        <v>63</v>
      </c>
      <c r="AF15" s="43" t="s">
        <v>60</v>
      </c>
      <c r="AG15" s="43" t="s">
        <v>39</v>
      </c>
      <c r="AH15">
        <v>4</v>
      </c>
      <c r="AI15" t="s">
        <v>341</v>
      </c>
      <c r="AJ15" s="43" t="s">
        <v>309</v>
      </c>
      <c r="AK15">
        <v>24.4</v>
      </c>
    </row>
    <row r="16" spans="1:37" x14ac:dyDescent="0.25">
      <c r="A16" t="s">
        <v>29</v>
      </c>
      <c r="B16" s="2" t="s">
        <v>26</v>
      </c>
      <c r="C16" s="2" t="s">
        <v>30</v>
      </c>
      <c r="D16" t="s">
        <v>31</v>
      </c>
      <c r="E16" s="6">
        <f>COUNTIF(HB[[#This Row],[bydgoszcz_HB_Total_Score]],"&gt;0")+COUNTIF(HB[[#This Row],[zabrze_HB_Total_Score]],"&gt;0")+COUNTIF(HB[[#This Row],[cracow_HB_Total_Score]],"&gt;0")+COUNTIF(HB[[#This Row],[gdansk_HB_Total_Score]],"&gt;0")</f>
        <v>3</v>
      </c>
      <c r="F16" s="4">
        <v>2.4</v>
      </c>
      <c r="G16" s="7">
        <v>7.9</v>
      </c>
      <c r="H16" s="7">
        <v>10.3</v>
      </c>
      <c r="I16" s="4">
        <v>3</v>
      </c>
      <c r="J16" s="7">
        <v>7.9</v>
      </c>
      <c r="K16" s="7">
        <v>10.9</v>
      </c>
      <c r="L16" s="4">
        <v>0</v>
      </c>
      <c r="M16" s="7">
        <v>0</v>
      </c>
      <c r="N16" s="7">
        <v>0</v>
      </c>
      <c r="O16" s="4">
        <v>2.7</v>
      </c>
      <c r="P16" s="7">
        <v>6.7</v>
      </c>
      <c r="Q16" s="7">
        <v>9.4</v>
      </c>
      <c r="R16" s="4">
        <f>LARGE(CHOOSE({1;2;3;4},F16,I16,L16,O16),1)+LARGE(CHOOSE({1;2;3;4},F16,I16,L16,O16),2)+LARGE(CHOOSE({1;2;3;4},F16,I16,L16,O16),3)</f>
        <v>8.1</v>
      </c>
      <c r="S16" s="7">
        <f>LARGE(CHOOSE({1;2;3;4},G16,J16,M16,P16),1)+LARGE(CHOOSE({1;2;3;4},G16,J16,M16,P16),2)+LARGE(CHOOSE({1;2;3;4},G16,J16,M16,P16),3)</f>
        <v>22.5</v>
      </c>
      <c r="T16" s="7">
        <f>LARGE(CHOOSE({1;2;3;4},H16,K16,N16,Q16),1)+LARGE(CHOOSE({1;2;3;4},H16,K16,N16,Q16),2)+LARGE(CHOOSE({1;2;3;4},H16,K16,N16,Q16),3)</f>
        <v>30.6</v>
      </c>
      <c r="U16" s="4" cm="1">
        <f t="array" ref="U16">IF(HB[[#This Row],[Number_of_competition]:[Number_of_competition]]&gt;=3,(LARGE(CHOOSE({1;2;3;4},F16,I16,L16,O16),1)+LARGE(CHOOSE({1;2;3;4},F16,I16,L16,O16),2)+LARGE(CHOOSE({1;2;3;4},F16,I16,L16,O16),3))/3,0)</f>
        <v>2.6999999999999997</v>
      </c>
      <c r="V16" s="7" cm="1">
        <f t="array" ref="V16">IF(HB[[#This Row],[Number_of_competition]:[Number_of_competition]]&gt;=3,(LARGE(CHOOSE({1;2;3;4},G16,J16,M16,P16),1)+LARGE(CHOOSE({1;2;3;4},G16,J16,M16,P16),2)+LARGE(CHOOSE({1;2;3;4},G16,J16,M16,P16),3))/3,0)</f>
        <v>7.5</v>
      </c>
      <c r="W16" s="7" cm="1">
        <f t="array" ref="W16">IF(HB[[#This Row],[Number_of_competition]:[Number_of_competition]]&gt;=3,(LARGE(CHOOSE({1;2;3;4},H16,K16,N16,Q16),1)+LARGE(CHOOSE({1;2;3;4},H16,K16,N16,Q16),2)+LARGE(CHOOSE({1;2;3;4},H16,K16,N16,Q16),3))/3,0)</f>
        <v>10.200000000000001</v>
      </c>
      <c r="Y16" s="29" t="s">
        <v>297</v>
      </c>
      <c r="AE16" s="43" t="s">
        <v>63</v>
      </c>
      <c r="AF16" s="43" t="s">
        <v>60</v>
      </c>
      <c r="AG16" s="43" t="s">
        <v>39</v>
      </c>
      <c r="AH16">
        <v>4</v>
      </c>
      <c r="AI16" t="s">
        <v>341</v>
      </c>
      <c r="AJ16" s="43" t="s">
        <v>268</v>
      </c>
      <c r="AK16">
        <v>37.400000000000006</v>
      </c>
    </row>
    <row r="17" spans="1:37" x14ac:dyDescent="0.25">
      <c r="A17" t="s">
        <v>40</v>
      </c>
      <c r="B17" s="2" t="s">
        <v>26</v>
      </c>
      <c r="C17" s="2" t="s">
        <v>41</v>
      </c>
      <c r="D17" t="s">
        <v>39</v>
      </c>
      <c r="E17" s="6">
        <f>COUNTIF(HB[[#This Row],[bydgoszcz_HB_Total_Score]],"&gt;0")+COUNTIF(HB[[#This Row],[zabrze_HB_Total_Score]],"&gt;0")+COUNTIF(HB[[#This Row],[cracow_HB_Total_Score]],"&gt;0")+COUNTIF(HB[[#This Row],[gdansk_HB_Total_Score]],"&gt;0")</f>
        <v>3</v>
      </c>
      <c r="F17" s="4">
        <v>0</v>
      </c>
      <c r="G17" s="7">
        <v>0</v>
      </c>
      <c r="H17" s="7">
        <v>0</v>
      </c>
      <c r="I17" s="4">
        <v>2.7</v>
      </c>
      <c r="J17" s="7">
        <v>8</v>
      </c>
      <c r="K17" s="7">
        <v>10.7</v>
      </c>
      <c r="L17" s="4">
        <v>2.6</v>
      </c>
      <c r="M17" s="7">
        <v>7.65</v>
      </c>
      <c r="N17" s="7">
        <v>10.25</v>
      </c>
      <c r="O17" s="4">
        <v>2.4</v>
      </c>
      <c r="P17" s="7">
        <v>7.2</v>
      </c>
      <c r="Q17" s="7">
        <v>9.6</v>
      </c>
      <c r="R17" s="4">
        <f>LARGE(CHOOSE({1;2;3;4},F17,I17,L17,O17),1)+LARGE(CHOOSE({1;2;3;4},F17,I17,L17,O17),2)+LARGE(CHOOSE({1;2;3;4},F17,I17,L17,O17),3)</f>
        <v>7.7000000000000011</v>
      </c>
      <c r="S17" s="7">
        <f>LARGE(CHOOSE({1;2;3;4},G17,J17,M17,P17),1)+LARGE(CHOOSE({1;2;3;4},G17,J17,M17,P17),2)+LARGE(CHOOSE({1;2;3;4},G17,J17,M17,P17),3)</f>
        <v>22.85</v>
      </c>
      <c r="T17" s="7">
        <f>LARGE(CHOOSE({1;2;3;4},H17,K17,N17,Q17),1)+LARGE(CHOOSE({1;2;3;4},H17,K17,N17,Q17),2)+LARGE(CHOOSE({1;2;3;4},H17,K17,N17,Q17),3)</f>
        <v>30.549999999999997</v>
      </c>
      <c r="U17" s="4" cm="1">
        <f t="array" ref="U17">IF(HB[[#This Row],[Number_of_competition]:[Number_of_competition]]&gt;=3,(LARGE(CHOOSE({1;2;3;4},F17,I17,L17,O17),1)+LARGE(CHOOSE({1;2;3;4},F17,I17,L17,O17),2)+LARGE(CHOOSE({1;2;3;4},F17,I17,L17,O17),3))/3,0)</f>
        <v>2.5666666666666669</v>
      </c>
      <c r="V17" s="7" cm="1">
        <f t="array" ref="V17">IF(HB[[#This Row],[Number_of_competition]:[Number_of_competition]]&gt;=3,(LARGE(CHOOSE({1;2;3;4},G17,J17,M17,P17),1)+LARGE(CHOOSE({1;2;3;4},G17,J17,M17,P17),2)+LARGE(CHOOSE({1;2;3;4},G17,J17,M17,P17),3))/3,0)</f>
        <v>7.6166666666666671</v>
      </c>
      <c r="W17" s="7" cm="1">
        <f t="array" ref="W17">IF(HB[[#This Row],[Number_of_competition]:[Number_of_competition]]&gt;=3,(LARGE(CHOOSE({1;2;3;4},H17,K17,N17,Q17),1)+LARGE(CHOOSE({1;2;3;4},H17,K17,N17,Q17),2)+LARGE(CHOOSE({1;2;3;4},H17,K17,N17,Q17),3))/3,0)</f>
        <v>10.183333333333332</v>
      </c>
      <c r="Y17" s="30" t="s">
        <v>298</v>
      </c>
      <c r="AE17" s="43" t="s">
        <v>63</v>
      </c>
      <c r="AF17" s="43" t="s">
        <v>60</v>
      </c>
      <c r="AG17" s="43" t="s">
        <v>39</v>
      </c>
      <c r="AH17">
        <v>4</v>
      </c>
      <c r="AI17" t="s">
        <v>273</v>
      </c>
      <c r="AJ17" s="43" t="s">
        <v>308</v>
      </c>
      <c r="AK17">
        <v>4.4000000000000004</v>
      </c>
    </row>
    <row r="18" spans="1:37" x14ac:dyDescent="0.25">
      <c r="A18" t="s">
        <v>42</v>
      </c>
      <c r="B18" s="2" t="s">
        <v>26</v>
      </c>
      <c r="C18" s="2" t="s">
        <v>43</v>
      </c>
      <c r="D18" t="s">
        <v>36</v>
      </c>
      <c r="E18" s="6">
        <f>COUNTIF(HB[[#This Row],[bydgoszcz_HB_Total_Score]],"&gt;0")+COUNTIF(HB[[#This Row],[zabrze_HB_Total_Score]],"&gt;0")+COUNTIF(HB[[#This Row],[cracow_HB_Total_Score]],"&gt;0")+COUNTIF(HB[[#This Row],[gdansk_HB_Total_Score]],"&gt;0")</f>
        <v>3</v>
      </c>
      <c r="F18" s="4">
        <v>0</v>
      </c>
      <c r="G18" s="7">
        <v>0</v>
      </c>
      <c r="H18" s="7">
        <v>0</v>
      </c>
      <c r="I18" s="4">
        <v>1.8</v>
      </c>
      <c r="J18" s="7">
        <v>8.4</v>
      </c>
      <c r="K18" s="7">
        <v>10.199999999999999</v>
      </c>
      <c r="L18" s="4">
        <v>1.8</v>
      </c>
      <c r="M18" s="7">
        <v>8.4</v>
      </c>
      <c r="N18" s="7">
        <v>10.199999999999999</v>
      </c>
      <c r="O18" s="4">
        <v>1.8</v>
      </c>
      <c r="P18" s="7">
        <v>7.9</v>
      </c>
      <c r="Q18" s="7">
        <v>9.6999999999999993</v>
      </c>
      <c r="R18" s="4">
        <f>LARGE(CHOOSE({1;2;3;4},F18,I18,L18,O18),1)+LARGE(CHOOSE({1;2;3;4},F18,I18,L18,O18),2)+LARGE(CHOOSE({1;2;3;4},F18,I18,L18,O18),3)</f>
        <v>5.4</v>
      </c>
      <c r="S18" s="7">
        <f>LARGE(CHOOSE({1;2;3;4},G18,J18,M18,P18),1)+LARGE(CHOOSE({1;2;3;4},G18,J18,M18,P18),2)+LARGE(CHOOSE({1;2;3;4},G18,J18,M18,P18),3)</f>
        <v>24.700000000000003</v>
      </c>
      <c r="T18" s="7">
        <f>LARGE(CHOOSE({1;2;3;4},H18,K18,N18,Q18),1)+LARGE(CHOOSE({1;2;3;4},H18,K18,N18,Q18),2)+LARGE(CHOOSE({1;2;3;4},H18,K18,N18,Q18),3)</f>
        <v>30.099999999999998</v>
      </c>
      <c r="U18" s="4" cm="1">
        <f t="array" ref="U18">IF(HB[[#This Row],[Number_of_competition]:[Number_of_competition]]&gt;=3,(LARGE(CHOOSE({1;2;3;4},F18,I18,L18,O18),1)+LARGE(CHOOSE({1;2;3;4},F18,I18,L18,O18),2)+LARGE(CHOOSE({1;2;3;4},F18,I18,L18,O18),3))/3,0)</f>
        <v>1.8</v>
      </c>
      <c r="V18" s="7" cm="1">
        <f t="array" ref="V18">IF(HB[[#This Row],[Number_of_competition]:[Number_of_competition]]&gt;=3,(LARGE(CHOOSE({1;2;3;4},G18,J18,M18,P18),1)+LARGE(CHOOSE({1;2;3;4},G18,J18,M18,P18),2)+LARGE(CHOOSE({1;2;3;4},G18,J18,M18,P18),3))/3,0)</f>
        <v>8.2333333333333343</v>
      </c>
      <c r="W18" s="7" cm="1">
        <f t="array" ref="W18">IF(HB[[#This Row],[Number_of_competition]:[Number_of_competition]]&gt;=3,(LARGE(CHOOSE({1;2;3;4},H18,K18,N18,Q18),1)+LARGE(CHOOSE({1;2;3;4},H18,K18,N18,Q18),2)+LARGE(CHOOSE({1;2;3;4},H18,K18,N18,Q18),3))/3,0)</f>
        <v>10.033333333333333</v>
      </c>
      <c r="Y18" s="31" t="s">
        <v>300</v>
      </c>
      <c r="AE18" s="43" t="s">
        <v>63</v>
      </c>
      <c r="AF18" s="43" t="s">
        <v>60</v>
      </c>
      <c r="AG18" s="43" t="s">
        <v>39</v>
      </c>
      <c r="AH18">
        <v>4</v>
      </c>
      <c r="AI18" t="s">
        <v>273</v>
      </c>
      <c r="AJ18" s="43" t="s">
        <v>309</v>
      </c>
      <c r="AK18">
        <v>8.1333333333333329</v>
      </c>
    </row>
    <row r="19" spans="1:37" x14ac:dyDescent="0.25">
      <c r="A19" t="s">
        <v>114</v>
      </c>
      <c r="B19" s="2" t="s">
        <v>26</v>
      </c>
      <c r="C19" s="2" t="s">
        <v>115</v>
      </c>
      <c r="D19" t="s">
        <v>36</v>
      </c>
      <c r="E19" s="6">
        <f>COUNTIF(HB[[#This Row],[bydgoszcz_HB_Total_Score]],"&gt;0")+COUNTIF(HB[[#This Row],[zabrze_HB_Total_Score]],"&gt;0")+COUNTIF(HB[[#This Row],[cracow_HB_Total_Score]],"&gt;0")+COUNTIF(HB[[#This Row],[gdansk_HB_Total_Score]],"&gt;0")</f>
        <v>3</v>
      </c>
      <c r="F19" s="4">
        <v>1.8</v>
      </c>
      <c r="G19" s="7">
        <v>8</v>
      </c>
      <c r="H19" s="7">
        <v>9.8000000000000007</v>
      </c>
      <c r="I19" s="4">
        <v>0</v>
      </c>
      <c r="J19" s="7">
        <v>0</v>
      </c>
      <c r="K19" s="7">
        <v>0</v>
      </c>
      <c r="L19" s="4">
        <v>1.8</v>
      </c>
      <c r="M19" s="7">
        <v>8.8000000000000007</v>
      </c>
      <c r="N19" s="7">
        <v>10.6</v>
      </c>
      <c r="O19" s="4">
        <v>1.8</v>
      </c>
      <c r="P19" s="7">
        <v>7.8</v>
      </c>
      <c r="Q19" s="7">
        <v>9.6</v>
      </c>
      <c r="R19" s="4">
        <f>LARGE(CHOOSE({1;2;3;4},F19,I19,L19,O19),1)+LARGE(CHOOSE({1;2;3;4},F19,I19,L19,O19),2)+LARGE(CHOOSE({1;2;3;4},F19,I19,L19,O19),3)</f>
        <v>5.4</v>
      </c>
      <c r="S19" s="7">
        <f>LARGE(CHOOSE({1;2;3;4},G19,J19,M19,P19),1)+LARGE(CHOOSE({1;2;3;4},G19,J19,M19,P19),2)+LARGE(CHOOSE({1;2;3;4},G19,J19,M19,P19),3)</f>
        <v>24.6</v>
      </c>
      <c r="T19" s="7">
        <f>LARGE(CHOOSE({1;2;3;4},H19,K19,N19,Q19),1)+LARGE(CHOOSE({1;2;3;4},H19,K19,N19,Q19),2)+LARGE(CHOOSE({1;2;3;4},H19,K19,N19,Q19),3)</f>
        <v>30</v>
      </c>
      <c r="U19" s="4" cm="1">
        <f t="array" ref="U19">IF(HB[[#This Row],[Number_of_competition]:[Number_of_competition]]&gt;=3,(LARGE(CHOOSE({1;2;3;4},F19,I19,L19,O19),1)+LARGE(CHOOSE({1;2;3;4},F19,I19,L19,O19),2)+LARGE(CHOOSE({1;2;3;4},F19,I19,L19,O19),3))/3,0)</f>
        <v>1.8</v>
      </c>
      <c r="V19" s="7" cm="1">
        <f t="array" ref="V19">IF(HB[[#This Row],[Number_of_competition]:[Number_of_competition]]&gt;=3,(LARGE(CHOOSE({1;2;3;4},G19,J19,M19,P19),1)+LARGE(CHOOSE({1;2;3;4},G19,J19,M19,P19),2)+LARGE(CHOOSE({1;2;3;4},G19,J19,M19,P19),3))/3,0)</f>
        <v>8.2000000000000011</v>
      </c>
      <c r="W19" s="7" cm="1">
        <f t="array" ref="W19">IF(HB[[#This Row],[Number_of_competition]:[Number_of_competition]]&gt;=3,(LARGE(CHOOSE({1;2;3;4},H19,K19,N19,Q19),1)+LARGE(CHOOSE({1;2;3;4},H19,K19,N19,Q19),2)+LARGE(CHOOSE({1;2;3;4},H19,K19,N19,Q19),3))/3,0)</f>
        <v>10</v>
      </c>
      <c r="Y19" s="32" t="s">
        <v>299</v>
      </c>
      <c r="AE19" s="43" t="s">
        <v>63</v>
      </c>
      <c r="AF19" s="43" t="s">
        <v>60</v>
      </c>
      <c r="AG19" s="43" t="s">
        <v>39</v>
      </c>
      <c r="AH19">
        <v>4</v>
      </c>
      <c r="AI19" t="s">
        <v>273</v>
      </c>
      <c r="AJ19" s="43" t="s">
        <v>268</v>
      </c>
      <c r="AK19">
        <v>12.466666666666669</v>
      </c>
    </row>
    <row r="20" spans="1:37" x14ac:dyDescent="0.25">
      <c r="A20" t="s">
        <v>100</v>
      </c>
      <c r="B20" s="2" t="s">
        <v>60</v>
      </c>
      <c r="C20" s="2" t="s">
        <v>101</v>
      </c>
      <c r="D20" t="s">
        <v>31</v>
      </c>
      <c r="E20" s="6">
        <f>COUNTIF(HB[[#This Row],[bydgoszcz_HB_Total_Score]],"&gt;0")+COUNTIF(HB[[#This Row],[zabrze_HB_Total_Score]],"&gt;0")+COUNTIF(HB[[#This Row],[cracow_HB_Total_Score]],"&gt;0")+COUNTIF(HB[[#This Row],[gdansk_HB_Total_Score]],"&gt;0")</f>
        <v>3</v>
      </c>
      <c r="F20" s="4">
        <v>2.7</v>
      </c>
      <c r="G20" s="7">
        <v>6.8</v>
      </c>
      <c r="H20" s="7">
        <v>9.5</v>
      </c>
      <c r="I20" s="4">
        <v>2</v>
      </c>
      <c r="J20" s="7">
        <v>5.2</v>
      </c>
      <c r="K20" s="7">
        <v>7.2</v>
      </c>
      <c r="L20" s="4">
        <v>2.1</v>
      </c>
      <c r="M20" s="7">
        <v>8.5</v>
      </c>
      <c r="N20" s="7">
        <v>10.6</v>
      </c>
      <c r="O20" s="4">
        <v>0</v>
      </c>
      <c r="P20" s="7">
        <v>0</v>
      </c>
      <c r="Q20" s="7">
        <v>0</v>
      </c>
      <c r="R20" s="4">
        <f>LARGE(CHOOSE({1;2;3;4},F20,I20,L20,O20),1)+LARGE(CHOOSE({1;2;3;4},F20,I20,L20,O20),2)+LARGE(CHOOSE({1;2;3;4},F20,I20,L20,O20),3)</f>
        <v>6.8000000000000007</v>
      </c>
      <c r="S20" s="7">
        <f>LARGE(CHOOSE({1;2;3;4},G20,J20,M20,P20),1)+LARGE(CHOOSE({1;2;3;4},G20,J20,M20,P20),2)+LARGE(CHOOSE({1;2;3;4},G20,J20,M20,P20),3)</f>
        <v>20.5</v>
      </c>
      <c r="T20" s="7">
        <f>LARGE(CHOOSE({1;2;3;4},H20,K20,N20,Q20),1)+LARGE(CHOOSE({1;2;3;4},H20,K20,N20,Q20),2)+LARGE(CHOOSE({1;2;3;4},H20,K20,N20,Q20),3)</f>
        <v>27.3</v>
      </c>
      <c r="U20" s="4" cm="1">
        <f t="array" ref="U20">IF(HB[[#This Row],[Number_of_competition]:[Number_of_competition]]&gt;=3,(LARGE(CHOOSE({1;2;3;4},F20,I20,L20,O20),1)+LARGE(CHOOSE({1;2;3;4},F20,I20,L20,O20),2)+LARGE(CHOOSE({1;2;3;4},F20,I20,L20,O20),3))/3,0)</f>
        <v>2.2666666666666671</v>
      </c>
      <c r="V20" s="7" cm="1">
        <f t="array" ref="V20">IF(HB[[#This Row],[Number_of_competition]:[Number_of_competition]]&gt;=3,(LARGE(CHOOSE({1;2;3;4},G20,J20,M20,P20),1)+LARGE(CHOOSE({1;2;3;4},G20,J20,M20,P20),2)+LARGE(CHOOSE({1;2;3;4},G20,J20,M20,P20),3))/3,0)</f>
        <v>6.833333333333333</v>
      </c>
      <c r="W20" s="7" cm="1">
        <f t="array" ref="W20">IF(HB[[#This Row],[Number_of_competition]:[Number_of_competition]]&gt;=3,(LARGE(CHOOSE({1;2;3;4},H20,K20,N20,Q20),1)+LARGE(CHOOSE({1;2;3;4},H20,K20,N20,Q20),2)+LARGE(CHOOSE({1;2;3;4},H20,K20,N20,Q20),3))/3,0)</f>
        <v>9.1</v>
      </c>
      <c r="Y20" s="33" t="s">
        <v>252</v>
      </c>
      <c r="AE20" s="43" t="s">
        <v>59</v>
      </c>
      <c r="AF20" s="43" t="s">
        <v>60</v>
      </c>
      <c r="AG20" s="43" t="s">
        <v>62</v>
      </c>
      <c r="AH20">
        <v>3</v>
      </c>
      <c r="AI20" t="s">
        <v>317</v>
      </c>
      <c r="AJ20" s="43" t="s">
        <v>308</v>
      </c>
      <c r="AK20">
        <v>0</v>
      </c>
    </row>
    <row r="21" spans="1:37" x14ac:dyDescent="0.25">
      <c r="A21" t="s">
        <v>127</v>
      </c>
      <c r="B21" s="2" t="s">
        <v>60</v>
      </c>
      <c r="C21" s="2" t="s">
        <v>128</v>
      </c>
      <c r="D21" t="s">
        <v>72</v>
      </c>
      <c r="E21" s="6">
        <f>COUNTIF(HB[[#This Row],[bydgoszcz_HB_Total_Score]],"&gt;0")+COUNTIF(HB[[#This Row],[zabrze_HB_Total_Score]],"&gt;0")+COUNTIF(HB[[#This Row],[cracow_HB_Total_Score]],"&gt;0")+COUNTIF(HB[[#This Row],[gdansk_HB_Total_Score]],"&gt;0")</f>
        <v>2</v>
      </c>
      <c r="F21" s="4">
        <v>4.0999999999999996</v>
      </c>
      <c r="G21" s="7">
        <v>8.4</v>
      </c>
      <c r="H21" s="7">
        <v>12.5</v>
      </c>
      <c r="I21" s="4">
        <v>0</v>
      </c>
      <c r="J21" s="7">
        <v>0</v>
      </c>
      <c r="K21" s="7">
        <v>0</v>
      </c>
      <c r="L21" s="4">
        <v>4</v>
      </c>
      <c r="M21" s="7">
        <v>8.0500000000000007</v>
      </c>
      <c r="N21" s="7">
        <v>12.05</v>
      </c>
      <c r="O21" s="4">
        <v>0</v>
      </c>
      <c r="P21" s="7">
        <v>0</v>
      </c>
      <c r="Q21" s="7">
        <v>0</v>
      </c>
      <c r="R21" s="4">
        <f>LARGE(CHOOSE({1;2;3;4},F21,I21,L21,O21),1)+LARGE(CHOOSE({1;2;3;4},F21,I21,L21,O21),2)+LARGE(CHOOSE({1;2;3;4},F21,I21,L21,O21),3)</f>
        <v>8.1</v>
      </c>
      <c r="S21" s="7">
        <f>LARGE(CHOOSE({1;2;3;4},G21,J21,M21,P21),1)+LARGE(CHOOSE({1;2;3;4},G21,J21,M21,P21),2)+LARGE(CHOOSE({1;2;3;4},G21,J21,M21,P21),3)</f>
        <v>16.450000000000003</v>
      </c>
      <c r="T21" s="7">
        <f>LARGE(CHOOSE({1;2;3;4},H21,K21,N21,Q21),1)+LARGE(CHOOSE({1;2;3;4},H21,K21,N21,Q21),2)+LARGE(CHOOSE({1;2;3;4},H21,K21,N21,Q21),3)</f>
        <v>24.55</v>
      </c>
      <c r="U21" s="4" cm="1">
        <f t="array" ref="U21">IF(HB[[#This Row],[Number_of_competition]:[Number_of_competition]]&gt;=3,(LARGE(CHOOSE({1;2;3;4},F21,I21,L21,O21),1)+LARGE(CHOOSE({1;2;3;4},F21,I21,L21,O21),2)+LARGE(CHOOSE({1;2;3;4},F21,I21,L21,O21),3))/3,0)</f>
        <v>0</v>
      </c>
      <c r="V21" s="7" cm="1">
        <f t="array" ref="V21">IF(HB[[#This Row],[Number_of_competition]:[Number_of_competition]]&gt;=3,(LARGE(CHOOSE({1;2;3;4},G21,J21,M21,P21),1)+LARGE(CHOOSE({1;2;3;4},G21,J21,M21,P21),2)+LARGE(CHOOSE({1;2;3;4},G21,J21,M21,P21),3))/3,0)</f>
        <v>0</v>
      </c>
      <c r="W21" s="7" cm="1">
        <f t="array" ref="W21">IF(HB[[#This Row],[Number_of_competition]:[Number_of_competition]]&gt;=3,(LARGE(CHOOSE({1;2;3;4},H21,K21,N21,Q21),1)+LARGE(CHOOSE({1;2;3;4},H21,K21,N21,Q21),2)+LARGE(CHOOSE({1;2;3;4},H21,K21,N21,Q21),3))/3,0)</f>
        <v>0</v>
      </c>
      <c r="Y21" s="34" t="s">
        <v>301</v>
      </c>
      <c r="AE21" s="43" t="s">
        <v>59</v>
      </c>
      <c r="AF21" s="43" t="s">
        <v>60</v>
      </c>
      <c r="AG21" s="43" t="s">
        <v>62</v>
      </c>
      <c r="AH21">
        <v>3</v>
      </c>
      <c r="AI21" t="s">
        <v>317</v>
      </c>
      <c r="AJ21" s="43" t="s">
        <v>309</v>
      </c>
      <c r="AK21">
        <v>0</v>
      </c>
    </row>
    <row r="22" spans="1:37" x14ac:dyDescent="0.25">
      <c r="A22" t="s">
        <v>46</v>
      </c>
      <c r="B22" s="2" t="s">
        <v>26</v>
      </c>
      <c r="C22" s="2" t="s">
        <v>47</v>
      </c>
      <c r="D22" t="s">
        <v>36</v>
      </c>
      <c r="E22" s="6">
        <f>COUNTIF(HB[[#This Row],[bydgoszcz_HB_Total_Score]],"&gt;0")+COUNTIF(HB[[#This Row],[zabrze_HB_Total_Score]],"&gt;0")+COUNTIF(HB[[#This Row],[cracow_HB_Total_Score]],"&gt;0")+COUNTIF(HB[[#This Row],[gdansk_HB_Total_Score]],"&gt;0")</f>
        <v>3</v>
      </c>
      <c r="F22" s="4">
        <v>0</v>
      </c>
      <c r="G22" s="7">
        <v>0</v>
      </c>
      <c r="H22" s="7">
        <v>0</v>
      </c>
      <c r="I22" s="4">
        <v>1.8</v>
      </c>
      <c r="J22" s="7">
        <v>7.7</v>
      </c>
      <c r="K22" s="7">
        <v>9.5</v>
      </c>
      <c r="L22" s="4">
        <v>1.9</v>
      </c>
      <c r="M22" s="7">
        <v>7.75</v>
      </c>
      <c r="N22" s="7">
        <v>9.65</v>
      </c>
      <c r="O22" s="4">
        <v>1.5</v>
      </c>
      <c r="P22" s="7">
        <v>2.5</v>
      </c>
      <c r="Q22" s="7">
        <v>4</v>
      </c>
      <c r="R22" s="4">
        <f>LARGE(CHOOSE({1;2;3;4},F22,I22,L22,O22),1)+LARGE(CHOOSE({1;2;3;4},F22,I22,L22,O22),2)+LARGE(CHOOSE({1;2;3;4},F22,I22,L22,O22),3)</f>
        <v>5.2</v>
      </c>
      <c r="S22" s="7">
        <f>LARGE(CHOOSE({1;2;3;4},G22,J22,M22,P22),1)+LARGE(CHOOSE({1;2;3;4},G22,J22,M22,P22),2)+LARGE(CHOOSE({1;2;3;4},G22,J22,M22,P22),3)</f>
        <v>17.95</v>
      </c>
      <c r="T22" s="7">
        <f>LARGE(CHOOSE({1;2;3;4},H22,K22,N22,Q22),1)+LARGE(CHOOSE({1;2;3;4},H22,K22,N22,Q22),2)+LARGE(CHOOSE({1;2;3;4},H22,K22,N22,Q22),3)</f>
        <v>23.15</v>
      </c>
      <c r="U22" s="4" cm="1">
        <f t="array" ref="U22">IF(HB[[#This Row],[Number_of_competition]:[Number_of_competition]]&gt;=3,(LARGE(CHOOSE({1;2;3;4},F22,I22,L22,O22),1)+LARGE(CHOOSE({1;2;3;4},F22,I22,L22,O22),2)+LARGE(CHOOSE({1;2;3;4},F22,I22,L22,O22),3))/3,0)</f>
        <v>1.7333333333333334</v>
      </c>
      <c r="V22" s="7" cm="1">
        <f t="array" ref="V22">IF(HB[[#This Row],[Number_of_competition]:[Number_of_competition]]&gt;=3,(LARGE(CHOOSE({1;2;3;4},G22,J22,M22,P22),1)+LARGE(CHOOSE({1;2;3;4},G22,J22,M22,P22),2)+LARGE(CHOOSE({1;2;3;4},G22,J22,M22,P22),3))/3,0)</f>
        <v>5.9833333333333334</v>
      </c>
      <c r="W22" s="7" cm="1">
        <f t="array" ref="W22">IF(HB[[#This Row],[Number_of_competition]:[Number_of_competition]]&gt;=3,(LARGE(CHOOSE({1;2;3;4},H22,K22,N22,Q22),1)+LARGE(CHOOSE({1;2;3;4},H22,K22,N22,Q22),2)+LARGE(CHOOSE({1;2;3;4},H22,K22,N22,Q22),3))/3,0)</f>
        <v>7.7166666666666659</v>
      </c>
      <c r="Y22" s="37" t="s">
        <v>304</v>
      </c>
      <c r="AE22" s="43" t="s">
        <v>59</v>
      </c>
      <c r="AF22" s="43" t="s">
        <v>60</v>
      </c>
      <c r="AG22" s="43" t="s">
        <v>62</v>
      </c>
      <c r="AH22">
        <v>3</v>
      </c>
      <c r="AI22" t="s">
        <v>317</v>
      </c>
      <c r="AJ22" s="43" t="s">
        <v>268</v>
      </c>
      <c r="AK22">
        <v>0</v>
      </c>
    </row>
    <row r="23" spans="1:37" x14ac:dyDescent="0.25">
      <c r="A23" t="s">
        <v>70</v>
      </c>
      <c r="B23" s="2" t="s">
        <v>60</v>
      </c>
      <c r="C23" s="2" t="s">
        <v>71</v>
      </c>
      <c r="D23" t="s">
        <v>72</v>
      </c>
      <c r="E23" s="6">
        <f>COUNTIF(HB[[#This Row],[bydgoszcz_HB_Total_Score]],"&gt;0")+COUNTIF(HB[[#This Row],[zabrze_HB_Total_Score]],"&gt;0")+COUNTIF(HB[[#This Row],[cracow_HB_Total_Score]],"&gt;0")+COUNTIF(HB[[#This Row],[gdansk_HB_Total_Score]],"&gt;0")</f>
        <v>2</v>
      </c>
      <c r="F23" s="4">
        <v>0</v>
      </c>
      <c r="G23" s="7">
        <v>0</v>
      </c>
      <c r="H23" s="7">
        <v>0</v>
      </c>
      <c r="I23" s="4">
        <v>3.7</v>
      </c>
      <c r="J23" s="7">
        <v>7.95</v>
      </c>
      <c r="K23" s="7">
        <v>11.65</v>
      </c>
      <c r="L23" s="4">
        <v>3.7</v>
      </c>
      <c r="M23" s="7">
        <v>7.4</v>
      </c>
      <c r="N23" s="7">
        <v>11.1</v>
      </c>
      <c r="O23" s="4">
        <v>0</v>
      </c>
      <c r="P23" s="7">
        <v>0</v>
      </c>
      <c r="Q23" s="7">
        <v>0</v>
      </c>
      <c r="R23" s="4">
        <f>LARGE(CHOOSE({1;2;3;4},F23,I23,L23,O23),1)+LARGE(CHOOSE({1;2;3;4},F23,I23,L23,O23),2)+LARGE(CHOOSE({1;2;3;4},F23,I23,L23,O23),3)</f>
        <v>7.4</v>
      </c>
      <c r="S23" s="7">
        <f>LARGE(CHOOSE({1;2;3;4},G23,J23,M23,P23),1)+LARGE(CHOOSE({1;2;3;4},G23,J23,M23,P23),2)+LARGE(CHOOSE({1;2;3;4},G23,J23,M23,P23),3)</f>
        <v>15.350000000000001</v>
      </c>
      <c r="T23" s="7">
        <f>LARGE(CHOOSE({1;2;3;4},H23,K23,N23,Q23),1)+LARGE(CHOOSE({1;2;3;4},H23,K23,N23,Q23),2)+LARGE(CHOOSE({1;2;3;4},H23,K23,N23,Q23),3)</f>
        <v>22.75</v>
      </c>
      <c r="U23" s="4" cm="1">
        <f t="array" ref="U23">IF(HB[[#This Row],[Number_of_competition]:[Number_of_competition]]&gt;=3,(LARGE(CHOOSE({1;2;3;4},F23,I23,L23,O23),1)+LARGE(CHOOSE({1;2;3;4},F23,I23,L23,O23),2)+LARGE(CHOOSE({1;2;3;4},F23,I23,L23,O23),3))/3,0)</f>
        <v>0</v>
      </c>
      <c r="V23" s="7" cm="1">
        <f t="array" ref="V23">IF(HB[[#This Row],[Number_of_competition]:[Number_of_competition]]&gt;=3,(LARGE(CHOOSE({1;2;3;4},G23,J23,M23,P23),1)+LARGE(CHOOSE({1;2;3;4},G23,J23,M23,P23),2)+LARGE(CHOOSE({1;2;3;4},G23,J23,M23,P23),3))/3,0)</f>
        <v>0</v>
      </c>
      <c r="W23" s="7" cm="1">
        <f t="array" ref="W23">IF(HB[[#This Row],[Number_of_competition]:[Number_of_competition]]&gt;=3,(LARGE(CHOOSE({1;2;3;4},H23,K23,N23,Q23),1)+LARGE(CHOOSE({1;2;3;4},H23,K23,N23,Q23),2)+LARGE(CHOOSE({1;2;3;4},H23,K23,N23,Q23),3))/3,0)</f>
        <v>0</v>
      </c>
      <c r="Y23" s="35" t="s">
        <v>302</v>
      </c>
      <c r="AE23" s="43" t="s">
        <v>59</v>
      </c>
      <c r="AF23" s="43" t="s">
        <v>60</v>
      </c>
      <c r="AG23" s="43" t="s">
        <v>62</v>
      </c>
      <c r="AH23">
        <v>3</v>
      </c>
      <c r="AI23" t="s">
        <v>325</v>
      </c>
      <c r="AJ23" s="43" t="s">
        <v>308</v>
      </c>
      <c r="AK23">
        <v>4.5999999999999996</v>
      </c>
    </row>
    <row r="24" spans="1:37" x14ac:dyDescent="0.25">
      <c r="A24" t="s">
        <v>65</v>
      </c>
      <c r="B24" s="2" t="s">
        <v>60</v>
      </c>
      <c r="C24" s="2" t="s">
        <v>66</v>
      </c>
      <c r="D24" t="s">
        <v>67</v>
      </c>
      <c r="E24" s="6">
        <f>COUNTIF(HB[[#This Row],[bydgoszcz_HB_Total_Score]],"&gt;0")+COUNTIF(HB[[#This Row],[zabrze_HB_Total_Score]],"&gt;0")+COUNTIF(HB[[#This Row],[cracow_HB_Total_Score]],"&gt;0")+COUNTIF(HB[[#This Row],[gdansk_HB_Total_Score]],"&gt;0")</f>
        <v>2</v>
      </c>
      <c r="F24" s="4">
        <v>0</v>
      </c>
      <c r="G24" s="7">
        <v>0</v>
      </c>
      <c r="H24" s="7">
        <v>0</v>
      </c>
      <c r="I24" s="4">
        <v>3.6</v>
      </c>
      <c r="J24" s="7">
        <v>7.1</v>
      </c>
      <c r="K24" s="7">
        <v>10.7</v>
      </c>
      <c r="L24" s="4">
        <v>0</v>
      </c>
      <c r="M24" s="7">
        <v>0</v>
      </c>
      <c r="N24" s="7">
        <v>0</v>
      </c>
      <c r="O24" s="4">
        <v>3.6</v>
      </c>
      <c r="P24" s="7">
        <v>8.3000000000000007</v>
      </c>
      <c r="Q24" s="7">
        <v>11.9</v>
      </c>
      <c r="R24" s="4">
        <f>LARGE(CHOOSE({1;2;3;4},F24,I24,L24,O24),1)+LARGE(CHOOSE({1;2;3;4},F24,I24,L24,O24),2)+LARGE(CHOOSE({1;2;3;4},F24,I24,L24,O24),3)</f>
        <v>7.2</v>
      </c>
      <c r="S24" s="7">
        <f>LARGE(CHOOSE({1;2;3;4},G24,J24,M24,P24),1)+LARGE(CHOOSE({1;2;3;4},G24,J24,M24,P24),2)+LARGE(CHOOSE({1;2;3;4},G24,J24,M24,P24),3)</f>
        <v>15.4</v>
      </c>
      <c r="T24" s="7">
        <f>LARGE(CHOOSE({1;2;3;4},H24,K24,N24,Q24),1)+LARGE(CHOOSE({1;2;3;4},H24,K24,N24,Q24),2)+LARGE(CHOOSE({1;2;3;4},H24,K24,N24,Q24),3)</f>
        <v>22.6</v>
      </c>
      <c r="U24" s="4" cm="1">
        <f t="array" ref="U24">IF(HB[[#This Row],[Number_of_competition]:[Number_of_competition]]&gt;=3,(LARGE(CHOOSE({1;2;3;4},F24,I24,L24,O24),1)+LARGE(CHOOSE({1;2;3;4},F24,I24,L24,O24),2)+LARGE(CHOOSE({1;2;3;4},F24,I24,L24,O24),3))/3,0)</f>
        <v>0</v>
      </c>
      <c r="V24" s="7" cm="1">
        <f t="array" ref="V24">IF(HB[[#This Row],[Number_of_competition]:[Number_of_competition]]&gt;=3,(LARGE(CHOOSE({1;2;3;4},G24,J24,M24,P24),1)+LARGE(CHOOSE({1;2;3;4},G24,J24,M24,P24),2)+LARGE(CHOOSE({1;2;3;4},G24,J24,M24,P24),3))/3,0)</f>
        <v>0</v>
      </c>
      <c r="W24" s="7" cm="1">
        <f t="array" ref="W24">IF(HB[[#This Row],[Number_of_competition]:[Number_of_competition]]&gt;=3,(LARGE(CHOOSE({1;2;3;4},H24,K24,N24,Q24),1)+LARGE(CHOOSE({1;2;3;4},H24,K24,N24,Q24),2)+LARGE(CHOOSE({1;2;3;4},H24,K24,N24,Q24),3))/3,0)</f>
        <v>0</v>
      </c>
      <c r="Y24" s="36" t="s">
        <v>303</v>
      </c>
      <c r="AE24" s="43" t="s">
        <v>59</v>
      </c>
      <c r="AF24" s="43" t="s">
        <v>60</v>
      </c>
      <c r="AG24" s="43" t="s">
        <v>62</v>
      </c>
      <c r="AH24">
        <v>3</v>
      </c>
      <c r="AI24" t="s">
        <v>325</v>
      </c>
      <c r="AJ24" s="43" t="s">
        <v>309</v>
      </c>
      <c r="AK24">
        <v>7.4</v>
      </c>
    </row>
    <row r="25" spans="1:37" x14ac:dyDescent="0.25">
      <c r="A25" t="s">
        <v>50</v>
      </c>
      <c r="B25" s="2" t="s">
        <v>26</v>
      </c>
      <c r="C25" s="2" t="s">
        <v>51</v>
      </c>
      <c r="D25" t="s">
        <v>36</v>
      </c>
      <c r="E25" s="6">
        <f>COUNTIF(HB[[#This Row],[bydgoszcz_HB_Total_Score]],"&gt;0")+COUNTIF(HB[[#This Row],[zabrze_HB_Total_Score]],"&gt;0")+COUNTIF(HB[[#This Row],[cracow_HB_Total_Score]],"&gt;0")+COUNTIF(HB[[#This Row],[gdansk_HB_Total_Score]],"&gt;0")</f>
        <v>2</v>
      </c>
      <c r="F25" s="4">
        <v>0</v>
      </c>
      <c r="G25" s="7">
        <v>0</v>
      </c>
      <c r="H25" s="7">
        <v>0</v>
      </c>
      <c r="I25" s="4">
        <v>2.7</v>
      </c>
      <c r="J25" s="7">
        <v>8</v>
      </c>
      <c r="K25" s="7">
        <v>10.7</v>
      </c>
      <c r="L25" s="4">
        <v>2.7</v>
      </c>
      <c r="M25" s="7">
        <v>9.1</v>
      </c>
      <c r="N25" s="7">
        <v>11.8</v>
      </c>
      <c r="O25" s="4">
        <v>0</v>
      </c>
      <c r="P25" s="7">
        <v>0</v>
      </c>
      <c r="Q25" s="7">
        <v>0</v>
      </c>
      <c r="R25" s="4">
        <f>LARGE(CHOOSE({1;2;3;4},F25,I25,L25,O25),1)+LARGE(CHOOSE({1;2;3;4},F25,I25,L25,O25),2)+LARGE(CHOOSE({1;2;3;4},F25,I25,L25,O25),3)</f>
        <v>5.4</v>
      </c>
      <c r="S25" s="7">
        <f>LARGE(CHOOSE({1;2;3;4},G25,J25,M25,P25),1)+LARGE(CHOOSE({1;2;3;4},G25,J25,M25,P25),2)+LARGE(CHOOSE({1;2;3;4},G25,J25,M25,P25),3)</f>
        <v>17.100000000000001</v>
      </c>
      <c r="T25" s="7">
        <f>LARGE(CHOOSE({1;2;3;4},H25,K25,N25,Q25),1)+LARGE(CHOOSE({1;2;3;4},H25,K25,N25,Q25),2)+LARGE(CHOOSE({1;2;3;4},H25,K25,N25,Q25),3)</f>
        <v>22.5</v>
      </c>
      <c r="U25" s="4" cm="1">
        <f t="array" ref="U25">IF(HB[[#This Row],[Number_of_competition]:[Number_of_competition]]&gt;=3,(LARGE(CHOOSE({1;2;3;4},F25,I25,L25,O25),1)+LARGE(CHOOSE({1;2;3;4},F25,I25,L25,O25),2)+LARGE(CHOOSE({1;2;3;4},F25,I25,L25,O25),3))/3,0)</f>
        <v>0</v>
      </c>
      <c r="V25" s="7" cm="1">
        <f t="array" ref="V25">IF(HB[[#This Row],[Number_of_competition]:[Number_of_competition]]&gt;=3,(LARGE(CHOOSE({1;2;3;4},G25,J25,M25,P25),1)+LARGE(CHOOSE({1;2;3;4},G25,J25,M25,P25),2)+LARGE(CHOOSE({1;2;3;4},G25,J25,M25,P25),3))/3,0)</f>
        <v>0</v>
      </c>
      <c r="W25" s="7" cm="1">
        <f t="array" ref="W25">IF(HB[[#This Row],[Number_of_competition]:[Number_of_competition]]&gt;=3,(LARGE(CHOOSE({1;2;3;4},H25,K25,N25,Q25),1)+LARGE(CHOOSE({1;2;3;4},H25,K25,N25,Q25),2)+LARGE(CHOOSE({1;2;3;4},H25,K25,N25,Q25),3))/3,0)</f>
        <v>0</v>
      </c>
      <c r="AE25" s="43" t="s">
        <v>59</v>
      </c>
      <c r="AF25" s="43" t="s">
        <v>60</v>
      </c>
      <c r="AG25" s="43" t="s">
        <v>62</v>
      </c>
      <c r="AH25">
        <v>3</v>
      </c>
      <c r="AI25" t="s">
        <v>325</v>
      </c>
      <c r="AJ25" s="43" t="s">
        <v>268</v>
      </c>
      <c r="AK25">
        <v>12</v>
      </c>
    </row>
    <row r="26" spans="1:37" ht="21" x14ac:dyDescent="0.35">
      <c r="A26" t="s">
        <v>116</v>
      </c>
      <c r="B26" s="2" t="s">
        <v>60</v>
      </c>
      <c r="C26" s="2" t="s">
        <v>117</v>
      </c>
      <c r="D26" t="s">
        <v>62</v>
      </c>
      <c r="E26" s="6">
        <f>COUNTIF(HB[[#This Row],[bydgoszcz_HB_Total_Score]],"&gt;0")+COUNTIF(HB[[#This Row],[zabrze_HB_Total_Score]],"&gt;0")+COUNTIF(HB[[#This Row],[cracow_HB_Total_Score]],"&gt;0")+COUNTIF(HB[[#This Row],[gdansk_HB_Total_Score]],"&gt;0")</f>
        <v>2</v>
      </c>
      <c r="F26" s="4">
        <v>0</v>
      </c>
      <c r="G26" s="7">
        <v>0</v>
      </c>
      <c r="H26" s="7">
        <v>0</v>
      </c>
      <c r="I26" s="4">
        <v>0</v>
      </c>
      <c r="J26" s="7">
        <v>0</v>
      </c>
      <c r="K26" s="7">
        <v>0</v>
      </c>
      <c r="L26" s="4">
        <v>4.5999999999999996</v>
      </c>
      <c r="M26" s="7">
        <v>6.65</v>
      </c>
      <c r="N26" s="7">
        <v>11.25</v>
      </c>
      <c r="O26" s="4">
        <v>4.8</v>
      </c>
      <c r="P26" s="7">
        <v>6.3</v>
      </c>
      <c r="Q26" s="7">
        <v>11.1</v>
      </c>
      <c r="R26" s="4">
        <f>LARGE(CHOOSE({1;2;3;4},F26,I26,L26,O26),1)+LARGE(CHOOSE({1;2;3;4},F26,I26,L26,O26),2)+LARGE(CHOOSE({1;2;3;4},F26,I26,L26,O26),3)</f>
        <v>9.3999999999999986</v>
      </c>
      <c r="S26" s="7">
        <f>LARGE(CHOOSE({1;2;3;4},G26,J26,M26,P26),1)+LARGE(CHOOSE({1;2;3;4},G26,J26,M26,P26),2)+LARGE(CHOOSE({1;2;3;4},G26,J26,M26,P26),3)</f>
        <v>12.95</v>
      </c>
      <c r="T26" s="7">
        <f>LARGE(CHOOSE({1;2;3;4},H26,K26,N26,Q26),1)+LARGE(CHOOSE({1;2;3;4},H26,K26,N26,Q26),2)+LARGE(CHOOSE({1;2;3;4},H26,K26,N26,Q26),3)</f>
        <v>22.35</v>
      </c>
      <c r="U26" s="4" cm="1">
        <f t="array" ref="U26">IF(HB[[#This Row],[Number_of_competition]:[Number_of_competition]]&gt;=3,(LARGE(CHOOSE({1;2;3;4},F26,I26,L26,O26),1)+LARGE(CHOOSE({1;2;3;4},F26,I26,L26,O26),2)+LARGE(CHOOSE({1;2;3;4},F26,I26,L26,O26),3))/3,0)</f>
        <v>0</v>
      </c>
      <c r="V26" s="7" cm="1">
        <f t="array" ref="V26">IF(HB[[#This Row],[Number_of_competition]:[Number_of_competition]]&gt;=3,(LARGE(CHOOSE({1;2;3;4},G26,J26,M26,P26),1)+LARGE(CHOOSE({1;2;3;4},G26,J26,M26,P26),2)+LARGE(CHOOSE({1;2;3;4},G26,J26,M26,P26),3))/3,0)</f>
        <v>0</v>
      </c>
      <c r="W26" s="7" cm="1">
        <f t="array" ref="W26">IF(HB[[#This Row],[Number_of_competition]:[Number_of_competition]]&gt;=3,(LARGE(CHOOSE({1;2;3;4},H26,K26,N26,Q26),1)+LARGE(CHOOSE({1;2;3;4},H26,K26,N26,Q26),2)+LARGE(CHOOSE({1;2;3;4},H26,K26,N26,Q26),3))/3,0)</f>
        <v>0</v>
      </c>
      <c r="Z26" s="44" t="s">
        <v>311</v>
      </c>
      <c r="AA26" s="44" t="s">
        <v>2</v>
      </c>
      <c r="AB26" s="45"/>
      <c r="AE26" s="43" t="s">
        <v>59</v>
      </c>
      <c r="AF26" s="43" t="s">
        <v>60</v>
      </c>
      <c r="AG26" s="43" t="s">
        <v>62</v>
      </c>
      <c r="AH26">
        <v>3</v>
      </c>
      <c r="AI26" t="s">
        <v>330</v>
      </c>
      <c r="AJ26" s="43" t="s">
        <v>308</v>
      </c>
      <c r="AK26">
        <v>4.5999999999999996</v>
      </c>
    </row>
    <row r="27" spans="1:37" ht="21" x14ac:dyDescent="0.35">
      <c r="A27" t="s">
        <v>112</v>
      </c>
      <c r="B27" s="2" t="s">
        <v>26</v>
      </c>
      <c r="C27" s="2" t="s">
        <v>113</v>
      </c>
      <c r="D27" t="s">
        <v>31</v>
      </c>
      <c r="E27" s="6">
        <f>COUNTIF(HB[[#This Row],[bydgoszcz_HB_Total_Score]],"&gt;0")+COUNTIF(HB[[#This Row],[zabrze_HB_Total_Score]],"&gt;0")+COUNTIF(HB[[#This Row],[cracow_HB_Total_Score]],"&gt;0")+COUNTIF(HB[[#This Row],[gdansk_HB_Total_Score]],"&gt;0")</f>
        <v>2</v>
      </c>
      <c r="F27" s="4">
        <v>3.4</v>
      </c>
      <c r="G27" s="7">
        <v>7.8</v>
      </c>
      <c r="H27" s="7">
        <v>11.2</v>
      </c>
      <c r="I27" s="4">
        <v>0</v>
      </c>
      <c r="J27" s="7">
        <v>0</v>
      </c>
      <c r="K27" s="7">
        <v>0</v>
      </c>
      <c r="L27" s="4">
        <v>0</v>
      </c>
      <c r="M27" s="7">
        <v>0</v>
      </c>
      <c r="N27" s="7">
        <v>0</v>
      </c>
      <c r="O27" s="4">
        <v>3.2</v>
      </c>
      <c r="P27" s="7">
        <v>7.5</v>
      </c>
      <c r="Q27" s="7">
        <v>10.7</v>
      </c>
      <c r="R27" s="4">
        <f>LARGE(CHOOSE({1;2;3;4},F27,I27,L27,O27),1)+LARGE(CHOOSE({1;2;3;4},F27,I27,L27,O27),2)+LARGE(CHOOSE({1;2;3;4},F27,I27,L27,O27),3)</f>
        <v>6.6</v>
      </c>
      <c r="S27" s="7">
        <f>LARGE(CHOOSE({1;2;3;4},G27,J27,M27,P27),1)+LARGE(CHOOSE({1;2;3;4},G27,J27,M27,P27),2)+LARGE(CHOOSE({1;2;3;4},G27,J27,M27,P27),3)</f>
        <v>15.3</v>
      </c>
      <c r="T27" s="7">
        <f>LARGE(CHOOSE({1;2;3;4},H27,K27,N27,Q27),1)+LARGE(CHOOSE({1;2;3;4},H27,K27,N27,Q27),2)+LARGE(CHOOSE({1;2;3;4},H27,K27,N27,Q27),3)</f>
        <v>21.9</v>
      </c>
      <c r="U27" s="4" cm="1">
        <f t="array" ref="U27">IF(HB[[#This Row],[Number_of_competition]:[Number_of_competition]]&gt;=3,(LARGE(CHOOSE({1;2;3;4},F27,I27,L27,O27),1)+LARGE(CHOOSE({1;2;3;4},F27,I27,L27,O27),2)+LARGE(CHOOSE({1;2;3;4},F27,I27,L27,O27),3))/3,0)</f>
        <v>0</v>
      </c>
      <c r="V27" s="7" cm="1">
        <f t="array" ref="V27">IF(HB[[#This Row],[Number_of_competition]:[Number_of_competition]]&gt;=3,(LARGE(CHOOSE({1;2;3;4},G27,J27,M27,P27),1)+LARGE(CHOOSE({1;2;3;4},G27,J27,M27,P27),2)+LARGE(CHOOSE({1;2;3;4},G27,J27,M27,P27),3))/3,0)</f>
        <v>0</v>
      </c>
      <c r="W27" s="7" cm="1">
        <f t="array" ref="W27">IF(HB[[#This Row],[Number_of_competition]:[Number_of_competition]]&gt;=3,(LARGE(CHOOSE({1;2;3;4},H27,K27,N27,Q27),1)+LARGE(CHOOSE({1;2;3;4},H27,K27,N27,Q27),2)+LARGE(CHOOSE({1;2;3;4},H27,K27,N27,Q27),3))/3,0)</f>
        <v>0</v>
      </c>
      <c r="Z27" s="44" t="s">
        <v>346</v>
      </c>
      <c r="AA27" s="45" t="s">
        <v>26</v>
      </c>
      <c r="AB27" s="45" t="s">
        <v>60</v>
      </c>
      <c r="AE27" s="43" t="s">
        <v>59</v>
      </c>
      <c r="AF27" s="43" t="s">
        <v>60</v>
      </c>
      <c r="AG27" s="43" t="s">
        <v>62</v>
      </c>
      <c r="AH27">
        <v>3</v>
      </c>
      <c r="AI27" t="s">
        <v>330</v>
      </c>
      <c r="AJ27" s="43" t="s">
        <v>309</v>
      </c>
      <c r="AK27">
        <v>8.15</v>
      </c>
    </row>
    <row r="28" spans="1:37" ht="21" x14ac:dyDescent="0.35">
      <c r="A28" t="s">
        <v>75</v>
      </c>
      <c r="B28" s="2" t="s">
        <v>60</v>
      </c>
      <c r="C28" s="2" t="s">
        <v>76</v>
      </c>
      <c r="D28" t="s">
        <v>28</v>
      </c>
      <c r="E28" s="6">
        <f>COUNTIF(HB[[#This Row],[bydgoszcz_HB_Total_Score]],"&gt;0")+COUNTIF(HB[[#This Row],[zabrze_HB_Total_Score]],"&gt;0")+COUNTIF(HB[[#This Row],[cracow_HB_Total_Score]],"&gt;0")+COUNTIF(HB[[#This Row],[gdansk_HB_Total_Score]],"&gt;0")</f>
        <v>2</v>
      </c>
      <c r="F28" s="4">
        <v>0</v>
      </c>
      <c r="G28" s="7">
        <v>0</v>
      </c>
      <c r="H28" s="7">
        <v>0</v>
      </c>
      <c r="I28" s="4">
        <v>2.2000000000000002</v>
      </c>
      <c r="J28" s="7">
        <v>8.1</v>
      </c>
      <c r="K28" s="7">
        <v>10.3</v>
      </c>
      <c r="L28" s="4">
        <v>2.5</v>
      </c>
      <c r="M28" s="7">
        <v>8.15</v>
      </c>
      <c r="N28" s="7">
        <v>10.65</v>
      </c>
      <c r="O28" s="4">
        <v>0</v>
      </c>
      <c r="P28" s="7">
        <v>0</v>
      </c>
      <c r="Q28" s="7">
        <v>0</v>
      </c>
      <c r="R28" s="4">
        <f>LARGE(CHOOSE({1;2;3;4},F28,I28,L28,O28),1)+LARGE(CHOOSE({1;2;3;4},F28,I28,L28,O28),2)+LARGE(CHOOSE({1;2;3;4},F28,I28,L28,O28),3)</f>
        <v>4.7</v>
      </c>
      <c r="S28" s="7">
        <f>LARGE(CHOOSE({1;2;3;4},G28,J28,M28,P28),1)+LARGE(CHOOSE({1;2;3;4},G28,J28,M28,P28),2)+LARGE(CHOOSE({1;2;3;4},G28,J28,M28,P28),3)</f>
        <v>16.25</v>
      </c>
      <c r="T28" s="7">
        <f>LARGE(CHOOSE({1;2;3;4},H28,K28,N28,Q28),1)+LARGE(CHOOSE({1;2;3;4},H28,K28,N28,Q28),2)+LARGE(CHOOSE({1;2;3;4},H28,K28,N28,Q28),3)</f>
        <v>20.950000000000003</v>
      </c>
      <c r="U28" s="4" cm="1">
        <f t="array" ref="U28">IF(HB[[#This Row],[Number_of_competition]:[Number_of_competition]]&gt;=3,(LARGE(CHOOSE({1;2;3;4},F28,I28,L28,O28),1)+LARGE(CHOOSE({1;2;3;4},F28,I28,L28,O28),2)+LARGE(CHOOSE({1;2;3;4},F28,I28,L28,O28),3))/3,0)</f>
        <v>0</v>
      </c>
      <c r="V28" s="7" cm="1">
        <f t="array" ref="V28">IF(HB[[#This Row],[Number_of_competition]:[Number_of_competition]]&gt;=3,(LARGE(CHOOSE({1;2;3;4},G28,J28,M28,P28),1)+LARGE(CHOOSE({1;2;3;4},G28,J28,M28,P28),2)+LARGE(CHOOSE({1;2;3;4},G28,J28,M28,P28),3))/3,0)</f>
        <v>0</v>
      </c>
      <c r="W28" s="7" cm="1">
        <f t="array" ref="W28">IF(HB[[#This Row],[Number_of_competition]:[Number_of_competition]]&gt;=3,(LARGE(CHOOSE({1;2;3;4},H28,K28,N28,Q28),1)+LARGE(CHOOSE({1;2;3;4},H28,K28,N28,Q28),2)+LARGE(CHOOSE({1;2;3;4},H28,K28,N28,Q28),3))/3,0)</f>
        <v>0</v>
      </c>
      <c r="Z28" s="46" t="s">
        <v>309</v>
      </c>
      <c r="AA28" s="47">
        <v>11</v>
      </c>
      <c r="AB28" s="47">
        <v>9</v>
      </c>
      <c r="AE28" s="43" t="s">
        <v>59</v>
      </c>
      <c r="AF28" s="43" t="s">
        <v>60</v>
      </c>
      <c r="AG28" s="43" t="s">
        <v>62</v>
      </c>
      <c r="AH28">
        <v>3</v>
      </c>
      <c r="AI28" t="s">
        <v>330</v>
      </c>
      <c r="AJ28" s="43" t="s">
        <v>268</v>
      </c>
      <c r="AK28">
        <v>12.75</v>
      </c>
    </row>
    <row r="29" spans="1:37" ht="21" x14ac:dyDescent="0.35">
      <c r="A29" t="s">
        <v>88</v>
      </c>
      <c r="B29" s="2" t="s">
        <v>60</v>
      </c>
      <c r="C29" s="2" t="s">
        <v>89</v>
      </c>
      <c r="D29" t="s">
        <v>36</v>
      </c>
      <c r="E29" s="6">
        <f>COUNTIF(HB[[#This Row],[bydgoszcz_HB_Total_Score]],"&gt;0")+COUNTIF(HB[[#This Row],[zabrze_HB_Total_Score]],"&gt;0")+COUNTIF(HB[[#This Row],[cracow_HB_Total_Score]],"&gt;0")+COUNTIF(HB[[#This Row],[gdansk_HB_Total_Score]],"&gt;0")</f>
        <v>2</v>
      </c>
      <c r="F29" s="4">
        <v>0</v>
      </c>
      <c r="G29" s="7">
        <v>0</v>
      </c>
      <c r="H29" s="7">
        <v>0</v>
      </c>
      <c r="I29" s="4">
        <v>2.1</v>
      </c>
      <c r="J29" s="7">
        <v>6.9</v>
      </c>
      <c r="K29" s="7">
        <v>9</v>
      </c>
      <c r="L29" s="4">
        <v>0</v>
      </c>
      <c r="M29" s="7">
        <v>0</v>
      </c>
      <c r="N29" s="7">
        <v>0</v>
      </c>
      <c r="O29" s="4">
        <v>1.9</v>
      </c>
      <c r="P29" s="7">
        <v>4.2</v>
      </c>
      <c r="Q29" s="7">
        <v>6.1</v>
      </c>
      <c r="R29" s="4">
        <f>LARGE(CHOOSE({1;2;3;4},F29,I29,L29,O29),1)+LARGE(CHOOSE({1;2;3;4},F29,I29,L29,O29),2)+LARGE(CHOOSE({1;2;3;4},F29,I29,L29,O29),3)</f>
        <v>4</v>
      </c>
      <c r="S29" s="7">
        <f>LARGE(CHOOSE({1;2;3;4},G29,J29,M29,P29),1)+LARGE(CHOOSE({1;2;3;4},G29,J29,M29,P29),2)+LARGE(CHOOSE({1;2;3;4},G29,J29,M29,P29),3)</f>
        <v>11.100000000000001</v>
      </c>
      <c r="T29" s="7">
        <f>LARGE(CHOOSE({1;2;3;4},H29,K29,N29,Q29),1)+LARGE(CHOOSE({1;2;3;4},H29,K29,N29,Q29),2)+LARGE(CHOOSE({1;2;3;4},H29,K29,N29,Q29),3)</f>
        <v>15.1</v>
      </c>
      <c r="U29" s="4" cm="1">
        <f t="array" ref="U29">IF(HB[[#This Row],[Number_of_competition]:[Number_of_competition]]&gt;=3,(LARGE(CHOOSE({1;2;3;4},F29,I29,L29,O29),1)+LARGE(CHOOSE({1;2;3;4},F29,I29,L29,O29),2)+LARGE(CHOOSE({1;2;3;4},F29,I29,L29,O29),3))/3,0)</f>
        <v>0</v>
      </c>
      <c r="V29" s="7" cm="1">
        <f t="array" ref="V29">IF(HB[[#This Row],[Number_of_competition]:[Number_of_competition]]&gt;=3,(LARGE(CHOOSE({1;2;3;4},G29,J29,M29,P29),1)+LARGE(CHOOSE({1;2;3;4},G29,J29,M29,P29),2)+LARGE(CHOOSE({1;2;3;4},G29,J29,M29,P29),3))/3,0)</f>
        <v>0</v>
      </c>
      <c r="W29" s="7" cm="1">
        <f t="array" ref="W29">IF(HB[[#This Row],[Number_of_competition]:[Number_of_competition]]&gt;=3,(LARGE(CHOOSE({1;2;3;4},H29,K29,N29,Q29),1)+LARGE(CHOOSE({1;2;3;4},H29,K29,N29,Q29),2)+LARGE(CHOOSE({1;2;3;4},H29,K29,N29,Q29),3))/3,0)</f>
        <v>0</v>
      </c>
      <c r="Z29" s="48" t="s">
        <v>324</v>
      </c>
      <c r="AA29" s="47">
        <v>1</v>
      </c>
      <c r="AB29" s="47"/>
      <c r="AE29" s="43" t="s">
        <v>59</v>
      </c>
      <c r="AF29" s="43" t="s">
        <v>60</v>
      </c>
      <c r="AG29" s="43" t="s">
        <v>62</v>
      </c>
      <c r="AH29">
        <v>3</v>
      </c>
      <c r="AI29" t="s">
        <v>331</v>
      </c>
      <c r="AJ29" s="43" t="s">
        <v>308</v>
      </c>
      <c r="AK29">
        <v>4.9000000000000004</v>
      </c>
    </row>
    <row r="30" spans="1:37" ht="21" x14ac:dyDescent="0.35">
      <c r="A30" t="s">
        <v>118</v>
      </c>
      <c r="B30" s="2" t="s">
        <v>60</v>
      </c>
      <c r="C30" s="2" t="s">
        <v>119</v>
      </c>
      <c r="D30" t="s">
        <v>31</v>
      </c>
      <c r="E30" s="6">
        <f>COUNTIF(HB[[#This Row],[bydgoszcz_HB_Total_Score]],"&gt;0")+COUNTIF(HB[[#This Row],[zabrze_HB_Total_Score]],"&gt;0")+COUNTIF(HB[[#This Row],[cracow_HB_Total_Score]],"&gt;0")+COUNTIF(HB[[#This Row],[gdansk_HB_Total_Score]],"&gt;0")</f>
        <v>1</v>
      </c>
      <c r="F30" s="4">
        <v>0</v>
      </c>
      <c r="G30" s="7">
        <v>0</v>
      </c>
      <c r="H30" s="7">
        <v>0</v>
      </c>
      <c r="I30" s="4">
        <v>0</v>
      </c>
      <c r="J30" s="7">
        <v>0</v>
      </c>
      <c r="K30" s="7">
        <v>0</v>
      </c>
      <c r="L30" s="4">
        <v>3.7</v>
      </c>
      <c r="M30" s="7">
        <v>8.15</v>
      </c>
      <c r="N30" s="7">
        <v>11.85</v>
      </c>
      <c r="O30" s="4">
        <v>0</v>
      </c>
      <c r="P30" s="7">
        <v>0</v>
      </c>
      <c r="Q30" s="7">
        <v>0</v>
      </c>
      <c r="R30" s="4">
        <f>LARGE(CHOOSE({1;2;3;4},F30,I30,L30,O30),1)+LARGE(CHOOSE({1;2;3;4},F30,I30,L30,O30),2)+LARGE(CHOOSE({1;2;3;4},F30,I30,L30,O30),3)</f>
        <v>3.7</v>
      </c>
      <c r="S30" s="7">
        <f>LARGE(CHOOSE({1;2;3;4},G30,J30,M30,P30),1)+LARGE(CHOOSE({1;2;3;4},G30,J30,M30,P30),2)+LARGE(CHOOSE({1;2;3;4},G30,J30,M30,P30),3)</f>
        <v>8.15</v>
      </c>
      <c r="T30" s="7">
        <f>LARGE(CHOOSE({1;2;3;4},H30,K30,N30,Q30),1)+LARGE(CHOOSE({1;2;3;4},H30,K30,N30,Q30),2)+LARGE(CHOOSE({1;2;3;4},H30,K30,N30,Q30),3)</f>
        <v>11.85</v>
      </c>
      <c r="U30" s="4" cm="1">
        <f t="array" ref="U30">IF(HB[[#This Row],[Number_of_competition]:[Number_of_competition]]&gt;=3,(LARGE(CHOOSE({1;2;3;4},F30,I30,L30,O30),1)+LARGE(CHOOSE({1;2;3;4},F30,I30,L30,O30),2)+LARGE(CHOOSE({1;2;3;4},F30,I30,L30,O30),3))/3,0)</f>
        <v>0</v>
      </c>
      <c r="V30" s="7" cm="1">
        <f t="array" ref="V30">IF(HB[[#This Row],[Number_of_competition]:[Number_of_competition]]&gt;=3,(LARGE(CHOOSE({1;2;3;4},G30,J30,M30,P30),1)+LARGE(CHOOSE({1;2;3;4},G30,J30,M30,P30),2)+LARGE(CHOOSE({1;2;3;4},G30,J30,M30,P30),3))/3,0)</f>
        <v>0</v>
      </c>
      <c r="W30" s="7" cm="1">
        <f t="array" ref="W30">IF(HB[[#This Row],[Number_of_competition]:[Number_of_competition]]&gt;=3,(LARGE(CHOOSE({1;2;3;4},H30,K30,N30,Q30),1)+LARGE(CHOOSE({1;2;3;4},H30,K30,N30,Q30),2)+LARGE(CHOOSE({1;2;3;4},H30,K30,N30,Q30),3))/3,0)</f>
        <v>0</v>
      </c>
      <c r="Z30" s="48" t="s">
        <v>335</v>
      </c>
      <c r="AA30" s="47"/>
      <c r="AB30" s="47">
        <v>1</v>
      </c>
      <c r="AE30" s="43" t="s">
        <v>59</v>
      </c>
      <c r="AF30" s="43" t="s">
        <v>60</v>
      </c>
      <c r="AG30" s="43" t="s">
        <v>62</v>
      </c>
      <c r="AH30">
        <v>3</v>
      </c>
      <c r="AI30" t="s">
        <v>331</v>
      </c>
      <c r="AJ30" s="43" t="s">
        <v>309</v>
      </c>
      <c r="AK30">
        <v>6.9</v>
      </c>
    </row>
    <row r="31" spans="1:37" ht="21" x14ac:dyDescent="0.35">
      <c r="A31" t="s">
        <v>142</v>
      </c>
      <c r="B31" s="2" t="s">
        <v>60</v>
      </c>
      <c r="C31" s="2" t="s">
        <v>143</v>
      </c>
      <c r="D31" t="s">
        <v>62</v>
      </c>
      <c r="E31" s="6">
        <f>COUNTIF(HB[[#This Row],[bydgoszcz_HB_Total_Score]],"&gt;0")+COUNTIF(HB[[#This Row],[zabrze_HB_Total_Score]],"&gt;0")+COUNTIF(HB[[#This Row],[cracow_HB_Total_Score]],"&gt;0")+COUNTIF(HB[[#This Row],[gdansk_HB_Total_Score]],"&gt;0")</f>
        <v>1</v>
      </c>
      <c r="F31" s="4">
        <v>3.6</v>
      </c>
      <c r="G31" s="7">
        <v>8</v>
      </c>
      <c r="H31" s="7">
        <v>11.6</v>
      </c>
      <c r="I31" s="4">
        <v>0</v>
      </c>
      <c r="J31" s="7">
        <v>0</v>
      </c>
      <c r="K31" s="7">
        <v>0</v>
      </c>
      <c r="L31" s="4">
        <v>0</v>
      </c>
      <c r="M31" s="7">
        <v>0</v>
      </c>
      <c r="N31" s="7">
        <v>0</v>
      </c>
      <c r="O31" s="4">
        <v>0</v>
      </c>
      <c r="P31" s="7">
        <v>0</v>
      </c>
      <c r="Q31" s="7">
        <v>0</v>
      </c>
      <c r="R31" s="4">
        <f>LARGE(CHOOSE({1;2;3;4},F31,I31,L31,O31),1)+LARGE(CHOOSE({1;2;3;4},F31,I31,L31,O31),2)+LARGE(CHOOSE({1;2;3;4},F31,I31,L31,O31),3)</f>
        <v>3.6</v>
      </c>
      <c r="S31" s="7">
        <f>LARGE(CHOOSE({1;2;3;4},G31,J31,M31,P31),1)+LARGE(CHOOSE({1;2;3;4},G31,J31,M31,P31),2)+LARGE(CHOOSE({1;2;3;4},G31,J31,M31,P31),3)</f>
        <v>8</v>
      </c>
      <c r="T31" s="7">
        <f>LARGE(CHOOSE({1;2;3;4},H31,K31,N31,Q31),1)+LARGE(CHOOSE({1;2;3;4},H31,K31,N31,Q31),2)+LARGE(CHOOSE({1;2;3;4},H31,K31,N31,Q31),3)</f>
        <v>11.6</v>
      </c>
      <c r="U31" s="4" cm="1">
        <f t="array" ref="U31">IF(HB[[#This Row],[Number_of_competition]:[Number_of_competition]]&gt;=3,(LARGE(CHOOSE({1;2;3;4},F31,I31,L31,O31),1)+LARGE(CHOOSE({1;2;3;4},F31,I31,L31,O31),2)+LARGE(CHOOSE({1;2;3;4},F31,I31,L31,O31),3))/3,0)</f>
        <v>0</v>
      </c>
      <c r="V31" s="7" cm="1">
        <f t="array" ref="V31">IF(HB[[#This Row],[Number_of_competition]:[Number_of_competition]]&gt;=3,(LARGE(CHOOSE({1;2;3;4},G31,J31,M31,P31),1)+LARGE(CHOOSE({1;2;3;4},G31,J31,M31,P31),2)+LARGE(CHOOSE({1;2;3;4},G31,J31,M31,P31),3))/3,0)</f>
        <v>0</v>
      </c>
      <c r="W31" s="7" cm="1">
        <f t="array" ref="W31">IF(HB[[#This Row],[Number_of_competition]:[Number_of_competition]]&gt;=3,(LARGE(CHOOSE({1;2;3;4},H31,K31,N31,Q31),1)+LARGE(CHOOSE({1;2;3;4},H31,K31,N31,Q31),2)+LARGE(CHOOSE({1;2;3;4},H31,K31,N31,Q31),3))/3,0)</f>
        <v>0</v>
      </c>
      <c r="Z31" s="48" t="s">
        <v>336</v>
      </c>
      <c r="AA31" s="47">
        <v>3</v>
      </c>
      <c r="AB31" s="47">
        <v>2</v>
      </c>
      <c r="AE31" s="43" t="s">
        <v>59</v>
      </c>
      <c r="AF31" s="43" t="s">
        <v>60</v>
      </c>
      <c r="AG31" s="43" t="s">
        <v>62</v>
      </c>
      <c r="AH31">
        <v>3</v>
      </c>
      <c r="AI31" t="s">
        <v>331</v>
      </c>
      <c r="AJ31" s="43" t="s">
        <v>268</v>
      </c>
      <c r="AK31">
        <v>11.8</v>
      </c>
    </row>
    <row r="32" spans="1:37" ht="21" x14ac:dyDescent="0.35">
      <c r="A32" t="s">
        <v>132</v>
      </c>
      <c r="B32" s="2" t="s">
        <v>26</v>
      </c>
      <c r="C32" s="2" t="s">
        <v>133</v>
      </c>
      <c r="D32" t="s">
        <v>39</v>
      </c>
      <c r="E32" s="6">
        <f>COUNTIF(HB[[#This Row],[bydgoszcz_HB_Total_Score]],"&gt;0")+COUNTIF(HB[[#This Row],[zabrze_HB_Total_Score]],"&gt;0")+COUNTIF(HB[[#This Row],[cracow_HB_Total_Score]],"&gt;0")+COUNTIF(HB[[#This Row],[gdansk_HB_Total_Score]],"&gt;0")</f>
        <v>1</v>
      </c>
      <c r="F32" s="4">
        <v>2.4</v>
      </c>
      <c r="G32" s="7">
        <v>9.1</v>
      </c>
      <c r="H32" s="7">
        <v>11.5</v>
      </c>
      <c r="I32" s="4">
        <v>0</v>
      </c>
      <c r="J32" s="7">
        <v>0</v>
      </c>
      <c r="K32" s="7">
        <v>0</v>
      </c>
      <c r="L32" s="4">
        <v>0</v>
      </c>
      <c r="M32" s="7">
        <v>0</v>
      </c>
      <c r="N32" s="7">
        <v>0</v>
      </c>
      <c r="O32" s="4">
        <v>0</v>
      </c>
      <c r="P32" s="7">
        <v>0</v>
      </c>
      <c r="Q32" s="7">
        <v>0</v>
      </c>
      <c r="R32" s="4">
        <f>LARGE(CHOOSE({1;2;3;4},F32,I32,L32,O32),1)+LARGE(CHOOSE({1;2;3;4},F32,I32,L32,O32),2)+LARGE(CHOOSE({1;2;3;4},F32,I32,L32,O32),3)</f>
        <v>2.4</v>
      </c>
      <c r="S32" s="7">
        <f>LARGE(CHOOSE({1;2;3;4},G32,J32,M32,P32),1)+LARGE(CHOOSE({1;2;3;4},G32,J32,M32,P32),2)+LARGE(CHOOSE({1;2;3;4},G32,J32,M32,P32),3)</f>
        <v>9.1</v>
      </c>
      <c r="T32" s="7">
        <f>LARGE(CHOOSE({1;2;3;4},H32,K32,N32,Q32),1)+LARGE(CHOOSE({1;2;3;4},H32,K32,N32,Q32),2)+LARGE(CHOOSE({1;2;3;4},H32,K32,N32,Q32),3)</f>
        <v>11.5</v>
      </c>
      <c r="U32" s="4" cm="1">
        <f t="array" ref="U32">IF(HB[[#This Row],[Number_of_competition]:[Number_of_competition]]&gt;=3,(LARGE(CHOOSE({1;2;3;4},F32,I32,L32,O32),1)+LARGE(CHOOSE({1;2;3;4},F32,I32,L32,O32),2)+LARGE(CHOOSE({1;2;3;4},F32,I32,L32,O32),3))/3,0)</f>
        <v>0</v>
      </c>
      <c r="V32" s="7" cm="1">
        <f t="array" ref="V32">IF(HB[[#This Row],[Number_of_competition]:[Number_of_competition]]&gt;=3,(LARGE(CHOOSE({1;2;3;4},G32,J32,M32,P32),1)+LARGE(CHOOSE({1;2;3;4},G32,J32,M32,P32),2)+LARGE(CHOOSE({1;2;3;4},G32,J32,M32,P32),3))/3,0)</f>
        <v>0</v>
      </c>
      <c r="W32" s="7" cm="1">
        <f t="array" ref="W32">IF(HB[[#This Row],[Number_of_competition]:[Number_of_competition]]&gt;=3,(LARGE(CHOOSE({1;2;3;4},H32,K32,N32,Q32),1)+LARGE(CHOOSE({1;2;3;4},H32,K32,N32,Q32),2)+LARGE(CHOOSE({1;2;3;4},H32,K32,N32,Q32),3))/3,0)</f>
        <v>0</v>
      </c>
      <c r="Z32" s="48" t="s">
        <v>337</v>
      </c>
      <c r="AA32" s="47">
        <v>3</v>
      </c>
      <c r="AB32" s="47">
        <v>4</v>
      </c>
      <c r="AE32" s="43" t="s">
        <v>59</v>
      </c>
      <c r="AF32" s="43" t="s">
        <v>60</v>
      </c>
      <c r="AG32" s="43" t="s">
        <v>62</v>
      </c>
      <c r="AH32">
        <v>3</v>
      </c>
      <c r="AI32" t="s">
        <v>341</v>
      </c>
      <c r="AJ32" s="43" t="s">
        <v>308</v>
      </c>
      <c r="AK32">
        <v>14.1</v>
      </c>
    </row>
    <row r="33" spans="1:37" ht="21" x14ac:dyDescent="0.35">
      <c r="A33" t="s">
        <v>57</v>
      </c>
      <c r="B33" s="2" t="s">
        <v>26</v>
      </c>
      <c r="C33" s="2" t="s">
        <v>58</v>
      </c>
      <c r="D33" t="s">
        <v>36</v>
      </c>
      <c r="E33" s="6">
        <f>COUNTIF(HB[[#This Row],[bydgoszcz_HB_Total_Score]],"&gt;0")+COUNTIF(HB[[#This Row],[zabrze_HB_Total_Score]],"&gt;0")+COUNTIF(HB[[#This Row],[cracow_HB_Total_Score]],"&gt;0")+COUNTIF(HB[[#This Row],[gdansk_HB_Total_Score]],"&gt;0")</f>
        <v>1</v>
      </c>
      <c r="F33" s="4">
        <v>1.9</v>
      </c>
      <c r="G33" s="7">
        <v>8.1</v>
      </c>
      <c r="H33" s="7">
        <v>10</v>
      </c>
      <c r="I33" s="4">
        <v>0</v>
      </c>
      <c r="J33" s="7">
        <v>0</v>
      </c>
      <c r="K33" s="7">
        <v>0</v>
      </c>
      <c r="L33" s="4">
        <v>0</v>
      </c>
      <c r="M33" s="7">
        <v>0</v>
      </c>
      <c r="N33" s="7">
        <v>0</v>
      </c>
      <c r="O33" s="4">
        <v>0</v>
      </c>
      <c r="P33" s="7">
        <v>0</v>
      </c>
      <c r="Q33" s="7">
        <v>0</v>
      </c>
      <c r="R33" s="4">
        <f>LARGE(CHOOSE({1;2;3;4},F33,I33,L33,O33),1)+LARGE(CHOOSE({1;2;3;4},F33,I33,L33,O33),2)+LARGE(CHOOSE({1;2;3;4},F33,I33,L33,O33),3)</f>
        <v>1.9</v>
      </c>
      <c r="S33" s="7">
        <f>LARGE(CHOOSE({1;2;3;4},G33,J33,M33,P33),1)+LARGE(CHOOSE({1;2;3;4},G33,J33,M33,P33),2)+LARGE(CHOOSE({1;2;3;4},G33,J33,M33,P33),3)</f>
        <v>8.1</v>
      </c>
      <c r="T33" s="7">
        <f>LARGE(CHOOSE({1;2;3;4},H33,K33,N33,Q33),1)+LARGE(CHOOSE({1;2;3;4},H33,K33,N33,Q33),2)+LARGE(CHOOSE({1;2;3;4},H33,K33,N33,Q33),3)</f>
        <v>10</v>
      </c>
      <c r="U33" s="4" cm="1">
        <f t="array" ref="U33">IF(HB[[#This Row],[Number_of_competition]:[Number_of_competition]]&gt;=3,(LARGE(CHOOSE({1;2;3;4},F33,I33,L33,O33),1)+LARGE(CHOOSE({1;2;3;4},F33,I33,L33,O33),2)+LARGE(CHOOSE({1;2;3;4},F33,I33,L33,O33),3))/3,0)</f>
        <v>0</v>
      </c>
      <c r="V33" s="7" cm="1">
        <f t="array" ref="V33">IF(HB[[#This Row],[Number_of_competition]:[Number_of_competition]]&gt;=3,(LARGE(CHOOSE({1;2;3;4},G33,J33,M33,P33),1)+LARGE(CHOOSE({1;2;3;4},G33,J33,M33,P33),2)+LARGE(CHOOSE({1;2;3;4},G33,J33,M33,P33),3))/3,0)</f>
        <v>0</v>
      </c>
      <c r="W33" s="7" cm="1">
        <f t="array" ref="W33">IF(HB[[#This Row],[Number_of_competition]:[Number_of_competition]]&gt;=3,(LARGE(CHOOSE({1;2;3;4},H33,K33,N33,Q33),1)+LARGE(CHOOSE({1;2;3;4},H33,K33,N33,Q33),2)+LARGE(CHOOSE({1;2;3;4},H33,K33,N33,Q33),3))/3,0)</f>
        <v>0</v>
      </c>
      <c r="Z33" s="48" t="s">
        <v>338</v>
      </c>
      <c r="AA33" s="47">
        <v>3</v>
      </c>
      <c r="AB33" s="47">
        <v>2</v>
      </c>
      <c r="AE33" s="43" t="s">
        <v>59</v>
      </c>
      <c r="AF33" s="43" t="s">
        <v>60</v>
      </c>
      <c r="AG33" s="43" t="s">
        <v>62</v>
      </c>
      <c r="AH33">
        <v>3</v>
      </c>
      <c r="AI33" t="s">
        <v>341</v>
      </c>
      <c r="AJ33" s="43" t="s">
        <v>309</v>
      </c>
      <c r="AK33">
        <v>22.450000000000003</v>
      </c>
    </row>
    <row r="34" spans="1:37" ht="21" x14ac:dyDescent="0.35">
      <c r="A34" t="s">
        <v>98</v>
      </c>
      <c r="B34" s="2" t="s">
        <v>60</v>
      </c>
      <c r="C34" s="2" t="s">
        <v>99</v>
      </c>
      <c r="D34" t="s">
        <v>72</v>
      </c>
      <c r="E34" s="6">
        <f>COUNTIF(HB[[#This Row],[bydgoszcz_HB_Total_Score]],"&gt;0")+COUNTIF(HB[[#This Row],[zabrze_HB_Total_Score]],"&gt;0")+COUNTIF(HB[[#This Row],[cracow_HB_Total_Score]],"&gt;0")+COUNTIF(HB[[#This Row],[gdansk_HB_Total_Score]],"&gt;0")</f>
        <v>1</v>
      </c>
      <c r="F34" s="4">
        <v>0</v>
      </c>
      <c r="G34" s="7">
        <v>0</v>
      </c>
      <c r="H34" s="7">
        <v>0</v>
      </c>
      <c r="I34" s="4">
        <v>0</v>
      </c>
      <c r="J34" s="7">
        <v>0</v>
      </c>
      <c r="K34" s="7">
        <v>0</v>
      </c>
      <c r="L34" s="4">
        <v>2.6</v>
      </c>
      <c r="M34" s="7">
        <v>6.95</v>
      </c>
      <c r="N34" s="7">
        <v>9.5500000000000007</v>
      </c>
      <c r="O34" s="4">
        <v>0</v>
      </c>
      <c r="P34" s="7">
        <v>0</v>
      </c>
      <c r="Q34" s="7">
        <v>0</v>
      </c>
      <c r="R34" s="4">
        <f>LARGE(CHOOSE({1;2;3;4},F34,I34,L34,O34),1)+LARGE(CHOOSE({1;2;3;4},F34,I34,L34,O34),2)+LARGE(CHOOSE({1;2;3;4},F34,I34,L34,O34),3)</f>
        <v>2.6</v>
      </c>
      <c r="S34" s="7">
        <f>LARGE(CHOOSE({1;2;3;4},G34,J34,M34,P34),1)+LARGE(CHOOSE({1;2;3;4},G34,J34,M34,P34),2)+LARGE(CHOOSE({1;2;3;4},G34,J34,M34,P34),3)</f>
        <v>6.95</v>
      </c>
      <c r="T34" s="7">
        <f>LARGE(CHOOSE({1;2;3;4},H34,K34,N34,Q34),1)+LARGE(CHOOSE({1;2;3;4},H34,K34,N34,Q34),2)+LARGE(CHOOSE({1;2;3;4},H34,K34,N34,Q34),3)</f>
        <v>9.5500000000000007</v>
      </c>
      <c r="U34" s="4" cm="1">
        <f t="array" ref="U34">IF(HB[[#This Row],[Number_of_competition]:[Number_of_competition]]&gt;=3,(LARGE(CHOOSE({1;2;3;4},F34,I34,L34,O34),1)+LARGE(CHOOSE({1;2;3;4},F34,I34,L34,O34),2)+LARGE(CHOOSE({1;2;3;4},F34,I34,L34,O34),3))/3,0)</f>
        <v>0</v>
      </c>
      <c r="V34" s="7" cm="1">
        <f t="array" ref="V34">IF(HB[[#This Row],[Number_of_competition]:[Number_of_competition]]&gt;=3,(LARGE(CHOOSE({1;2;3;4},G34,J34,M34,P34),1)+LARGE(CHOOSE({1;2;3;4},G34,J34,M34,P34),2)+LARGE(CHOOSE({1;2;3;4},G34,J34,M34,P34),3))/3,0)</f>
        <v>0</v>
      </c>
      <c r="W34" s="7" cm="1">
        <f t="array" ref="W34">IF(HB[[#This Row],[Number_of_competition]:[Number_of_competition]]&gt;=3,(LARGE(CHOOSE({1;2;3;4},H34,K34,N34,Q34),1)+LARGE(CHOOSE({1;2;3;4},H34,K34,N34,Q34),2)+LARGE(CHOOSE({1;2;3;4},H34,K34,N34,Q34),3))/3,0)</f>
        <v>0</v>
      </c>
      <c r="Z34" s="48" t="s">
        <v>340</v>
      </c>
      <c r="AA34" s="47">
        <v>1</v>
      </c>
      <c r="AB34" s="47"/>
      <c r="AE34" s="43" t="s">
        <v>59</v>
      </c>
      <c r="AF34" s="43" t="s">
        <v>60</v>
      </c>
      <c r="AG34" s="43" t="s">
        <v>62</v>
      </c>
      <c r="AH34">
        <v>3</v>
      </c>
      <c r="AI34" t="s">
        <v>341</v>
      </c>
      <c r="AJ34" s="43" t="s">
        <v>268</v>
      </c>
      <c r="AK34">
        <v>36.549999999999997</v>
      </c>
    </row>
    <row r="35" spans="1:37" ht="21" x14ac:dyDescent="0.35">
      <c r="A35" t="s">
        <v>122</v>
      </c>
      <c r="B35" s="2" t="s">
        <v>26</v>
      </c>
      <c r="C35" s="2" t="s">
        <v>123</v>
      </c>
      <c r="D35" t="s">
        <v>124</v>
      </c>
      <c r="E35" s="6">
        <f>COUNTIF(HB[[#This Row],[bydgoszcz_HB_Total_Score]],"&gt;0")+COUNTIF(HB[[#This Row],[zabrze_HB_Total_Score]],"&gt;0")+COUNTIF(HB[[#This Row],[cracow_HB_Total_Score]],"&gt;0")+COUNTIF(HB[[#This Row],[gdansk_HB_Total_Score]],"&gt;0")</f>
        <v>1</v>
      </c>
      <c r="F35" s="4">
        <v>0</v>
      </c>
      <c r="G35" s="7">
        <v>0</v>
      </c>
      <c r="H35" s="7">
        <v>0</v>
      </c>
      <c r="I35" s="4">
        <v>0</v>
      </c>
      <c r="J35" s="7">
        <v>0</v>
      </c>
      <c r="K35" s="7">
        <v>0</v>
      </c>
      <c r="L35" s="4">
        <v>2</v>
      </c>
      <c r="M35" s="7">
        <v>6.6</v>
      </c>
      <c r="N35" s="7">
        <v>8.6</v>
      </c>
      <c r="O35" s="4">
        <v>0</v>
      </c>
      <c r="P35" s="7">
        <v>0</v>
      </c>
      <c r="Q35" s="7">
        <v>0</v>
      </c>
      <c r="R35" s="4">
        <f>LARGE(CHOOSE({1;2;3;4},F35,I35,L35,O35),1)+LARGE(CHOOSE({1;2;3;4},F35,I35,L35,O35),2)+LARGE(CHOOSE({1;2;3;4},F35,I35,L35,O35),3)</f>
        <v>2</v>
      </c>
      <c r="S35" s="7">
        <f>LARGE(CHOOSE({1;2;3;4},G35,J35,M35,P35),1)+LARGE(CHOOSE({1;2;3;4},G35,J35,M35,P35),2)+LARGE(CHOOSE({1;2;3;4},G35,J35,M35,P35),3)</f>
        <v>6.6</v>
      </c>
      <c r="T35" s="7">
        <f>LARGE(CHOOSE({1;2;3;4},H35,K35,N35,Q35),1)+LARGE(CHOOSE({1;2;3;4},H35,K35,N35,Q35),2)+LARGE(CHOOSE({1;2;3;4},H35,K35,N35,Q35),3)</f>
        <v>8.6</v>
      </c>
      <c r="U35" s="4" cm="1">
        <f t="array" ref="U35">IF(HB[[#This Row],[Number_of_competition]:[Number_of_competition]]&gt;=3,(LARGE(CHOOSE({1;2;3;4},F35,I35,L35,O35),1)+LARGE(CHOOSE({1;2;3;4},F35,I35,L35,O35),2)+LARGE(CHOOSE({1;2;3;4},F35,I35,L35,O35),3))/3,0)</f>
        <v>0</v>
      </c>
      <c r="V35" s="7" cm="1">
        <f t="array" ref="V35">IF(HB[[#This Row],[Number_of_competition]:[Number_of_competition]]&gt;=3,(LARGE(CHOOSE({1;2;3;4},G35,J35,M35,P35),1)+LARGE(CHOOSE({1;2;3;4},G35,J35,M35,P35),2)+LARGE(CHOOSE({1;2;3;4},G35,J35,M35,P35),3))/3,0)</f>
        <v>0</v>
      </c>
      <c r="W35" s="7" cm="1">
        <f t="array" ref="W35">IF(HB[[#This Row],[Number_of_competition]:[Number_of_competition]]&gt;=3,(LARGE(CHOOSE({1;2;3;4},H35,K35,N35,Q35),1)+LARGE(CHOOSE({1;2;3;4},H35,K35,N35,Q35),2)+LARGE(CHOOSE({1;2;3;4},H35,K35,N35,Q35),3))/3,0)</f>
        <v>0</v>
      </c>
      <c r="AE35" s="43" t="s">
        <v>59</v>
      </c>
      <c r="AF35" s="43" t="s">
        <v>60</v>
      </c>
      <c r="AG35" s="43" t="s">
        <v>62</v>
      </c>
      <c r="AH35">
        <v>3</v>
      </c>
      <c r="AI35" t="s">
        <v>273</v>
      </c>
      <c r="AJ35" s="43" t="s">
        <v>308</v>
      </c>
      <c r="AK35">
        <v>4.7</v>
      </c>
    </row>
    <row r="36" spans="1:37" ht="21" x14ac:dyDescent="0.35">
      <c r="A36" t="s">
        <v>135</v>
      </c>
      <c r="B36" s="2" t="s">
        <v>26</v>
      </c>
      <c r="C36" s="2" t="s">
        <v>136</v>
      </c>
      <c r="D36" t="s">
        <v>124</v>
      </c>
      <c r="E36" s="6">
        <f>COUNTIF(HB[[#This Row],[bydgoszcz_HB_Total_Score]],"&gt;0")+COUNTIF(HB[[#This Row],[zabrze_HB_Total_Score]],"&gt;0")+COUNTIF(HB[[#This Row],[cracow_HB_Total_Score]],"&gt;0")+COUNTIF(HB[[#This Row],[gdansk_HB_Total_Score]],"&gt;0")</f>
        <v>1</v>
      </c>
      <c r="F36" s="4">
        <v>1.5</v>
      </c>
      <c r="G36" s="7">
        <v>5</v>
      </c>
      <c r="H36" s="7">
        <v>6.5</v>
      </c>
      <c r="I36" s="4">
        <v>0</v>
      </c>
      <c r="J36" s="7">
        <v>0</v>
      </c>
      <c r="K36" s="7">
        <v>0</v>
      </c>
      <c r="L36" s="4">
        <v>0</v>
      </c>
      <c r="M36" s="7">
        <v>0</v>
      </c>
      <c r="N36" s="7">
        <v>0</v>
      </c>
      <c r="O36" s="4">
        <v>0</v>
      </c>
      <c r="P36" s="7">
        <v>0</v>
      </c>
      <c r="Q36" s="7">
        <v>0</v>
      </c>
      <c r="R36" s="4">
        <f>LARGE(CHOOSE({1;2;3;4},F36,I36,L36,O36),1)+LARGE(CHOOSE({1;2;3;4},F36,I36,L36,O36),2)+LARGE(CHOOSE({1;2;3;4},F36,I36,L36,O36),3)</f>
        <v>1.5</v>
      </c>
      <c r="S36" s="7">
        <f>LARGE(CHOOSE({1;2;3;4},G36,J36,M36,P36),1)+LARGE(CHOOSE({1;2;3;4},G36,J36,M36,P36),2)+LARGE(CHOOSE({1;2;3;4},G36,J36,M36,P36),3)</f>
        <v>5</v>
      </c>
      <c r="T36" s="7">
        <f>LARGE(CHOOSE({1;2;3;4},H36,K36,N36,Q36),1)+LARGE(CHOOSE({1;2;3;4},H36,K36,N36,Q36),2)+LARGE(CHOOSE({1;2;3;4},H36,K36,N36,Q36),3)</f>
        <v>6.5</v>
      </c>
      <c r="U36" s="4" cm="1">
        <f t="array" ref="U36">IF(HB[[#This Row],[Number_of_competition]:[Number_of_competition]]&gt;=3,(LARGE(CHOOSE({1;2;3;4},F36,I36,L36,O36),1)+LARGE(CHOOSE({1;2;3;4},F36,I36,L36,O36),2)+LARGE(CHOOSE({1;2;3;4},F36,I36,L36,O36),3))/3,0)</f>
        <v>0</v>
      </c>
      <c r="V36" s="7" cm="1">
        <f t="array" ref="V36">IF(HB[[#This Row],[Number_of_competition]:[Number_of_competition]]&gt;=3,(LARGE(CHOOSE({1;2;3;4},G36,J36,M36,P36),1)+LARGE(CHOOSE({1;2;3;4},G36,J36,M36,P36),2)+LARGE(CHOOSE({1;2;3;4},G36,J36,M36,P36),3))/3,0)</f>
        <v>0</v>
      </c>
      <c r="W36" s="7" cm="1">
        <f t="array" ref="W36">IF(HB[[#This Row],[Number_of_competition]:[Number_of_competition]]&gt;=3,(LARGE(CHOOSE({1;2;3;4},H36,K36,N36,Q36),1)+LARGE(CHOOSE({1;2;3;4},H36,K36,N36,Q36),2)+LARGE(CHOOSE({1;2;3;4},H36,K36,N36,Q36),3))/3,0)</f>
        <v>0</v>
      </c>
      <c r="AE36" s="43" t="s">
        <v>59</v>
      </c>
      <c r="AF36" s="43" t="s">
        <v>60</v>
      </c>
      <c r="AG36" s="43" t="s">
        <v>62</v>
      </c>
      <c r="AH36">
        <v>3</v>
      </c>
      <c r="AI36" t="s">
        <v>273</v>
      </c>
      <c r="AJ36" s="43" t="s">
        <v>309</v>
      </c>
      <c r="AK36">
        <v>7.4833333333333343</v>
      </c>
    </row>
    <row r="37" spans="1:37" ht="21" x14ac:dyDescent="0.35">
      <c r="A37" t="s">
        <v>139</v>
      </c>
      <c r="B37" s="2" t="s">
        <v>26</v>
      </c>
      <c r="C37" s="2" t="s">
        <v>140</v>
      </c>
      <c r="D37" t="s">
        <v>124</v>
      </c>
      <c r="E37" s="6">
        <f>COUNTIF(HB[[#This Row],[bydgoszcz_HB_Total_Score]],"&gt;0")+COUNTIF(HB[[#This Row],[zabrze_HB_Total_Score]],"&gt;0")+COUNTIF(HB[[#This Row],[cracow_HB_Total_Score]],"&gt;0")+COUNTIF(HB[[#This Row],[gdansk_HB_Total_Score]],"&gt;0")</f>
        <v>1</v>
      </c>
      <c r="F37" s="4">
        <v>1</v>
      </c>
      <c r="G37" s="7">
        <v>3.1</v>
      </c>
      <c r="H37" s="7">
        <v>4.0999999999999996</v>
      </c>
      <c r="I37" s="4">
        <v>0</v>
      </c>
      <c r="J37" s="7">
        <v>0</v>
      </c>
      <c r="K37" s="7">
        <v>0</v>
      </c>
      <c r="L37" s="4">
        <v>0</v>
      </c>
      <c r="M37" s="7">
        <v>0</v>
      </c>
      <c r="N37" s="7">
        <v>0</v>
      </c>
      <c r="O37" s="4">
        <v>0</v>
      </c>
      <c r="P37" s="7">
        <v>0</v>
      </c>
      <c r="Q37" s="7">
        <v>0</v>
      </c>
      <c r="R37" s="4">
        <f>LARGE(CHOOSE({1;2;3;4},F37,I37,L37,O37),1)+LARGE(CHOOSE({1;2;3;4},F37,I37,L37,O37),2)+LARGE(CHOOSE({1;2;3;4},F37,I37,L37,O37),3)</f>
        <v>1</v>
      </c>
      <c r="S37" s="7">
        <f>LARGE(CHOOSE({1;2;3;4},G37,J37,M37,P37),1)+LARGE(CHOOSE({1;2;3;4},G37,J37,M37,P37),2)+LARGE(CHOOSE({1;2;3;4},G37,J37,M37,P37),3)</f>
        <v>3.1</v>
      </c>
      <c r="T37" s="7">
        <f>LARGE(CHOOSE({1;2;3;4},H37,K37,N37,Q37),1)+LARGE(CHOOSE({1;2;3;4},H37,K37,N37,Q37),2)+LARGE(CHOOSE({1;2;3;4},H37,K37,N37,Q37),3)</f>
        <v>4.0999999999999996</v>
      </c>
      <c r="U37" s="4" cm="1">
        <f t="array" ref="U37">IF(HB[[#This Row],[Number_of_competition]:[Number_of_competition]]&gt;=3,(LARGE(CHOOSE({1;2;3;4},F37,I37,L37,O37),1)+LARGE(CHOOSE({1;2;3;4},F37,I37,L37,O37),2)+LARGE(CHOOSE({1;2;3;4},F37,I37,L37,O37),3))/3,0)</f>
        <v>0</v>
      </c>
      <c r="V37" s="7" cm="1">
        <f t="array" ref="V37">IF(HB[[#This Row],[Number_of_competition]:[Number_of_competition]]&gt;=3,(LARGE(CHOOSE({1;2;3;4},G37,J37,M37,P37),1)+LARGE(CHOOSE({1;2;3;4},G37,J37,M37,P37),2)+LARGE(CHOOSE({1;2;3;4},G37,J37,M37,P37),3))/3,0)</f>
        <v>0</v>
      </c>
      <c r="W37" s="7" cm="1">
        <f t="array" ref="W37">IF(HB[[#This Row],[Number_of_competition]:[Number_of_competition]]&gt;=3,(LARGE(CHOOSE({1;2;3;4},H37,K37,N37,Q37),1)+LARGE(CHOOSE({1;2;3;4},H37,K37,N37,Q37),2)+LARGE(CHOOSE({1;2;3;4},H37,K37,N37,Q37),3))/3,0)</f>
        <v>0</v>
      </c>
      <c r="AE37" s="43" t="s">
        <v>59</v>
      </c>
      <c r="AF37" s="43" t="s">
        <v>60</v>
      </c>
      <c r="AG37" s="43" t="s">
        <v>62</v>
      </c>
      <c r="AH37">
        <v>3</v>
      </c>
      <c r="AI37" t="s">
        <v>273</v>
      </c>
      <c r="AJ37" s="43" t="s">
        <v>268</v>
      </c>
      <c r="AK37">
        <v>12.183333333333332</v>
      </c>
    </row>
    <row r="38" spans="1:37" ht="21" x14ac:dyDescent="0.35">
      <c r="A38" t="s">
        <v>137</v>
      </c>
      <c r="B38" s="2" t="s">
        <v>26</v>
      </c>
      <c r="C38" s="2" t="s">
        <v>138</v>
      </c>
      <c r="D38" t="s">
        <v>124</v>
      </c>
      <c r="E38" s="6">
        <f>COUNTIF(HB[[#This Row],[bydgoszcz_HB_Total_Score]],"&gt;0")+COUNTIF(HB[[#This Row],[zabrze_HB_Total_Score]],"&gt;0")+COUNTIF(HB[[#This Row],[cracow_HB_Total_Score]],"&gt;0")+COUNTIF(HB[[#This Row],[gdansk_HB_Total_Score]],"&gt;0")</f>
        <v>1</v>
      </c>
      <c r="F38" s="4">
        <v>0.1</v>
      </c>
      <c r="G38" s="7">
        <v>1</v>
      </c>
      <c r="H38" s="7">
        <v>1.1000000000000001</v>
      </c>
      <c r="I38" s="4">
        <v>0</v>
      </c>
      <c r="J38" s="7">
        <v>0</v>
      </c>
      <c r="K38" s="7">
        <v>0</v>
      </c>
      <c r="L38" s="4">
        <v>0</v>
      </c>
      <c r="M38" s="7">
        <v>0</v>
      </c>
      <c r="N38" s="7">
        <v>0</v>
      </c>
      <c r="O38" s="4">
        <v>0</v>
      </c>
      <c r="P38" s="7">
        <v>0</v>
      </c>
      <c r="Q38" s="7">
        <v>0</v>
      </c>
      <c r="R38" s="4">
        <f>LARGE(CHOOSE({1;2;3;4},F38,I38,L38,O38),1)+LARGE(CHOOSE({1;2;3;4},F38,I38,L38,O38),2)+LARGE(CHOOSE({1;2;3;4},F38,I38,L38,O38),3)</f>
        <v>0.1</v>
      </c>
      <c r="S38" s="7">
        <f>LARGE(CHOOSE({1;2;3;4},G38,J38,M38,P38),1)+LARGE(CHOOSE({1;2;3;4},G38,J38,M38,P38),2)+LARGE(CHOOSE({1;2;3;4},G38,J38,M38,P38),3)</f>
        <v>1</v>
      </c>
      <c r="T38" s="7">
        <f>LARGE(CHOOSE({1;2;3;4},H38,K38,N38,Q38),1)+LARGE(CHOOSE({1;2;3;4},H38,K38,N38,Q38),2)+LARGE(CHOOSE({1;2;3;4},H38,K38,N38,Q38),3)</f>
        <v>1.1000000000000001</v>
      </c>
      <c r="U38" s="4" cm="1">
        <f t="array" ref="U38">IF(HB[[#This Row],[Number_of_competition]:[Number_of_competition]]&gt;=3,(LARGE(CHOOSE({1;2;3;4},F38,I38,L38,O38),1)+LARGE(CHOOSE({1;2;3;4},F38,I38,L38,O38),2)+LARGE(CHOOSE({1;2;3;4},F38,I38,L38,O38),3))/3,0)</f>
        <v>0</v>
      </c>
      <c r="V38" s="7" cm="1">
        <f t="array" ref="V38">IF(HB[[#This Row],[Number_of_competition]:[Number_of_competition]]&gt;=3,(LARGE(CHOOSE({1;2;3;4},G38,J38,M38,P38),1)+LARGE(CHOOSE({1;2;3;4},G38,J38,M38,P38),2)+LARGE(CHOOSE({1;2;3;4},G38,J38,M38,P38),3))/3,0)</f>
        <v>0</v>
      </c>
      <c r="W38" s="7" cm="1">
        <f t="array" ref="W38">IF(HB[[#This Row],[Number_of_competition]:[Number_of_competition]]&gt;=3,(LARGE(CHOOSE({1;2;3;4},H38,K38,N38,Q38),1)+LARGE(CHOOSE({1;2;3;4},H38,K38,N38,Q38),2)+LARGE(CHOOSE({1;2;3;4},H38,K38,N38,Q38),3))/3,0)</f>
        <v>0</v>
      </c>
      <c r="AE38" s="43" t="s">
        <v>25</v>
      </c>
      <c r="AF38" s="43" t="s">
        <v>26</v>
      </c>
      <c r="AG38" s="43" t="s">
        <v>28</v>
      </c>
      <c r="AH38">
        <v>4</v>
      </c>
      <c r="AI38" t="s">
        <v>317</v>
      </c>
      <c r="AJ38" s="43" t="s">
        <v>308</v>
      </c>
      <c r="AK38">
        <v>2.6</v>
      </c>
    </row>
    <row r="39" spans="1:37" ht="21" x14ac:dyDescent="0.35">
      <c r="R39" s="4"/>
      <c r="S39" s="7"/>
      <c r="T39" s="7"/>
      <c r="U39" s="4"/>
      <c r="V39" s="7"/>
      <c r="W39" s="7"/>
      <c r="AE39" s="43" t="s">
        <v>25</v>
      </c>
      <c r="AF39" s="43" t="s">
        <v>26</v>
      </c>
      <c r="AG39" s="43" t="s">
        <v>28</v>
      </c>
      <c r="AH39">
        <v>4</v>
      </c>
      <c r="AI39" t="s">
        <v>317</v>
      </c>
      <c r="AJ39" s="43" t="s">
        <v>309</v>
      </c>
      <c r="AK39">
        <v>9</v>
      </c>
    </row>
    <row r="40" spans="1:37" ht="21" x14ac:dyDescent="0.35">
      <c r="AE40" s="43" t="s">
        <v>25</v>
      </c>
      <c r="AF40" s="43" t="s">
        <v>26</v>
      </c>
      <c r="AG40" s="43" t="s">
        <v>28</v>
      </c>
      <c r="AH40">
        <v>4</v>
      </c>
      <c r="AI40" t="s">
        <v>317</v>
      </c>
      <c r="AJ40" s="43" t="s">
        <v>268</v>
      </c>
      <c r="AK40">
        <v>11.6</v>
      </c>
    </row>
    <row r="41" spans="1:37" ht="21" x14ac:dyDescent="0.35">
      <c r="A41" s="16" t="s">
        <v>2</v>
      </c>
      <c r="B41" s="16" t="s">
        <v>266</v>
      </c>
      <c r="C41" s="16" t="s">
        <v>271</v>
      </c>
      <c r="D41" s="17" t="s">
        <v>272</v>
      </c>
      <c r="E41" s="17" t="s">
        <v>270</v>
      </c>
      <c r="F41" s="18" t="s">
        <v>253</v>
      </c>
      <c r="AE41" s="43" t="s">
        <v>25</v>
      </c>
      <c r="AF41" s="43" t="s">
        <v>26</v>
      </c>
      <c r="AG41" s="43" t="s">
        <v>28</v>
      </c>
      <c r="AH41">
        <v>4</v>
      </c>
      <c r="AI41" t="s">
        <v>325</v>
      </c>
      <c r="AJ41" s="43" t="s">
        <v>308</v>
      </c>
      <c r="AK41">
        <v>2.7</v>
      </c>
    </row>
    <row r="42" spans="1:37" ht="21" x14ac:dyDescent="0.35">
      <c r="A42" s="15" t="s">
        <v>60</v>
      </c>
      <c r="B42" s="15" t="s">
        <v>269</v>
      </c>
      <c r="C42" s="4" cm="1">
        <f t="array" ref="C42">SUM(_xlfn._xlws.FILTER(HB[bydgoszcz_HB_Dscore],HB[Category]="senior"),_xlfn._xlws.FILTER(HB[zabrze_HB_Dscore],HB[Category]="senior"),_xlfn._xlws.FILTER(HB[cracow_HB_Dscore],HB[Category]="senior"),_xlfn._xlws.FILTER(HB[gdansk_HB_Dscore],HB[Category]="senior"))/(COUNTIFS(HB[bydgoszcz_HB_Dscore],"&gt;0",HB[Category],"senior")+COUNTIFS(HB[zabrze_HB_Dscore],"&gt;0",HB[Category],"senior")+COUNTIFS(HB[cracow_HB_Dscore],"&gt;0",HB[Category],"senior")+COUNTIFS(HB[gdansk_HB_Dscore],"&gt;0",HB[Category],"senior"))</f>
        <v>3.1875</v>
      </c>
      <c r="D42" s="4" cm="1">
        <f t="array" ref="D42">_xlfn.STDEV.S(_xlfn._xlws.FILTER(HB[bydgoszcz_HB_Dscore],(HB[Category]="senior")*(HB[bydgoszcz_HB_Dscore])&gt;0),_xlfn._xlws.FILTER(HB[zabrze_HB_Dscore],(HB[Category]="senior")*(HB[zabrze_HB_Dscore])&gt;0),_xlfn._xlws.FILTER(HB[cracow_HB_Dscore],(HB[Category]="senior")*(HB[cracow_HB_Dscore])&gt;0),_xlfn._xlws.FILTER(HB[gdansk_HB_Dscore],(HB[Category]="senior")*(HB[gdansk_HB_Dscore])&gt;0))</f>
        <v>0.86285646349537393</v>
      </c>
      <c r="E42" s="4" cm="1">
        <f t="array" ref="E42">MAX(_xlfn._xlws.FILTER(HB[bydgoszcz_HB_Dscore],HB[Category]="senior"),_xlfn._xlws.FILTER(HB[zabrze_HB_Dscore],HB[Category]="senior"),_xlfn._xlws.FILTER(HB[cracow_HB_Dscore],HB[Category]="senior"),_xlfn._xlws.FILTER(HB[gdansk_HB_Dscore],HB[Category]="senior"))</f>
        <v>4.9000000000000004</v>
      </c>
      <c r="F42" s="2" t="str" cm="1">
        <f t="array" ref="F42">_xlfn.XLOOKUP(E42,_xlfn._xlws.FILTER(HB[bydgoszcz_HB_Dscore],HB[Category]="senior"),_xlfn._xlws.FILTER(HB[Name],HB[Category]="senior"),_xlfn.XLOOKUP(E42,_xlfn._xlws.FILTER(HB[zabrze_HB_Dscore],HB[Category]="senior"),_xlfn._xlws.FILTER(HB[Name],HB[Category]="senior"),_xlfn.XLOOKUP(E42,_xlfn._xlws.FILTER(HB[cracow_HB_Dscore],HB[Category]="senior"),_xlfn._xlws.FILTER(HB[Name],HB[Category]="senior"),_xlfn.XLOOKUP(E42,_xlfn._xlws.FILTER(HB[gdansk_HB_Dscore],HB[Category]="senior"),_xlfn._xlws.FILTER(HB[Name],HB[Category]="senior")))))</f>
        <v>GARNCZAREK Kacper</v>
      </c>
      <c r="AE42" s="43" t="s">
        <v>25</v>
      </c>
      <c r="AF42" s="43" t="s">
        <v>26</v>
      </c>
      <c r="AG42" s="43" t="s">
        <v>28</v>
      </c>
      <c r="AH42">
        <v>4</v>
      </c>
      <c r="AI42" t="s">
        <v>325</v>
      </c>
      <c r="AJ42" s="43" t="s">
        <v>309</v>
      </c>
      <c r="AK42">
        <v>9.1</v>
      </c>
    </row>
    <row r="43" spans="1:37" ht="21" x14ac:dyDescent="0.35">
      <c r="A43" s="15" t="s">
        <v>60</v>
      </c>
      <c r="B43" s="15" t="s">
        <v>267</v>
      </c>
      <c r="C43" s="7" cm="1">
        <f t="array" ref="C43">SUM(_xlfn._xlws.FILTER(HB[bydgoszcz_HB_Escore],HB[Category]="senior"),_xlfn._xlws.FILTER(HB[zabrze_HB_Escore],HB[Category]="senior"),_xlfn._xlws.FILTER(HB[cracow_HB_Escore],HB[Category]="senior"),_xlfn._xlws.FILTER(HB[gdansk_HB_Escore],HB[Category]="senior"))/(COUNTIFS(HB[bydgoszcz_HB_Escore],"&gt;0",HB[Category],"senior")+COUNTIFS(HB[zabrze_HB_Escore],"&gt;0",HB[Category],"senior")+COUNTIFS(HB[cracow_HB_Escore],"&gt;0",HB[Category],"senior")+COUNTIFS(HB[gdansk_HB_Escore],"&gt;0",HB[Category],"senior"))</f>
        <v>7.4031249999999984</v>
      </c>
      <c r="D43" s="7" cm="1">
        <f t="array" ref="D43">_xlfn.STDEV.S(_xlfn._xlws.FILTER(HB[bydgoszcz_HB_Escore],(HB[Category]="senior")*(HB[bydgoszcz_HB_Escore])&gt;0),_xlfn._xlws.FILTER(HB[zabrze_HB_Escore],(HB[Category]="senior")*(HB[zabrze_HB_Escore])&gt;0),_xlfn._xlws.FILTER(HB[cracow_HB_Escore],(HB[Category]="senior")*(HB[cracow_HB_Escore])&gt;0),_xlfn._xlws.FILTER(HB[gdansk_HB_Escore],(HB[Category]="senior")*(HB[gdansk_HB_Escore])&gt;0))</f>
        <v>1.2906128451078793</v>
      </c>
      <c r="E43" s="7" cm="1">
        <f t="array" ref="E43">MAX(_xlfn._xlws.FILTER(HB[bydgoszcz_HB_Escore],HB[Category]="senior"),_xlfn._xlws.FILTER(HB[zabrze_HB_Escore],HB[Category]="senior"),_xlfn._xlws.FILTER(HB[cracow_HB_Escore],HB[Category]="senior"),_xlfn._xlws.FILTER(HB[gdansk_HB_Escore],HB[Category]="senior"))</f>
        <v>8.9</v>
      </c>
      <c r="F43" s="2" t="str" cm="1">
        <f t="array" ref="F43">_xlfn.XLOOKUP(E43,_xlfn._xlws.FILTER(HB[bydgoszcz_HB_Escore],HB[Category]="senior"),_xlfn._xlws.FILTER(HB[Name],HB[Category]="senior"),_xlfn.XLOOKUP(E43,_xlfn._xlws.FILTER(HB[zabrze_HB_Escore],HB[Category]="senior"),_xlfn._xlws.FILTER(HB[Name],HB[Category]="senior"),_xlfn.XLOOKUP(E43,_xlfn._xlws.FILTER(HB[cracow_HB_Escore],HB[Category]="senior"),_xlfn._xlws.FILTER(HB[Name],HB[Category]="senior"),_xlfn.XLOOKUP(E43,_xlfn._xlws.FILTER(HB[gdansk_HB_Escore],HB[Category]="senior"),_xlfn._xlws.FILTER(HB[Name],HB[Category]="senior")))))</f>
        <v>KUROWSKI Jakub</v>
      </c>
      <c r="AE43" s="43" t="s">
        <v>25</v>
      </c>
      <c r="AF43" s="43" t="s">
        <v>26</v>
      </c>
      <c r="AG43" s="43" t="s">
        <v>28</v>
      </c>
      <c r="AH43">
        <v>4</v>
      </c>
      <c r="AI43" t="s">
        <v>325</v>
      </c>
      <c r="AJ43" s="43" t="s">
        <v>268</v>
      </c>
      <c r="AK43">
        <v>11.8</v>
      </c>
    </row>
    <row r="44" spans="1:37" ht="21" x14ac:dyDescent="0.35">
      <c r="A44" s="15" t="s">
        <v>60</v>
      </c>
      <c r="B44" s="15" t="s">
        <v>268</v>
      </c>
      <c r="C44" s="7" cm="1">
        <f t="array" ref="C44">SUM(_xlfn._xlws.FILTER(HB[bydgoszcz_HB_Total_Score],HB[Category]="senior"),_xlfn._xlws.FILTER(HB[zabrze_HB_Total_Score],HB[Category]="senior"),_xlfn._xlws.FILTER(HB[cracow_HB_Total_Score],HB[Category]="senior"),_xlfn._xlws.FILTER(HB[gdansk_HB_Total_Score],HB[Category]="senior"))/(COUNTIFS(HB[bydgoszcz_HB_Total_Score],"&gt;0",HB[Category],"senior")+COUNTIFS(HB[zabrze_HB_Total_Score],"&gt;0",HB[Category],"senior")+COUNTIFS(HB[cracow_HB_Total_Score],"&gt;0",HB[Category],"senior")+COUNTIFS(HB[gdansk_HB_Total_Score],"&gt;0",HB[Category],"senior"))</f>
        <v>10.590624999999999</v>
      </c>
      <c r="D44" s="7" cm="1">
        <f t="array" ref="D44">_xlfn.STDEV.S(_xlfn._xlws.FILTER(HB[bydgoszcz_HB_Total_Score],(HB[Category]="senior")*(HB[bydgoszcz_HB_Total_Score])&gt;0),_xlfn._xlws.FILTER(HB[zabrze_HB_Total_Score],(HB[Category]="senior")*(HB[zabrze_HB_Total_Score])&gt;0),_xlfn._xlws.FILTER(HB[cracow_HB_Total_Score],(HB[Category]="senior")*(HB[cracow_HB_Total_Score])&gt;0),_xlfn._xlws.FILTER(HB[gdansk_HB_Total_Score],(HB[Category]="senior")*(HB[gdansk_HB_Total_Score])&gt;0))</f>
        <v>1.6950069431226658</v>
      </c>
      <c r="E44" s="7" cm="1">
        <f t="array" ref="E44">MAX(_xlfn._xlws.FILTER(HB[bydgoszcz_HB_Total_Score],HB[Category]="senior"),_xlfn._xlws.FILTER(HB[zabrze_HB_Total_Score],HB[Category]="senior"),_xlfn._xlws.FILTER(HB[cracow_HB_Total_Score],HB[Category]="senior"),_xlfn._xlws.FILTER(HB[gdansk_HB_Total_Score],HB[Category]="senior"))</f>
        <v>12.8</v>
      </c>
      <c r="F44" s="2" t="str" cm="1">
        <f t="array" ref="F44">_xlfn.XLOOKUP(E44,_xlfn._xlws.FILTER(HB[bydgoszcz_HB_Total_Score],HB[Category]="senior"),_xlfn._xlws.FILTER(HB[Name],HB[Category]="senior"),_xlfn.XLOOKUP(E44,_xlfn._xlws.FILTER(HB[zabrze_HB_Total_Score],HB[Category]="senior"),_xlfn._xlws.FILTER(HB[Name],HB[Category]="senior"),_xlfn.XLOOKUP(E44,_xlfn._xlws.FILTER(HB[cracow_HB_Total_Score],HB[Category]="senior"),_xlfn._xlws.FILTER(HB[Name],HB[Category]="senior"),_xlfn.XLOOKUP(E44,_xlfn._xlws.FILTER(HB[gdansk_HB_Total_Score],HB[Category]="senior"),_xlfn._xlws.FILTER(HB[Name],HB[Category]="senior")))))</f>
        <v>SASNAL Filip</v>
      </c>
      <c r="AE44" s="43" t="s">
        <v>25</v>
      </c>
      <c r="AF44" s="43" t="s">
        <v>26</v>
      </c>
      <c r="AG44" s="43" t="s">
        <v>28</v>
      </c>
      <c r="AH44">
        <v>4</v>
      </c>
      <c r="AI44" t="s">
        <v>330</v>
      </c>
      <c r="AJ44" s="43" t="s">
        <v>308</v>
      </c>
      <c r="AK44">
        <v>2.7</v>
      </c>
    </row>
    <row r="45" spans="1:37" ht="21" x14ac:dyDescent="0.35">
      <c r="A45" s="15" t="s">
        <v>60</v>
      </c>
      <c r="B45" s="15" t="s">
        <v>275</v>
      </c>
      <c r="C45" s="4" cm="1">
        <f t="array" ref="C45">SUM(_xlfn._xlws.FILTER(HB[Year_Dscore],(HB[Category]="senior")*(HB[Number_of_competition]&gt;=3))/COUNTIFS(HB[Number_of_competition],"&gt;=3",HB[Category],"senior"))</f>
        <v>9.5666666666666682</v>
      </c>
      <c r="D45" s="4" cm="1">
        <f t="array" ref="D45">_xlfn.STDEV.S(_xlfn._xlws.FILTER(HB[Year_Dscore],(HB[Category]="senior")*(HB[Number_of_competition]&gt;=3)))</f>
        <v>2.552939482243954</v>
      </c>
      <c r="E45" s="4" cm="1">
        <f t="array" ref="E45">MAX(_xlfn._xlws.FILTER(HB[Year_Dscore],HB[Category]="senior"))</f>
        <v>14.1</v>
      </c>
      <c r="F45" s="2" t="str" cm="1">
        <f t="array" ref="F45">_xlfn.XLOOKUP(HB_Calculation[[#This Row],[Top]],_xlfn._xlws.FILTER(HB[Year_Dscore],HB[Category]="senior"),_xlfn._xlws.FILTER(HB[Name],HB[Category]="senior"))</f>
        <v>GARNCZAREK Kacper</v>
      </c>
      <c r="AE45" s="43" t="s">
        <v>25</v>
      </c>
      <c r="AF45" s="43" t="s">
        <v>26</v>
      </c>
      <c r="AG45" s="43" t="s">
        <v>28</v>
      </c>
      <c r="AH45">
        <v>4</v>
      </c>
      <c r="AI45" t="s">
        <v>330</v>
      </c>
      <c r="AJ45" s="43" t="s">
        <v>309</v>
      </c>
      <c r="AK45">
        <v>9.4499999999999993</v>
      </c>
    </row>
    <row r="46" spans="1:37" ht="21" x14ac:dyDescent="0.35">
      <c r="A46" s="15" t="s">
        <v>60</v>
      </c>
      <c r="B46" s="15" t="s">
        <v>276</v>
      </c>
      <c r="C46" s="7" cm="1">
        <f t="array" ref="C46">SUM(_xlfn._xlws.FILTER(HB[Year_Escore],(HB[Category]="senior")*(HB[Number_of_competition]&gt;=3))/COUNTIFS(HB[Number_of_competition],"&gt;=3",HB[Category],"senior"))</f>
        <v>23.238888888888891</v>
      </c>
      <c r="D46" s="7" cm="1">
        <f t="array" ref="D46">_xlfn.STDEV.S(_xlfn._xlws.FILTER(HB[Year_Escore],(HB[Category]="senior")*(HB[Number_of_competition]&gt;=3)))</f>
        <v>1.3568754958031741</v>
      </c>
      <c r="E46" s="7" cm="1">
        <f t="array" ref="E46">MAX(_xlfn._xlws.FILTER(HB[Year_Escore],HB[Category]="senior"))</f>
        <v>25.15</v>
      </c>
      <c r="F46" s="2" t="str" cm="1">
        <f t="array" ref="F46">_xlfn.XLOOKUP(HB_Calculation[[#This Row],[Top]],_xlfn._xlws.FILTER(HB[Year_Escore],HB[Category]="senior"),_xlfn._xlws.FILTER(HB[Name],HB[Category]="senior"))</f>
        <v>KUROWSKI Jakub</v>
      </c>
      <c r="AE46" s="43" t="s">
        <v>25</v>
      </c>
      <c r="AF46" s="43" t="s">
        <v>26</v>
      </c>
      <c r="AG46" s="43" t="s">
        <v>28</v>
      </c>
      <c r="AH46">
        <v>4</v>
      </c>
      <c r="AI46" t="s">
        <v>330</v>
      </c>
      <c r="AJ46" s="43" t="s">
        <v>268</v>
      </c>
      <c r="AK46">
        <v>12.15</v>
      </c>
    </row>
    <row r="47" spans="1:37" ht="21" x14ac:dyDescent="0.35">
      <c r="A47" s="15" t="s">
        <v>60</v>
      </c>
      <c r="B47" s="15" t="s">
        <v>277</v>
      </c>
      <c r="C47" s="7" cm="1">
        <f t="array" ref="C47">SUM(_xlfn._xlws.FILTER(HB[Year_Total_Score],(HB[Category]="senior")*(HB[Number_of_competition]&gt;=3))/COUNTIFS(HB[Number_of_competition],"&gt;=3",HB[Category],"senior"))</f>
        <v>32.68333333333333</v>
      </c>
      <c r="D47" s="7" cm="1">
        <f t="array" ref="D47">_xlfn.STDEV.S(_xlfn._xlws.FILTER(HB[Year_Total_Score],(HB[Category]="senior")*(HB[Number_of_competition]&gt;=3)))</f>
        <v>3.1069478592342037</v>
      </c>
      <c r="E47" s="7" cm="1">
        <f t="array" ref="E47">MAX(_xlfn._xlws.FILTER(HB[Year_Total_Score],HB[Category]="senior"))</f>
        <v>37.400000000000006</v>
      </c>
      <c r="F47" s="2" t="str" cm="1">
        <f t="array" ref="F47">_xlfn.XLOOKUP(HB_Calculation[[#This Row],[Top]],_xlfn._xlws.FILTER(HB[Year_Total_Score],HB[Category]="senior"),_xlfn._xlws.FILTER(HB[Name],HB[Category]="senior"))</f>
        <v>SASNAL Filip</v>
      </c>
      <c r="AE47" s="43" t="s">
        <v>25</v>
      </c>
      <c r="AF47" s="43" t="s">
        <v>26</v>
      </c>
      <c r="AG47" s="43" t="s">
        <v>28</v>
      </c>
      <c r="AH47">
        <v>4</v>
      </c>
      <c r="AI47" t="s">
        <v>331</v>
      </c>
      <c r="AJ47" s="43" t="s">
        <v>308</v>
      </c>
      <c r="AK47">
        <v>2.7</v>
      </c>
    </row>
    <row r="48" spans="1:37" ht="21" x14ac:dyDescent="0.35">
      <c r="A48" s="14" t="s">
        <v>26</v>
      </c>
      <c r="B48" s="14" t="s">
        <v>269</v>
      </c>
      <c r="C48" s="4" cm="1">
        <f t="array" ref="C48">SUM(_xlfn._xlws.FILTER(HB[bydgoszcz_HB_Dscore],HB[Category]="junior"),_xlfn._xlws.FILTER(HB[zabrze_HB_Dscore],HB[Category]="junior"),_xlfn._xlws.FILTER(HB[cracow_HB_Dscore],HB[Category]="junior"),_xlfn._xlws.FILTER(HB[gdansk_HB_Dscore],HB[Category]="junior"))/(COUNTIFS(HB[bydgoszcz_HB_Dscore],"&gt;0",HB[Category],"junior")+COUNTIFS(HB[zabrze_HB_Dscore],"&gt;0",HB[Category],"junior")+COUNTIFS(HB[cracow_HB_Dscore],"&gt;0",HB[Category],"junior")+COUNTIFS(HB[gdansk_HB_Dscore],"&gt;0",HB[Category],"junior"))</f>
        <v>2.406122448979592</v>
      </c>
      <c r="D48" s="4" cm="1">
        <f t="array" ref="D48">_xlfn.STDEV.S(_xlfn._xlws.FILTER(HB[bydgoszcz_HB_Dscore],(HB[Category]="junior")*(HB[bydgoszcz_HB_Dscore])&gt;0),_xlfn._xlws.FILTER(HB[zabrze_HB_Dscore],(HB[Category]="junior")*(HB[zabrze_HB_Dscore])&gt;0),_xlfn._xlws.FILTER(HB[cracow_HB_Dscore],(HB[Category]="junior")*(HB[cracow_HB_Dscore])&gt;0),_xlfn._xlws.FILTER(HB[gdansk_HB_Dscore],(HB[Category]="junior")*(HB[gdansk_HB_Dscore])&gt;0))</f>
        <v>0.67989219833775683</v>
      </c>
      <c r="E48" s="4" cm="1">
        <f t="array" ref="E48">MAX(_xlfn._xlws.FILTER(HB[bydgoszcz_HB_Dscore],HB[Category]="junior"),_xlfn._xlws.FILTER(HB[zabrze_HB_Dscore],HB[Category]="junior"),_xlfn._xlws.FILTER(HB[cracow_HB_Dscore],HB[Category]="junior"),_xlfn._xlws.FILTER(HB[gdansk_HB_Dscore],HB[Category]="junior"))</f>
        <v>3.4</v>
      </c>
      <c r="F48" s="2" t="str" cm="1">
        <f t="array" ref="F48">_xlfn.XLOOKUP(E48,_xlfn._xlws.FILTER(HB[bydgoszcz_HB_Dscore],HB[Category]="junior"),_xlfn._xlws.FILTER(HB[Name],HB[Category]="junior"),_xlfn.XLOOKUP(E48,_xlfn._xlws.FILTER(HB[zabrze_HB_Dscore],HB[Category]="junior"),_xlfn._xlws.FILTER(HB[Name],HB[Category]="junior"),_xlfn.XLOOKUP(E48,_xlfn._xlws.FILTER(HB[cracow_HB_Dscore],HB[Category]="junior"),_xlfn._xlws.FILTER(HB[Name],HB[Category]="junior"),_xlfn.XLOOKUP(E48,_xlfn._xlws.FILTER(HB[gdansk_HB_Dscore],HB[Category]="junior"),_xlfn._xlws.FILTER(HB[Name],HB[Category]="junior")))))</f>
        <v>KUZDRA Christian</v>
      </c>
      <c r="AE48" s="43" t="s">
        <v>25</v>
      </c>
      <c r="AF48" s="43" t="s">
        <v>26</v>
      </c>
      <c r="AG48" s="43" t="s">
        <v>28</v>
      </c>
      <c r="AH48">
        <v>4</v>
      </c>
      <c r="AI48" t="s">
        <v>331</v>
      </c>
      <c r="AJ48" s="43" t="s">
        <v>309</v>
      </c>
      <c r="AK48">
        <v>9.3000000000000007</v>
      </c>
    </row>
    <row r="49" spans="1:37" ht="21" x14ac:dyDescent="0.35">
      <c r="A49" s="14" t="s">
        <v>26</v>
      </c>
      <c r="B49" s="14" t="s">
        <v>267</v>
      </c>
      <c r="C49" s="7" cm="1">
        <f t="array" ref="C49">SUM(_xlfn._xlws.FILTER(HB[bydgoszcz_HB_Escore],HB[Category]="junior"),_xlfn._xlws.FILTER(HB[zabrze_HB_Escore],HB[Category]="junior"),_xlfn._xlws.FILTER(HB[cracow_HB_Escore],HB[Category]="junior"),_xlfn._xlws.FILTER(HB[gdansk_HB_Escore],HB[Category]="junior"))/(COUNTIFS(HB[bydgoszcz_HB_Escore],"&gt;0",HB[Category],"junior")+COUNTIFS(HB[zabrze_HB_Escore],"&gt;0",HB[Category],"junior")+COUNTIFS(HB[cracow_HB_Escore],"&gt;0",HB[Category],"junior")+COUNTIFS(HB[gdansk_HB_Escore],"&gt;0",HB[Category],"junior"))</f>
        <v>7.4622448979591836</v>
      </c>
      <c r="D49" s="7" cm="1">
        <f t="array" ref="D49">_xlfn.STDEV.S(_xlfn._xlws.FILTER(HB[bydgoszcz_HB_Escore],(HB[Category]="junior")*(HB[bydgoszcz_HB_Escore])&gt;0),_xlfn._xlws.FILTER(HB[zabrze_HB_Escore],(HB[Category]="junior")*(HB[zabrze_HB_Escore])&gt;0),_xlfn._xlws.FILTER(HB[cracow_HB_Escore],(HB[Category]="junior")*(HB[cracow_HB_Escore])&gt;0),_xlfn._xlws.FILTER(HB[gdansk_HB_Escore],(HB[Category]="junior")*(HB[gdansk_HB_Escore])&gt;0))</f>
        <v>1.656443561401604</v>
      </c>
      <c r="E49" s="7" cm="1">
        <f t="array" ref="E49">MAX(_xlfn._xlws.FILTER(HB[bydgoszcz_HB_Escore],HB[Category]="junior"),_xlfn._xlws.FILTER(HB[zabrze_HB_Escore],HB[Category]="junior"),_xlfn._xlws.FILTER(HB[cracow_HB_Escore],HB[Category]="junior"),_xlfn._xlws.FILTER(HB[gdansk_HB_Escore],HB[Category]="junior"))</f>
        <v>9.4499999999999993</v>
      </c>
      <c r="F49" s="2" t="str" cm="1">
        <f t="array" ref="F49">_xlfn.XLOOKUP(E49,_xlfn._xlws.FILTER(HB[bydgoszcz_HB_Escore],HB[Category]="junior"),_xlfn._xlws.FILTER(HB[Name],HB[Category]="junior"),_xlfn.XLOOKUP(E49,_xlfn._xlws.FILTER(HB[zabrze_HB_Escore],HB[Category]="junior"),_xlfn._xlws.FILTER(HB[Name],HB[Category]="junior"),_xlfn.XLOOKUP(E49,_xlfn._xlws.FILTER(HB[cracow_HB_Escore],HB[Category]="junior"),_xlfn._xlws.FILTER(HB[Name],HB[Category]="junior"),_xlfn.XLOOKUP(E49,_xlfn._xlws.FILTER(HB[gdansk_HB_Escore],HB[Category]="junior"),_xlfn._xlws.FILTER(HB[Name],HB[Category]="junior")))))</f>
        <v>LEKHAC Tomasz</v>
      </c>
      <c r="AE49" s="43" t="s">
        <v>25</v>
      </c>
      <c r="AF49" s="43" t="s">
        <v>26</v>
      </c>
      <c r="AG49" s="43" t="s">
        <v>28</v>
      </c>
      <c r="AH49">
        <v>4</v>
      </c>
      <c r="AI49" t="s">
        <v>331</v>
      </c>
      <c r="AJ49" s="43" t="s">
        <v>268</v>
      </c>
      <c r="AK49">
        <v>12</v>
      </c>
    </row>
    <row r="50" spans="1:37" ht="21" x14ac:dyDescent="0.35">
      <c r="A50" s="14" t="s">
        <v>26</v>
      </c>
      <c r="B50" s="14" t="s">
        <v>268</v>
      </c>
      <c r="C50" s="7" cm="1">
        <f t="array" ref="C50">SUM(_xlfn._xlws.FILTER(HB[bydgoszcz_HB_Total_Score],HB[Category]="junior"),_xlfn._xlws.FILTER(HB[zabrze_HB_Total_Score],HB[Category]="junior"),_xlfn._xlws.FILTER(HB[cracow_HB_Total_Score],HB[Category]="junior"),_xlfn._xlws.FILTER(HB[gdansk_HB_Total_Score],HB[Category]="junior"))/(COUNTIFS(HB[bydgoszcz_HB_Total_Score],"&gt;0",HB[Category],"junior")+COUNTIFS(HB[zabrze_HB_Total_Score],"&gt;0",HB[Category],"junior")+COUNTIFS(HB[cracow_HB_Total_Score],"&gt;0",HB[Category],"junior")+COUNTIFS(HB[gdansk_HB_Total_Score],"&gt;0",HB[Category],"junior"))</f>
        <v>9.8683673469387774</v>
      </c>
      <c r="D50" s="7" cm="1">
        <f t="array" ref="D50">_xlfn.STDEV.S(_xlfn._xlws.FILTER(HB[bydgoszcz_HB_Total_Score],(HB[Category]="junior")*(HB[bydgoszcz_HB_Total_Score])&gt;0),_xlfn._xlws.FILTER(HB[zabrze_HB_Total_Score],(HB[Category]="junior")*(HB[zabrze_HB_Total_Score])&gt;0),_xlfn._xlws.FILTER(HB[cracow_HB_Total_Score],(HB[Category]="junior")*(HB[cracow_HB_Total_Score])&gt;0),_xlfn._xlws.FILTER(HB[gdansk_HB_Total_Score],(HB[Category]="junior")*(HB[gdansk_HB_Total_Score])&gt;0))</f>
        <v>2.0639437845004838</v>
      </c>
      <c r="E50" s="7" cm="1">
        <f t="array" ref="E50">MAX(_xlfn._xlws.FILTER(HB[bydgoszcz_HB_Total_Score],HB[Category]="junior"),_xlfn._xlws.FILTER(HB[zabrze_HB_Total_Score],HB[Category]="junior"),_xlfn._xlws.FILTER(HB[cracow_HB_Total_Score],HB[Category]="junior"),_xlfn._xlws.FILTER(HB[gdansk_HB_Total_Score],HB[Category]="junior"))</f>
        <v>12.15</v>
      </c>
      <c r="F50" s="2" t="str" cm="1">
        <f t="array" ref="F50">_xlfn.XLOOKUP(E50,_xlfn._xlws.FILTER(HB[bydgoszcz_HB_Total_Score],HB[Category]="junior"),_xlfn._xlws.FILTER(HB[Name],HB[Category]="junior"),_xlfn.XLOOKUP(E50,_xlfn._xlws.FILTER(HB[zabrze_HB_Total_Score],HB[Category]="junior"),_xlfn._xlws.FILTER(HB[Name],HB[Category]="junior"),_xlfn.XLOOKUP(E50,_xlfn._xlws.FILTER(HB[cracow_HB_Total_Score],HB[Category]="junior"),_xlfn._xlws.FILTER(HB[Name],HB[Category]="junior"),_xlfn.XLOOKUP(E50,_xlfn._xlws.FILTER(HB[gdansk_HB_Total_Score],HB[Category]="junior"),_xlfn._xlws.FILTER(HB[Name],HB[Category]="junior")))))</f>
        <v>LEKHAC Tomasz</v>
      </c>
      <c r="AE50" s="43" t="s">
        <v>25</v>
      </c>
      <c r="AF50" s="43" t="s">
        <v>26</v>
      </c>
      <c r="AG50" s="43" t="s">
        <v>28</v>
      </c>
      <c r="AH50">
        <v>4</v>
      </c>
      <c r="AI50" t="s">
        <v>341</v>
      </c>
      <c r="AJ50" s="43" t="s">
        <v>308</v>
      </c>
      <c r="AK50">
        <v>8.1000000000000014</v>
      </c>
    </row>
    <row r="51" spans="1:37" ht="21" x14ac:dyDescent="0.35">
      <c r="A51" s="15" t="s">
        <v>26</v>
      </c>
      <c r="B51" s="15" t="s">
        <v>275</v>
      </c>
      <c r="C51" s="4" cm="1">
        <f t="array" ref="C51">SUM(_xlfn._xlws.FILTER(HB[Year_Dscore],(HB[Category]="junior")*(HB[Number_of_competition]&gt;=3))/COUNTIFS(HB[Number_of_competition],"&gt;=3",HB[Category],"junior"))</f>
        <v>7.4363636363636365</v>
      </c>
      <c r="D51" s="4" cm="1">
        <f t="array" ref="D51">_xlfn.STDEV.S(_xlfn._xlws.FILTER(HB[Year_Dscore],(HB[Category]="junior")*(HB[Number_of_competition]&gt;=3)))</f>
        <v>1.7755408906993468</v>
      </c>
      <c r="E51" s="4" cm="1">
        <f t="array" ref="E51">MAX(_xlfn._xlws.FILTER(HB[Year_Dscore],HB[Category]="junior"))</f>
        <v>10.199999999999999</v>
      </c>
      <c r="F51" s="2" t="str" cm="1">
        <f t="array" ref="F51">_xlfn.XLOOKUP(HB_Calculation[[#This Row],[Top]],_xlfn._xlws.FILTER(HB[Year_Dscore],HB[Category]="junior"),_xlfn._xlws.FILTER(HB[Name],HB[Category]="junior"))</f>
        <v>KUZDRA Christian</v>
      </c>
      <c r="AE51" s="43" t="s">
        <v>25</v>
      </c>
      <c r="AF51" s="43" t="s">
        <v>26</v>
      </c>
      <c r="AG51" s="43" t="s">
        <v>28</v>
      </c>
      <c r="AH51">
        <v>4</v>
      </c>
      <c r="AI51" t="s">
        <v>341</v>
      </c>
      <c r="AJ51" s="43" t="s">
        <v>309</v>
      </c>
      <c r="AK51">
        <v>27.85</v>
      </c>
    </row>
    <row r="52" spans="1:37" ht="21" x14ac:dyDescent="0.35">
      <c r="A52" s="15" t="s">
        <v>26</v>
      </c>
      <c r="B52" s="15" t="s">
        <v>276</v>
      </c>
      <c r="C52" s="7" cm="1">
        <f t="array" ref="C52">SUM(_xlfn._xlws.FILTER(HB[Year_Escore],(HB[Category]="junior")*(HB[Number_of_competition]&gt;=3))/COUNTIFS(HB[Number_of_competition],"&gt;=3",HB[Category],"junior"))</f>
        <v>23.386363636363633</v>
      </c>
      <c r="D52" s="7" cm="1">
        <f t="array" ref="D52">_xlfn.STDEV.S(_xlfn._xlws.FILTER(HB[Year_Escore],(HB[Category]="junior")*(HB[Number_of_competition]&gt;=3)))</f>
        <v>2.4494990211358441</v>
      </c>
      <c r="E52" s="7" cm="1">
        <f t="array" ref="E52">MAX(_xlfn._xlws.FILTER(HB[Year_Escore],HB[Category]="junior"))</f>
        <v>27.85</v>
      </c>
      <c r="F52" s="2" t="str" cm="1">
        <f t="array" ref="F52">_xlfn.XLOOKUP(HB_Calculation[[#This Row],[Top]],_xlfn._xlws.FILTER(HB[Year_Escore],HB[Category]="junior"),_xlfn._xlws.FILTER(HB[Name],HB[Category]="junior"))</f>
        <v>LEKHAC Tomasz</v>
      </c>
      <c r="AE52" s="43" t="s">
        <v>25</v>
      </c>
      <c r="AF52" s="43" t="s">
        <v>26</v>
      </c>
      <c r="AG52" s="43" t="s">
        <v>28</v>
      </c>
      <c r="AH52">
        <v>4</v>
      </c>
      <c r="AI52" t="s">
        <v>341</v>
      </c>
      <c r="AJ52" s="43" t="s">
        <v>268</v>
      </c>
      <c r="AK52">
        <v>35.950000000000003</v>
      </c>
    </row>
    <row r="53" spans="1:37" ht="21" x14ac:dyDescent="0.35">
      <c r="A53" s="23" t="s">
        <v>26</v>
      </c>
      <c r="B53" s="23" t="s">
        <v>277</v>
      </c>
      <c r="C53" s="7" cm="1">
        <f t="array" ref="C53">SUM(_xlfn._xlws.FILTER(HB[Year_Total_Score],(HB[Category]="junior")*(HB[Number_of_competition]&gt;=3))/COUNTIFS(HB[Number_of_competition],"&gt;=3",HB[Category],"junior"))</f>
        <v>30.795454545454543</v>
      </c>
      <c r="D53" s="7" cm="1">
        <f t="array" ref="D53">_xlfn.STDEV.S(_xlfn._xlws.FILTER(HB[Year_Total_Score],(HB[Category]="junior")*(HB[Number_of_competition]&gt;=3)))</f>
        <v>3.0969706606177718</v>
      </c>
      <c r="E53" s="7" cm="1">
        <f t="array" ref="E53">MAX(_xlfn._xlws.FILTER(HB[Year_Total_Score],HB[Category]="junior"))</f>
        <v>35.950000000000003</v>
      </c>
      <c r="F53" s="2" t="str" cm="1">
        <f t="array" ref="F53">_xlfn.XLOOKUP(HB_Calculation[[#This Row],[Top]],_xlfn._xlws.FILTER(HB[Year_Total_Score],HB[Category]="junior"),_xlfn._xlws.FILTER(HB[Name],HB[Category]="junior"))</f>
        <v>LEKHAC Tomasz</v>
      </c>
      <c r="AE53" s="43" t="s">
        <v>25</v>
      </c>
      <c r="AF53" s="43" t="s">
        <v>26</v>
      </c>
      <c r="AG53" s="43" t="s">
        <v>28</v>
      </c>
      <c r="AH53">
        <v>4</v>
      </c>
      <c r="AI53" t="s">
        <v>273</v>
      </c>
      <c r="AJ53" s="43" t="s">
        <v>308</v>
      </c>
      <c r="AK53">
        <v>2.7000000000000006</v>
      </c>
    </row>
    <row r="54" spans="1:37" ht="21" x14ac:dyDescent="0.35">
      <c r="AE54" s="43" t="s">
        <v>25</v>
      </c>
      <c r="AF54" s="43" t="s">
        <v>26</v>
      </c>
      <c r="AG54" s="43" t="s">
        <v>28</v>
      </c>
      <c r="AH54">
        <v>4</v>
      </c>
      <c r="AI54" t="s">
        <v>273</v>
      </c>
      <c r="AJ54" s="43" t="s">
        <v>309</v>
      </c>
      <c r="AK54">
        <v>9.2833333333333332</v>
      </c>
    </row>
    <row r="55" spans="1:37" ht="21" x14ac:dyDescent="0.35">
      <c r="AE55" s="43" t="s">
        <v>25</v>
      </c>
      <c r="AF55" s="43" t="s">
        <v>26</v>
      </c>
      <c r="AG55" s="43" t="s">
        <v>28</v>
      </c>
      <c r="AH55">
        <v>4</v>
      </c>
      <c r="AI55" t="s">
        <v>273</v>
      </c>
      <c r="AJ55" s="43" t="s">
        <v>268</v>
      </c>
      <c r="AK55">
        <v>11.983333333333334</v>
      </c>
    </row>
    <row r="56" spans="1:37" ht="21" x14ac:dyDescent="0.35">
      <c r="AE56" s="43" t="s">
        <v>82</v>
      </c>
      <c r="AF56" s="43" t="s">
        <v>60</v>
      </c>
      <c r="AG56" s="43" t="s">
        <v>36</v>
      </c>
      <c r="AH56">
        <v>3</v>
      </c>
      <c r="AI56" t="s">
        <v>317</v>
      </c>
      <c r="AJ56" s="43" t="s">
        <v>308</v>
      </c>
      <c r="AK56">
        <v>0</v>
      </c>
    </row>
    <row r="57" spans="1:37" ht="21" x14ac:dyDescent="0.35">
      <c r="AE57" s="43" t="s">
        <v>82</v>
      </c>
      <c r="AF57" s="43" t="s">
        <v>60</v>
      </c>
      <c r="AG57" s="43" t="s">
        <v>36</v>
      </c>
      <c r="AH57">
        <v>3</v>
      </c>
      <c r="AI57" t="s">
        <v>317</v>
      </c>
      <c r="AJ57" s="43" t="s">
        <v>309</v>
      </c>
      <c r="AK57">
        <v>0</v>
      </c>
    </row>
    <row r="58" spans="1:37" ht="21" x14ac:dyDescent="0.35">
      <c r="AE58" s="43" t="s">
        <v>82</v>
      </c>
      <c r="AF58" s="43" t="s">
        <v>60</v>
      </c>
      <c r="AG58" s="43" t="s">
        <v>36</v>
      </c>
      <c r="AH58">
        <v>3</v>
      </c>
      <c r="AI58" t="s">
        <v>317</v>
      </c>
      <c r="AJ58" s="43" t="s">
        <v>268</v>
      </c>
      <c r="AK58">
        <v>0</v>
      </c>
    </row>
    <row r="59" spans="1:37" ht="21" x14ac:dyDescent="0.35">
      <c r="AE59" s="43" t="s">
        <v>82</v>
      </c>
      <c r="AF59" s="43" t="s">
        <v>60</v>
      </c>
      <c r="AG59" s="43" t="s">
        <v>36</v>
      </c>
      <c r="AH59">
        <v>3</v>
      </c>
      <c r="AI59" t="s">
        <v>325</v>
      </c>
      <c r="AJ59" s="43" t="s">
        <v>308</v>
      </c>
      <c r="AK59">
        <v>3.3</v>
      </c>
    </row>
    <row r="60" spans="1:37" ht="21" x14ac:dyDescent="0.35">
      <c r="AE60" s="43" t="s">
        <v>82</v>
      </c>
      <c r="AF60" s="43" t="s">
        <v>60</v>
      </c>
      <c r="AG60" s="43" t="s">
        <v>36</v>
      </c>
      <c r="AH60">
        <v>3</v>
      </c>
      <c r="AI60" t="s">
        <v>325</v>
      </c>
      <c r="AJ60" s="43" t="s">
        <v>309</v>
      </c>
      <c r="AK60">
        <v>7.8</v>
      </c>
    </row>
    <row r="61" spans="1:37" ht="21" x14ac:dyDescent="0.35">
      <c r="AE61" s="43" t="s">
        <v>82</v>
      </c>
      <c r="AF61" s="43" t="s">
        <v>60</v>
      </c>
      <c r="AG61" s="43" t="s">
        <v>36</v>
      </c>
      <c r="AH61">
        <v>3</v>
      </c>
      <c r="AI61" t="s">
        <v>325</v>
      </c>
      <c r="AJ61" s="43" t="s">
        <v>268</v>
      </c>
      <c r="AK61">
        <v>11.1</v>
      </c>
    </row>
    <row r="62" spans="1:37" ht="21" x14ac:dyDescent="0.35">
      <c r="AE62" s="43" t="s">
        <v>82</v>
      </c>
      <c r="AF62" s="43" t="s">
        <v>60</v>
      </c>
      <c r="AG62" s="43" t="s">
        <v>36</v>
      </c>
      <c r="AH62">
        <v>3</v>
      </c>
      <c r="AI62" t="s">
        <v>330</v>
      </c>
      <c r="AJ62" s="43" t="s">
        <v>308</v>
      </c>
      <c r="AK62">
        <v>4</v>
      </c>
    </row>
    <row r="63" spans="1:37" ht="21" x14ac:dyDescent="0.35">
      <c r="AE63" s="43" t="s">
        <v>82</v>
      </c>
      <c r="AF63" s="43" t="s">
        <v>60</v>
      </c>
      <c r="AG63" s="43" t="s">
        <v>36</v>
      </c>
      <c r="AH63">
        <v>3</v>
      </c>
      <c r="AI63" t="s">
        <v>330</v>
      </c>
      <c r="AJ63" s="43" t="s">
        <v>309</v>
      </c>
      <c r="AK63">
        <v>8.25</v>
      </c>
    </row>
    <row r="64" spans="1:37" ht="21" x14ac:dyDescent="0.35">
      <c r="AE64" s="43" t="s">
        <v>82</v>
      </c>
      <c r="AF64" s="43" t="s">
        <v>60</v>
      </c>
      <c r="AG64" s="43" t="s">
        <v>36</v>
      </c>
      <c r="AH64">
        <v>3</v>
      </c>
      <c r="AI64" t="s">
        <v>330</v>
      </c>
      <c r="AJ64" s="43" t="s">
        <v>268</v>
      </c>
      <c r="AK64">
        <v>12.25</v>
      </c>
    </row>
    <row r="65" spans="31:37" ht="21" x14ac:dyDescent="0.35">
      <c r="AE65" s="43" t="s">
        <v>82</v>
      </c>
      <c r="AF65" s="43" t="s">
        <v>60</v>
      </c>
      <c r="AG65" s="43" t="s">
        <v>36</v>
      </c>
      <c r="AH65">
        <v>3</v>
      </c>
      <c r="AI65" t="s">
        <v>331</v>
      </c>
      <c r="AJ65" s="43" t="s">
        <v>308</v>
      </c>
      <c r="AK65">
        <v>3.3</v>
      </c>
    </row>
    <row r="66" spans="31:37" ht="21" x14ac:dyDescent="0.35">
      <c r="AE66" s="43" t="s">
        <v>82</v>
      </c>
      <c r="AF66" s="43" t="s">
        <v>60</v>
      </c>
      <c r="AG66" s="43" t="s">
        <v>36</v>
      </c>
      <c r="AH66">
        <v>3</v>
      </c>
      <c r="AI66" t="s">
        <v>331</v>
      </c>
      <c r="AJ66" s="43" t="s">
        <v>309</v>
      </c>
      <c r="AK66">
        <v>8</v>
      </c>
    </row>
    <row r="67" spans="31:37" ht="21" x14ac:dyDescent="0.35">
      <c r="AE67" s="43" t="s">
        <v>82</v>
      </c>
      <c r="AF67" s="43" t="s">
        <v>60</v>
      </c>
      <c r="AG67" s="43" t="s">
        <v>36</v>
      </c>
      <c r="AH67">
        <v>3</v>
      </c>
      <c r="AI67" t="s">
        <v>331</v>
      </c>
      <c r="AJ67" s="43" t="s">
        <v>268</v>
      </c>
      <c r="AK67">
        <v>11.3</v>
      </c>
    </row>
    <row r="68" spans="31:37" ht="21" x14ac:dyDescent="0.35">
      <c r="AE68" s="43" t="s">
        <v>82</v>
      </c>
      <c r="AF68" s="43" t="s">
        <v>60</v>
      </c>
      <c r="AG68" s="43" t="s">
        <v>36</v>
      </c>
      <c r="AH68">
        <v>3</v>
      </c>
      <c r="AI68" t="s">
        <v>341</v>
      </c>
      <c r="AJ68" s="43" t="s">
        <v>308</v>
      </c>
      <c r="AK68">
        <v>10.6</v>
      </c>
    </row>
    <row r="69" spans="31:37" ht="21" x14ac:dyDescent="0.35">
      <c r="AE69" s="43" t="s">
        <v>82</v>
      </c>
      <c r="AF69" s="43" t="s">
        <v>60</v>
      </c>
      <c r="AG69" s="43" t="s">
        <v>36</v>
      </c>
      <c r="AH69">
        <v>3</v>
      </c>
      <c r="AI69" t="s">
        <v>341</v>
      </c>
      <c r="AJ69" s="43" t="s">
        <v>309</v>
      </c>
      <c r="AK69">
        <v>24.05</v>
      </c>
    </row>
    <row r="70" spans="31:37" ht="21" x14ac:dyDescent="0.35">
      <c r="AE70" s="43" t="s">
        <v>82</v>
      </c>
      <c r="AF70" s="43" t="s">
        <v>60</v>
      </c>
      <c r="AG70" s="43" t="s">
        <v>36</v>
      </c>
      <c r="AH70">
        <v>3</v>
      </c>
      <c r="AI70" t="s">
        <v>341</v>
      </c>
      <c r="AJ70" s="43" t="s">
        <v>268</v>
      </c>
      <c r="AK70">
        <v>34.65</v>
      </c>
    </row>
    <row r="71" spans="31:37" ht="21" x14ac:dyDescent="0.35">
      <c r="AE71" s="43" t="s">
        <v>82</v>
      </c>
      <c r="AF71" s="43" t="s">
        <v>60</v>
      </c>
      <c r="AG71" s="43" t="s">
        <v>36</v>
      </c>
      <c r="AH71">
        <v>3</v>
      </c>
      <c r="AI71" t="s">
        <v>273</v>
      </c>
      <c r="AJ71" s="43" t="s">
        <v>308</v>
      </c>
      <c r="AK71">
        <v>3.5333333333333332</v>
      </c>
    </row>
    <row r="72" spans="31:37" ht="21" x14ac:dyDescent="0.35">
      <c r="AE72" s="43" t="s">
        <v>82</v>
      </c>
      <c r="AF72" s="43" t="s">
        <v>60</v>
      </c>
      <c r="AG72" s="43" t="s">
        <v>36</v>
      </c>
      <c r="AH72">
        <v>3</v>
      </c>
      <c r="AI72" t="s">
        <v>273</v>
      </c>
      <c r="AJ72" s="43" t="s">
        <v>309</v>
      </c>
      <c r="AK72">
        <v>8.0166666666666675</v>
      </c>
    </row>
    <row r="73" spans="31:37" ht="21" x14ac:dyDescent="0.35">
      <c r="AE73" s="43" t="s">
        <v>82</v>
      </c>
      <c r="AF73" s="43" t="s">
        <v>60</v>
      </c>
      <c r="AG73" s="43" t="s">
        <v>36</v>
      </c>
      <c r="AH73">
        <v>3</v>
      </c>
      <c r="AI73" t="s">
        <v>273</v>
      </c>
      <c r="AJ73" s="43" t="s">
        <v>268</v>
      </c>
      <c r="AK73">
        <v>11.549999999999999</v>
      </c>
    </row>
    <row r="74" spans="31:37" ht="21" x14ac:dyDescent="0.35">
      <c r="AE74" s="43" t="s">
        <v>34</v>
      </c>
      <c r="AF74" s="43" t="s">
        <v>26</v>
      </c>
      <c r="AG74" s="43" t="s">
        <v>36</v>
      </c>
      <c r="AH74">
        <v>4</v>
      </c>
      <c r="AI74" t="s">
        <v>317</v>
      </c>
      <c r="AJ74" s="43" t="s">
        <v>308</v>
      </c>
      <c r="AK74">
        <v>3.4</v>
      </c>
    </row>
    <row r="75" spans="31:37" ht="21" x14ac:dyDescent="0.35">
      <c r="AE75" s="43" t="s">
        <v>34</v>
      </c>
      <c r="AF75" s="43" t="s">
        <v>26</v>
      </c>
      <c r="AG75" s="43" t="s">
        <v>36</v>
      </c>
      <c r="AH75">
        <v>4</v>
      </c>
      <c r="AI75" t="s">
        <v>317</v>
      </c>
      <c r="AJ75" s="43" t="s">
        <v>309</v>
      </c>
      <c r="AK75">
        <v>7.4</v>
      </c>
    </row>
    <row r="76" spans="31:37" ht="21" x14ac:dyDescent="0.35">
      <c r="AE76" s="43" t="s">
        <v>34</v>
      </c>
      <c r="AF76" s="43" t="s">
        <v>26</v>
      </c>
      <c r="AG76" s="43" t="s">
        <v>36</v>
      </c>
      <c r="AH76">
        <v>4</v>
      </c>
      <c r="AI76" t="s">
        <v>317</v>
      </c>
      <c r="AJ76" s="43" t="s">
        <v>268</v>
      </c>
      <c r="AK76">
        <v>10.8</v>
      </c>
    </row>
    <row r="77" spans="31:37" ht="21" x14ac:dyDescent="0.35">
      <c r="AE77" s="43" t="s">
        <v>34</v>
      </c>
      <c r="AF77" s="43" t="s">
        <v>26</v>
      </c>
      <c r="AG77" s="43" t="s">
        <v>36</v>
      </c>
      <c r="AH77">
        <v>4</v>
      </c>
      <c r="AI77" t="s">
        <v>325</v>
      </c>
      <c r="AJ77" s="43" t="s">
        <v>308</v>
      </c>
      <c r="AK77">
        <v>3.4</v>
      </c>
    </row>
    <row r="78" spans="31:37" ht="21" x14ac:dyDescent="0.35">
      <c r="AE78" s="43" t="s">
        <v>34</v>
      </c>
      <c r="AF78" s="43" t="s">
        <v>26</v>
      </c>
      <c r="AG78" s="43" t="s">
        <v>36</v>
      </c>
      <c r="AH78">
        <v>4</v>
      </c>
      <c r="AI78" t="s">
        <v>325</v>
      </c>
      <c r="AJ78" s="43" t="s">
        <v>309</v>
      </c>
      <c r="AK78">
        <v>7.5</v>
      </c>
    </row>
    <row r="79" spans="31:37" ht="21" x14ac:dyDescent="0.35">
      <c r="AE79" s="43" t="s">
        <v>34</v>
      </c>
      <c r="AF79" s="43" t="s">
        <v>26</v>
      </c>
      <c r="AG79" s="43" t="s">
        <v>36</v>
      </c>
      <c r="AH79">
        <v>4</v>
      </c>
      <c r="AI79" t="s">
        <v>325</v>
      </c>
      <c r="AJ79" s="43" t="s">
        <v>268</v>
      </c>
      <c r="AK79">
        <v>10.9</v>
      </c>
    </row>
    <row r="80" spans="31:37" ht="21" x14ac:dyDescent="0.35">
      <c r="AE80" s="43" t="s">
        <v>34</v>
      </c>
      <c r="AF80" s="43" t="s">
        <v>26</v>
      </c>
      <c r="AG80" s="43" t="s">
        <v>36</v>
      </c>
      <c r="AH80">
        <v>4</v>
      </c>
      <c r="AI80" t="s">
        <v>330</v>
      </c>
      <c r="AJ80" s="43" t="s">
        <v>308</v>
      </c>
      <c r="AK80">
        <v>3.4</v>
      </c>
    </row>
    <row r="81" spans="31:37" ht="21" x14ac:dyDescent="0.35">
      <c r="AE81" s="43" t="s">
        <v>34</v>
      </c>
      <c r="AF81" s="43" t="s">
        <v>26</v>
      </c>
      <c r="AG81" s="43" t="s">
        <v>36</v>
      </c>
      <c r="AH81">
        <v>4</v>
      </c>
      <c r="AI81" t="s">
        <v>330</v>
      </c>
      <c r="AJ81" s="43" t="s">
        <v>309</v>
      </c>
      <c r="AK81">
        <v>8.6</v>
      </c>
    </row>
    <row r="82" spans="31:37" ht="21" x14ac:dyDescent="0.35">
      <c r="AE82" s="43" t="s">
        <v>34</v>
      </c>
      <c r="AF82" s="43" t="s">
        <v>26</v>
      </c>
      <c r="AG82" s="43" t="s">
        <v>36</v>
      </c>
      <c r="AH82">
        <v>4</v>
      </c>
      <c r="AI82" t="s">
        <v>330</v>
      </c>
      <c r="AJ82" s="43" t="s">
        <v>268</v>
      </c>
      <c r="AK82">
        <v>12</v>
      </c>
    </row>
    <row r="83" spans="31:37" ht="21" x14ac:dyDescent="0.35">
      <c r="AE83" s="43" t="s">
        <v>34</v>
      </c>
      <c r="AF83" s="43" t="s">
        <v>26</v>
      </c>
      <c r="AG83" s="43" t="s">
        <v>36</v>
      </c>
      <c r="AH83">
        <v>4</v>
      </c>
      <c r="AI83" t="s">
        <v>331</v>
      </c>
      <c r="AJ83" s="43" t="s">
        <v>308</v>
      </c>
      <c r="AK83">
        <v>2.7</v>
      </c>
    </row>
    <row r="84" spans="31:37" ht="21" x14ac:dyDescent="0.35">
      <c r="AE84" s="43" t="s">
        <v>34</v>
      </c>
      <c r="AF84" s="43" t="s">
        <v>26</v>
      </c>
      <c r="AG84" s="43" t="s">
        <v>36</v>
      </c>
      <c r="AH84">
        <v>4</v>
      </c>
      <c r="AI84" t="s">
        <v>331</v>
      </c>
      <c r="AJ84" s="43" t="s">
        <v>309</v>
      </c>
      <c r="AK84">
        <v>7.5</v>
      </c>
    </row>
    <row r="85" spans="31:37" ht="21" x14ac:dyDescent="0.35">
      <c r="AE85" s="43" t="s">
        <v>34</v>
      </c>
      <c r="AF85" s="43" t="s">
        <v>26</v>
      </c>
      <c r="AG85" s="43" t="s">
        <v>36</v>
      </c>
      <c r="AH85">
        <v>4</v>
      </c>
      <c r="AI85" t="s">
        <v>331</v>
      </c>
      <c r="AJ85" s="43" t="s">
        <v>268</v>
      </c>
      <c r="AK85">
        <v>10.199999999999999</v>
      </c>
    </row>
    <row r="86" spans="31:37" ht="21" x14ac:dyDescent="0.35">
      <c r="AE86" s="43" t="s">
        <v>34</v>
      </c>
      <c r="AF86" s="43" t="s">
        <v>26</v>
      </c>
      <c r="AG86" s="43" t="s">
        <v>36</v>
      </c>
      <c r="AH86">
        <v>4</v>
      </c>
      <c r="AI86" t="s">
        <v>341</v>
      </c>
      <c r="AJ86" s="43" t="s">
        <v>308</v>
      </c>
      <c r="AK86">
        <v>10.199999999999999</v>
      </c>
    </row>
    <row r="87" spans="31:37" ht="21" x14ac:dyDescent="0.35">
      <c r="AE87" s="43" t="s">
        <v>34</v>
      </c>
      <c r="AF87" s="43" t="s">
        <v>26</v>
      </c>
      <c r="AG87" s="43" t="s">
        <v>36</v>
      </c>
      <c r="AH87">
        <v>4</v>
      </c>
      <c r="AI87" t="s">
        <v>341</v>
      </c>
      <c r="AJ87" s="43" t="s">
        <v>309</v>
      </c>
      <c r="AK87">
        <v>23.6</v>
      </c>
    </row>
    <row r="88" spans="31:37" ht="21" x14ac:dyDescent="0.35">
      <c r="AE88" s="43" t="s">
        <v>34</v>
      </c>
      <c r="AF88" s="43" t="s">
        <v>26</v>
      </c>
      <c r="AG88" s="43" t="s">
        <v>36</v>
      </c>
      <c r="AH88">
        <v>4</v>
      </c>
      <c r="AI88" t="s">
        <v>341</v>
      </c>
      <c r="AJ88" s="43" t="s">
        <v>268</v>
      </c>
      <c r="AK88">
        <v>33.700000000000003</v>
      </c>
    </row>
    <row r="89" spans="31:37" ht="21" x14ac:dyDescent="0.35">
      <c r="AE89" s="43" t="s">
        <v>34</v>
      </c>
      <c r="AF89" s="43" t="s">
        <v>26</v>
      </c>
      <c r="AG89" s="43" t="s">
        <v>36</v>
      </c>
      <c r="AH89">
        <v>4</v>
      </c>
      <c r="AI89" t="s">
        <v>273</v>
      </c>
      <c r="AJ89" s="43" t="s">
        <v>308</v>
      </c>
      <c r="AK89">
        <v>3.4</v>
      </c>
    </row>
    <row r="90" spans="31:37" ht="21" x14ac:dyDescent="0.35">
      <c r="AE90" s="43" t="s">
        <v>34</v>
      </c>
      <c r="AF90" s="43" t="s">
        <v>26</v>
      </c>
      <c r="AG90" s="43" t="s">
        <v>36</v>
      </c>
      <c r="AH90">
        <v>4</v>
      </c>
      <c r="AI90" t="s">
        <v>273</v>
      </c>
      <c r="AJ90" s="43" t="s">
        <v>309</v>
      </c>
      <c r="AK90">
        <v>7.8666666666666671</v>
      </c>
    </row>
    <row r="91" spans="31:37" ht="21" x14ac:dyDescent="0.35">
      <c r="AE91" s="43" t="s">
        <v>34</v>
      </c>
      <c r="AF91" s="43" t="s">
        <v>26</v>
      </c>
      <c r="AG91" s="43" t="s">
        <v>36</v>
      </c>
      <c r="AH91">
        <v>4</v>
      </c>
      <c r="AI91" t="s">
        <v>273</v>
      </c>
      <c r="AJ91" s="43" t="s">
        <v>268</v>
      </c>
      <c r="AK91">
        <v>11.233333333333334</v>
      </c>
    </row>
    <row r="92" spans="31:37" ht="21" x14ac:dyDescent="0.35">
      <c r="AE92" s="43" t="s">
        <v>84</v>
      </c>
      <c r="AF92" s="43" t="s">
        <v>60</v>
      </c>
      <c r="AG92" s="43" t="s">
        <v>39</v>
      </c>
      <c r="AH92">
        <v>4</v>
      </c>
      <c r="AI92" t="s">
        <v>317</v>
      </c>
      <c r="AJ92" s="43" t="s">
        <v>308</v>
      </c>
      <c r="AK92">
        <v>3.2</v>
      </c>
    </row>
    <row r="93" spans="31:37" ht="21" x14ac:dyDescent="0.35">
      <c r="AE93" s="43" t="s">
        <v>84</v>
      </c>
      <c r="AF93" s="43" t="s">
        <v>60</v>
      </c>
      <c r="AG93" s="43" t="s">
        <v>39</v>
      </c>
      <c r="AH93">
        <v>4</v>
      </c>
      <c r="AI93" t="s">
        <v>317</v>
      </c>
      <c r="AJ93" s="43" t="s">
        <v>309</v>
      </c>
      <c r="AK93">
        <v>7.2</v>
      </c>
    </row>
    <row r="94" spans="31:37" ht="21" x14ac:dyDescent="0.35">
      <c r="AE94" s="43" t="s">
        <v>84</v>
      </c>
      <c r="AF94" s="43" t="s">
        <v>60</v>
      </c>
      <c r="AG94" s="43" t="s">
        <v>39</v>
      </c>
      <c r="AH94">
        <v>4</v>
      </c>
      <c r="AI94" t="s">
        <v>317</v>
      </c>
      <c r="AJ94" s="43" t="s">
        <v>268</v>
      </c>
      <c r="AK94">
        <v>10.4</v>
      </c>
    </row>
    <row r="95" spans="31:37" ht="21" x14ac:dyDescent="0.35">
      <c r="AE95" s="43" t="s">
        <v>84</v>
      </c>
      <c r="AF95" s="43" t="s">
        <v>60</v>
      </c>
      <c r="AG95" s="43" t="s">
        <v>39</v>
      </c>
      <c r="AH95">
        <v>4</v>
      </c>
      <c r="AI95" t="s">
        <v>325</v>
      </c>
      <c r="AJ95" s="43" t="s">
        <v>308</v>
      </c>
      <c r="AK95">
        <v>2.8</v>
      </c>
    </row>
    <row r="96" spans="31:37" ht="21" x14ac:dyDescent="0.35">
      <c r="AE96" s="43" t="s">
        <v>84</v>
      </c>
      <c r="AF96" s="43" t="s">
        <v>60</v>
      </c>
      <c r="AG96" s="43" t="s">
        <v>39</v>
      </c>
      <c r="AH96">
        <v>4</v>
      </c>
      <c r="AI96" t="s">
        <v>325</v>
      </c>
      <c r="AJ96" s="43" t="s">
        <v>309</v>
      </c>
      <c r="AK96">
        <v>8</v>
      </c>
    </row>
    <row r="97" spans="31:37" ht="21" x14ac:dyDescent="0.35">
      <c r="AE97" s="43" t="s">
        <v>84</v>
      </c>
      <c r="AF97" s="43" t="s">
        <v>60</v>
      </c>
      <c r="AG97" s="43" t="s">
        <v>39</v>
      </c>
      <c r="AH97">
        <v>4</v>
      </c>
      <c r="AI97" t="s">
        <v>325</v>
      </c>
      <c r="AJ97" s="43" t="s">
        <v>268</v>
      </c>
      <c r="AK97">
        <v>10.8</v>
      </c>
    </row>
    <row r="98" spans="31:37" ht="21" x14ac:dyDescent="0.35">
      <c r="AE98" s="43" t="s">
        <v>84</v>
      </c>
      <c r="AF98" s="43" t="s">
        <v>60</v>
      </c>
      <c r="AG98" s="43" t="s">
        <v>39</v>
      </c>
      <c r="AH98">
        <v>4</v>
      </c>
      <c r="AI98" t="s">
        <v>330</v>
      </c>
      <c r="AJ98" s="43" t="s">
        <v>308</v>
      </c>
      <c r="AK98">
        <v>2.9</v>
      </c>
    </row>
    <row r="99" spans="31:37" ht="21" x14ac:dyDescent="0.35">
      <c r="AE99" s="43" t="s">
        <v>84</v>
      </c>
      <c r="AF99" s="43" t="s">
        <v>60</v>
      </c>
      <c r="AG99" s="43" t="s">
        <v>39</v>
      </c>
      <c r="AH99">
        <v>4</v>
      </c>
      <c r="AI99" t="s">
        <v>330</v>
      </c>
      <c r="AJ99" s="43" t="s">
        <v>309</v>
      </c>
      <c r="AK99">
        <v>7.25</v>
      </c>
    </row>
    <row r="100" spans="31:37" ht="21" x14ac:dyDescent="0.35">
      <c r="AE100" s="43" t="s">
        <v>84</v>
      </c>
      <c r="AF100" s="43" t="s">
        <v>60</v>
      </c>
      <c r="AG100" s="43" t="s">
        <v>39</v>
      </c>
      <c r="AH100">
        <v>4</v>
      </c>
      <c r="AI100" t="s">
        <v>330</v>
      </c>
      <c r="AJ100" s="43" t="s">
        <v>268</v>
      </c>
      <c r="AK100">
        <v>10.15</v>
      </c>
    </row>
    <row r="101" spans="31:37" ht="21" x14ac:dyDescent="0.35">
      <c r="AE101" s="43" t="s">
        <v>84</v>
      </c>
      <c r="AF101" s="43" t="s">
        <v>60</v>
      </c>
      <c r="AG101" s="43" t="s">
        <v>39</v>
      </c>
      <c r="AH101">
        <v>4</v>
      </c>
      <c r="AI101" t="s">
        <v>331</v>
      </c>
      <c r="AJ101" s="43" t="s">
        <v>308</v>
      </c>
      <c r="AK101">
        <v>2.5</v>
      </c>
    </row>
    <row r="102" spans="31:37" ht="21" x14ac:dyDescent="0.35">
      <c r="AE102" s="43" t="s">
        <v>84</v>
      </c>
      <c r="AF102" s="43" t="s">
        <v>60</v>
      </c>
      <c r="AG102" s="43" t="s">
        <v>39</v>
      </c>
      <c r="AH102">
        <v>4</v>
      </c>
      <c r="AI102" t="s">
        <v>331</v>
      </c>
      <c r="AJ102" s="43" t="s">
        <v>309</v>
      </c>
      <c r="AK102">
        <v>8.6999999999999993</v>
      </c>
    </row>
    <row r="103" spans="31:37" ht="21" x14ac:dyDescent="0.35">
      <c r="AE103" s="43" t="s">
        <v>84</v>
      </c>
      <c r="AF103" s="43" t="s">
        <v>60</v>
      </c>
      <c r="AG103" s="43" t="s">
        <v>39</v>
      </c>
      <c r="AH103">
        <v>4</v>
      </c>
      <c r="AI103" t="s">
        <v>331</v>
      </c>
      <c r="AJ103" s="43" t="s">
        <v>268</v>
      </c>
      <c r="AK103">
        <v>11.2</v>
      </c>
    </row>
    <row r="104" spans="31:37" ht="21" x14ac:dyDescent="0.35">
      <c r="AE104" s="43" t="s">
        <v>84</v>
      </c>
      <c r="AF104" s="43" t="s">
        <v>60</v>
      </c>
      <c r="AG104" s="43" t="s">
        <v>39</v>
      </c>
      <c r="AH104">
        <v>4</v>
      </c>
      <c r="AI104" t="s">
        <v>341</v>
      </c>
      <c r="AJ104" s="43" t="s">
        <v>308</v>
      </c>
      <c r="AK104">
        <v>8.8999999999999986</v>
      </c>
    </row>
    <row r="105" spans="31:37" ht="21" x14ac:dyDescent="0.35">
      <c r="AE105" s="43" t="s">
        <v>84</v>
      </c>
      <c r="AF105" s="43" t="s">
        <v>60</v>
      </c>
      <c r="AG105" s="43" t="s">
        <v>39</v>
      </c>
      <c r="AH105">
        <v>4</v>
      </c>
      <c r="AI105" t="s">
        <v>341</v>
      </c>
      <c r="AJ105" s="43" t="s">
        <v>309</v>
      </c>
      <c r="AK105">
        <v>23.95</v>
      </c>
    </row>
    <row r="106" spans="31:37" ht="21" x14ac:dyDescent="0.35">
      <c r="AE106" s="43" t="s">
        <v>84</v>
      </c>
      <c r="AF106" s="43" t="s">
        <v>60</v>
      </c>
      <c r="AG106" s="43" t="s">
        <v>39</v>
      </c>
      <c r="AH106">
        <v>4</v>
      </c>
      <c r="AI106" t="s">
        <v>341</v>
      </c>
      <c r="AJ106" s="43" t="s">
        <v>268</v>
      </c>
      <c r="AK106">
        <v>32.4</v>
      </c>
    </row>
    <row r="107" spans="31:37" ht="21" x14ac:dyDescent="0.35">
      <c r="AE107" s="43" t="s">
        <v>84</v>
      </c>
      <c r="AF107" s="43" t="s">
        <v>60</v>
      </c>
      <c r="AG107" s="43" t="s">
        <v>39</v>
      </c>
      <c r="AH107">
        <v>4</v>
      </c>
      <c r="AI107" t="s">
        <v>273</v>
      </c>
      <c r="AJ107" s="43" t="s">
        <v>308</v>
      </c>
      <c r="AK107">
        <v>2.9666666666666663</v>
      </c>
    </row>
    <row r="108" spans="31:37" ht="21" x14ac:dyDescent="0.35">
      <c r="AE108" s="43" t="s">
        <v>84</v>
      </c>
      <c r="AF108" s="43" t="s">
        <v>60</v>
      </c>
      <c r="AG108" s="43" t="s">
        <v>39</v>
      </c>
      <c r="AH108">
        <v>4</v>
      </c>
      <c r="AI108" t="s">
        <v>273</v>
      </c>
      <c r="AJ108" s="43" t="s">
        <v>309</v>
      </c>
      <c r="AK108">
        <v>7.9833333333333334</v>
      </c>
    </row>
    <row r="109" spans="31:37" ht="21" x14ac:dyDescent="0.35">
      <c r="AE109" s="43" t="s">
        <v>84</v>
      </c>
      <c r="AF109" s="43" t="s">
        <v>60</v>
      </c>
      <c r="AG109" s="43" t="s">
        <v>39</v>
      </c>
      <c r="AH109">
        <v>4</v>
      </c>
      <c r="AI109" t="s">
        <v>273</v>
      </c>
      <c r="AJ109" s="43" t="s">
        <v>268</v>
      </c>
      <c r="AK109">
        <v>10.799999999999999</v>
      </c>
    </row>
    <row r="110" spans="31:37" ht="21" x14ac:dyDescent="0.35">
      <c r="AE110" s="43" t="s">
        <v>68</v>
      </c>
      <c r="AF110" s="43" t="s">
        <v>60</v>
      </c>
      <c r="AG110" s="43" t="s">
        <v>31</v>
      </c>
      <c r="AH110">
        <v>4</v>
      </c>
      <c r="AI110" t="s">
        <v>317</v>
      </c>
      <c r="AJ110" s="43" t="s">
        <v>308</v>
      </c>
      <c r="AK110">
        <v>2.1</v>
      </c>
    </row>
    <row r="111" spans="31:37" ht="21" x14ac:dyDescent="0.35">
      <c r="AE111" s="43" t="s">
        <v>68</v>
      </c>
      <c r="AF111" s="43" t="s">
        <v>60</v>
      </c>
      <c r="AG111" s="43" t="s">
        <v>31</v>
      </c>
      <c r="AH111">
        <v>4</v>
      </c>
      <c r="AI111" t="s">
        <v>317</v>
      </c>
      <c r="AJ111" s="43" t="s">
        <v>309</v>
      </c>
      <c r="AK111">
        <v>8.4</v>
      </c>
    </row>
    <row r="112" spans="31:37" ht="21" x14ac:dyDescent="0.35">
      <c r="AE112" s="43" t="s">
        <v>68</v>
      </c>
      <c r="AF112" s="43" t="s">
        <v>60</v>
      </c>
      <c r="AG112" s="43" t="s">
        <v>31</v>
      </c>
      <c r="AH112">
        <v>4</v>
      </c>
      <c r="AI112" t="s">
        <v>317</v>
      </c>
      <c r="AJ112" s="43" t="s">
        <v>268</v>
      </c>
      <c r="AK112">
        <v>10.5</v>
      </c>
    </row>
    <row r="113" spans="31:37" x14ac:dyDescent="0.25">
      <c r="AE113" s="43" t="s">
        <v>68</v>
      </c>
      <c r="AF113" s="43" t="s">
        <v>60</v>
      </c>
      <c r="AG113" s="43" t="s">
        <v>31</v>
      </c>
      <c r="AH113">
        <v>4</v>
      </c>
      <c r="AI113" t="s">
        <v>325</v>
      </c>
      <c r="AJ113" s="43" t="s">
        <v>308</v>
      </c>
      <c r="AK113">
        <v>2.2000000000000002</v>
      </c>
    </row>
    <row r="114" spans="31:37" x14ac:dyDescent="0.25">
      <c r="AE114" s="43" t="s">
        <v>68</v>
      </c>
      <c r="AF114" s="43" t="s">
        <v>60</v>
      </c>
      <c r="AG114" s="43" t="s">
        <v>31</v>
      </c>
      <c r="AH114">
        <v>4</v>
      </c>
      <c r="AI114" t="s">
        <v>325</v>
      </c>
      <c r="AJ114" s="43" t="s">
        <v>309</v>
      </c>
      <c r="AK114">
        <v>7.85</v>
      </c>
    </row>
    <row r="115" spans="31:37" x14ac:dyDescent="0.25">
      <c r="AE115" s="43" t="s">
        <v>68</v>
      </c>
      <c r="AF115" s="43" t="s">
        <v>60</v>
      </c>
      <c r="AG115" s="43" t="s">
        <v>31</v>
      </c>
      <c r="AH115">
        <v>4</v>
      </c>
      <c r="AI115" t="s">
        <v>325</v>
      </c>
      <c r="AJ115" s="43" t="s">
        <v>268</v>
      </c>
      <c r="AK115">
        <v>10.050000000000001</v>
      </c>
    </row>
    <row r="116" spans="31:37" x14ac:dyDescent="0.25">
      <c r="AE116" s="43" t="s">
        <v>68</v>
      </c>
      <c r="AF116" s="43" t="s">
        <v>60</v>
      </c>
      <c r="AG116" s="43" t="s">
        <v>31</v>
      </c>
      <c r="AH116">
        <v>4</v>
      </c>
      <c r="AI116" t="s">
        <v>330</v>
      </c>
      <c r="AJ116" s="43" t="s">
        <v>308</v>
      </c>
      <c r="AK116">
        <v>2.6</v>
      </c>
    </row>
    <row r="117" spans="31:37" x14ac:dyDescent="0.25">
      <c r="AE117" s="43" t="s">
        <v>68</v>
      </c>
      <c r="AF117" s="43" t="s">
        <v>60</v>
      </c>
      <c r="AG117" s="43" t="s">
        <v>31</v>
      </c>
      <c r="AH117">
        <v>4</v>
      </c>
      <c r="AI117" t="s">
        <v>330</v>
      </c>
      <c r="AJ117" s="43" t="s">
        <v>309</v>
      </c>
      <c r="AK117">
        <v>8.9</v>
      </c>
    </row>
    <row r="118" spans="31:37" x14ac:dyDescent="0.25">
      <c r="AE118" s="43" t="s">
        <v>68</v>
      </c>
      <c r="AF118" s="43" t="s">
        <v>60</v>
      </c>
      <c r="AG118" s="43" t="s">
        <v>31</v>
      </c>
      <c r="AH118">
        <v>4</v>
      </c>
      <c r="AI118" t="s">
        <v>330</v>
      </c>
      <c r="AJ118" s="43" t="s">
        <v>268</v>
      </c>
      <c r="AK118">
        <v>11.5</v>
      </c>
    </row>
    <row r="119" spans="31:37" x14ac:dyDescent="0.25">
      <c r="AE119" s="43" t="s">
        <v>68</v>
      </c>
      <c r="AF119" s="43" t="s">
        <v>60</v>
      </c>
      <c r="AG119" s="43" t="s">
        <v>31</v>
      </c>
      <c r="AH119">
        <v>4</v>
      </c>
      <c r="AI119" t="s">
        <v>331</v>
      </c>
      <c r="AJ119" s="43" t="s">
        <v>308</v>
      </c>
      <c r="AK119">
        <v>2.6</v>
      </c>
    </row>
    <row r="120" spans="31:37" x14ac:dyDescent="0.25">
      <c r="AE120" s="43" t="s">
        <v>68</v>
      </c>
      <c r="AF120" s="43" t="s">
        <v>60</v>
      </c>
      <c r="AG120" s="43" t="s">
        <v>31</v>
      </c>
      <c r="AH120">
        <v>4</v>
      </c>
      <c r="AI120" t="s">
        <v>331</v>
      </c>
      <c r="AJ120" s="43" t="s">
        <v>309</v>
      </c>
      <c r="AK120">
        <v>7.6</v>
      </c>
    </row>
    <row r="121" spans="31:37" x14ac:dyDescent="0.25">
      <c r="AE121" s="43" t="s">
        <v>68</v>
      </c>
      <c r="AF121" s="43" t="s">
        <v>60</v>
      </c>
      <c r="AG121" s="43" t="s">
        <v>31</v>
      </c>
      <c r="AH121">
        <v>4</v>
      </c>
      <c r="AI121" t="s">
        <v>331</v>
      </c>
      <c r="AJ121" s="43" t="s">
        <v>268</v>
      </c>
      <c r="AK121">
        <v>10.199999999999999</v>
      </c>
    </row>
    <row r="122" spans="31:37" x14ac:dyDescent="0.25">
      <c r="AE122" s="43" t="s">
        <v>68</v>
      </c>
      <c r="AF122" s="43" t="s">
        <v>60</v>
      </c>
      <c r="AG122" s="43" t="s">
        <v>31</v>
      </c>
      <c r="AH122">
        <v>4</v>
      </c>
      <c r="AI122" t="s">
        <v>341</v>
      </c>
      <c r="AJ122" s="43" t="s">
        <v>308</v>
      </c>
      <c r="AK122">
        <v>7.4</v>
      </c>
    </row>
    <row r="123" spans="31:37" x14ac:dyDescent="0.25">
      <c r="AE123" s="43" t="s">
        <v>68</v>
      </c>
      <c r="AF123" s="43" t="s">
        <v>60</v>
      </c>
      <c r="AG123" s="43" t="s">
        <v>31</v>
      </c>
      <c r="AH123">
        <v>4</v>
      </c>
      <c r="AI123" t="s">
        <v>341</v>
      </c>
      <c r="AJ123" s="43" t="s">
        <v>309</v>
      </c>
      <c r="AK123">
        <v>25.15</v>
      </c>
    </row>
    <row r="124" spans="31:37" x14ac:dyDescent="0.25">
      <c r="AE124" s="43" t="s">
        <v>68</v>
      </c>
      <c r="AF124" s="43" t="s">
        <v>60</v>
      </c>
      <c r="AG124" s="43" t="s">
        <v>31</v>
      </c>
      <c r="AH124">
        <v>4</v>
      </c>
      <c r="AI124" t="s">
        <v>341</v>
      </c>
      <c r="AJ124" s="43" t="s">
        <v>268</v>
      </c>
      <c r="AK124">
        <v>32.200000000000003</v>
      </c>
    </row>
    <row r="125" spans="31:37" x14ac:dyDescent="0.25">
      <c r="AE125" s="43" t="s">
        <v>68</v>
      </c>
      <c r="AF125" s="43" t="s">
        <v>60</v>
      </c>
      <c r="AG125" s="43" t="s">
        <v>31</v>
      </c>
      <c r="AH125">
        <v>4</v>
      </c>
      <c r="AI125" t="s">
        <v>273</v>
      </c>
      <c r="AJ125" s="43" t="s">
        <v>308</v>
      </c>
      <c r="AK125">
        <v>2.4666666666666668</v>
      </c>
    </row>
    <row r="126" spans="31:37" x14ac:dyDescent="0.25">
      <c r="AE126" s="43" t="s">
        <v>68</v>
      </c>
      <c r="AF126" s="43" t="s">
        <v>60</v>
      </c>
      <c r="AG126" s="43" t="s">
        <v>31</v>
      </c>
      <c r="AH126">
        <v>4</v>
      </c>
      <c r="AI126" t="s">
        <v>273</v>
      </c>
      <c r="AJ126" s="43" t="s">
        <v>309</v>
      </c>
      <c r="AK126">
        <v>8.3833333333333329</v>
      </c>
    </row>
    <row r="127" spans="31:37" x14ac:dyDescent="0.25">
      <c r="AE127" s="43" t="s">
        <v>68</v>
      </c>
      <c r="AF127" s="43" t="s">
        <v>60</v>
      </c>
      <c r="AG127" s="43" t="s">
        <v>31</v>
      </c>
      <c r="AH127">
        <v>4</v>
      </c>
      <c r="AI127" t="s">
        <v>273</v>
      </c>
      <c r="AJ127" s="43" t="s">
        <v>268</v>
      </c>
      <c r="AK127">
        <v>10.733333333333334</v>
      </c>
    </row>
    <row r="128" spans="31:37" x14ac:dyDescent="0.25">
      <c r="AE128" s="43" t="s">
        <v>37</v>
      </c>
      <c r="AF128" s="43" t="s">
        <v>26</v>
      </c>
      <c r="AG128" s="43" t="s">
        <v>39</v>
      </c>
      <c r="AH128">
        <v>4</v>
      </c>
      <c r="AI128" t="s">
        <v>317</v>
      </c>
      <c r="AJ128" s="43" t="s">
        <v>308</v>
      </c>
      <c r="AK128">
        <v>3</v>
      </c>
    </row>
    <row r="129" spans="31:37" x14ac:dyDescent="0.25">
      <c r="AE129" s="43" t="s">
        <v>37</v>
      </c>
      <c r="AF129" s="43" t="s">
        <v>26</v>
      </c>
      <c r="AG129" s="43" t="s">
        <v>39</v>
      </c>
      <c r="AH129">
        <v>4</v>
      </c>
      <c r="AI129" t="s">
        <v>317</v>
      </c>
      <c r="AJ129" s="43" t="s">
        <v>309</v>
      </c>
      <c r="AK129">
        <v>7.8</v>
      </c>
    </row>
    <row r="130" spans="31:37" x14ac:dyDescent="0.25">
      <c r="AE130" s="43" t="s">
        <v>37</v>
      </c>
      <c r="AF130" s="43" t="s">
        <v>26</v>
      </c>
      <c r="AG130" s="43" t="s">
        <v>39</v>
      </c>
      <c r="AH130">
        <v>4</v>
      </c>
      <c r="AI130" t="s">
        <v>317</v>
      </c>
      <c r="AJ130" s="43" t="s">
        <v>268</v>
      </c>
      <c r="AK130">
        <v>10.8</v>
      </c>
    </row>
    <row r="131" spans="31:37" x14ac:dyDescent="0.25">
      <c r="AE131" s="43" t="s">
        <v>37</v>
      </c>
      <c r="AF131" s="43" t="s">
        <v>26</v>
      </c>
      <c r="AG131" s="43" t="s">
        <v>39</v>
      </c>
      <c r="AH131">
        <v>4</v>
      </c>
      <c r="AI131" t="s">
        <v>325</v>
      </c>
      <c r="AJ131" s="43" t="s">
        <v>308</v>
      </c>
      <c r="AK131">
        <v>3</v>
      </c>
    </row>
    <row r="132" spans="31:37" x14ac:dyDescent="0.25">
      <c r="AE132" s="43" t="s">
        <v>37</v>
      </c>
      <c r="AF132" s="43" t="s">
        <v>26</v>
      </c>
      <c r="AG132" s="43" t="s">
        <v>39</v>
      </c>
      <c r="AH132">
        <v>4</v>
      </c>
      <c r="AI132" t="s">
        <v>325</v>
      </c>
      <c r="AJ132" s="43" t="s">
        <v>309</v>
      </c>
      <c r="AK132">
        <v>7.2</v>
      </c>
    </row>
    <row r="133" spans="31:37" x14ac:dyDescent="0.25">
      <c r="AE133" s="43" t="s">
        <v>37</v>
      </c>
      <c r="AF133" s="43" t="s">
        <v>26</v>
      </c>
      <c r="AG133" s="43" t="s">
        <v>39</v>
      </c>
      <c r="AH133">
        <v>4</v>
      </c>
      <c r="AI133" t="s">
        <v>325</v>
      </c>
      <c r="AJ133" s="43" t="s">
        <v>268</v>
      </c>
      <c r="AK133">
        <v>10.199999999999999</v>
      </c>
    </row>
    <row r="134" spans="31:37" x14ac:dyDescent="0.25">
      <c r="AE134" s="43" t="s">
        <v>37</v>
      </c>
      <c r="AF134" s="43" t="s">
        <v>26</v>
      </c>
      <c r="AG134" s="43" t="s">
        <v>39</v>
      </c>
      <c r="AH134">
        <v>4</v>
      </c>
      <c r="AI134" t="s">
        <v>330</v>
      </c>
      <c r="AJ134" s="43" t="s">
        <v>308</v>
      </c>
      <c r="AK134">
        <v>3.1</v>
      </c>
    </row>
    <row r="135" spans="31:37" x14ac:dyDescent="0.25">
      <c r="AE135" s="43" t="s">
        <v>37</v>
      </c>
      <c r="AF135" s="43" t="s">
        <v>26</v>
      </c>
      <c r="AG135" s="43" t="s">
        <v>39</v>
      </c>
      <c r="AH135">
        <v>4</v>
      </c>
      <c r="AI135" t="s">
        <v>330</v>
      </c>
      <c r="AJ135" s="43" t="s">
        <v>309</v>
      </c>
      <c r="AK135">
        <v>7.65</v>
      </c>
    </row>
    <row r="136" spans="31:37" x14ac:dyDescent="0.25">
      <c r="AE136" s="43" t="s">
        <v>37</v>
      </c>
      <c r="AF136" s="43" t="s">
        <v>26</v>
      </c>
      <c r="AG136" s="43" t="s">
        <v>39</v>
      </c>
      <c r="AH136">
        <v>4</v>
      </c>
      <c r="AI136" t="s">
        <v>330</v>
      </c>
      <c r="AJ136" s="43" t="s">
        <v>268</v>
      </c>
      <c r="AK136">
        <v>10.75</v>
      </c>
    </row>
    <row r="137" spans="31:37" x14ac:dyDescent="0.25">
      <c r="AE137" s="43" t="s">
        <v>37</v>
      </c>
      <c r="AF137" s="43" t="s">
        <v>26</v>
      </c>
      <c r="AG137" s="43" t="s">
        <v>39</v>
      </c>
      <c r="AH137">
        <v>4</v>
      </c>
      <c r="AI137" t="s">
        <v>331</v>
      </c>
      <c r="AJ137" s="43" t="s">
        <v>308</v>
      </c>
      <c r="AK137">
        <v>2.8</v>
      </c>
    </row>
    <row r="138" spans="31:37" x14ac:dyDescent="0.25">
      <c r="AE138" s="43" t="s">
        <v>37</v>
      </c>
      <c r="AF138" s="43" t="s">
        <v>26</v>
      </c>
      <c r="AG138" s="43" t="s">
        <v>39</v>
      </c>
      <c r="AH138">
        <v>4</v>
      </c>
      <c r="AI138" t="s">
        <v>331</v>
      </c>
      <c r="AJ138" s="43" t="s">
        <v>309</v>
      </c>
      <c r="AK138">
        <v>6.5</v>
      </c>
    </row>
    <row r="139" spans="31:37" x14ac:dyDescent="0.25">
      <c r="AE139" s="43" t="s">
        <v>37</v>
      </c>
      <c r="AF139" s="43" t="s">
        <v>26</v>
      </c>
      <c r="AG139" s="43" t="s">
        <v>39</v>
      </c>
      <c r="AH139">
        <v>4</v>
      </c>
      <c r="AI139" t="s">
        <v>331</v>
      </c>
      <c r="AJ139" s="43" t="s">
        <v>268</v>
      </c>
      <c r="AK139">
        <v>9.3000000000000007</v>
      </c>
    </row>
    <row r="140" spans="31:37" x14ac:dyDescent="0.25">
      <c r="AE140" s="43" t="s">
        <v>37</v>
      </c>
      <c r="AF140" s="43" t="s">
        <v>26</v>
      </c>
      <c r="AG140" s="43" t="s">
        <v>39</v>
      </c>
      <c r="AH140">
        <v>4</v>
      </c>
      <c r="AI140" t="s">
        <v>341</v>
      </c>
      <c r="AJ140" s="43" t="s">
        <v>308</v>
      </c>
      <c r="AK140">
        <v>9.1</v>
      </c>
    </row>
    <row r="141" spans="31:37" x14ac:dyDescent="0.25">
      <c r="AE141" s="43" t="s">
        <v>37</v>
      </c>
      <c r="AF141" s="43" t="s">
        <v>26</v>
      </c>
      <c r="AG141" s="43" t="s">
        <v>39</v>
      </c>
      <c r="AH141">
        <v>4</v>
      </c>
      <c r="AI141" t="s">
        <v>341</v>
      </c>
      <c r="AJ141" s="43" t="s">
        <v>309</v>
      </c>
      <c r="AK141">
        <v>22.65</v>
      </c>
    </row>
    <row r="142" spans="31:37" x14ac:dyDescent="0.25">
      <c r="AE142" s="43" t="s">
        <v>37</v>
      </c>
      <c r="AF142" s="43" t="s">
        <v>26</v>
      </c>
      <c r="AG142" s="43" t="s">
        <v>39</v>
      </c>
      <c r="AH142">
        <v>4</v>
      </c>
      <c r="AI142" t="s">
        <v>341</v>
      </c>
      <c r="AJ142" s="43" t="s">
        <v>268</v>
      </c>
      <c r="AK142">
        <v>31.75</v>
      </c>
    </row>
    <row r="143" spans="31:37" x14ac:dyDescent="0.25">
      <c r="AE143" s="43" t="s">
        <v>37</v>
      </c>
      <c r="AF143" s="43" t="s">
        <v>26</v>
      </c>
      <c r="AG143" s="43" t="s">
        <v>39</v>
      </c>
      <c r="AH143">
        <v>4</v>
      </c>
      <c r="AI143" t="s">
        <v>273</v>
      </c>
      <c r="AJ143" s="43" t="s">
        <v>308</v>
      </c>
      <c r="AK143">
        <v>3.0333333333333332</v>
      </c>
    </row>
    <row r="144" spans="31:37" x14ac:dyDescent="0.25">
      <c r="AE144" s="43" t="s">
        <v>37</v>
      </c>
      <c r="AF144" s="43" t="s">
        <v>26</v>
      </c>
      <c r="AG144" s="43" t="s">
        <v>39</v>
      </c>
      <c r="AH144">
        <v>4</v>
      </c>
      <c r="AI144" t="s">
        <v>273</v>
      </c>
      <c r="AJ144" s="43" t="s">
        <v>309</v>
      </c>
      <c r="AK144">
        <v>7.55</v>
      </c>
    </row>
    <row r="145" spans="31:37" x14ac:dyDescent="0.25">
      <c r="AE145" s="43" t="s">
        <v>37</v>
      </c>
      <c r="AF145" s="43" t="s">
        <v>26</v>
      </c>
      <c r="AG145" s="43" t="s">
        <v>39</v>
      </c>
      <c r="AH145">
        <v>4</v>
      </c>
      <c r="AI145" t="s">
        <v>273</v>
      </c>
      <c r="AJ145" s="43" t="s">
        <v>268</v>
      </c>
      <c r="AK145">
        <v>10.583333333333334</v>
      </c>
    </row>
    <row r="146" spans="31:37" x14ac:dyDescent="0.25">
      <c r="AE146" s="43" t="s">
        <v>73</v>
      </c>
      <c r="AF146" s="43" t="s">
        <v>60</v>
      </c>
      <c r="AG146" s="43" t="s">
        <v>62</v>
      </c>
      <c r="AH146">
        <v>4</v>
      </c>
      <c r="AI146" t="s">
        <v>317</v>
      </c>
      <c r="AJ146" s="43" t="s">
        <v>308</v>
      </c>
      <c r="AK146">
        <v>3.1</v>
      </c>
    </row>
    <row r="147" spans="31:37" x14ac:dyDescent="0.25">
      <c r="AE147" s="43" t="s">
        <v>73</v>
      </c>
      <c r="AF147" s="43" t="s">
        <v>60</v>
      </c>
      <c r="AG147" s="43" t="s">
        <v>62</v>
      </c>
      <c r="AH147">
        <v>4</v>
      </c>
      <c r="AI147" t="s">
        <v>317</v>
      </c>
      <c r="AJ147" s="43" t="s">
        <v>309</v>
      </c>
      <c r="AK147">
        <v>7.3</v>
      </c>
    </row>
    <row r="148" spans="31:37" x14ac:dyDescent="0.25">
      <c r="AE148" s="43" t="s">
        <v>73</v>
      </c>
      <c r="AF148" s="43" t="s">
        <v>60</v>
      </c>
      <c r="AG148" s="43" t="s">
        <v>62</v>
      </c>
      <c r="AH148">
        <v>4</v>
      </c>
      <c r="AI148" t="s">
        <v>317</v>
      </c>
      <c r="AJ148" s="43" t="s">
        <v>268</v>
      </c>
      <c r="AK148">
        <v>10.4</v>
      </c>
    </row>
    <row r="149" spans="31:37" x14ac:dyDescent="0.25">
      <c r="AE149" s="43" t="s">
        <v>73</v>
      </c>
      <c r="AF149" s="43" t="s">
        <v>60</v>
      </c>
      <c r="AG149" s="43" t="s">
        <v>62</v>
      </c>
      <c r="AH149">
        <v>4</v>
      </c>
      <c r="AI149" t="s">
        <v>325</v>
      </c>
      <c r="AJ149" s="43" t="s">
        <v>308</v>
      </c>
      <c r="AK149">
        <v>2.7</v>
      </c>
    </row>
    <row r="150" spans="31:37" x14ac:dyDescent="0.25">
      <c r="AE150" s="43" t="s">
        <v>73</v>
      </c>
      <c r="AF150" s="43" t="s">
        <v>60</v>
      </c>
      <c r="AG150" s="43" t="s">
        <v>62</v>
      </c>
      <c r="AH150">
        <v>4</v>
      </c>
      <c r="AI150" t="s">
        <v>325</v>
      </c>
      <c r="AJ150" s="43" t="s">
        <v>309</v>
      </c>
      <c r="AK150">
        <v>7.55</v>
      </c>
    </row>
    <row r="151" spans="31:37" x14ac:dyDescent="0.25">
      <c r="AE151" s="43" t="s">
        <v>73</v>
      </c>
      <c r="AF151" s="43" t="s">
        <v>60</v>
      </c>
      <c r="AG151" s="43" t="s">
        <v>62</v>
      </c>
      <c r="AH151">
        <v>4</v>
      </c>
      <c r="AI151" t="s">
        <v>325</v>
      </c>
      <c r="AJ151" s="43" t="s">
        <v>268</v>
      </c>
      <c r="AK151">
        <v>10.25</v>
      </c>
    </row>
    <row r="152" spans="31:37" x14ac:dyDescent="0.25">
      <c r="AE152" s="43" t="s">
        <v>73</v>
      </c>
      <c r="AF152" s="43" t="s">
        <v>60</v>
      </c>
      <c r="AG152" s="43" t="s">
        <v>62</v>
      </c>
      <c r="AH152">
        <v>4</v>
      </c>
      <c r="AI152" t="s">
        <v>330</v>
      </c>
      <c r="AJ152" s="43" t="s">
        <v>308</v>
      </c>
      <c r="AK152">
        <v>2.7</v>
      </c>
    </row>
    <row r="153" spans="31:37" x14ac:dyDescent="0.25">
      <c r="AE153" s="43" t="s">
        <v>73</v>
      </c>
      <c r="AF153" s="43" t="s">
        <v>60</v>
      </c>
      <c r="AG153" s="43" t="s">
        <v>62</v>
      </c>
      <c r="AH153">
        <v>4</v>
      </c>
      <c r="AI153" t="s">
        <v>330</v>
      </c>
      <c r="AJ153" s="43" t="s">
        <v>309</v>
      </c>
      <c r="AK153">
        <v>8.1999999999999993</v>
      </c>
    </row>
    <row r="154" spans="31:37" x14ac:dyDescent="0.25">
      <c r="AE154" s="43" t="s">
        <v>73</v>
      </c>
      <c r="AF154" s="43" t="s">
        <v>60</v>
      </c>
      <c r="AG154" s="43" t="s">
        <v>62</v>
      </c>
      <c r="AH154">
        <v>4</v>
      </c>
      <c r="AI154" t="s">
        <v>330</v>
      </c>
      <c r="AJ154" s="43" t="s">
        <v>268</v>
      </c>
      <c r="AK154">
        <v>10.9</v>
      </c>
    </row>
    <row r="155" spans="31:37" x14ac:dyDescent="0.25">
      <c r="AE155" s="43" t="s">
        <v>73</v>
      </c>
      <c r="AF155" s="43" t="s">
        <v>60</v>
      </c>
      <c r="AG155" s="43" t="s">
        <v>62</v>
      </c>
      <c r="AH155">
        <v>4</v>
      </c>
      <c r="AI155" t="s">
        <v>331</v>
      </c>
      <c r="AJ155" s="43" t="s">
        <v>308</v>
      </c>
      <c r="AK155">
        <v>2.6</v>
      </c>
    </row>
    <row r="156" spans="31:37" x14ac:dyDescent="0.25">
      <c r="AE156" s="43" t="s">
        <v>73</v>
      </c>
      <c r="AF156" s="43" t="s">
        <v>60</v>
      </c>
      <c r="AG156" s="43" t="s">
        <v>62</v>
      </c>
      <c r="AH156">
        <v>4</v>
      </c>
      <c r="AI156" t="s">
        <v>331</v>
      </c>
      <c r="AJ156" s="43" t="s">
        <v>309</v>
      </c>
      <c r="AK156">
        <v>5.8</v>
      </c>
    </row>
    <row r="157" spans="31:37" x14ac:dyDescent="0.25">
      <c r="AE157" s="43" t="s">
        <v>73</v>
      </c>
      <c r="AF157" s="43" t="s">
        <v>60</v>
      </c>
      <c r="AG157" s="43" t="s">
        <v>62</v>
      </c>
      <c r="AH157">
        <v>4</v>
      </c>
      <c r="AI157" t="s">
        <v>331</v>
      </c>
      <c r="AJ157" s="43" t="s">
        <v>268</v>
      </c>
      <c r="AK157">
        <v>8.4</v>
      </c>
    </row>
    <row r="158" spans="31:37" x14ac:dyDescent="0.25">
      <c r="AE158" s="43" t="s">
        <v>73</v>
      </c>
      <c r="AF158" s="43" t="s">
        <v>60</v>
      </c>
      <c r="AG158" s="43" t="s">
        <v>62</v>
      </c>
      <c r="AH158">
        <v>4</v>
      </c>
      <c r="AI158" t="s">
        <v>341</v>
      </c>
      <c r="AJ158" s="43" t="s">
        <v>308</v>
      </c>
      <c r="AK158">
        <v>8.5</v>
      </c>
    </row>
    <row r="159" spans="31:37" x14ac:dyDescent="0.25">
      <c r="AE159" s="43" t="s">
        <v>73</v>
      </c>
      <c r="AF159" s="43" t="s">
        <v>60</v>
      </c>
      <c r="AG159" s="43" t="s">
        <v>62</v>
      </c>
      <c r="AH159">
        <v>4</v>
      </c>
      <c r="AI159" t="s">
        <v>341</v>
      </c>
      <c r="AJ159" s="43" t="s">
        <v>309</v>
      </c>
      <c r="AK159">
        <v>23.05</v>
      </c>
    </row>
    <row r="160" spans="31:37" x14ac:dyDescent="0.25">
      <c r="AE160" s="43" t="s">
        <v>73</v>
      </c>
      <c r="AF160" s="43" t="s">
        <v>60</v>
      </c>
      <c r="AG160" s="43" t="s">
        <v>62</v>
      </c>
      <c r="AH160">
        <v>4</v>
      </c>
      <c r="AI160" t="s">
        <v>341</v>
      </c>
      <c r="AJ160" s="43" t="s">
        <v>268</v>
      </c>
      <c r="AK160">
        <v>31.55</v>
      </c>
    </row>
    <row r="161" spans="31:37" x14ac:dyDescent="0.25">
      <c r="AE161" s="43" t="s">
        <v>73</v>
      </c>
      <c r="AF161" s="43" t="s">
        <v>60</v>
      </c>
      <c r="AG161" s="43" t="s">
        <v>62</v>
      </c>
      <c r="AH161">
        <v>4</v>
      </c>
      <c r="AI161" t="s">
        <v>273</v>
      </c>
      <c r="AJ161" s="43" t="s">
        <v>308</v>
      </c>
      <c r="AK161">
        <v>2.8333333333333335</v>
      </c>
    </row>
    <row r="162" spans="31:37" x14ac:dyDescent="0.25">
      <c r="AE162" s="43" t="s">
        <v>73</v>
      </c>
      <c r="AF162" s="43" t="s">
        <v>60</v>
      </c>
      <c r="AG162" s="43" t="s">
        <v>62</v>
      </c>
      <c r="AH162">
        <v>4</v>
      </c>
      <c r="AI162" t="s">
        <v>273</v>
      </c>
      <c r="AJ162" s="43" t="s">
        <v>309</v>
      </c>
      <c r="AK162">
        <v>7.6833333333333336</v>
      </c>
    </row>
    <row r="163" spans="31:37" x14ac:dyDescent="0.25">
      <c r="AE163" s="43" t="s">
        <v>73</v>
      </c>
      <c r="AF163" s="43" t="s">
        <v>60</v>
      </c>
      <c r="AG163" s="43" t="s">
        <v>62</v>
      </c>
      <c r="AH163">
        <v>4</v>
      </c>
      <c r="AI163" t="s">
        <v>273</v>
      </c>
      <c r="AJ163" s="43" t="s">
        <v>268</v>
      </c>
      <c r="AK163">
        <v>10.516666666666667</v>
      </c>
    </row>
    <row r="164" spans="31:37" x14ac:dyDescent="0.25">
      <c r="AE164" s="43" t="s">
        <v>77</v>
      </c>
      <c r="AF164" s="43" t="s">
        <v>60</v>
      </c>
      <c r="AG164" s="43" t="s">
        <v>79</v>
      </c>
      <c r="AH164">
        <v>4</v>
      </c>
      <c r="AI164" t="s">
        <v>317</v>
      </c>
      <c r="AJ164" s="43" t="s">
        <v>308</v>
      </c>
      <c r="AK164">
        <v>3</v>
      </c>
    </row>
    <row r="165" spans="31:37" x14ac:dyDescent="0.25">
      <c r="AE165" s="43" t="s">
        <v>77</v>
      </c>
      <c r="AF165" s="43" t="s">
        <v>60</v>
      </c>
      <c r="AG165" s="43" t="s">
        <v>79</v>
      </c>
      <c r="AH165">
        <v>4</v>
      </c>
      <c r="AI165" t="s">
        <v>317</v>
      </c>
      <c r="AJ165" s="43" t="s">
        <v>309</v>
      </c>
      <c r="AK165">
        <v>7.2</v>
      </c>
    </row>
    <row r="166" spans="31:37" x14ac:dyDescent="0.25">
      <c r="AE166" s="43" t="s">
        <v>77</v>
      </c>
      <c r="AF166" s="43" t="s">
        <v>60</v>
      </c>
      <c r="AG166" s="43" t="s">
        <v>79</v>
      </c>
      <c r="AH166">
        <v>4</v>
      </c>
      <c r="AI166" t="s">
        <v>317</v>
      </c>
      <c r="AJ166" s="43" t="s">
        <v>268</v>
      </c>
      <c r="AK166">
        <v>10.199999999999999</v>
      </c>
    </row>
    <row r="167" spans="31:37" x14ac:dyDescent="0.25">
      <c r="AE167" s="43" t="s">
        <v>77</v>
      </c>
      <c r="AF167" s="43" t="s">
        <v>60</v>
      </c>
      <c r="AG167" s="43" t="s">
        <v>79</v>
      </c>
      <c r="AH167">
        <v>4</v>
      </c>
      <c r="AI167" t="s">
        <v>325</v>
      </c>
      <c r="AJ167" s="43" t="s">
        <v>308</v>
      </c>
      <c r="AK167">
        <v>2.6</v>
      </c>
    </row>
    <row r="168" spans="31:37" x14ac:dyDescent="0.25">
      <c r="AE168" s="43" t="s">
        <v>77</v>
      </c>
      <c r="AF168" s="43" t="s">
        <v>60</v>
      </c>
      <c r="AG168" s="43" t="s">
        <v>79</v>
      </c>
      <c r="AH168">
        <v>4</v>
      </c>
      <c r="AI168" t="s">
        <v>325</v>
      </c>
      <c r="AJ168" s="43" t="s">
        <v>309</v>
      </c>
      <c r="AK168">
        <v>7.5</v>
      </c>
    </row>
    <row r="169" spans="31:37" x14ac:dyDescent="0.25">
      <c r="AE169" s="43" t="s">
        <v>77</v>
      </c>
      <c r="AF169" s="43" t="s">
        <v>60</v>
      </c>
      <c r="AG169" s="43" t="s">
        <v>79</v>
      </c>
      <c r="AH169">
        <v>4</v>
      </c>
      <c r="AI169" t="s">
        <v>325</v>
      </c>
      <c r="AJ169" s="43" t="s">
        <v>268</v>
      </c>
      <c r="AK169">
        <v>10.1</v>
      </c>
    </row>
    <row r="170" spans="31:37" x14ac:dyDescent="0.25">
      <c r="AE170" s="43" t="s">
        <v>77</v>
      </c>
      <c r="AF170" s="43" t="s">
        <v>60</v>
      </c>
      <c r="AG170" s="43" t="s">
        <v>79</v>
      </c>
      <c r="AH170">
        <v>4</v>
      </c>
      <c r="AI170" t="s">
        <v>330</v>
      </c>
      <c r="AJ170" s="43" t="s">
        <v>308</v>
      </c>
      <c r="AK170">
        <v>3</v>
      </c>
    </row>
    <row r="171" spans="31:37" x14ac:dyDescent="0.25">
      <c r="AE171" s="43" t="s">
        <v>77</v>
      </c>
      <c r="AF171" s="43" t="s">
        <v>60</v>
      </c>
      <c r="AG171" s="43" t="s">
        <v>79</v>
      </c>
      <c r="AH171">
        <v>4</v>
      </c>
      <c r="AI171" t="s">
        <v>330</v>
      </c>
      <c r="AJ171" s="43" t="s">
        <v>309</v>
      </c>
      <c r="AK171">
        <v>8.1</v>
      </c>
    </row>
    <row r="172" spans="31:37" x14ac:dyDescent="0.25">
      <c r="AE172" s="43" t="s">
        <v>77</v>
      </c>
      <c r="AF172" s="43" t="s">
        <v>60</v>
      </c>
      <c r="AG172" s="43" t="s">
        <v>79</v>
      </c>
      <c r="AH172">
        <v>4</v>
      </c>
      <c r="AI172" t="s">
        <v>330</v>
      </c>
      <c r="AJ172" s="43" t="s">
        <v>268</v>
      </c>
      <c r="AK172">
        <v>11.1</v>
      </c>
    </row>
    <row r="173" spans="31:37" x14ac:dyDescent="0.25">
      <c r="AE173" s="43" t="s">
        <v>77</v>
      </c>
      <c r="AF173" s="43" t="s">
        <v>60</v>
      </c>
      <c r="AG173" s="43" t="s">
        <v>79</v>
      </c>
      <c r="AH173">
        <v>4</v>
      </c>
      <c r="AI173" t="s">
        <v>331</v>
      </c>
      <c r="AJ173" s="43" t="s">
        <v>308</v>
      </c>
      <c r="AK173">
        <v>2.6</v>
      </c>
    </row>
    <row r="174" spans="31:37" x14ac:dyDescent="0.25">
      <c r="AE174" s="43" t="s">
        <v>77</v>
      </c>
      <c r="AF174" s="43" t="s">
        <v>60</v>
      </c>
      <c r="AG174" s="43" t="s">
        <v>79</v>
      </c>
      <c r="AH174">
        <v>4</v>
      </c>
      <c r="AI174" t="s">
        <v>331</v>
      </c>
      <c r="AJ174" s="43" t="s">
        <v>309</v>
      </c>
      <c r="AK174">
        <v>7.3</v>
      </c>
    </row>
    <row r="175" spans="31:37" x14ac:dyDescent="0.25">
      <c r="AE175" s="43" t="s">
        <v>77</v>
      </c>
      <c r="AF175" s="43" t="s">
        <v>60</v>
      </c>
      <c r="AG175" s="43" t="s">
        <v>79</v>
      </c>
      <c r="AH175">
        <v>4</v>
      </c>
      <c r="AI175" t="s">
        <v>331</v>
      </c>
      <c r="AJ175" s="43" t="s">
        <v>268</v>
      </c>
      <c r="AK175">
        <v>9.9</v>
      </c>
    </row>
    <row r="176" spans="31:37" x14ac:dyDescent="0.25">
      <c r="AE176" s="43" t="s">
        <v>77</v>
      </c>
      <c r="AF176" s="43" t="s">
        <v>60</v>
      </c>
      <c r="AG176" s="43" t="s">
        <v>79</v>
      </c>
      <c r="AH176">
        <v>4</v>
      </c>
      <c r="AI176" t="s">
        <v>341</v>
      </c>
      <c r="AJ176" s="43" t="s">
        <v>308</v>
      </c>
      <c r="AK176">
        <v>8.6</v>
      </c>
    </row>
    <row r="177" spans="31:37" x14ac:dyDescent="0.25">
      <c r="AE177" s="43" t="s">
        <v>77</v>
      </c>
      <c r="AF177" s="43" t="s">
        <v>60</v>
      </c>
      <c r="AG177" s="43" t="s">
        <v>79</v>
      </c>
      <c r="AH177">
        <v>4</v>
      </c>
      <c r="AI177" t="s">
        <v>341</v>
      </c>
      <c r="AJ177" s="43" t="s">
        <v>309</v>
      </c>
      <c r="AK177">
        <v>22.9</v>
      </c>
    </row>
    <row r="178" spans="31:37" x14ac:dyDescent="0.25">
      <c r="AE178" s="43" t="s">
        <v>77</v>
      </c>
      <c r="AF178" s="43" t="s">
        <v>60</v>
      </c>
      <c r="AG178" s="43" t="s">
        <v>79</v>
      </c>
      <c r="AH178">
        <v>4</v>
      </c>
      <c r="AI178" t="s">
        <v>341</v>
      </c>
      <c r="AJ178" s="43" t="s">
        <v>268</v>
      </c>
      <c r="AK178">
        <v>31.4</v>
      </c>
    </row>
    <row r="179" spans="31:37" x14ac:dyDescent="0.25">
      <c r="AE179" s="43" t="s">
        <v>77</v>
      </c>
      <c r="AF179" s="43" t="s">
        <v>60</v>
      </c>
      <c r="AG179" s="43" t="s">
        <v>79</v>
      </c>
      <c r="AH179">
        <v>4</v>
      </c>
      <c r="AI179" t="s">
        <v>273</v>
      </c>
      <c r="AJ179" s="43" t="s">
        <v>308</v>
      </c>
      <c r="AK179">
        <v>2.8666666666666667</v>
      </c>
    </row>
    <row r="180" spans="31:37" x14ac:dyDescent="0.25">
      <c r="AE180" s="43" t="s">
        <v>77</v>
      </c>
      <c r="AF180" s="43" t="s">
        <v>60</v>
      </c>
      <c r="AG180" s="43" t="s">
        <v>79</v>
      </c>
      <c r="AH180">
        <v>4</v>
      </c>
      <c r="AI180" t="s">
        <v>273</v>
      </c>
      <c r="AJ180" s="43" t="s">
        <v>309</v>
      </c>
      <c r="AK180">
        <v>7.6333333333333329</v>
      </c>
    </row>
    <row r="181" spans="31:37" x14ac:dyDescent="0.25">
      <c r="AE181" s="43" t="s">
        <v>77</v>
      </c>
      <c r="AF181" s="43" t="s">
        <v>60</v>
      </c>
      <c r="AG181" s="43" t="s">
        <v>79</v>
      </c>
      <c r="AH181">
        <v>4</v>
      </c>
      <c r="AI181" t="s">
        <v>273</v>
      </c>
      <c r="AJ181" s="43" t="s">
        <v>268</v>
      </c>
      <c r="AK181">
        <v>10.466666666666667</v>
      </c>
    </row>
    <row r="182" spans="31:37" x14ac:dyDescent="0.25">
      <c r="AE182" s="43" t="s">
        <v>44</v>
      </c>
      <c r="AF182" s="43" t="s">
        <v>26</v>
      </c>
      <c r="AG182" s="43" t="s">
        <v>39</v>
      </c>
      <c r="AH182">
        <v>4</v>
      </c>
      <c r="AI182" t="s">
        <v>317</v>
      </c>
      <c r="AJ182" s="43" t="s">
        <v>308</v>
      </c>
      <c r="AK182">
        <v>2.4</v>
      </c>
    </row>
    <row r="183" spans="31:37" x14ac:dyDescent="0.25">
      <c r="AE183" s="43" t="s">
        <v>44</v>
      </c>
      <c r="AF183" s="43" t="s">
        <v>26</v>
      </c>
      <c r="AG183" s="43" t="s">
        <v>39</v>
      </c>
      <c r="AH183">
        <v>4</v>
      </c>
      <c r="AI183" t="s">
        <v>317</v>
      </c>
      <c r="AJ183" s="43" t="s">
        <v>309</v>
      </c>
      <c r="AK183">
        <v>7.8</v>
      </c>
    </row>
    <row r="184" spans="31:37" x14ac:dyDescent="0.25">
      <c r="AE184" s="43" t="s">
        <v>44</v>
      </c>
      <c r="AF184" s="43" t="s">
        <v>26</v>
      </c>
      <c r="AG184" s="43" t="s">
        <v>39</v>
      </c>
      <c r="AH184">
        <v>4</v>
      </c>
      <c r="AI184" t="s">
        <v>317</v>
      </c>
      <c r="AJ184" s="43" t="s">
        <v>268</v>
      </c>
      <c r="AK184">
        <v>10.199999999999999</v>
      </c>
    </row>
    <row r="185" spans="31:37" x14ac:dyDescent="0.25">
      <c r="AE185" s="43" t="s">
        <v>44</v>
      </c>
      <c r="AF185" s="43" t="s">
        <v>26</v>
      </c>
      <c r="AG185" s="43" t="s">
        <v>39</v>
      </c>
      <c r="AH185">
        <v>4</v>
      </c>
      <c r="AI185" t="s">
        <v>325</v>
      </c>
      <c r="AJ185" s="43" t="s">
        <v>308</v>
      </c>
      <c r="AK185">
        <v>2.4</v>
      </c>
    </row>
    <row r="186" spans="31:37" x14ac:dyDescent="0.25">
      <c r="AE186" s="43" t="s">
        <v>44</v>
      </c>
      <c r="AF186" s="43" t="s">
        <v>26</v>
      </c>
      <c r="AG186" s="43" t="s">
        <v>39</v>
      </c>
      <c r="AH186">
        <v>4</v>
      </c>
      <c r="AI186" t="s">
        <v>325</v>
      </c>
      <c r="AJ186" s="43" t="s">
        <v>309</v>
      </c>
      <c r="AK186">
        <v>7.9</v>
      </c>
    </row>
    <row r="187" spans="31:37" x14ac:dyDescent="0.25">
      <c r="AE187" s="43" t="s">
        <v>44</v>
      </c>
      <c r="AF187" s="43" t="s">
        <v>26</v>
      </c>
      <c r="AG187" s="43" t="s">
        <v>39</v>
      </c>
      <c r="AH187">
        <v>4</v>
      </c>
      <c r="AI187" t="s">
        <v>325</v>
      </c>
      <c r="AJ187" s="43" t="s">
        <v>268</v>
      </c>
      <c r="AK187">
        <v>10.3</v>
      </c>
    </row>
    <row r="188" spans="31:37" x14ac:dyDescent="0.25">
      <c r="AE188" s="43" t="s">
        <v>44</v>
      </c>
      <c r="AF188" s="43" t="s">
        <v>26</v>
      </c>
      <c r="AG188" s="43" t="s">
        <v>39</v>
      </c>
      <c r="AH188">
        <v>4</v>
      </c>
      <c r="AI188" t="s">
        <v>330</v>
      </c>
      <c r="AJ188" s="43" t="s">
        <v>308</v>
      </c>
      <c r="AK188">
        <v>2.7</v>
      </c>
    </row>
    <row r="189" spans="31:37" x14ac:dyDescent="0.25">
      <c r="AE189" s="43" t="s">
        <v>44</v>
      </c>
      <c r="AF189" s="43" t="s">
        <v>26</v>
      </c>
      <c r="AG189" s="43" t="s">
        <v>39</v>
      </c>
      <c r="AH189">
        <v>4</v>
      </c>
      <c r="AI189" t="s">
        <v>330</v>
      </c>
      <c r="AJ189" s="43" t="s">
        <v>309</v>
      </c>
      <c r="AK189">
        <v>8.15</v>
      </c>
    </row>
    <row r="190" spans="31:37" x14ac:dyDescent="0.25">
      <c r="AE190" s="43" t="s">
        <v>44</v>
      </c>
      <c r="AF190" s="43" t="s">
        <v>26</v>
      </c>
      <c r="AG190" s="43" t="s">
        <v>39</v>
      </c>
      <c r="AH190">
        <v>4</v>
      </c>
      <c r="AI190" t="s">
        <v>330</v>
      </c>
      <c r="AJ190" s="43" t="s">
        <v>268</v>
      </c>
      <c r="AK190">
        <v>10.85</v>
      </c>
    </row>
    <row r="191" spans="31:37" x14ac:dyDescent="0.25">
      <c r="AE191" s="43" t="s">
        <v>44</v>
      </c>
      <c r="AF191" s="43" t="s">
        <v>26</v>
      </c>
      <c r="AG191" s="43" t="s">
        <v>39</v>
      </c>
      <c r="AH191">
        <v>4</v>
      </c>
      <c r="AI191" t="s">
        <v>331</v>
      </c>
      <c r="AJ191" s="43" t="s">
        <v>308</v>
      </c>
      <c r="AK191">
        <v>2.2999999999999998</v>
      </c>
    </row>
    <row r="192" spans="31:37" x14ac:dyDescent="0.25">
      <c r="AE192" s="43" t="s">
        <v>44</v>
      </c>
      <c r="AF192" s="43" t="s">
        <v>26</v>
      </c>
      <c r="AG192" s="43" t="s">
        <v>39</v>
      </c>
      <c r="AH192">
        <v>4</v>
      </c>
      <c r="AI192" t="s">
        <v>331</v>
      </c>
      <c r="AJ192" s="43" t="s">
        <v>309</v>
      </c>
      <c r="AK192">
        <v>7.5</v>
      </c>
    </row>
    <row r="193" spans="31:37" x14ac:dyDescent="0.25">
      <c r="AE193" s="43" t="s">
        <v>44</v>
      </c>
      <c r="AF193" s="43" t="s">
        <v>26</v>
      </c>
      <c r="AG193" s="43" t="s">
        <v>39</v>
      </c>
      <c r="AH193">
        <v>4</v>
      </c>
      <c r="AI193" t="s">
        <v>331</v>
      </c>
      <c r="AJ193" s="43" t="s">
        <v>268</v>
      </c>
      <c r="AK193">
        <v>9.8000000000000007</v>
      </c>
    </row>
    <row r="194" spans="31:37" x14ac:dyDescent="0.25">
      <c r="AE194" s="43" t="s">
        <v>44</v>
      </c>
      <c r="AF194" s="43" t="s">
        <v>26</v>
      </c>
      <c r="AG194" s="43" t="s">
        <v>39</v>
      </c>
      <c r="AH194">
        <v>4</v>
      </c>
      <c r="AI194" t="s">
        <v>341</v>
      </c>
      <c r="AJ194" s="43" t="s">
        <v>308</v>
      </c>
      <c r="AK194">
        <v>7.5</v>
      </c>
    </row>
    <row r="195" spans="31:37" x14ac:dyDescent="0.25">
      <c r="AE195" s="43" t="s">
        <v>44</v>
      </c>
      <c r="AF195" s="43" t="s">
        <v>26</v>
      </c>
      <c r="AG195" s="43" t="s">
        <v>39</v>
      </c>
      <c r="AH195">
        <v>4</v>
      </c>
      <c r="AI195" t="s">
        <v>341</v>
      </c>
      <c r="AJ195" s="43" t="s">
        <v>309</v>
      </c>
      <c r="AK195">
        <v>23.85</v>
      </c>
    </row>
    <row r="196" spans="31:37" x14ac:dyDescent="0.25">
      <c r="AE196" s="43" t="s">
        <v>44</v>
      </c>
      <c r="AF196" s="43" t="s">
        <v>26</v>
      </c>
      <c r="AG196" s="43" t="s">
        <v>39</v>
      </c>
      <c r="AH196">
        <v>4</v>
      </c>
      <c r="AI196" t="s">
        <v>341</v>
      </c>
      <c r="AJ196" s="43" t="s">
        <v>268</v>
      </c>
      <c r="AK196">
        <v>31.349999999999998</v>
      </c>
    </row>
    <row r="197" spans="31:37" x14ac:dyDescent="0.25">
      <c r="AE197" s="43" t="s">
        <v>44</v>
      </c>
      <c r="AF197" s="43" t="s">
        <v>26</v>
      </c>
      <c r="AG197" s="43" t="s">
        <v>39</v>
      </c>
      <c r="AH197">
        <v>4</v>
      </c>
      <c r="AI197" t="s">
        <v>273</v>
      </c>
      <c r="AJ197" s="43" t="s">
        <v>308</v>
      </c>
      <c r="AK197">
        <v>2.5</v>
      </c>
    </row>
    <row r="198" spans="31:37" x14ac:dyDescent="0.25">
      <c r="AE198" s="43" t="s">
        <v>44</v>
      </c>
      <c r="AF198" s="43" t="s">
        <v>26</v>
      </c>
      <c r="AG198" s="43" t="s">
        <v>39</v>
      </c>
      <c r="AH198">
        <v>4</v>
      </c>
      <c r="AI198" t="s">
        <v>273</v>
      </c>
      <c r="AJ198" s="43" t="s">
        <v>309</v>
      </c>
      <c r="AK198">
        <v>7.95</v>
      </c>
    </row>
    <row r="199" spans="31:37" x14ac:dyDescent="0.25">
      <c r="AE199" s="43" t="s">
        <v>44</v>
      </c>
      <c r="AF199" s="43" t="s">
        <v>26</v>
      </c>
      <c r="AG199" s="43" t="s">
        <v>39</v>
      </c>
      <c r="AH199">
        <v>4</v>
      </c>
      <c r="AI199" t="s">
        <v>273</v>
      </c>
      <c r="AJ199" s="43" t="s">
        <v>268</v>
      </c>
      <c r="AK199">
        <v>10.45</v>
      </c>
    </row>
    <row r="200" spans="31:37" x14ac:dyDescent="0.25">
      <c r="AE200" s="43" t="s">
        <v>32</v>
      </c>
      <c r="AF200" s="43" t="s">
        <v>26</v>
      </c>
      <c r="AG200" s="43" t="s">
        <v>31</v>
      </c>
      <c r="AH200">
        <v>4</v>
      </c>
      <c r="AI200" t="s">
        <v>317</v>
      </c>
      <c r="AJ200" s="43" t="s">
        <v>308</v>
      </c>
      <c r="AK200">
        <v>3.1</v>
      </c>
    </row>
    <row r="201" spans="31:37" x14ac:dyDescent="0.25">
      <c r="AE201" s="43" t="s">
        <v>32</v>
      </c>
      <c r="AF201" s="43" t="s">
        <v>26</v>
      </c>
      <c r="AG201" s="43" t="s">
        <v>31</v>
      </c>
      <c r="AH201">
        <v>4</v>
      </c>
      <c r="AI201" t="s">
        <v>317</v>
      </c>
      <c r="AJ201" s="43" t="s">
        <v>309</v>
      </c>
      <c r="AK201">
        <v>7.7</v>
      </c>
    </row>
    <row r="202" spans="31:37" x14ac:dyDescent="0.25">
      <c r="AE202" s="43" t="s">
        <v>32</v>
      </c>
      <c r="AF202" s="43" t="s">
        <v>26</v>
      </c>
      <c r="AG202" s="43" t="s">
        <v>31</v>
      </c>
      <c r="AH202">
        <v>4</v>
      </c>
      <c r="AI202" t="s">
        <v>317</v>
      </c>
      <c r="AJ202" s="43" t="s">
        <v>268</v>
      </c>
      <c r="AK202">
        <v>10.8</v>
      </c>
    </row>
    <row r="203" spans="31:37" x14ac:dyDescent="0.25">
      <c r="AE203" s="43" t="s">
        <v>32</v>
      </c>
      <c r="AF203" s="43" t="s">
        <v>26</v>
      </c>
      <c r="AG203" s="43" t="s">
        <v>31</v>
      </c>
      <c r="AH203">
        <v>4</v>
      </c>
      <c r="AI203" t="s">
        <v>325</v>
      </c>
      <c r="AJ203" s="43" t="s">
        <v>308</v>
      </c>
      <c r="AK203">
        <v>3.2</v>
      </c>
    </row>
    <row r="204" spans="31:37" x14ac:dyDescent="0.25">
      <c r="AE204" s="43" t="s">
        <v>32</v>
      </c>
      <c r="AF204" s="43" t="s">
        <v>26</v>
      </c>
      <c r="AG204" s="43" t="s">
        <v>31</v>
      </c>
      <c r="AH204">
        <v>4</v>
      </c>
      <c r="AI204" t="s">
        <v>325</v>
      </c>
      <c r="AJ204" s="43" t="s">
        <v>309</v>
      </c>
      <c r="AK204">
        <v>7.8</v>
      </c>
    </row>
    <row r="205" spans="31:37" x14ac:dyDescent="0.25">
      <c r="AE205" s="43" t="s">
        <v>32</v>
      </c>
      <c r="AF205" s="43" t="s">
        <v>26</v>
      </c>
      <c r="AG205" s="43" t="s">
        <v>31</v>
      </c>
      <c r="AH205">
        <v>4</v>
      </c>
      <c r="AI205" t="s">
        <v>325</v>
      </c>
      <c r="AJ205" s="43" t="s">
        <v>268</v>
      </c>
      <c r="AK205">
        <v>11</v>
      </c>
    </row>
    <row r="206" spans="31:37" x14ac:dyDescent="0.25">
      <c r="AE206" s="43" t="s">
        <v>32</v>
      </c>
      <c r="AF206" s="43" t="s">
        <v>26</v>
      </c>
      <c r="AG206" s="43" t="s">
        <v>31</v>
      </c>
      <c r="AH206">
        <v>4</v>
      </c>
      <c r="AI206" t="s">
        <v>330</v>
      </c>
      <c r="AJ206" s="43" t="s">
        <v>308</v>
      </c>
      <c r="AK206">
        <v>3.1</v>
      </c>
    </row>
    <row r="207" spans="31:37" x14ac:dyDescent="0.25">
      <c r="AE207" s="43" t="s">
        <v>32</v>
      </c>
      <c r="AF207" s="43" t="s">
        <v>26</v>
      </c>
      <c r="AG207" s="43" t="s">
        <v>31</v>
      </c>
      <c r="AH207">
        <v>4</v>
      </c>
      <c r="AI207" t="s">
        <v>330</v>
      </c>
      <c r="AJ207" s="43" t="s">
        <v>309</v>
      </c>
      <c r="AK207">
        <v>4.7</v>
      </c>
    </row>
    <row r="208" spans="31:37" x14ac:dyDescent="0.25">
      <c r="AE208" s="43" t="s">
        <v>32</v>
      </c>
      <c r="AF208" s="43" t="s">
        <v>26</v>
      </c>
      <c r="AG208" s="43" t="s">
        <v>31</v>
      </c>
      <c r="AH208">
        <v>4</v>
      </c>
      <c r="AI208" t="s">
        <v>330</v>
      </c>
      <c r="AJ208" s="43" t="s">
        <v>268</v>
      </c>
      <c r="AK208">
        <v>7.8</v>
      </c>
    </row>
    <row r="209" spans="31:37" x14ac:dyDescent="0.25">
      <c r="AE209" s="43" t="s">
        <v>32</v>
      </c>
      <c r="AF209" s="43" t="s">
        <v>26</v>
      </c>
      <c r="AG209" s="43" t="s">
        <v>31</v>
      </c>
      <c r="AH209">
        <v>4</v>
      </c>
      <c r="AI209" t="s">
        <v>331</v>
      </c>
      <c r="AJ209" s="43" t="s">
        <v>308</v>
      </c>
      <c r="AK209">
        <v>2.9</v>
      </c>
    </row>
    <row r="210" spans="31:37" x14ac:dyDescent="0.25">
      <c r="AE210" s="43" t="s">
        <v>32</v>
      </c>
      <c r="AF210" s="43" t="s">
        <v>26</v>
      </c>
      <c r="AG210" s="43" t="s">
        <v>31</v>
      </c>
      <c r="AH210">
        <v>4</v>
      </c>
      <c r="AI210" t="s">
        <v>331</v>
      </c>
      <c r="AJ210" s="43" t="s">
        <v>309</v>
      </c>
      <c r="AK210">
        <v>6.2</v>
      </c>
    </row>
    <row r="211" spans="31:37" x14ac:dyDescent="0.25">
      <c r="AE211" s="43" t="s">
        <v>32</v>
      </c>
      <c r="AF211" s="43" t="s">
        <v>26</v>
      </c>
      <c r="AG211" s="43" t="s">
        <v>31</v>
      </c>
      <c r="AH211">
        <v>4</v>
      </c>
      <c r="AI211" t="s">
        <v>331</v>
      </c>
      <c r="AJ211" s="43" t="s">
        <v>268</v>
      </c>
      <c r="AK211">
        <v>9.1</v>
      </c>
    </row>
    <row r="212" spans="31:37" x14ac:dyDescent="0.25">
      <c r="AE212" s="43" t="s">
        <v>32</v>
      </c>
      <c r="AF212" s="43" t="s">
        <v>26</v>
      </c>
      <c r="AG212" s="43" t="s">
        <v>31</v>
      </c>
      <c r="AH212">
        <v>4</v>
      </c>
      <c r="AI212" t="s">
        <v>341</v>
      </c>
      <c r="AJ212" s="43" t="s">
        <v>308</v>
      </c>
      <c r="AK212">
        <v>9.4</v>
      </c>
    </row>
    <row r="213" spans="31:37" x14ac:dyDescent="0.25">
      <c r="AE213" s="43" t="s">
        <v>32</v>
      </c>
      <c r="AF213" s="43" t="s">
        <v>26</v>
      </c>
      <c r="AG213" s="43" t="s">
        <v>31</v>
      </c>
      <c r="AH213">
        <v>4</v>
      </c>
      <c r="AI213" t="s">
        <v>341</v>
      </c>
      <c r="AJ213" s="43" t="s">
        <v>309</v>
      </c>
      <c r="AK213">
        <v>21.7</v>
      </c>
    </row>
    <row r="214" spans="31:37" x14ac:dyDescent="0.25">
      <c r="AE214" s="43" t="s">
        <v>32</v>
      </c>
      <c r="AF214" s="43" t="s">
        <v>26</v>
      </c>
      <c r="AG214" s="43" t="s">
        <v>31</v>
      </c>
      <c r="AH214">
        <v>4</v>
      </c>
      <c r="AI214" t="s">
        <v>341</v>
      </c>
      <c r="AJ214" s="43" t="s">
        <v>268</v>
      </c>
      <c r="AK214">
        <v>30.9</v>
      </c>
    </row>
    <row r="215" spans="31:37" x14ac:dyDescent="0.25">
      <c r="AE215" s="43" t="s">
        <v>32</v>
      </c>
      <c r="AF215" s="43" t="s">
        <v>26</v>
      </c>
      <c r="AG215" s="43" t="s">
        <v>31</v>
      </c>
      <c r="AH215">
        <v>4</v>
      </c>
      <c r="AI215" t="s">
        <v>273</v>
      </c>
      <c r="AJ215" s="43" t="s">
        <v>308</v>
      </c>
      <c r="AK215">
        <v>3.1333333333333333</v>
      </c>
    </row>
    <row r="216" spans="31:37" x14ac:dyDescent="0.25">
      <c r="AE216" s="43" t="s">
        <v>32</v>
      </c>
      <c r="AF216" s="43" t="s">
        <v>26</v>
      </c>
      <c r="AG216" s="43" t="s">
        <v>31</v>
      </c>
      <c r="AH216">
        <v>4</v>
      </c>
      <c r="AI216" t="s">
        <v>273</v>
      </c>
      <c r="AJ216" s="43" t="s">
        <v>309</v>
      </c>
      <c r="AK216">
        <v>7.2333333333333334</v>
      </c>
    </row>
    <row r="217" spans="31:37" x14ac:dyDescent="0.25">
      <c r="AE217" s="43" t="s">
        <v>32</v>
      </c>
      <c r="AF217" s="43" t="s">
        <v>26</v>
      </c>
      <c r="AG217" s="43" t="s">
        <v>31</v>
      </c>
      <c r="AH217">
        <v>4</v>
      </c>
      <c r="AI217" t="s">
        <v>273</v>
      </c>
      <c r="AJ217" s="43" t="s">
        <v>268</v>
      </c>
      <c r="AK217">
        <v>10.299999999999999</v>
      </c>
    </row>
    <row r="218" spans="31:37" x14ac:dyDescent="0.25">
      <c r="AE218" s="43" t="s">
        <v>48</v>
      </c>
      <c r="AF218" s="43" t="s">
        <v>26</v>
      </c>
      <c r="AG218" s="43" t="s">
        <v>36</v>
      </c>
      <c r="AH218">
        <v>4</v>
      </c>
      <c r="AI218" t="s">
        <v>317</v>
      </c>
      <c r="AJ218" s="43" t="s">
        <v>308</v>
      </c>
      <c r="AK218">
        <v>1.9</v>
      </c>
    </row>
    <row r="219" spans="31:37" x14ac:dyDescent="0.25">
      <c r="AE219" s="43" t="s">
        <v>48</v>
      </c>
      <c r="AF219" s="43" t="s">
        <v>26</v>
      </c>
      <c r="AG219" s="43" t="s">
        <v>36</v>
      </c>
      <c r="AH219">
        <v>4</v>
      </c>
      <c r="AI219" t="s">
        <v>317</v>
      </c>
      <c r="AJ219" s="43" t="s">
        <v>309</v>
      </c>
      <c r="AK219">
        <v>8</v>
      </c>
    </row>
    <row r="220" spans="31:37" x14ac:dyDescent="0.25">
      <c r="AE220" s="43" t="s">
        <v>48</v>
      </c>
      <c r="AF220" s="43" t="s">
        <v>26</v>
      </c>
      <c r="AG220" s="43" t="s">
        <v>36</v>
      </c>
      <c r="AH220">
        <v>4</v>
      </c>
      <c r="AI220" t="s">
        <v>317</v>
      </c>
      <c r="AJ220" s="43" t="s">
        <v>268</v>
      </c>
      <c r="AK220">
        <v>9.9</v>
      </c>
    </row>
    <row r="221" spans="31:37" x14ac:dyDescent="0.25">
      <c r="AE221" s="43" t="s">
        <v>48</v>
      </c>
      <c r="AF221" s="43" t="s">
        <v>26</v>
      </c>
      <c r="AG221" s="43" t="s">
        <v>36</v>
      </c>
      <c r="AH221">
        <v>4</v>
      </c>
      <c r="AI221" t="s">
        <v>325</v>
      </c>
      <c r="AJ221" s="43" t="s">
        <v>308</v>
      </c>
      <c r="AK221">
        <v>1.9</v>
      </c>
    </row>
    <row r="222" spans="31:37" x14ac:dyDescent="0.25">
      <c r="AE222" s="43" t="s">
        <v>48</v>
      </c>
      <c r="AF222" s="43" t="s">
        <v>26</v>
      </c>
      <c r="AG222" s="43" t="s">
        <v>36</v>
      </c>
      <c r="AH222">
        <v>4</v>
      </c>
      <c r="AI222" t="s">
        <v>325</v>
      </c>
      <c r="AJ222" s="43" t="s">
        <v>309</v>
      </c>
      <c r="AK222">
        <v>8.1999999999999993</v>
      </c>
    </row>
    <row r="223" spans="31:37" x14ac:dyDescent="0.25">
      <c r="AE223" s="43" t="s">
        <v>48</v>
      </c>
      <c r="AF223" s="43" t="s">
        <v>26</v>
      </c>
      <c r="AG223" s="43" t="s">
        <v>36</v>
      </c>
      <c r="AH223">
        <v>4</v>
      </c>
      <c r="AI223" t="s">
        <v>325</v>
      </c>
      <c r="AJ223" s="43" t="s">
        <v>268</v>
      </c>
      <c r="AK223">
        <v>10.1</v>
      </c>
    </row>
    <row r="224" spans="31:37" x14ac:dyDescent="0.25">
      <c r="AE224" s="43" t="s">
        <v>48</v>
      </c>
      <c r="AF224" s="43" t="s">
        <v>26</v>
      </c>
      <c r="AG224" s="43" t="s">
        <v>36</v>
      </c>
      <c r="AH224">
        <v>4</v>
      </c>
      <c r="AI224" t="s">
        <v>330</v>
      </c>
      <c r="AJ224" s="43" t="s">
        <v>308</v>
      </c>
      <c r="AK224">
        <v>1.9</v>
      </c>
    </row>
    <row r="225" spans="31:37" x14ac:dyDescent="0.25">
      <c r="AE225" s="43" t="s">
        <v>48</v>
      </c>
      <c r="AF225" s="43" t="s">
        <v>26</v>
      </c>
      <c r="AG225" s="43" t="s">
        <v>36</v>
      </c>
      <c r="AH225">
        <v>4</v>
      </c>
      <c r="AI225" t="s">
        <v>330</v>
      </c>
      <c r="AJ225" s="43" t="s">
        <v>309</v>
      </c>
      <c r="AK225">
        <v>8.6</v>
      </c>
    </row>
    <row r="226" spans="31:37" x14ac:dyDescent="0.25">
      <c r="AE226" s="43" t="s">
        <v>48</v>
      </c>
      <c r="AF226" s="43" t="s">
        <v>26</v>
      </c>
      <c r="AG226" s="43" t="s">
        <v>36</v>
      </c>
      <c r="AH226">
        <v>4</v>
      </c>
      <c r="AI226" t="s">
        <v>330</v>
      </c>
      <c r="AJ226" s="43" t="s">
        <v>268</v>
      </c>
      <c r="AK226">
        <v>10.5</v>
      </c>
    </row>
    <row r="227" spans="31:37" x14ac:dyDescent="0.25">
      <c r="AE227" s="43" t="s">
        <v>48</v>
      </c>
      <c r="AF227" s="43" t="s">
        <v>26</v>
      </c>
      <c r="AG227" s="43" t="s">
        <v>36</v>
      </c>
      <c r="AH227">
        <v>4</v>
      </c>
      <c r="AI227" t="s">
        <v>331</v>
      </c>
      <c r="AJ227" s="43" t="s">
        <v>308</v>
      </c>
      <c r="AK227">
        <v>1.9</v>
      </c>
    </row>
    <row r="228" spans="31:37" x14ac:dyDescent="0.25">
      <c r="AE228" s="43" t="s">
        <v>48</v>
      </c>
      <c r="AF228" s="43" t="s">
        <v>26</v>
      </c>
      <c r="AG228" s="43" t="s">
        <v>36</v>
      </c>
      <c r="AH228">
        <v>4</v>
      </c>
      <c r="AI228" t="s">
        <v>331</v>
      </c>
      <c r="AJ228" s="43" t="s">
        <v>309</v>
      </c>
      <c r="AK228">
        <v>8.1999999999999993</v>
      </c>
    </row>
    <row r="229" spans="31:37" x14ac:dyDescent="0.25">
      <c r="AE229" s="43" t="s">
        <v>48</v>
      </c>
      <c r="AF229" s="43" t="s">
        <v>26</v>
      </c>
      <c r="AG229" s="43" t="s">
        <v>36</v>
      </c>
      <c r="AH229">
        <v>4</v>
      </c>
      <c r="AI229" t="s">
        <v>331</v>
      </c>
      <c r="AJ229" s="43" t="s">
        <v>268</v>
      </c>
      <c r="AK229">
        <v>10.1</v>
      </c>
    </row>
    <row r="230" spans="31:37" x14ac:dyDescent="0.25">
      <c r="AE230" s="43" t="s">
        <v>48</v>
      </c>
      <c r="AF230" s="43" t="s">
        <v>26</v>
      </c>
      <c r="AG230" s="43" t="s">
        <v>36</v>
      </c>
      <c r="AH230">
        <v>4</v>
      </c>
      <c r="AI230" t="s">
        <v>341</v>
      </c>
      <c r="AJ230" s="43" t="s">
        <v>308</v>
      </c>
      <c r="AK230">
        <v>5.6999999999999993</v>
      </c>
    </row>
    <row r="231" spans="31:37" x14ac:dyDescent="0.25">
      <c r="AE231" s="43" t="s">
        <v>48</v>
      </c>
      <c r="AF231" s="43" t="s">
        <v>26</v>
      </c>
      <c r="AG231" s="43" t="s">
        <v>36</v>
      </c>
      <c r="AH231">
        <v>4</v>
      </c>
      <c r="AI231" t="s">
        <v>341</v>
      </c>
      <c r="AJ231" s="43" t="s">
        <v>309</v>
      </c>
      <c r="AK231">
        <v>24.999999999999996</v>
      </c>
    </row>
    <row r="232" spans="31:37" x14ac:dyDescent="0.25">
      <c r="AE232" s="43" t="s">
        <v>48</v>
      </c>
      <c r="AF232" s="43" t="s">
        <v>26</v>
      </c>
      <c r="AG232" s="43" t="s">
        <v>36</v>
      </c>
      <c r="AH232">
        <v>4</v>
      </c>
      <c r="AI232" t="s">
        <v>341</v>
      </c>
      <c r="AJ232" s="43" t="s">
        <v>268</v>
      </c>
      <c r="AK232">
        <v>30.700000000000003</v>
      </c>
    </row>
    <row r="233" spans="31:37" x14ac:dyDescent="0.25">
      <c r="AE233" s="43" t="s">
        <v>48</v>
      </c>
      <c r="AF233" s="43" t="s">
        <v>26</v>
      </c>
      <c r="AG233" s="43" t="s">
        <v>36</v>
      </c>
      <c r="AH233">
        <v>4</v>
      </c>
      <c r="AI233" t="s">
        <v>273</v>
      </c>
      <c r="AJ233" s="43" t="s">
        <v>308</v>
      </c>
      <c r="AK233">
        <v>1.8999999999999997</v>
      </c>
    </row>
    <row r="234" spans="31:37" x14ac:dyDescent="0.25">
      <c r="AE234" s="43" t="s">
        <v>48</v>
      </c>
      <c r="AF234" s="43" t="s">
        <v>26</v>
      </c>
      <c r="AG234" s="43" t="s">
        <v>36</v>
      </c>
      <c r="AH234">
        <v>4</v>
      </c>
      <c r="AI234" t="s">
        <v>273</v>
      </c>
      <c r="AJ234" s="43" t="s">
        <v>309</v>
      </c>
      <c r="AK234">
        <v>8.3333333333333321</v>
      </c>
    </row>
    <row r="235" spans="31:37" x14ac:dyDescent="0.25">
      <c r="AE235" s="43" t="s">
        <v>48</v>
      </c>
      <c r="AF235" s="43" t="s">
        <v>26</v>
      </c>
      <c r="AG235" s="43" t="s">
        <v>36</v>
      </c>
      <c r="AH235">
        <v>4</v>
      </c>
      <c r="AI235" t="s">
        <v>273</v>
      </c>
      <c r="AJ235" s="43" t="s">
        <v>268</v>
      </c>
      <c r="AK235">
        <v>10.233333333333334</v>
      </c>
    </row>
    <row r="236" spans="31:37" x14ac:dyDescent="0.25">
      <c r="AE236" s="43" t="s">
        <v>80</v>
      </c>
      <c r="AF236" s="43" t="s">
        <v>60</v>
      </c>
      <c r="AG236" s="43" t="s">
        <v>62</v>
      </c>
      <c r="AH236">
        <v>4</v>
      </c>
      <c r="AI236" t="s">
        <v>317</v>
      </c>
      <c r="AJ236" s="43" t="s">
        <v>308</v>
      </c>
      <c r="AK236">
        <v>3</v>
      </c>
    </row>
    <row r="237" spans="31:37" x14ac:dyDescent="0.25">
      <c r="AE237" s="43" t="s">
        <v>80</v>
      </c>
      <c r="AF237" s="43" t="s">
        <v>60</v>
      </c>
      <c r="AG237" s="43" t="s">
        <v>62</v>
      </c>
      <c r="AH237">
        <v>4</v>
      </c>
      <c r="AI237" t="s">
        <v>317</v>
      </c>
      <c r="AJ237" s="43" t="s">
        <v>309</v>
      </c>
      <c r="AK237">
        <v>7.6</v>
      </c>
    </row>
    <row r="238" spans="31:37" x14ac:dyDescent="0.25">
      <c r="AE238" s="43" t="s">
        <v>80</v>
      </c>
      <c r="AF238" s="43" t="s">
        <v>60</v>
      </c>
      <c r="AG238" s="43" t="s">
        <v>62</v>
      </c>
      <c r="AH238">
        <v>4</v>
      </c>
      <c r="AI238" t="s">
        <v>317</v>
      </c>
      <c r="AJ238" s="43" t="s">
        <v>268</v>
      </c>
      <c r="AK238">
        <v>10.6</v>
      </c>
    </row>
    <row r="239" spans="31:37" x14ac:dyDescent="0.25">
      <c r="AE239" s="43" t="s">
        <v>80</v>
      </c>
      <c r="AF239" s="43" t="s">
        <v>60</v>
      </c>
      <c r="AG239" s="43" t="s">
        <v>62</v>
      </c>
      <c r="AH239">
        <v>4</v>
      </c>
      <c r="AI239" t="s">
        <v>325</v>
      </c>
      <c r="AJ239" s="43" t="s">
        <v>308</v>
      </c>
      <c r="AK239">
        <v>2.5</v>
      </c>
    </row>
    <row r="240" spans="31:37" x14ac:dyDescent="0.25">
      <c r="AE240" s="43" t="s">
        <v>80</v>
      </c>
      <c r="AF240" s="43" t="s">
        <v>60</v>
      </c>
      <c r="AG240" s="43" t="s">
        <v>62</v>
      </c>
      <c r="AH240">
        <v>4</v>
      </c>
      <c r="AI240" t="s">
        <v>325</v>
      </c>
      <c r="AJ240" s="43" t="s">
        <v>309</v>
      </c>
      <c r="AK240">
        <v>7.9</v>
      </c>
    </row>
    <row r="241" spans="31:37" x14ac:dyDescent="0.25">
      <c r="AE241" s="43" t="s">
        <v>80</v>
      </c>
      <c r="AF241" s="43" t="s">
        <v>60</v>
      </c>
      <c r="AG241" s="43" t="s">
        <v>62</v>
      </c>
      <c r="AH241">
        <v>4</v>
      </c>
      <c r="AI241" t="s">
        <v>325</v>
      </c>
      <c r="AJ241" s="43" t="s">
        <v>268</v>
      </c>
      <c r="AK241">
        <v>10.4</v>
      </c>
    </row>
    <row r="242" spans="31:37" x14ac:dyDescent="0.25">
      <c r="AE242" s="43" t="s">
        <v>80</v>
      </c>
      <c r="AF242" s="43" t="s">
        <v>60</v>
      </c>
      <c r="AG242" s="43" t="s">
        <v>62</v>
      </c>
      <c r="AH242">
        <v>4</v>
      </c>
      <c r="AI242" t="s">
        <v>330</v>
      </c>
      <c r="AJ242" s="43" t="s">
        <v>308</v>
      </c>
      <c r="AK242">
        <v>2.5</v>
      </c>
    </row>
    <row r="243" spans="31:37" x14ac:dyDescent="0.25">
      <c r="AE243" s="43" t="s">
        <v>80</v>
      </c>
      <c r="AF243" s="43" t="s">
        <v>60</v>
      </c>
      <c r="AG243" s="43" t="s">
        <v>62</v>
      </c>
      <c r="AH243">
        <v>4</v>
      </c>
      <c r="AI243" t="s">
        <v>330</v>
      </c>
      <c r="AJ243" s="43" t="s">
        <v>309</v>
      </c>
      <c r="AK243">
        <v>7.2</v>
      </c>
    </row>
    <row r="244" spans="31:37" x14ac:dyDescent="0.25">
      <c r="AE244" s="43" t="s">
        <v>80</v>
      </c>
      <c r="AF244" s="43" t="s">
        <v>60</v>
      </c>
      <c r="AG244" s="43" t="s">
        <v>62</v>
      </c>
      <c r="AH244">
        <v>4</v>
      </c>
      <c r="AI244" t="s">
        <v>330</v>
      </c>
      <c r="AJ244" s="43" t="s">
        <v>268</v>
      </c>
      <c r="AK244">
        <v>9.6999999999999993</v>
      </c>
    </row>
    <row r="245" spans="31:37" x14ac:dyDescent="0.25">
      <c r="AE245" s="43" t="s">
        <v>80</v>
      </c>
      <c r="AF245" s="43" t="s">
        <v>60</v>
      </c>
      <c r="AG245" s="43" t="s">
        <v>62</v>
      </c>
      <c r="AH245">
        <v>4</v>
      </c>
      <c r="AI245" t="s">
        <v>331</v>
      </c>
      <c r="AJ245" s="43" t="s">
        <v>308</v>
      </c>
      <c r="AK245">
        <v>2.2000000000000002</v>
      </c>
    </row>
    <row r="246" spans="31:37" x14ac:dyDescent="0.25">
      <c r="AE246" s="43" t="s">
        <v>80</v>
      </c>
      <c r="AF246" s="43" t="s">
        <v>60</v>
      </c>
      <c r="AG246" s="43" t="s">
        <v>62</v>
      </c>
      <c r="AH246">
        <v>4</v>
      </c>
      <c r="AI246" t="s">
        <v>331</v>
      </c>
      <c r="AJ246" s="43" t="s">
        <v>309</v>
      </c>
      <c r="AK246">
        <v>1</v>
      </c>
    </row>
    <row r="247" spans="31:37" x14ac:dyDescent="0.25">
      <c r="AE247" s="43" t="s">
        <v>80</v>
      </c>
      <c r="AF247" s="43" t="s">
        <v>60</v>
      </c>
      <c r="AG247" s="43" t="s">
        <v>62</v>
      </c>
      <c r="AH247">
        <v>4</v>
      </c>
      <c r="AI247" t="s">
        <v>331</v>
      </c>
      <c r="AJ247" s="43" t="s">
        <v>268</v>
      </c>
      <c r="AK247">
        <v>3.2</v>
      </c>
    </row>
    <row r="248" spans="31:37" x14ac:dyDescent="0.25">
      <c r="AE248" s="43" t="s">
        <v>80</v>
      </c>
      <c r="AF248" s="43" t="s">
        <v>60</v>
      </c>
      <c r="AG248" s="43" t="s">
        <v>62</v>
      </c>
      <c r="AH248">
        <v>4</v>
      </c>
      <c r="AI248" t="s">
        <v>341</v>
      </c>
      <c r="AJ248" s="43" t="s">
        <v>308</v>
      </c>
      <c r="AK248">
        <v>8</v>
      </c>
    </row>
    <row r="249" spans="31:37" x14ac:dyDescent="0.25">
      <c r="AE249" s="43" t="s">
        <v>80</v>
      </c>
      <c r="AF249" s="43" t="s">
        <v>60</v>
      </c>
      <c r="AG249" s="43" t="s">
        <v>62</v>
      </c>
      <c r="AH249">
        <v>4</v>
      </c>
      <c r="AI249" t="s">
        <v>341</v>
      </c>
      <c r="AJ249" s="43" t="s">
        <v>309</v>
      </c>
      <c r="AK249">
        <v>22.7</v>
      </c>
    </row>
    <row r="250" spans="31:37" x14ac:dyDescent="0.25">
      <c r="AE250" s="43" t="s">
        <v>80</v>
      </c>
      <c r="AF250" s="43" t="s">
        <v>60</v>
      </c>
      <c r="AG250" s="43" t="s">
        <v>62</v>
      </c>
      <c r="AH250">
        <v>4</v>
      </c>
      <c r="AI250" t="s">
        <v>341</v>
      </c>
      <c r="AJ250" s="43" t="s">
        <v>268</v>
      </c>
      <c r="AK250">
        <v>30.7</v>
      </c>
    </row>
    <row r="251" spans="31:37" x14ac:dyDescent="0.25">
      <c r="AE251" s="43" t="s">
        <v>80</v>
      </c>
      <c r="AF251" s="43" t="s">
        <v>60</v>
      </c>
      <c r="AG251" s="43" t="s">
        <v>62</v>
      </c>
      <c r="AH251">
        <v>4</v>
      </c>
      <c r="AI251" t="s">
        <v>273</v>
      </c>
      <c r="AJ251" s="43" t="s">
        <v>308</v>
      </c>
      <c r="AK251">
        <v>2.6666666666666665</v>
      </c>
    </row>
    <row r="252" spans="31:37" x14ac:dyDescent="0.25">
      <c r="AE252" s="43" t="s">
        <v>80</v>
      </c>
      <c r="AF252" s="43" t="s">
        <v>60</v>
      </c>
      <c r="AG252" s="43" t="s">
        <v>62</v>
      </c>
      <c r="AH252">
        <v>4</v>
      </c>
      <c r="AI252" t="s">
        <v>273</v>
      </c>
      <c r="AJ252" s="43" t="s">
        <v>309</v>
      </c>
      <c r="AK252">
        <v>7.5666666666666664</v>
      </c>
    </row>
    <row r="253" spans="31:37" x14ac:dyDescent="0.25">
      <c r="AE253" s="43" t="s">
        <v>80</v>
      </c>
      <c r="AF253" s="43" t="s">
        <v>60</v>
      </c>
      <c r="AG253" s="43" t="s">
        <v>62</v>
      </c>
      <c r="AH253">
        <v>4</v>
      </c>
      <c r="AI253" t="s">
        <v>273</v>
      </c>
      <c r="AJ253" s="43" t="s">
        <v>268</v>
      </c>
      <c r="AK253">
        <v>10.233333333333333</v>
      </c>
    </row>
    <row r="254" spans="31:37" x14ac:dyDescent="0.25">
      <c r="AE254" s="43" t="s">
        <v>29</v>
      </c>
      <c r="AF254" s="43" t="s">
        <v>26</v>
      </c>
      <c r="AG254" s="43" t="s">
        <v>31</v>
      </c>
      <c r="AH254">
        <v>3</v>
      </c>
      <c r="AI254" t="s">
        <v>317</v>
      </c>
      <c r="AJ254" s="43" t="s">
        <v>308</v>
      </c>
      <c r="AK254">
        <v>2.4</v>
      </c>
    </row>
    <row r="255" spans="31:37" x14ac:dyDescent="0.25">
      <c r="AE255" s="43" t="s">
        <v>29</v>
      </c>
      <c r="AF255" s="43" t="s">
        <v>26</v>
      </c>
      <c r="AG255" s="43" t="s">
        <v>31</v>
      </c>
      <c r="AH255">
        <v>3</v>
      </c>
      <c r="AI255" t="s">
        <v>317</v>
      </c>
      <c r="AJ255" s="43" t="s">
        <v>309</v>
      </c>
      <c r="AK255">
        <v>7.9</v>
      </c>
    </row>
    <row r="256" spans="31:37" x14ac:dyDescent="0.25">
      <c r="AE256" s="43" t="s">
        <v>29</v>
      </c>
      <c r="AF256" s="43" t="s">
        <v>26</v>
      </c>
      <c r="AG256" s="43" t="s">
        <v>31</v>
      </c>
      <c r="AH256">
        <v>3</v>
      </c>
      <c r="AI256" t="s">
        <v>317</v>
      </c>
      <c r="AJ256" s="43" t="s">
        <v>268</v>
      </c>
      <c r="AK256">
        <v>10.3</v>
      </c>
    </row>
    <row r="257" spans="31:37" x14ac:dyDescent="0.25">
      <c r="AE257" s="43" t="s">
        <v>29</v>
      </c>
      <c r="AF257" s="43" t="s">
        <v>26</v>
      </c>
      <c r="AG257" s="43" t="s">
        <v>31</v>
      </c>
      <c r="AH257">
        <v>3</v>
      </c>
      <c r="AI257" t="s">
        <v>325</v>
      </c>
      <c r="AJ257" s="43" t="s">
        <v>308</v>
      </c>
      <c r="AK257">
        <v>3</v>
      </c>
    </row>
    <row r="258" spans="31:37" x14ac:dyDescent="0.25">
      <c r="AE258" s="43" t="s">
        <v>29</v>
      </c>
      <c r="AF258" s="43" t="s">
        <v>26</v>
      </c>
      <c r="AG258" s="43" t="s">
        <v>31</v>
      </c>
      <c r="AH258">
        <v>3</v>
      </c>
      <c r="AI258" t="s">
        <v>325</v>
      </c>
      <c r="AJ258" s="43" t="s">
        <v>309</v>
      </c>
      <c r="AK258">
        <v>7.9</v>
      </c>
    </row>
    <row r="259" spans="31:37" x14ac:dyDescent="0.25">
      <c r="AE259" s="43" t="s">
        <v>29</v>
      </c>
      <c r="AF259" s="43" t="s">
        <v>26</v>
      </c>
      <c r="AG259" s="43" t="s">
        <v>31</v>
      </c>
      <c r="AH259">
        <v>3</v>
      </c>
      <c r="AI259" t="s">
        <v>325</v>
      </c>
      <c r="AJ259" s="43" t="s">
        <v>268</v>
      </c>
      <c r="AK259">
        <v>10.9</v>
      </c>
    </row>
    <row r="260" spans="31:37" x14ac:dyDescent="0.25">
      <c r="AE260" s="43" t="s">
        <v>29</v>
      </c>
      <c r="AF260" s="43" t="s">
        <v>26</v>
      </c>
      <c r="AG260" s="43" t="s">
        <v>31</v>
      </c>
      <c r="AH260">
        <v>3</v>
      </c>
      <c r="AI260" t="s">
        <v>330</v>
      </c>
      <c r="AJ260" s="43" t="s">
        <v>308</v>
      </c>
      <c r="AK260">
        <v>0</v>
      </c>
    </row>
    <row r="261" spans="31:37" x14ac:dyDescent="0.25">
      <c r="AE261" s="43" t="s">
        <v>29</v>
      </c>
      <c r="AF261" s="43" t="s">
        <v>26</v>
      </c>
      <c r="AG261" s="43" t="s">
        <v>31</v>
      </c>
      <c r="AH261">
        <v>3</v>
      </c>
      <c r="AI261" t="s">
        <v>330</v>
      </c>
      <c r="AJ261" s="43" t="s">
        <v>309</v>
      </c>
      <c r="AK261">
        <v>0</v>
      </c>
    </row>
    <row r="262" spans="31:37" x14ac:dyDescent="0.25">
      <c r="AE262" s="43" t="s">
        <v>29</v>
      </c>
      <c r="AF262" s="43" t="s">
        <v>26</v>
      </c>
      <c r="AG262" s="43" t="s">
        <v>31</v>
      </c>
      <c r="AH262">
        <v>3</v>
      </c>
      <c r="AI262" t="s">
        <v>330</v>
      </c>
      <c r="AJ262" s="43" t="s">
        <v>268</v>
      </c>
      <c r="AK262">
        <v>0</v>
      </c>
    </row>
    <row r="263" spans="31:37" x14ac:dyDescent="0.25">
      <c r="AE263" s="43" t="s">
        <v>29</v>
      </c>
      <c r="AF263" s="43" t="s">
        <v>26</v>
      </c>
      <c r="AG263" s="43" t="s">
        <v>31</v>
      </c>
      <c r="AH263">
        <v>3</v>
      </c>
      <c r="AI263" t="s">
        <v>331</v>
      </c>
      <c r="AJ263" s="43" t="s">
        <v>308</v>
      </c>
      <c r="AK263">
        <v>2.7</v>
      </c>
    </row>
    <row r="264" spans="31:37" x14ac:dyDescent="0.25">
      <c r="AE264" s="43" t="s">
        <v>29</v>
      </c>
      <c r="AF264" s="43" t="s">
        <v>26</v>
      </c>
      <c r="AG264" s="43" t="s">
        <v>31</v>
      </c>
      <c r="AH264">
        <v>3</v>
      </c>
      <c r="AI264" t="s">
        <v>331</v>
      </c>
      <c r="AJ264" s="43" t="s">
        <v>309</v>
      </c>
      <c r="AK264">
        <v>6.7</v>
      </c>
    </row>
    <row r="265" spans="31:37" x14ac:dyDescent="0.25">
      <c r="AE265" s="43" t="s">
        <v>29</v>
      </c>
      <c r="AF265" s="43" t="s">
        <v>26</v>
      </c>
      <c r="AG265" s="43" t="s">
        <v>31</v>
      </c>
      <c r="AH265">
        <v>3</v>
      </c>
      <c r="AI265" t="s">
        <v>331</v>
      </c>
      <c r="AJ265" s="43" t="s">
        <v>268</v>
      </c>
      <c r="AK265">
        <v>9.4</v>
      </c>
    </row>
    <row r="266" spans="31:37" x14ac:dyDescent="0.25">
      <c r="AE266" s="43" t="s">
        <v>29</v>
      </c>
      <c r="AF266" s="43" t="s">
        <v>26</v>
      </c>
      <c r="AG266" s="43" t="s">
        <v>31</v>
      </c>
      <c r="AH266">
        <v>3</v>
      </c>
      <c r="AI266" t="s">
        <v>341</v>
      </c>
      <c r="AJ266" s="43" t="s">
        <v>308</v>
      </c>
      <c r="AK266">
        <v>8.1</v>
      </c>
    </row>
    <row r="267" spans="31:37" x14ac:dyDescent="0.25">
      <c r="AE267" s="43" t="s">
        <v>29</v>
      </c>
      <c r="AF267" s="43" t="s">
        <v>26</v>
      </c>
      <c r="AG267" s="43" t="s">
        <v>31</v>
      </c>
      <c r="AH267">
        <v>3</v>
      </c>
      <c r="AI267" t="s">
        <v>341</v>
      </c>
      <c r="AJ267" s="43" t="s">
        <v>309</v>
      </c>
      <c r="AK267">
        <v>22.5</v>
      </c>
    </row>
    <row r="268" spans="31:37" x14ac:dyDescent="0.25">
      <c r="AE268" s="43" t="s">
        <v>29</v>
      </c>
      <c r="AF268" s="43" t="s">
        <v>26</v>
      </c>
      <c r="AG268" s="43" t="s">
        <v>31</v>
      </c>
      <c r="AH268">
        <v>3</v>
      </c>
      <c r="AI268" t="s">
        <v>341</v>
      </c>
      <c r="AJ268" s="43" t="s">
        <v>268</v>
      </c>
      <c r="AK268">
        <v>30.6</v>
      </c>
    </row>
    <row r="269" spans="31:37" x14ac:dyDescent="0.25">
      <c r="AE269" s="43" t="s">
        <v>29</v>
      </c>
      <c r="AF269" s="43" t="s">
        <v>26</v>
      </c>
      <c r="AG269" s="43" t="s">
        <v>31</v>
      </c>
      <c r="AH269">
        <v>3</v>
      </c>
      <c r="AI269" t="s">
        <v>273</v>
      </c>
      <c r="AJ269" s="43" t="s">
        <v>308</v>
      </c>
      <c r="AK269">
        <v>2.6999999999999997</v>
      </c>
    </row>
    <row r="270" spans="31:37" x14ac:dyDescent="0.25">
      <c r="AE270" s="43" t="s">
        <v>29</v>
      </c>
      <c r="AF270" s="43" t="s">
        <v>26</v>
      </c>
      <c r="AG270" s="43" t="s">
        <v>31</v>
      </c>
      <c r="AH270">
        <v>3</v>
      </c>
      <c r="AI270" t="s">
        <v>273</v>
      </c>
      <c r="AJ270" s="43" t="s">
        <v>309</v>
      </c>
      <c r="AK270">
        <v>7.5</v>
      </c>
    </row>
    <row r="271" spans="31:37" x14ac:dyDescent="0.25">
      <c r="AE271" s="43" t="s">
        <v>29</v>
      </c>
      <c r="AF271" s="43" t="s">
        <v>26</v>
      </c>
      <c r="AG271" s="43" t="s">
        <v>31</v>
      </c>
      <c r="AH271">
        <v>3</v>
      </c>
      <c r="AI271" t="s">
        <v>273</v>
      </c>
      <c r="AJ271" s="43" t="s">
        <v>268</v>
      </c>
      <c r="AK271">
        <v>10.200000000000001</v>
      </c>
    </row>
    <row r="272" spans="31:37" x14ac:dyDescent="0.25">
      <c r="AE272" s="43" t="s">
        <v>40</v>
      </c>
      <c r="AF272" s="43" t="s">
        <v>26</v>
      </c>
      <c r="AG272" s="43" t="s">
        <v>39</v>
      </c>
      <c r="AH272">
        <v>3</v>
      </c>
      <c r="AI272" t="s">
        <v>317</v>
      </c>
      <c r="AJ272" s="43" t="s">
        <v>308</v>
      </c>
      <c r="AK272">
        <v>0</v>
      </c>
    </row>
    <row r="273" spans="31:37" x14ac:dyDescent="0.25">
      <c r="AE273" s="43" t="s">
        <v>40</v>
      </c>
      <c r="AF273" s="43" t="s">
        <v>26</v>
      </c>
      <c r="AG273" s="43" t="s">
        <v>39</v>
      </c>
      <c r="AH273">
        <v>3</v>
      </c>
      <c r="AI273" t="s">
        <v>317</v>
      </c>
      <c r="AJ273" s="43" t="s">
        <v>309</v>
      </c>
      <c r="AK273">
        <v>0</v>
      </c>
    </row>
    <row r="274" spans="31:37" x14ac:dyDescent="0.25">
      <c r="AE274" s="43" t="s">
        <v>40</v>
      </c>
      <c r="AF274" s="43" t="s">
        <v>26</v>
      </c>
      <c r="AG274" s="43" t="s">
        <v>39</v>
      </c>
      <c r="AH274">
        <v>3</v>
      </c>
      <c r="AI274" t="s">
        <v>317</v>
      </c>
      <c r="AJ274" s="43" t="s">
        <v>268</v>
      </c>
      <c r="AK274">
        <v>0</v>
      </c>
    </row>
    <row r="275" spans="31:37" x14ac:dyDescent="0.25">
      <c r="AE275" s="43" t="s">
        <v>40</v>
      </c>
      <c r="AF275" s="43" t="s">
        <v>26</v>
      </c>
      <c r="AG275" s="43" t="s">
        <v>39</v>
      </c>
      <c r="AH275">
        <v>3</v>
      </c>
      <c r="AI275" t="s">
        <v>325</v>
      </c>
      <c r="AJ275" s="43" t="s">
        <v>308</v>
      </c>
      <c r="AK275">
        <v>2.7</v>
      </c>
    </row>
    <row r="276" spans="31:37" x14ac:dyDescent="0.25">
      <c r="AE276" s="43" t="s">
        <v>40</v>
      </c>
      <c r="AF276" s="43" t="s">
        <v>26</v>
      </c>
      <c r="AG276" s="43" t="s">
        <v>39</v>
      </c>
      <c r="AH276">
        <v>3</v>
      </c>
      <c r="AI276" t="s">
        <v>325</v>
      </c>
      <c r="AJ276" s="43" t="s">
        <v>309</v>
      </c>
      <c r="AK276">
        <v>8</v>
      </c>
    </row>
    <row r="277" spans="31:37" x14ac:dyDescent="0.25">
      <c r="AE277" s="43" t="s">
        <v>40</v>
      </c>
      <c r="AF277" s="43" t="s">
        <v>26</v>
      </c>
      <c r="AG277" s="43" t="s">
        <v>39</v>
      </c>
      <c r="AH277">
        <v>3</v>
      </c>
      <c r="AI277" t="s">
        <v>325</v>
      </c>
      <c r="AJ277" s="43" t="s">
        <v>268</v>
      </c>
      <c r="AK277">
        <v>10.7</v>
      </c>
    </row>
    <row r="278" spans="31:37" x14ac:dyDescent="0.25">
      <c r="AE278" s="43" t="s">
        <v>40</v>
      </c>
      <c r="AF278" s="43" t="s">
        <v>26</v>
      </c>
      <c r="AG278" s="43" t="s">
        <v>39</v>
      </c>
      <c r="AH278">
        <v>3</v>
      </c>
      <c r="AI278" t="s">
        <v>330</v>
      </c>
      <c r="AJ278" s="43" t="s">
        <v>308</v>
      </c>
      <c r="AK278">
        <v>2.6</v>
      </c>
    </row>
    <row r="279" spans="31:37" x14ac:dyDescent="0.25">
      <c r="AE279" s="43" t="s">
        <v>40</v>
      </c>
      <c r="AF279" s="43" t="s">
        <v>26</v>
      </c>
      <c r="AG279" s="43" t="s">
        <v>39</v>
      </c>
      <c r="AH279">
        <v>3</v>
      </c>
      <c r="AI279" t="s">
        <v>330</v>
      </c>
      <c r="AJ279" s="43" t="s">
        <v>309</v>
      </c>
      <c r="AK279">
        <v>7.65</v>
      </c>
    </row>
    <row r="280" spans="31:37" x14ac:dyDescent="0.25">
      <c r="AE280" s="43" t="s">
        <v>40</v>
      </c>
      <c r="AF280" s="43" t="s">
        <v>26</v>
      </c>
      <c r="AG280" s="43" t="s">
        <v>39</v>
      </c>
      <c r="AH280">
        <v>3</v>
      </c>
      <c r="AI280" t="s">
        <v>330</v>
      </c>
      <c r="AJ280" s="43" t="s">
        <v>268</v>
      </c>
      <c r="AK280">
        <v>10.25</v>
      </c>
    </row>
    <row r="281" spans="31:37" x14ac:dyDescent="0.25">
      <c r="AE281" s="43" t="s">
        <v>40</v>
      </c>
      <c r="AF281" s="43" t="s">
        <v>26</v>
      </c>
      <c r="AG281" s="43" t="s">
        <v>39</v>
      </c>
      <c r="AH281">
        <v>3</v>
      </c>
      <c r="AI281" t="s">
        <v>331</v>
      </c>
      <c r="AJ281" s="43" t="s">
        <v>308</v>
      </c>
      <c r="AK281">
        <v>2.4</v>
      </c>
    </row>
    <row r="282" spans="31:37" x14ac:dyDescent="0.25">
      <c r="AE282" s="43" t="s">
        <v>40</v>
      </c>
      <c r="AF282" s="43" t="s">
        <v>26</v>
      </c>
      <c r="AG282" s="43" t="s">
        <v>39</v>
      </c>
      <c r="AH282">
        <v>3</v>
      </c>
      <c r="AI282" t="s">
        <v>331</v>
      </c>
      <c r="AJ282" s="43" t="s">
        <v>309</v>
      </c>
      <c r="AK282">
        <v>7.2</v>
      </c>
    </row>
    <row r="283" spans="31:37" x14ac:dyDescent="0.25">
      <c r="AE283" s="43" t="s">
        <v>40</v>
      </c>
      <c r="AF283" s="43" t="s">
        <v>26</v>
      </c>
      <c r="AG283" s="43" t="s">
        <v>39</v>
      </c>
      <c r="AH283">
        <v>3</v>
      </c>
      <c r="AI283" t="s">
        <v>331</v>
      </c>
      <c r="AJ283" s="43" t="s">
        <v>268</v>
      </c>
      <c r="AK283">
        <v>9.6</v>
      </c>
    </row>
    <row r="284" spans="31:37" x14ac:dyDescent="0.25">
      <c r="AE284" s="43" t="s">
        <v>40</v>
      </c>
      <c r="AF284" s="43" t="s">
        <v>26</v>
      </c>
      <c r="AG284" s="43" t="s">
        <v>39</v>
      </c>
      <c r="AH284">
        <v>3</v>
      </c>
      <c r="AI284" t="s">
        <v>341</v>
      </c>
      <c r="AJ284" s="43" t="s">
        <v>308</v>
      </c>
      <c r="AK284">
        <v>7.7000000000000011</v>
      </c>
    </row>
    <row r="285" spans="31:37" x14ac:dyDescent="0.25">
      <c r="AE285" s="43" t="s">
        <v>40</v>
      </c>
      <c r="AF285" s="43" t="s">
        <v>26</v>
      </c>
      <c r="AG285" s="43" t="s">
        <v>39</v>
      </c>
      <c r="AH285">
        <v>3</v>
      </c>
      <c r="AI285" t="s">
        <v>341</v>
      </c>
      <c r="AJ285" s="43" t="s">
        <v>309</v>
      </c>
      <c r="AK285">
        <v>22.85</v>
      </c>
    </row>
    <row r="286" spans="31:37" x14ac:dyDescent="0.25">
      <c r="AE286" s="43" t="s">
        <v>40</v>
      </c>
      <c r="AF286" s="43" t="s">
        <v>26</v>
      </c>
      <c r="AG286" s="43" t="s">
        <v>39</v>
      </c>
      <c r="AH286">
        <v>3</v>
      </c>
      <c r="AI286" t="s">
        <v>341</v>
      </c>
      <c r="AJ286" s="43" t="s">
        <v>268</v>
      </c>
      <c r="AK286">
        <v>30.549999999999997</v>
      </c>
    </row>
    <row r="287" spans="31:37" x14ac:dyDescent="0.25">
      <c r="AE287" s="43" t="s">
        <v>40</v>
      </c>
      <c r="AF287" s="43" t="s">
        <v>26</v>
      </c>
      <c r="AG287" s="43" t="s">
        <v>39</v>
      </c>
      <c r="AH287">
        <v>3</v>
      </c>
      <c r="AI287" t="s">
        <v>273</v>
      </c>
      <c r="AJ287" s="43" t="s">
        <v>308</v>
      </c>
      <c r="AK287">
        <v>2.5666666666666669</v>
      </c>
    </row>
    <row r="288" spans="31:37" x14ac:dyDescent="0.25">
      <c r="AE288" s="43" t="s">
        <v>40</v>
      </c>
      <c r="AF288" s="43" t="s">
        <v>26</v>
      </c>
      <c r="AG288" s="43" t="s">
        <v>39</v>
      </c>
      <c r="AH288">
        <v>3</v>
      </c>
      <c r="AI288" t="s">
        <v>273</v>
      </c>
      <c r="AJ288" s="43" t="s">
        <v>309</v>
      </c>
      <c r="AK288">
        <v>7.6166666666666671</v>
      </c>
    </row>
    <row r="289" spans="31:37" x14ac:dyDescent="0.25">
      <c r="AE289" s="43" t="s">
        <v>40</v>
      </c>
      <c r="AF289" s="43" t="s">
        <v>26</v>
      </c>
      <c r="AG289" s="43" t="s">
        <v>39</v>
      </c>
      <c r="AH289">
        <v>3</v>
      </c>
      <c r="AI289" t="s">
        <v>273</v>
      </c>
      <c r="AJ289" s="43" t="s">
        <v>268</v>
      </c>
      <c r="AK289">
        <v>10.183333333333332</v>
      </c>
    </row>
    <row r="290" spans="31:37" x14ac:dyDescent="0.25">
      <c r="AE290" s="43" t="s">
        <v>42</v>
      </c>
      <c r="AF290" s="43" t="s">
        <v>26</v>
      </c>
      <c r="AG290" s="43" t="s">
        <v>36</v>
      </c>
      <c r="AH290">
        <v>3</v>
      </c>
      <c r="AI290" t="s">
        <v>317</v>
      </c>
      <c r="AJ290" s="43" t="s">
        <v>308</v>
      </c>
      <c r="AK290">
        <v>0</v>
      </c>
    </row>
    <row r="291" spans="31:37" x14ac:dyDescent="0.25">
      <c r="AE291" s="43" t="s">
        <v>42</v>
      </c>
      <c r="AF291" s="43" t="s">
        <v>26</v>
      </c>
      <c r="AG291" s="43" t="s">
        <v>36</v>
      </c>
      <c r="AH291">
        <v>3</v>
      </c>
      <c r="AI291" t="s">
        <v>317</v>
      </c>
      <c r="AJ291" s="43" t="s">
        <v>309</v>
      </c>
      <c r="AK291">
        <v>0</v>
      </c>
    </row>
    <row r="292" spans="31:37" x14ac:dyDescent="0.25">
      <c r="AE292" s="43" t="s">
        <v>42</v>
      </c>
      <c r="AF292" s="43" t="s">
        <v>26</v>
      </c>
      <c r="AG292" s="43" t="s">
        <v>36</v>
      </c>
      <c r="AH292">
        <v>3</v>
      </c>
      <c r="AI292" t="s">
        <v>317</v>
      </c>
      <c r="AJ292" s="43" t="s">
        <v>268</v>
      </c>
      <c r="AK292">
        <v>0</v>
      </c>
    </row>
    <row r="293" spans="31:37" x14ac:dyDescent="0.25">
      <c r="AE293" s="43" t="s">
        <v>42</v>
      </c>
      <c r="AF293" s="43" t="s">
        <v>26</v>
      </c>
      <c r="AG293" s="43" t="s">
        <v>36</v>
      </c>
      <c r="AH293">
        <v>3</v>
      </c>
      <c r="AI293" t="s">
        <v>325</v>
      </c>
      <c r="AJ293" s="43" t="s">
        <v>308</v>
      </c>
      <c r="AK293">
        <v>1.8</v>
      </c>
    </row>
    <row r="294" spans="31:37" x14ac:dyDescent="0.25">
      <c r="AE294" s="43" t="s">
        <v>42</v>
      </c>
      <c r="AF294" s="43" t="s">
        <v>26</v>
      </c>
      <c r="AG294" s="43" t="s">
        <v>36</v>
      </c>
      <c r="AH294">
        <v>3</v>
      </c>
      <c r="AI294" t="s">
        <v>325</v>
      </c>
      <c r="AJ294" s="43" t="s">
        <v>309</v>
      </c>
      <c r="AK294">
        <v>8.4</v>
      </c>
    </row>
    <row r="295" spans="31:37" x14ac:dyDescent="0.25">
      <c r="AE295" s="43" t="s">
        <v>42</v>
      </c>
      <c r="AF295" s="43" t="s">
        <v>26</v>
      </c>
      <c r="AG295" s="43" t="s">
        <v>36</v>
      </c>
      <c r="AH295">
        <v>3</v>
      </c>
      <c r="AI295" t="s">
        <v>325</v>
      </c>
      <c r="AJ295" s="43" t="s">
        <v>268</v>
      </c>
      <c r="AK295">
        <v>10.199999999999999</v>
      </c>
    </row>
    <row r="296" spans="31:37" x14ac:dyDescent="0.25">
      <c r="AE296" s="43" t="s">
        <v>42</v>
      </c>
      <c r="AF296" s="43" t="s">
        <v>26</v>
      </c>
      <c r="AG296" s="43" t="s">
        <v>36</v>
      </c>
      <c r="AH296">
        <v>3</v>
      </c>
      <c r="AI296" t="s">
        <v>330</v>
      </c>
      <c r="AJ296" s="43" t="s">
        <v>308</v>
      </c>
      <c r="AK296">
        <v>1.8</v>
      </c>
    </row>
    <row r="297" spans="31:37" x14ac:dyDescent="0.25">
      <c r="AE297" s="43" t="s">
        <v>42</v>
      </c>
      <c r="AF297" s="43" t="s">
        <v>26</v>
      </c>
      <c r="AG297" s="43" t="s">
        <v>36</v>
      </c>
      <c r="AH297">
        <v>3</v>
      </c>
      <c r="AI297" t="s">
        <v>330</v>
      </c>
      <c r="AJ297" s="43" t="s">
        <v>309</v>
      </c>
      <c r="AK297">
        <v>8.4</v>
      </c>
    </row>
    <row r="298" spans="31:37" x14ac:dyDescent="0.25">
      <c r="AE298" s="43" t="s">
        <v>42</v>
      </c>
      <c r="AF298" s="43" t="s">
        <v>26</v>
      </c>
      <c r="AG298" s="43" t="s">
        <v>36</v>
      </c>
      <c r="AH298">
        <v>3</v>
      </c>
      <c r="AI298" t="s">
        <v>330</v>
      </c>
      <c r="AJ298" s="43" t="s">
        <v>268</v>
      </c>
      <c r="AK298">
        <v>10.199999999999999</v>
      </c>
    </row>
    <row r="299" spans="31:37" x14ac:dyDescent="0.25">
      <c r="AE299" s="43" t="s">
        <v>42</v>
      </c>
      <c r="AF299" s="43" t="s">
        <v>26</v>
      </c>
      <c r="AG299" s="43" t="s">
        <v>36</v>
      </c>
      <c r="AH299">
        <v>3</v>
      </c>
      <c r="AI299" t="s">
        <v>331</v>
      </c>
      <c r="AJ299" s="43" t="s">
        <v>308</v>
      </c>
      <c r="AK299">
        <v>1.8</v>
      </c>
    </row>
    <row r="300" spans="31:37" x14ac:dyDescent="0.25">
      <c r="AE300" s="43" t="s">
        <v>42</v>
      </c>
      <c r="AF300" s="43" t="s">
        <v>26</v>
      </c>
      <c r="AG300" s="43" t="s">
        <v>36</v>
      </c>
      <c r="AH300">
        <v>3</v>
      </c>
      <c r="AI300" t="s">
        <v>331</v>
      </c>
      <c r="AJ300" s="43" t="s">
        <v>309</v>
      </c>
      <c r="AK300">
        <v>7.9</v>
      </c>
    </row>
    <row r="301" spans="31:37" x14ac:dyDescent="0.25">
      <c r="AE301" s="43" t="s">
        <v>42</v>
      </c>
      <c r="AF301" s="43" t="s">
        <v>26</v>
      </c>
      <c r="AG301" s="43" t="s">
        <v>36</v>
      </c>
      <c r="AH301">
        <v>3</v>
      </c>
      <c r="AI301" t="s">
        <v>331</v>
      </c>
      <c r="AJ301" s="43" t="s">
        <v>268</v>
      </c>
      <c r="AK301">
        <v>9.6999999999999993</v>
      </c>
    </row>
    <row r="302" spans="31:37" x14ac:dyDescent="0.25">
      <c r="AE302" s="43" t="s">
        <v>42</v>
      </c>
      <c r="AF302" s="43" t="s">
        <v>26</v>
      </c>
      <c r="AG302" s="43" t="s">
        <v>36</v>
      </c>
      <c r="AH302">
        <v>3</v>
      </c>
      <c r="AI302" t="s">
        <v>341</v>
      </c>
      <c r="AJ302" s="43" t="s">
        <v>308</v>
      </c>
      <c r="AK302">
        <v>5.4</v>
      </c>
    </row>
    <row r="303" spans="31:37" x14ac:dyDescent="0.25">
      <c r="AE303" s="43" t="s">
        <v>42</v>
      </c>
      <c r="AF303" s="43" t="s">
        <v>26</v>
      </c>
      <c r="AG303" s="43" t="s">
        <v>36</v>
      </c>
      <c r="AH303">
        <v>3</v>
      </c>
      <c r="AI303" t="s">
        <v>341</v>
      </c>
      <c r="AJ303" s="43" t="s">
        <v>309</v>
      </c>
      <c r="AK303">
        <v>24.700000000000003</v>
      </c>
    </row>
    <row r="304" spans="31:37" x14ac:dyDescent="0.25">
      <c r="AE304" s="43" t="s">
        <v>42</v>
      </c>
      <c r="AF304" s="43" t="s">
        <v>26</v>
      </c>
      <c r="AG304" s="43" t="s">
        <v>36</v>
      </c>
      <c r="AH304">
        <v>3</v>
      </c>
      <c r="AI304" t="s">
        <v>341</v>
      </c>
      <c r="AJ304" s="43" t="s">
        <v>268</v>
      </c>
      <c r="AK304">
        <v>30.099999999999998</v>
      </c>
    </row>
    <row r="305" spans="31:37" x14ac:dyDescent="0.25">
      <c r="AE305" s="43" t="s">
        <v>42</v>
      </c>
      <c r="AF305" s="43" t="s">
        <v>26</v>
      </c>
      <c r="AG305" s="43" t="s">
        <v>36</v>
      </c>
      <c r="AH305">
        <v>3</v>
      </c>
      <c r="AI305" t="s">
        <v>273</v>
      </c>
      <c r="AJ305" s="43" t="s">
        <v>308</v>
      </c>
      <c r="AK305">
        <v>1.8</v>
      </c>
    </row>
    <row r="306" spans="31:37" x14ac:dyDescent="0.25">
      <c r="AE306" s="43" t="s">
        <v>42</v>
      </c>
      <c r="AF306" s="43" t="s">
        <v>26</v>
      </c>
      <c r="AG306" s="43" t="s">
        <v>36</v>
      </c>
      <c r="AH306">
        <v>3</v>
      </c>
      <c r="AI306" t="s">
        <v>273</v>
      </c>
      <c r="AJ306" s="43" t="s">
        <v>309</v>
      </c>
      <c r="AK306">
        <v>8.2333333333333343</v>
      </c>
    </row>
    <row r="307" spans="31:37" x14ac:dyDescent="0.25">
      <c r="AE307" s="43" t="s">
        <v>42</v>
      </c>
      <c r="AF307" s="43" t="s">
        <v>26</v>
      </c>
      <c r="AG307" s="43" t="s">
        <v>36</v>
      </c>
      <c r="AH307">
        <v>3</v>
      </c>
      <c r="AI307" t="s">
        <v>273</v>
      </c>
      <c r="AJ307" s="43" t="s">
        <v>268</v>
      </c>
      <c r="AK307">
        <v>10.033333333333333</v>
      </c>
    </row>
    <row r="308" spans="31:37" x14ac:dyDescent="0.25">
      <c r="AE308" s="43" t="s">
        <v>114</v>
      </c>
      <c r="AF308" s="43" t="s">
        <v>26</v>
      </c>
      <c r="AG308" s="43" t="s">
        <v>36</v>
      </c>
      <c r="AH308">
        <v>3</v>
      </c>
      <c r="AI308" t="s">
        <v>317</v>
      </c>
      <c r="AJ308" s="43" t="s">
        <v>308</v>
      </c>
      <c r="AK308">
        <v>1.8</v>
      </c>
    </row>
    <row r="309" spans="31:37" x14ac:dyDescent="0.25">
      <c r="AE309" s="43" t="s">
        <v>114</v>
      </c>
      <c r="AF309" s="43" t="s">
        <v>26</v>
      </c>
      <c r="AG309" s="43" t="s">
        <v>36</v>
      </c>
      <c r="AH309">
        <v>3</v>
      </c>
      <c r="AI309" t="s">
        <v>317</v>
      </c>
      <c r="AJ309" s="43" t="s">
        <v>309</v>
      </c>
      <c r="AK309">
        <v>8</v>
      </c>
    </row>
    <row r="310" spans="31:37" x14ac:dyDescent="0.25">
      <c r="AE310" s="43" t="s">
        <v>114</v>
      </c>
      <c r="AF310" s="43" t="s">
        <v>26</v>
      </c>
      <c r="AG310" s="43" t="s">
        <v>36</v>
      </c>
      <c r="AH310">
        <v>3</v>
      </c>
      <c r="AI310" t="s">
        <v>317</v>
      </c>
      <c r="AJ310" s="43" t="s">
        <v>268</v>
      </c>
      <c r="AK310">
        <v>9.8000000000000007</v>
      </c>
    </row>
    <row r="311" spans="31:37" x14ac:dyDescent="0.25">
      <c r="AE311" s="43" t="s">
        <v>114</v>
      </c>
      <c r="AF311" s="43" t="s">
        <v>26</v>
      </c>
      <c r="AG311" s="43" t="s">
        <v>36</v>
      </c>
      <c r="AH311">
        <v>3</v>
      </c>
      <c r="AI311" t="s">
        <v>325</v>
      </c>
      <c r="AJ311" s="43" t="s">
        <v>308</v>
      </c>
      <c r="AK311">
        <v>0</v>
      </c>
    </row>
    <row r="312" spans="31:37" x14ac:dyDescent="0.25">
      <c r="AE312" s="43" t="s">
        <v>114</v>
      </c>
      <c r="AF312" s="43" t="s">
        <v>26</v>
      </c>
      <c r="AG312" s="43" t="s">
        <v>36</v>
      </c>
      <c r="AH312">
        <v>3</v>
      </c>
      <c r="AI312" t="s">
        <v>325</v>
      </c>
      <c r="AJ312" s="43" t="s">
        <v>309</v>
      </c>
      <c r="AK312">
        <v>0</v>
      </c>
    </row>
    <row r="313" spans="31:37" x14ac:dyDescent="0.25">
      <c r="AE313" s="43" t="s">
        <v>114</v>
      </c>
      <c r="AF313" s="43" t="s">
        <v>26</v>
      </c>
      <c r="AG313" s="43" t="s">
        <v>36</v>
      </c>
      <c r="AH313">
        <v>3</v>
      </c>
      <c r="AI313" t="s">
        <v>325</v>
      </c>
      <c r="AJ313" s="43" t="s">
        <v>268</v>
      </c>
      <c r="AK313">
        <v>0</v>
      </c>
    </row>
    <row r="314" spans="31:37" x14ac:dyDescent="0.25">
      <c r="AE314" s="43" t="s">
        <v>114</v>
      </c>
      <c r="AF314" s="43" t="s">
        <v>26</v>
      </c>
      <c r="AG314" s="43" t="s">
        <v>36</v>
      </c>
      <c r="AH314">
        <v>3</v>
      </c>
      <c r="AI314" t="s">
        <v>330</v>
      </c>
      <c r="AJ314" s="43" t="s">
        <v>308</v>
      </c>
      <c r="AK314">
        <v>1.8</v>
      </c>
    </row>
    <row r="315" spans="31:37" x14ac:dyDescent="0.25">
      <c r="AE315" s="43" t="s">
        <v>114</v>
      </c>
      <c r="AF315" s="43" t="s">
        <v>26</v>
      </c>
      <c r="AG315" s="43" t="s">
        <v>36</v>
      </c>
      <c r="AH315">
        <v>3</v>
      </c>
      <c r="AI315" t="s">
        <v>330</v>
      </c>
      <c r="AJ315" s="43" t="s">
        <v>309</v>
      </c>
      <c r="AK315">
        <v>8.8000000000000007</v>
      </c>
    </row>
    <row r="316" spans="31:37" x14ac:dyDescent="0.25">
      <c r="AE316" s="43" t="s">
        <v>114</v>
      </c>
      <c r="AF316" s="43" t="s">
        <v>26</v>
      </c>
      <c r="AG316" s="43" t="s">
        <v>36</v>
      </c>
      <c r="AH316">
        <v>3</v>
      </c>
      <c r="AI316" t="s">
        <v>330</v>
      </c>
      <c r="AJ316" s="43" t="s">
        <v>268</v>
      </c>
      <c r="AK316">
        <v>10.6</v>
      </c>
    </row>
    <row r="317" spans="31:37" x14ac:dyDescent="0.25">
      <c r="AE317" s="43" t="s">
        <v>114</v>
      </c>
      <c r="AF317" s="43" t="s">
        <v>26</v>
      </c>
      <c r="AG317" s="43" t="s">
        <v>36</v>
      </c>
      <c r="AH317">
        <v>3</v>
      </c>
      <c r="AI317" t="s">
        <v>331</v>
      </c>
      <c r="AJ317" s="43" t="s">
        <v>308</v>
      </c>
      <c r="AK317">
        <v>1.8</v>
      </c>
    </row>
    <row r="318" spans="31:37" x14ac:dyDescent="0.25">
      <c r="AE318" s="43" t="s">
        <v>114</v>
      </c>
      <c r="AF318" s="43" t="s">
        <v>26</v>
      </c>
      <c r="AG318" s="43" t="s">
        <v>36</v>
      </c>
      <c r="AH318">
        <v>3</v>
      </c>
      <c r="AI318" t="s">
        <v>331</v>
      </c>
      <c r="AJ318" s="43" t="s">
        <v>309</v>
      </c>
      <c r="AK318">
        <v>7.8</v>
      </c>
    </row>
    <row r="319" spans="31:37" x14ac:dyDescent="0.25">
      <c r="AE319" s="43" t="s">
        <v>114</v>
      </c>
      <c r="AF319" s="43" t="s">
        <v>26</v>
      </c>
      <c r="AG319" s="43" t="s">
        <v>36</v>
      </c>
      <c r="AH319">
        <v>3</v>
      </c>
      <c r="AI319" t="s">
        <v>331</v>
      </c>
      <c r="AJ319" s="43" t="s">
        <v>268</v>
      </c>
      <c r="AK319">
        <v>9.6</v>
      </c>
    </row>
    <row r="320" spans="31:37" x14ac:dyDescent="0.25">
      <c r="AE320" s="43" t="s">
        <v>114</v>
      </c>
      <c r="AF320" s="43" t="s">
        <v>26</v>
      </c>
      <c r="AG320" s="43" t="s">
        <v>36</v>
      </c>
      <c r="AH320">
        <v>3</v>
      </c>
      <c r="AI320" t="s">
        <v>341</v>
      </c>
      <c r="AJ320" s="43" t="s">
        <v>308</v>
      </c>
      <c r="AK320">
        <v>5.4</v>
      </c>
    </row>
    <row r="321" spans="31:37" x14ac:dyDescent="0.25">
      <c r="AE321" s="43" t="s">
        <v>114</v>
      </c>
      <c r="AF321" s="43" t="s">
        <v>26</v>
      </c>
      <c r="AG321" s="43" t="s">
        <v>36</v>
      </c>
      <c r="AH321">
        <v>3</v>
      </c>
      <c r="AI321" t="s">
        <v>341</v>
      </c>
      <c r="AJ321" s="43" t="s">
        <v>309</v>
      </c>
      <c r="AK321">
        <v>24.6</v>
      </c>
    </row>
    <row r="322" spans="31:37" x14ac:dyDescent="0.25">
      <c r="AE322" s="43" t="s">
        <v>114</v>
      </c>
      <c r="AF322" s="43" t="s">
        <v>26</v>
      </c>
      <c r="AG322" s="43" t="s">
        <v>36</v>
      </c>
      <c r="AH322">
        <v>3</v>
      </c>
      <c r="AI322" t="s">
        <v>341</v>
      </c>
      <c r="AJ322" s="43" t="s">
        <v>268</v>
      </c>
      <c r="AK322">
        <v>30</v>
      </c>
    </row>
    <row r="323" spans="31:37" x14ac:dyDescent="0.25">
      <c r="AE323" s="43" t="s">
        <v>114</v>
      </c>
      <c r="AF323" s="43" t="s">
        <v>26</v>
      </c>
      <c r="AG323" s="43" t="s">
        <v>36</v>
      </c>
      <c r="AH323">
        <v>3</v>
      </c>
      <c r="AI323" t="s">
        <v>273</v>
      </c>
      <c r="AJ323" s="43" t="s">
        <v>308</v>
      </c>
      <c r="AK323">
        <v>1.8</v>
      </c>
    </row>
    <row r="324" spans="31:37" x14ac:dyDescent="0.25">
      <c r="AE324" s="43" t="s">
        <v>114</v>
      </c>
      <c r="AF324" s="43" t="s">
        <v>26</v>
      </c>
      <c r="AG324" s="43" t="s">
        <v>36</v>
      </c>
      <c r="AH324">
        <v>3</v>
      </c>
      <c r="AI324" t="s">
        <v>273</v>
      </c>
      <c r="AJ324" s="43" t="s">
        <v>309</v>
      </c>
      <c r="AK324">
        <v>8.2000000000000011</v>
      </c>
    </row>
    <row r="325" spans="31:37" x14ac:dyDescent="0.25">
      <c r="AE325" s="43" t="s">
        <v>114</v>
      </c>
      <c r="AF325" s="43" t="s">
        <v>26</v>
      </c>
      <c r="AG325" s="43" t="s">
        <v>36</v>
      </c>
      <c r="AH325">
        <v>3</v>
      </c>
      <c r="AI325" t="s">
        <v>273</v>
      </c>
      <c r="AJ325" s="43" t="s">
        <v>268</v>
      </c>
      <c r="AK325">
        <v>10</v>
      </c>
    </row>
    <row r="326" spans="31:37" x14ac:dyDescent="0.25">
      <c r="AE326" s="43" t="s">
        <v>100</v>
      </c>
      <c r="AF326" s="43" t="s">
        <v>60</v>
      </c>
      <c r="AG326" s="43" t="s">
        <v>31</v>
      </c>
      <c r="AH326">
        <v>3</v>
      </c>
      <c r="AI326" t="s">
        <v>317</v>
      </c>
      <c r="AJ326" s="43" t="s">
        <v>308</v>
      </c>
      <c r="AK326">
        <v>2.7</v>
      </c>
    </row>
    <row r="327" spans="31:37" x14ac:dyDescent="0.25">
      <c r="AE327" s="43" t="s">
        <v>100</v>
      </c>
      <c r="AF327" s="43" t="s">
        <v>60</v>
      </c>
      <c r="AG327" s="43" t="s">
        <v>31</v>
      </c>
      <c r="AH327">
        <v>3</v>
      </c>
      <c r="AI327" t="s">
        <v>317</v>
      </c>
      <c r="AJ327" s="43" t="s">
        <v>309</v>
      </c>
      <c r="AK327">
        <v>6.8</v>
      </c>
    </row>
    <row r="328" spans="31:37" x14ac:dyDescent="0.25">
      <c r="AE328" s="43" t="s">
        <v>100</v>
      </c>
      <c r="AF328" s="43" t="s">
        <v>60</v>
      </c>
      <c r="AG328" s="43" t="s">
        <v>31</v>
      </c>
      <c r="AH328">
        <v>3</v>
      </c>
      <c r="AI328" t="s">
        <v>317</v>
      </c>
      <c r="AJ328" s="43" t="s">
        <v>268</v>
      </c>
      <c r="AK328">
        <v>9.5</v>
      </c>
    </row>
    <row r="329" spans="31:37" x14ac:dyDescent="0.25">
      <c r="AE329" s="43" t="s">
        <v>100</v>
      </c>
      <c r="AF329" s="43" t="s">
        <v>60</v>
      </c>
      <c r="AG329" s="43" t="s">
        <v>31</v>
      </c>
      <c r="AH329">
        <v>3</v>
      </c>
      <c r="AI329" t="s">
        <v>325</v>
      </c>
      <c r="AJ329" s="43" t="s">
        <v>308</v>
      </c>
      <c r="AK329">
        <v>2</v>
      </c>
    </row>
    <row r="330" spans="31:37" x14ac:dyDescent="0.25">
      <c r="AE330" s="43" t="s">
        <v>100</v>
      </c>
      <c r="AF330" s="43" t="s">
        <v>60</v>
      </c>
      <c r="AG330" s="43" t="s">
        <v>31</v>
      </c>
      <c r="AH330">
        <v>3</v>
      </c>
      <c r="AI330" t="s">
        <v>325</v>
      </c>
      <c r="AJ330" s="43" t="s">
        <v>309</v>
      </c>
      <c r="AK330">
        <v>5.2</v>
      </c>
    </row>
    <row r="331" spans="31:37" x14ac:dyDescent="0.25">
      <c r="AE331" s="43" t="s">
        <v>100</v>
      </c>
      <c r="AF331" s="43" t="s">
        <v>60</v>
      </c>
      <c r="AG331" s="43" t="s">
        <v>31</v>
      </c>
      <c r="AH331">
        <v>3</v>
      </c>
      <c r="AI331" t="s">
        <v>325</v>
      </c>
      <c r="AJ331" s="43" t="s">
        <v>268</v>
      </c>
      <c r="AK331">
        <v>7.2</v>
      </c>
    </row>
    <row r="332" spans="31:37" x14ac:dyDescent="0.25">
      <c r="AE332" s="43" t="s">
        <v>100</v>
      </c>
      <c r="AF332" s="43" t="s">
        <v>60</v>
      </c>
      <c r="AG332" s="43" t="s">
        <v>31</v>
      </c>
      <c r="AH332">
        <v>3</v>
      </c>
      <c r="AI332" t="s">
        <v>330</v>
      </c>
      <c r="AJ332" s="43" t="s">
        <v>308</v>
      </c>
      <c r="AK332">
        <v>2.1</v>
      </c>
    </row>
    <row r="333" spans="31:37" x14ac:dyDescent="0.25">
      <c r="AE333" s="43" t="s">
        <v>100</v>
      </c>
      <c r="AF333" s="43" t="s">
        <v>60</v>
      </c>
      <c r="AG333" s="43" t="s">
        <v>31</v>
      </c>
      <c r="AH333">
        <v>3</v>
      </c>
      <c r="AI333" t="s">
        <v>330</v>
      </c>
      <c r="AJ333" s="43" t="s">
        <v>309</v>
      </c>
      <c r="AK333">
        <v>8.5</v>
      </c>
    </row>
    <row r="334" spans="31:37" x14ac:dyDescent="0.25">
      <c r="AE334" s="43" t="s">
        <v>100</v>
      </c>
      <c r="AF334" s="43" t="s">
        <v>60</v>
      </c>
      <c r="AG334" s="43" t="s">
        <v>31</v>
      </c>
      <c r="AH334">
        <v>3</v>
      </c>
      <c r="AI334" t="s">
        <v>330</v>
      </c>
      <c r="AJ334" s="43" t="s">
        <v>268</v>
      </c>
      <c r="AK334">
        <v>10.6</v>
      </c>
    </row>
    <row r="335" spans="31:37" x14ac:dyDescent="0.25">
      <c r="AE335" s="43" t="s">
        <v>100</v>
      </c>
      <c r="AF335" s="43" t="s">
        <v>60</v>
      </c>
      <c r="AG335" s="43" t="s">
        <v>31</v>
      </c>
      <c r="AH335">
        <v>3</v>
      </c>
      <c r="AI335" t="s">
        <v>331</v>
      </c>
      <c r="AJ335" s="43" t="s">
        <v>308</v>
      </c>
      <c r="AK335">
        <v>0</v>
      </c>
    </row>
    <row r="336" spans="31:37" x14ac:dyDescent="0.25">
      <c r="AE336" s="43" t="s">
        <v>100</v>
      </c>
      <c r="AF336" s="43" t="s">
        <v>60</v>
      </c>
      <c r="AG336" s="43" t="s">
        <v>31</v>
      </c>
      <c r="AH336">
        <v>3</v>
      </c>
      <c r="AI336" t="s">
        <v>331</v>
      </c>
      <c r="AJ336" s="43" t="s">
        <v>309</v>
      </c>
      <c r="AK336">
        <v>0</v>
      </c>
    </row>
    <row r="337" spans="31:37" x14ac:dyDescent="0.25">
      <c r="AE337" s="43" t="s">
        <v>100</v>
      </c>
      <c r="AF337" s="43" t="s">
        <v>60</v>
      </c>
      <c r="AG337" s="43" t="s">
        <v>31</v>
      </c>
      <c r="AH337">
        <v>3</v>
      </c>
      <c r="AI337" t="s">
        <v>331</v>
      </c>
      <c r="AJ337" s="43" t="s">
        <v>268</v>
      </c>
      <c r="AK337">
        <v>0</v>
      </c>
    </row>
    <row r="338" spans="31:37" x14ac:dyDescent="0.25">
      <c r="AE338" s="43" t="s">
        <v>100</v>
      </c>
      <c r="AF338" s="43" t="s">
        <v>60</v>
      </c>
      <c r="AG338" s="43" t="s">
        <v>31</v>
      </c>
      <c r="AH338">
        <v>3</v>
      </c>
      <c r="AI338" t="s">
        <v>341</v>
      </c>
      <c r="AJ338" s="43" t="s">
        <v>308</v>
      </c>
      <c r="AK338">
        <v>6.8000000000000007</v>
      </c>
    </row>
    <row r="339" spans="31:37" x14ac:dyDescent="0.25">
      <c r="AE339" s="43" t="s">
        <v>100</v>
      </c>
      <c r="AF339" s="43" t="s">
        <v>60</v>
      </c>
      <c r="AG339" s="43" t="s">
        <v>31</v>
      </c>
      <c r="AH339">
        <v>3</v>
      </c>
      <c r="AI339" t="s">
        <v>341</v>
      </c>
      <c r="AJ339" s="43" t="s">
        <v>309</v>
      </c>
      <c r="AK339">
        <v>20.5</v>
      </c>
    </row>
    <row r="340" spans="31:37" x14ac:dyDescent="0.25">
      <c r="AE340" s="43" t="s">
        <v>100</v>
      </c>
      <c r="AF340" s="43" t="s">
        <v>60</v>
      </c>
      <c r="AG340" s="43" t="s">
        <v>31</v>
      </c>
      <c r="AH340">
        <v>3</v>
      </c>
      <c r="AI340" t="s">
        <v>341</v>
      </c>
      <c r="AJ340" s="43" t="s">
        <v>268</v>
      </c>
      <c r="AK340">
        <v>27.3</v>
      </c>
    </row>
    <row r="341" spans="31:37" x14ac:dyDescent="0.25">
      <c r="AE341" s="43" t="s">
        <v>100</v>
      </c>
      <c r="AF341" s="43" t="s">
        <v>60</v>
      </c>
      <c r="AG341" s="43" t="s">
        <v>31</v>
      </c>
      <c r="AH341">
        <v>3</v>
      </c>
      <c r="AI341" t="s">
        <v>273</v>
      </c>
      <c r="AJ341" s="43" t="s">
        <v>308</v>
      </c>
      <c r="AK341">
        <v>2.2666666666666671</v>
      </c>
    </row>
    <row r="342" spans="31:37" x14ac:dyDescent="0.25">
      <c r="AE342" s="43" t="s">
        <v>100</v>
      </c>
      <c r="AF342" s="43" t="s">
        <v>60</v>
      </c>
      <c r="AG342" s="43" t="s">
        <v>31</v>
      </c>
      <c r="AH342">
        <v>3</v>
      </c>
      <c r="AI342" t="s">
        <v>273</v>
      </c>
      <c r="AJ342" s="43" t="s">
        <v>309</v>
      </c>
      <c r="AK342">
        <v>6.833333333333333</v>
      </c>
    </row>
    <row r="343" spans="31:37" x14ac:dyDescent="0.25">
      <c r="AE343" s="43" t="s">
        <v>100</v>
      </c>
      <c r="AF343" s="43" t="s">
        <v>60</v>
      </c>
      <c r="AG343" s="43" t="s">
        <v>31</v>
      </c>
      <c r="AH343">
        <v>3</v>
      </c>
      <c r="AI343" t="s">
        <v>273</v>
      </c>
      <c r="AJ343" s="43" t="s">
        <v>268</v>
      </c>
      <c r="AK343">
        <v>9.1</v>
      </c>
    </row>
    <row r="344" spans="31:37" x14ac:dyDescent="0.25">
      <c r="AE344" s="43" t="s">
        <v>127</v>
      </c>
      <c r="AF344" s="43" t="s">
        <v>60</v>
      </c>
      <c r="AG344" s="43" t="s">
        <v>72</v>
      </c>
      <c r="AH344">
        <v>2</v>
      </c>
      <c r="AI344" t="s">
        <v>317</v>
      </c>
      <c r="AJ344" s="43" t="s">
        <v>308</v>
      </c>
      <c r="AK344">
        <v>4.0999999999999996</v>
      </c>
    </row>
    <row r="345" spans="31:37" x14ac:dyDescent="0.25">
      <c r="AE345" s="43" t="s">
        <v>127</v>
      </c>
      <c r="AF345" s="43" t="s">
        <v>60</v>
      </c>
      <c r="AG345" s="43" t="s">
        <v>72</v>
      </c>
      <c r="AH345">
        <v>2</v>
      </c>
      <c r="AI345" t="s">
        <v>317</v>
      </c>
      <c r="AJ345" s="43" t="s">
        <v>309</v>
      </c>
      <c r="AK345">
        <v>8.4</v>
      </c>
    </row>
    <row r="346" spans="31:37" x14ac:dyDescent="0.25">
      <c r="AE346" s="43" t="s">
        <v>127</v>
      </c>
      <c r="AF346" s="43" t="s">
        <v>60</v>
      </c>
      <c r="AG346" s="43" t="s">
        <v>72</v>
      </c>
      <c r="AH346">
        <v>2</v>
      </c>
      <c r="AI346" t="s">
        <v>317</v>
      </c>
      <c r="AJ346" s="43" t="s">
        <v>268</v>
      </c>
      <c r="AK346">
        <v>12.5</v>
      </c>
    </row>
    <row r="347" spans="31:37" x14ac:dyDescent="0.25">
      <c r="AE347" s="43" t="s">
        <v>127</v>
      </c>
      <c r="AF347" s="43" t="s">
        <v>60</v>
      </c>
      <c r="AG347" s="43" t="s">
        <v>72</v>
      </c>
      <c r="AH347">
        <v>2</v>
      </c>
      <c r="AI347" t="s">
        <v>325</v>
      </c>
      <c r="AJ347" s="43" t="s">
        <v>308</v>
      </c>
      <c r="AK347">
        <v>0</v>
      </c>
    </row>
    <row r="348" spans="31:37" x14ac:dyDescent="0.25">
      <c r="AE348" s="43" t="s">
        <v>127</v>
      </c>
      <c r="AF348" s="43" t="s">
        <v>60</v>
      </c>
      <c r="AG348" s="43" t="s">
        <v>72</v>
      </c>
      <c r="AH348">
        <v>2</v>
      </c>
      <c r="AI348" t="s">
        <v>325</v>
      </c>
      <c r="AJ348" s="43" t="s">
        <v>309</v>
      </c>
      <c r="AK348">
        <v>0</v>
      </c>
    </row>
    <row r="349" spans="31:37" x14ac:dyDescent="0.25">
      <c r="AE349" s="43" t="s">
        <v>127</v>
      </c>
      <c r="AF349" s="43" t="s">
        <v>60</v>
      </c>
      <c r="AG349" s="43" t="s">
        <v>72</v>
      </c>
      <c r="AH349">
        <v>2</v>
      </c>
      <c r="AI349" t="s">
        <v>325</v>
      </c>
      <c r="AJ349" s="43" t="s">
        <v>268</v>
      </c>
      <c r="AK349">
        <v>0</v>
      </c>
    </row>
    <row r="350" spans="31:37" x14ac:dyDescent="0.25">
      <c r="AE350" s="43" t="s">
        <v>127</v>
      </c>
      <c r="AF350" s="43" t="s">
        <v>60</v>
      </c>
      <c r="AG350" s="43" t="s">
        <v>72</v>
      </c>
      <c r="AH350">
        <v>2</v>
      </c>
      <c r="AI350" t="s">
        <v>330</v>
      </c>
      <c r="AJ350" s="43" t="s">
        <v>308</v>
      </c>
      <c r="AK350">
        <v>4</v>
      </c>
    </row>
    <row r="351" spans="31:37" x14ac:dyDescent="0.25">
      <c r="AE351" s="43" t="s">
        <v>127</v>
      </c>
      <c r="AF351" s="43" t="s">
        <v>60</v>
      </c>
      <c r="AG351" s="43" t="s">
        <v>72</v>
      </c>
      <c r="AH351">
        <v>2</v>
      </c>
      <c r="AI351" t="s">
        <v>330</v>
      </c>
      <c r="AJ351" s="43" t="s">
        <v>309</v>
      </c>
      <c r="AK351">
        <v>8.0500000000000007</v>
      </c>
    </row>
    <row r="352" spans="31:37" x14ac:dyDescent="0.25">
      <c r="AE352" s="43" t="s">
        <v>127</v>
      </c>
      <c r="AF352" s="43" t="s">
        <v>60</v>
      </c>
      <c r="AG352" s="43" t="s">
        <v>72</v>
      </c>
      <c r="AH352">
        <v>2</v>
      </c>
      <c r="AI352" t="s">
        <v>330</v>
      </c>
      <c r="AJ352" s="43" t="s">
        <v>268</v>
      </c>
      <c r="AK352">
        <v>12.05</v>
      </c>
    </row>
    <row r="353" spans="31:37" x14ac:dyDescent="0.25">
      <c r="AE353" s="43" t="s">
        <v>127</v>
      </c>
      <c r="AF353" s="43" t="s">
        <v>60</v>
      </c>
      <c r="AG353" s="43" t="s">
        <v>72</v>
      </c>
      <c r="AH353">
        <v>2</v>
      </c>
      <c r="AI353" t="s">
        <v>331</v>
      </c>
      <c r="AJ353" s="43" t="s">
        <v>308</v>
      </c>
      <c r="AK353">
        <v>0</v>
      </c>
    </row>
    <row r="354" spans="31:37" x14ac:dyDescent="0.25">
      <c r="AE354" s="43" t="s">
        <v>127</v>
      </c>
      <c r="AF354" s="43" t="s">
        <v>60</v>
      </c>
      <c r="AG354" s="43" t="s">
        <v>72</v>
      </c>
      <c r="AH354">
        <v>2</v>
      </c>
      <c r="AI354" t="s">
        <v>331</v>
      </c>
      <c r="AJ354" s="43" t="s">
        <v>309</v>
      </c>
      <c r="AK354">
        <v>0</v>
      </c>
    </row>
    <row r="355" spans="31:37" x14ac:dyDescent="0.25">
      <c r="AE355" s="43" t="s">
        <v>127</v>
      </c>
      <c r="AF355" s="43" t="s">
        <v>60</v>
      </c>
      <c r="AG355" s="43" t="s">
        <v>72</v>
      </c>
      <c r="AH355">
        <v>2</v>
      </c>
      <c r="AI355" t="s">
        <v>331</v>
      </c>
      <c r="AJ355" s="43" t="s">
        <v>268</v>
      </c>
      <c r="AK355">
        <v>0</v>
      </c>
    </row>
    <row r="356" spans="31:37" x14ac:dyDescent="0.25">
      <c r="AE356" s="43" t="s">
        <v>127</v>
      </c>
      <c r="AF356" s="43" t="s">
        <v>60</v>
      </c>
      <c r="AG356" s="43" t="s">
        <v>72</v>
      </c>
      <c r="AH356">
        <v>2</v>
      </c>
      <c r="AI356" t="s">
        <v>341</v>
      </c>
      <c r="AJ356" s="43" t="s">
        <v>308</v>
      </c>
      <c r="AK356">
        <v>8.1</v>
      </c>
    </row>
    <row r="357" spans="31:37" x14ac:dyDescent="0.25">
      <c r="AE357" s="43" t="s">
        <v>127</v>
      </c>
      <c r="AF357" s="43" t="s">
        <v>60</v>
      </c>
      <c r="AG357" s="43" t="s">
        <v>72</v>
      </c>
      <c r="AH357">
        <v>2</v>
      </c>
      <c r="AI357" t="s">
        <v>341</v>
      </c>
      <c r="AJ357" s="43" t="s">
        <v>309</v>
      </c>
      <c r="AK357">
        <v>16.450000000000003</v>
      </c>
    </row>
    <row r="358" spans="31:37" x14ac:dyDescent="0.25">
      <c r="AE358" s="43" t="s">
        <v>127</v>
      </c>
      <c r="AF358" s="43" t="s">
        <v>60</v>
      </c>
      <c r="AG358" s="43" t="s">
        <v>72</v>
      </c>
      <c r="AH358">
        <v>2</v>
      </c>
      <c r="AI358" t="s">
        <v>341</v>
      </c>
      <c r="AJ358" s="43" t="s">
        <v>268</v>
      </c>
      <c r="AK358">
        <v>24.55</v>
      </c>
    </row>
    <row r="359" spans="31:37" x14ac:dyDescent="0.25">
      <c r="AE359" s="43" t="s">
        <v>127</v>
      </c>
      <c r="AF359" s="43" t="s">
        <v>60</v>
      </c>
      <c r="AG359" s="43" t="s">
        <v>72</v>
      </c>
      <c r="AH359">
        <v>2</v>
      </c>
      <c r="AI359" t="s">
        <v>273</v>
      </c>
      <c r="AJ359" s="43" t="s">
        <v>308</v>
      </c>
      <c r="AK359">
        <v>0</v>
      </c>
    </row>
    <row r="360" spans="31:37" x14ac:dyDescent="0.25">
      <c r="AE360" s="43" t="s">
        <v>127</v>
      </c>
      <c r="AF360" s="43" t="s">
        <v>60</v>
      </c>
      <c r="AG360" s="43" t="s">
        <v>72</v>
      </c>
      <c r="AH360">
        <v>2</v>
      </c>
      <c r="AI360" t="s">
        <v>273</v>
      </c>
      <c r="AJ360" s="43" t="s">
        <v>309</v>
      </c>
      <c r="AK360">
        <v>0</v>
      </c>
    </row>
    <row r="361" spans="31:37" x14ac:dyDescent="0.25">
      <c r="AE361" s="43" t="s">
        <v>127</v>
      </c>
      <c r="AF361" s="43" t="s">
        <v>60</v>
      </c>
      <c r="AG361" s="43" t="s">
        <v>72</v>
      </c>
      <c r="AH361">
        <v>2</v>
      </c>
      <c r="AI361" t="s">
        <v>273</v>
      </c>
      <c r="AJ361" s="43" t="s">
        <v>268</v>
      </c>
      <c r="AK361">
        <v>0</v>
      </c>
    </row>
    <row r="362" spans="31:37" x14ac:dyDescent="0.25">
      <c r="AE362" s="43" t="s">
        <v>46</v>
      </c>
      <c r="AF362" s="43" t="s">
        <v>26</v>
      </c>
      <c r="AG362" s="43" t="s">
        <v>36</v>
      </c>
      <c r="AH362">
        <v>3</v>
      </c>
      <c r="AI362" t="s">
        <v>317</v>
      </c>
      <c r="AJ362" s="43" t="s">
        <v>308</v>
      </c>
      <c r="AK362">
        <v>0</v>
      </c>
    </row>
    <row r="363" spans="31:37" x14ac:dyDescent="0.25">
      <c r="AE363" s="43" t="s">
        <v>46</v>
      </c>
      <c r="AF363" s="43" t="s">
        <v>26</v>
      </c>
      <c r="AG363" s="43" t="s">
        <v>36</v>
      </c>
      <c r="AH363">
        <v>3</v>
      </c>
      <c r="AI363" t="s">
        <v>317</v>
      </c>
      <c r="AJ363" s="43" t="s">
        <v>309</v>
      </c>
      <c r="AK363">
        <v>0</v>
      </c>
    </row>
    <row r="364" spans="31:37" x14ac:dyDescent="0.25">
      <c r="AE364" s="43" t="s">
        <v>46</v>
      </c>
      <c r="AF364" s="43" t="s">
        <v>26</v>
      </c>
      <c r="AG364" s="43" t="s">
        <v>36</v>
      </c>
      <c r="AH364">
        <v>3</v>
      </c>
      <c r="AI364" t="s">
        <v>317</v>
      </c>
      <c r="AJ364" s="43" t="s">
        <v>268</v>
      </c>
      <c r="AK364">
        <v>0</v>
      </c>
    </row>
    <row r="365" spans="31:37" x14ac:dyDescent="0.25">
      <c r="AE365" s="43" t="s">
        <v>46</v>
      </c>
      <c r="AF365" s="43" t="s">
        <v>26</v>
      </c>
      <c r="AG365" s="43" t="s">
        <v>36</v>
      </c>
      <c r="AH365">
        <v>3</v>
      </c>
      <c r="AI365" t="s">
        <v>325</v>
      </c>
      <c r="AJ365" s="43" t="s">
        <v>308</v>
      </c>
      <c r="AK365">
        <v>1.8</v>
      </c>
    </row>
    <row r="366" spans="31:37" x14ac:dyDescent="0.25">
      <c r="AE366" s="43" t="s">
        <v>46</v>
      </c>
      <c r="AF366" s="43" t="s">
        <v>26</v>
      </c>
      <c r="AG366" s="43" t="s">
        <v>36</v>
      </c>
      <c r="AH366">
        <v>3</v>
      </c>
      <c r="AI366" t="s">
        <v>325</v>
      </c>
      <c r="AJ366" s="43" t="s">
        <v>309</v>
      </c>
      <c r="AK366">
        <v>7.7</v>
      </c>
    </row>
    <row r="367" spans="31:37" x14ac:dyDescent="0.25">
      <c r="AE367" s="43" t="s">
        <v>46</v>
      </c>
      <c r="AF367" s="43" t="s">
        <v>26</v>
      </c>
      <c r="AG367" s="43" t="s">
        <v>36</v>
      </c>
      <c r="AH367">
        <v>3</v>
      </c>
      <c r="AI367" t="s">
        <v>325</v>
      </c>
      <c r="AJ367" s="43" t="s">
        <v>268</v>
      </c>
      <c r="AK367">
        <v>9.5</v>
      </c>
    </row>
    <row r="368" spans="31:37" x14ac:dyDescent="0.25">
      <c r="AE368" s="43" t="s">
        <v>46</v>
      </c>
      <c r="AF368" s="43" t="s">
        <v>26</v>
      </c>
      <c r="AG368" s="43" t="s">
        <v>36</v>
      </c>
      <c r="AH368">
        <v>3</v>
      </c>
      <c r="AI368" t="s">
        <v>330</v>
      </c>
      <c r="AJ368" s="43" t="s">
        <v>308</v>
      </c>
      <c r="AK368">
        <v>1.9</v>
      </c>
    </row>
    <row r="369" spans="31:37" x14ac:dyDescent="0.25">
      <c r="AE369" s="43" t="s">
        <v>46</v>
      </c>
      <c r="AF369" s="43" t="s">
        <v>26</v>
      </c>
      <c r="AG369" s="43" t="s">
        <v>36</v>
      </c>
      <c r="AH369">
        <v>3</v>
      </c>
      <c r="AI369" t="s">
        <v>330</v>
      </c>
      <c r="AJ369" s="43" t="s">
        <v>309</v>
      </c>
      <c r="AK369">
        <v>7.75</v>
      </c>
    </row>
    <row r="370" spans="31:37" x14ac:dyDescent="0.25">
      <c r="AE370" s="43" t="s">
        <v>46</v>
      </c>
      <c r="AF370" s="43" t="s">
        <v>26</v>
      </c>
      <c r="AG370" s="43" t="s">
        <v>36</v>
      </c>
      <c r="AH370">
        <v>3</v>
      </c>
      <c r="AI370" t="s">
        <v>330</v>
      </c>
      <c r="AJ370" s="43" t="s">
        <v>268</v>
      </c>
      <c r="AK370">
        <v>9.65</v>
      </c>
    </row>
    <row r="371" spans="31:37" x14ac:dyDescent="0.25">
      <c r="AE371" s="43" t="s">
        <v>46</v>
      </c>
      <c r="AF371" s="43" t="s">
        <v>26</v>
      </c>
      <c r="AG371" s="43" t="s">
        <v>36</v>
      </c>
      <c r="AH371">
        <v>3</v>
      </c>
      <c r="AI371" t="s">
        <v>331</v>
      </c>
      <c r="AJ371" s="43" t="s">
        <v>308</v>
      </c>
      <c r="AK371">
        <v>1.5</v>
      </c>
    </row>
    <row r="372" spans="31:37" x14ac:dyDescent="0.25">
      <c r="AE372" s="43" t="s">
        <v>46</v>
      </c>
      <c r="AF372" s="43" t="s">
        <v>26</v>
      </c>
      <c r="AG372" s="43" t="s">
        <v>36</v>
      </c>
      <c r="AH372">
        <v>3</v>
      </c>
      <c r="AI372" t="s">
        <v>331</v>
      </c>
      <c r="AJ372" s="43" t="s">
        <v>309</v>
      </c>
      <c r="AK372">
        <v>2.5</v>
      </c>
    </row>
    <row r="373" spans="31:37" x14ac:dyDescent="0.25">
      <c r="AE373" s="43" t="s">
        <v>46</v>
      </c>
      <c r="AF373" s="43" t="s">
        <v>26</v>
      </c>
      <c r="AG373" s="43" t="s">
        <v>36</v>
      </c>
      <c r="AH373">
        <v>3</v>
      </c>
      <c r="AI373" t="s">
        <v>331</v>
      </c>
      <c r="AJ373" s="43" t="s">
        <v>268</v>
      </c>
      <c r="AK373">
        <v>4</v>
      </c>
    </row>
    <row r="374" spans="31:37" x14ac:dyDescent="0.25">
      <c r="AE374" s="43" t="s">
        <v>46</v>
      </c>
      <c r="AF374" s="43" t="s">
        <v>26</v>
      </c>
      <c r="AG374" s="43" t="s">
        <v>36</v>
      </c>
      <c r="AH374">
        <v>3</v>
      </c>
      <c r="AI374" t="s">
        <v>341</v>
      </c>
      <c r="AJ374" s="43" t="s">
        <v>308</v>
      </c>
      <c r="AK374">
        <v>5.2</v>
      </c>
    </row>
    <row r="375" spans="31:37" x14ac:dyDescent="0.25">
      <c r="AE375" s="43" t="s">
        <v>46</v>
      </c>
      <c r="AF375" s="43" t="s">
        <v>26</v>
      </c>
      <c r="AG375" s="43" t="s">
        <v>36</v>
      </c>
      <c r="AH375">
        <v>3</v>
      </c>
      <c r="AI375" t="s">
        <v>341</v>
      </c>
      <c r="AJ375" s="43" t="s">
        <v>309</v>
      </c>
      <c r="AK375">
        <v>17.95</v>
      </c>
    </row>
    <row r="376" spans="31:37" x14ac:dyDescent="0.25">
      <c r="AE376" s="43" t="s">
        <v>46</v>
      </c>
      <c r="AF376" s="43" t="s">
        <v>26</v>
      </c>
      <c r="AG376" s="43" t="s">
        <v>36</v>
      </c>
      <c r="AH376">
        <v>3</v>
      </c>
      <c r="AI376" t="s">
        <v>341</v>
      </c>
      <c r="AJ376" s="43" t="s">
        <v>268</v>
      </c>
      <c r="AK376">
        <v>23.15</v>
      </c>
    </row>
    <row r="377" spans="31:37" x14ac:dyDescent="0.25">
      <c r="AE377" s="43" t="s">
        <v>46</v>
      </c>
      <c r="AF377" s="43" t="s">
        <v>26</v>
      </c>
      <c r="AG377" s="43" t="s">
        <v>36</v>
      </c>
      <c r="AH377">
        <v>3</v>
      </c>
      <c r="AI377" t="s">
        <v>273</v>
      </c>
      <c r="AJ377" s="43" t="s">
        <v>308</v>
      </c>
      <c r="AK377">
        <v>1.7333333333333334</v>
      </c>
    </row>
    <row r="378" spans="31:37" x14ac:dyDescent="0.25">
      <c r="AE378" s="43" t="s">
        <v>46</v>
      </c>
      <c r="AF378" s="43" t="s">
        <v>26</v>
      </c>
      <c r="AG378" s="43" t="s">
        <v>36</v>
      </c>
      <c r="AH378">
        <v>3</v>
      </c>
      <c r="AI378" t="s">
        <v>273</v>
      </c>
      <c r="AJ378" s="43" t="s">
        <v>309</v>
      </c>
      <c r="AK378">
        <v>5.9833333333333334</v>
      </c>
    </row>
    <row r="379" spans="31:37" x14ac:dyDescent="0.25">
      <c r="AE379" s="43" t="s">
        <v>46</v>
      </c>
      <c r="AF379" s="43" t="s">
        <v>26</v>
      </c>
      <c r="AG379" s="43" t="s">
        <v>36</v>
      </c>
      <c r="AH379">
        <v>3</v>
      </c>
      <c r="AI379" t="s">
        <v>273</v>
      </c>
      <c r="AJ379" s="43" t="s">
        <v>268</v>
      </c>
      <c r="AK379">
        <v>7.7166666666666659</v>
      </c>
    </row>
    <row r="380" spans="31:37" x14ac:dyDescent="0.25">
      <c r="AE380" s="43" t="s">
        <v>70</v>
      </c>
      <c r="AF380" s="43" t="s">
        <v>60</v>
      </c>
      <c r="AG380" s="43" t="s">
        <v>72</v>
      </c>
      <c r="AH380">
        <v>2</v>
      </c>
      <c r="AI380" t="s">
        <v>317</v>
      </c>
      <c r="AJ380" s="43" t="s">
        <v>308</v>
      </c>
      <c r="AK380">
        <v>0</v>
      </c>
    </row>
    <row r="381" spans="31:37" x14ac:dyDescent="0.25">
      <c r="AE381" s="43" t="s">
        <v>70</v>
      </c>
      <c r="AF381" s="43" t="s">
        <v>60</v>
      </c>
      <c r="AG381" s="43" t="s">
        <v>72</v>
      </c>
      <c r="AH381">
        <v>2</v>
      </c>
      <c r="AI381" t="s">
        <v>317</v>
      </c>
      <c r="AJ381" s="43" t="s">
        <v>309</v>
      </c>
      <c r="AK381">
        <v>0</v>
      </c>
    </row>
    <row r="382" spans="31:37" x14ac:dyDescent="0.25">
      <c r="AE382" s="43" t="s">
        <v>70</v>
      </c>
      <c r="AF382" s="43" t="s">
        <v>60</v>
      </c>
      <c r="AG382" s="43" t="s">
        <v>72</v>
      </c>
      <c r="AH382">
        <v>2</v>
      </c>
      <c r="AI382" t="s">
        <v>317</v>
      </c>
      <c r="AJ382" s="43" t="s">
        <v>268</v>
      </c>
      <c r="AK382">
        <v>0</v>
      </c>
    </row>
    <row r="383" spans="31:37" x14ac:dyDescent="0.25">
      <c r="AE383" s="43" t="s">
        <v>70</v>
      </c>
      <c r="AF383" s="43" t="s">
        <v>60</v>
      </c>
      <c r="AG383" s="43" t="s">
        <v>72</v>
      </c>
      <c r="AH383">
        <v>2</v>
      </c>
      <c r="AI383" t="s">
        <v>325</v>
      </c>
      <c r="AJ383" s="43" t="s">
        <v>308</v>
      </c>
      <c r="AK383">
        <v>3.7</v>
      </c>
    </row>
    <row r="384" spans="31:37" x14ac:dyDescent="0.25">
      <c r="AE384" s="43" t="s">
        <v>70</v>
      </c>
      <c r="AF384" s="43" t="s">
        <v>60</v>
      </c>
      <c r="AG384" s="43" t="s">
        <v>72</v>
      </c>
      <c r="AH384">
        <v>2</v>
      </c>
      <c r="AI384" t="s">
        <v>325</v>
      </c>
      <c r="AJ384" s="43" t="s">
        <v>309</v>
      </c>
      <c r="AK384">
        <v>7.95</v>
      </c>
    </row>
    <row r="385" spans="31:37" x14ac:dyDescent="0.25">
      <c r="AE385" s="43" t="s">
        <v>70</v>
      </c>
      <c r="AF385" s="43" t="s">
        <v>60</v>
      </c>
      <c r="AG385" s="43" t="s">
        <v>72</v>
      </c>
      <c r="AH385">
        <v>2</v>
      </c>
      <c r="AI385" t="s">
        <v>325</v>
      </c>
      <c r="AJ385" s="43" t="s">
        <v>268</v>
      </c>
      <c r="AK385">
        <v>11.65</v>
      </c>
    </row>
    <row r="386" spans="31:37" x14ac:dyDescent="0.25">
      <c r="AE386" s="43" t="s">
        <v>70</v>
      </c>
      <c r="AF386" s="43" t="s">
        <v>60</v>
      </c>
      <c r="AG386" s="43" t="s">
        <v>72</v>
      </c>
      <c r="AH386">
        <v>2</v>
      </c>
      <c r="AI386" t="s">
        <v>330</v>
      </c>
      <c r="AJ386" s="43" t="s">
        <v>308</v>
      </c>
      <c r="AK386">
        <v>3.7</v>
      </c>
    </row>
    <row r="387" spans="31:37" x14ac:dyDescent="0.25">
      <c r="AE387" s="43" t="s">
        <v>70</v>
      </c>
      <c r="AF387" s="43" t="s">
        <v>60</v>
      </c>
      <c r="AG387" s="43" t="s">
        <v>72</v>
      </c>
      <c r="AH387">
        <v>2</v>
      </c>
      <c r="AI387" t="s">
        <v>330</v>
      </c>
      <c r="AJ387" s="43" t="s">
        <v>309</v>
      </c>
      <c r="AK387">
        <v>7.4</v>
      </c>
    </row>
    <row r="388" spans="31:37" x14ac:dyDescent="0.25">
      <c r="AE388" s="43" t="s">
        <v>70</v>
      </c>
      <c r="AF388" s="43" t="s">
        <v>60</v>
      </c>
      <c r="AG388" s="43" t="s">
        <v>72</v>
      </c>
      <c r="AH388">
        <v>2</v>
      </c>
      <c r="AI388" t="s">
        <v>330</v>
      </c>
      <c r="AJ388" s="43" t="s">
        <v>268</v>
      </c>
      <c r="AK388">
        <v>11.1</v>
      </c>
    </row>
    <row r="389" spans="31:37" x14ac:dyDescent="0.25">
      <c r="AE389" s="43" t="s">
        <v>70</v>
      </c>
      <c r="AF389" s="43" t="s">
        <v>60</v>
      </c>
      <c r="AG389" s="43" t="s">
        <v>72</v>
      </c>
      <c r="AH389">
        <v>2</v>
      </c>
      <c r="AI389" t="s">
        <v>331</v>
      </c>
      <c r="AJ389" s="43" t="s">
        <v>308</v>
      </c>
      <c r="AK389">
        <v>0</v>
      </c>
    </row>
    <row r="390" spans="31:37" x14ac:dyDescent="0.25">
      <c r="AE390" s="43" t="s">
        <v>70</v>
      </c>
      <c r="AF390" s="43" t="s">
        <v>60</v>
      </c>
      <c r="AG390" s="43" t="s">
        <v>72</v>
      </c>
      <c r="AH390">
        <v>2</v>
      </c>
      <c r="AI390" t="s">
        <v>331</v>
      </c>
      <c r="AJ390" s="43" t="s">
        <v>309</v>
      </c>
      <c r="AK390">
        <v>0</v>
      </c>
    </row>
    <row r="391" spans="31:37" x14ac:dyDescent="0.25">
      <c r="AE391" s="43" t="s">
        <v>70</v>
      </c>
      <c r="AF391" s="43" t="s">
        <v>60</v>
      </c>
      <c r="AG391" s="43" t="s">
        <v>72</v>
      </c>
      <c r="AH391">
        <v>2</v>
      </c>
      <c r="AI391" t="s">
        <v>331</v>
      </c>
      <c r="AJ391" s="43" t="s">
        <v>268</v>
      </c>
      <c r="AK391">
        <v>0</v>
      </c>
    </row>
    <row r="392" spans="31:37" x14ac:dyDescent="0.25">
      <c r="AE392" s="43" t="s">
        <v>70</v>
      </c>
      <c r="AF392" s="43" t="s">
        <v>60</v>
      </c>
      <c r="AG392" s="43" t="s">
        <v>72</v>
      </c>
      <c r="AH392">
        <v>2</v>
      </c>
      <c r="AI392" t="s">
        <v>341</v>
      </c>
      <c r="AJ392" s="43" t="s">
        <v>308</v>
      </c>
      <c r="AK392">
        <v>7.4</v>
      </c>
    </row>
    <row r="393" spans="31:37" x14ac:dyDescent="0.25">
      <c r="AE393" s="43" t="s">
        <v>70</v>
      </c>
      <c r="AF393" s="43" t="s">
        <v>60</v>
      </c>
      <c r="AG393" s="43" t="s">
        <v>72</v>
      </c>
      <c r="AH393">
        <v>2</v>
      </c>
      <c r="AI393" t="s">
        <v>341</v>
      </c>
      <c r="AJ393" s="43" t="s">
        <v>309</v>
      </c>
      <c r="AK393">
        <v>15.350000000000001</v>
      </c>
    </row>
    <row r="394" spans="31:37" x14ac:dyDescent="0.25">
      <c r="AE394" s="43" t="s">
        <v>70</v>
      </c>
      <c r="AF394" s="43" t="s">
        <v>60</v>
      </c>
      <c r="AG394" s="43" t="s">
        <v>72</v>
      </c>
      <c r="AH394">
        <v>2</v>
      </c>
      <c r="AI394" t="s">
        <v>341</v>
      </c>
      <c r="AJ394" s="43" t="s">
        <v>268</v>
      </c>
      <c r="AK394">
        <v>22.75</v>
      </c>
    </row>
    <row r="395" spans="31:37" x14ac:dyDescent="0.25">
      <c r="AE395" s="43" t="s">
        <v>70</v>
      </c>
      <c r="AF395" s="43" t="s">
        <v>60</v>
      </c>
      <c r="AG395" s="43" t="s">
        <v>72</v>
      </c>
      <c r="AH395">
        <v>2</v>
      </c>
      <c r="AI395" t="s">
        <v>273</v>
      </c>
      <c r="AJ395" s="43" t="s">
        <v>308</v>
      </c>
      <c r="AK395">
        <v>0</v>
      </c>
    </row>
    <row r="396" spans="31:37" x14ac:dyDescent="0.25">
      <c r="AE396" s="43" t="s">
        <v>70</v>
      </c>
      <c r="AF396" s="43" t="s">
        <v>60</v>
      </c>
      <c r="AG396" s="43" t="s">
        <v>72</v>
      </c>
      <c r="AH396">
        <v>2</v>
      </c>
      <c r="AI396" t="s">
        <v>273</v>
      </c>
      <c r="AJ396" s="43" t="s">
        <v>309</v>
      </c>
      <c r="AK396">
        <v>0</v>
      </c>
    </row>
    <row r="397" spans="31:37" x14ac:dyDescent="0.25">
      <c r="AE397" s="43" t="s">
        <v>70</v>
      </c>
      <c r="AF397" s="43" t="s">
        <v>60</v>
      </c>
      <c r="AG397" s="43" t="s">
        <v>72</v>
      </c>
      <c r="AH397">
        <v>2</v>
      </c>
      <c r="AI397" t="s">
        <v>273</v>
      </c>
      <c r="AJ397" s="43" t="s">
        <v>268</v>
      </c>
      <c r="AK397">
        <v>0</v>
      </c>
    </row>
    <row r="398" spans="31:37" x14ac:dyDescent="0.25">
      <c r="AE398" s="43" t="s">
        <v>65</v>
      </c>
      <c r="AF398" s="43" t="s">
        <v>60</v>
      </c>
      <c r="AG398" s="43" t="s">
        <v>67</v>
      </c>
      <c r="AH398">
        <v>2</v>
      </c>
      <c r="AI398" t="s">
        <v>317</v>
      </c>
      <c r="AJ398" s="43" t="s">
        <v>308</v>
      </c>
      <c r="AK398">
        <v>0</v>
      </c>
    </row>
    <row r="399" spans="31:37" x14ac:dyDescent="0.25">
      <c r="AE399" s="43" t="s">
        <v>65</v>
      </c>
      <c r="AF399" s="43" t="s">
        <v>60</v>
      </c>
      <c r="AG399" s="43" t="s">
        <v>67</v>
      </c>
      <c r="AH399">
        <v>2</v>
      </c>
      <c r="AI399" t="s">
        <v>317</v>
      </c>
      <c r="AJ399" s="43" t="s">
        <v>309</v>
      </c>
      <c r="AK399">
        <v>0</v>
      </c>
    </row>
    <row r="400" spans="31:37" x14ac:dyDescent="0.25">
      <c r="AE400" s="43" t="s">
        <v>65</v>
      </c>
      <c r="AF400" s="43" t="s">
        <v>60</v>
      </c>
      <c r="AG400" s="43" t="s">
        <v>67</v>
      </c>
      <c r="AH400">
        <v>2</v>
      </c>
      <c r="AI400" t="s">
        <v>317</v>
      </c>
      <c r="AJ400" s="43" t="s">
        <v>268</v>
      </c>
      <c r="AK400">
        <v>0</v>
      </c>
    </row>
    <row r="401" spans="31:37" x14ac:dyDescent="0.25">
      <c r="AE401" s="43" t="s">
        <v>65</v>
      </c>
      <c r="AF401" s="43" t="s">
        <v>60</v>
      </c>
      <c r="AG401" s="43" t="s">
        <v>67</v>
      </c>
      <c r="AH401">
        <v>2</v>
      </c>
      <c r="AI401" t="s">
        <v>325</v>
      </c>
      <c r="AJ401" s="43" t="s">
        <v>308</v>
      </c>
      <c r="AK401">
        <v>3.6</v>
      </c>
    </row>
    <row r="402" spans="31:37" x14ac:dyDescent="0.25">
      <c r="AE402" s="43" t="s">
        <v>65</v>
      </c>
      <c r="AF402" s="43" t="s">
        <v>60</v>
      </c>
      <c r="AG402" s="43" t="s">
        <v>67</v>
      </c>
      <c r="AH402">
        <v>2</v>
      </c>
      <c r="AI402" t="s">
        <v>325</v>
      </c>
      <c r="AJ402" s="43" t="s">
        <v>309</v>
      </c>
      <c r="AK402">
        <v>7.1</v>
      </c>
    </row>
    <row r="403" spans="31:37" x14ac:dyDescent="0.25">
      <c r="AE403" s="43" t="s">
        <v>65</v>
      </c>
      <c r="AF403" s="43" t="s">
        <v>60</v>
      </c>
      <c r="AG403" s="43" t="s">
        <v>67</v>
      </c>
      <c r="AH403">
        <v>2</v>
      </c>
      <c r="AI403" t="s">
        <v>325</v>
      </c>
      <c r="AJ403" s="43" t="s">
        <v>268</v>
      </c>
      <c r="AK403">
        <v>10.7</v>
      </c>
    </row>
    <row r="404" spans="31:37" x14ac:dyDescent="0.25">
      <c r="AE404" s="43" t="s">
        <v>65</v>
      </c>
      <c r="AF404" s="43" t="s">
        <v>60</v>
      </c>
      <c r="AG404" s="43" t="s">
        <v>67</v>
      </c>
      <c r="AH404">
        <v>2</v>
      </c>
      <c r="AI404" t="s">
        <v>330</v>
      </c>
      <c r="AJ404" s="43" t="s">
        <v>308</v>
      </c>
      <c r="AK404">
        <v>0</v>
      </c>
    </row>
    <row r="405" spans="31:37" x14ac:dyDescent="0.25">
      <c r="AE405" s="43" t="s">
        <v>65</v>
      </c>
      <c r="AF405" s="43" t="s">
        <v>60</v>
      </c>
      <c r="AG405" s="43" t="s">
        <v>67</v>
      </c>
      <c r="AH405">
        <v>2</v>
      </c>
      <c r="AI405" t="s">
        <v>330</v>
      </c>
      <c r="AJ405" s="43" t="s">
        <v>309</v>
      </c>
      <c r="AK405">
        <v>0</v>
      </c>
    </row>
    <row r="406" spans="31:37" x14ac:dyDescent="0.25">
      <c r="AE406" s="43" t="s">
        <v>65</v>
      </c>
      <c r="AF406" s="43" t="s">
        <v>60</v>
      </c>
      <c r="AG406" s="43" t="s">
        <v>67</v>
      </c>
      <c r="AH406">
        <v>2</v>
      </c>
      <c r="AI406" t="s">
        <v>330</v>
      </c>
      <c r="AJ406" s="43" t="s">
        <v>268</v>
      </c>
      <c r="AK406">
        <v>0</v>
      </c>
    </row>
    <row r="407" spans="31:37" x14ac:dyDescent="0.25">
      <c r="AE407" s="43" t="s">
        <v>65</v>
      </c>
      <c r="AF407" s="43" t="s">
        <v>60</v>
      </c>
      <c r="AG407" s="43" t="s">
        <v>67</v>
      </c>
      <c r="AH407">
        <v>2</v>
      </c>
      <c r="AI407" t="s">
        <v>331</v>
      </c>
      <c r="AJ407" s="43" t="s">
        <v>308</v>
      </c>
      <c r="AK407">
        <v>3.6</v>
      </c>
    </row>
    <row r="408" spans="31:37" x14ac:dyDescent="0.25">
      <c r="AE408" s="43" t="s">
        <v>65</v>
      </c>
      <c r="AF408" s="43" t="s">
        <v>60</v>
      </c>
      <c r="AG408" s="43" t="s">
        <v>67</v>
      </c>
      <c r="AH408">
        <v>2</v>
      </c>
      <c r="AI408" t="s">
        <v>331</v>
      </c>
      <c r="AJ408" s="43" t="s">
        <v>309</v>
      </c>
      <c r="AK408">
        <v>8.3000000000000007</v>
      </c>
    </row>
    <row r="409" spans="31:37" x14ac:dyDescent="0.25">
      <c r="AE409" s="43" t="s">
        <v>65</v>
      </c>
      <c r="AF409" s="43" t="s">
        <v>60</v>
      </c>
      <c r="AG409" s="43" t="s">
        <v>67</v>
      </c>
      <c r="AH409">
        <v>2</v>
      </c>
      <c r="AI409" t="s">
        <v>331</v>
      </c>
      <c r="AJ409" s="43" t="s">
        <v>268</v>
      </c>
      <c r="AK409">
        <v>11.9</v>
      </c>
    </row>
    <row r="410" spans="31:37" x14ac:dyDescent="0.25">
      <c r="AE410" s="43" t="s">
        <v>65</v>
      </c>
      <c r="AF410" s="43" t="s">
        <v>60</v>
      </c>
      <c r="AG410" s="43" t="s">
        <v>67</v>
      </c>
      <c r="AH410">
        <v>2</v>
      </c>
      <c r="AI410" t="s">
        <v>341</v>
      </c>
      <c r="AJ410" s="43" t="s">
        <v>308</v>
      </c>
      <c r="AK410">
        <v>7.2</v>
      </c>
    </row>
    <row r="411" spans="31:37" x14ac:dyDescent="0.25">
      <c r="AE411" s="43" t="s">
        <v>65</v>
      </c>
      <c r="AF411" s="43" t="s">
        <v>60</v>
      </c>
      <c r="AG411" s="43" t="s">
        <v>67</v>
      </c>
      <c r="AH411">
        <v>2</v>
      </c>
      <c r="AI411" t="s">
        <v>341</v>
      </c>
      <c r="AJ411" s="43" t="s">
        <v>309</v>
      </c>
      <c r="AK411">
        <v>15.4</v>
      </c>
    </row>
    <row r="412" spans="31:37" x14ac:dyDescent="0.25">
      <c r="AE412" s="43" t="s">
        <v>65</v>
      </c>
      <c r="AF412" s="43" t="s">
        <v>60</v>
      </c>
      <c r="AG412" s="43" t="s">
        <v>67</v>
      </c>
      <c r="AH412">
        <v>2</v>
      </c>
      <c r="AI412" t="s">
        <v>341</v>
      </c>
      <c r="AJ412" s="43" t="s">
        <v>268</v>
      </c>
      <c r="AK412">
        <v>22.6</v>
      </c>
    </row>
    <row r="413" spans="31:37" x14ac:dyDescent="0.25">
      <c r="AE413" s="43" t="s">
        <v>65</v>
      </c>
      <c r="AF413" s="43" t="s">
        <v>60</v>
      </c>
      <c r="AG413" s="43" t="s">
        <v>67</v>
      </c>
      <c r="AH413">
        <v>2</v>
      </c>
      <c r="AI413" t="s">
        <v>273</v>
      </c>
      <c r="AJ413" s="43" t="s">
        <v>308</v>
      </c>
      <c r="AK413">
        <v>0</v>
      </c>
    </row>
    <row r="414" spans="31:37" x14ac:dyDescent="0.25">
      <c r="AE414" s="43" t="s">
        <v>65</v>
      </c>
      <c r="AF414" s="43" t="s">
        <v>60</v>
      </c>
      <c r="AG414" s="43" t="s">
        <v>67</v>
      </c>
      <c r="AH414">
        <v>2</v>
      </c>
      <c r="AI414" t="s">
        <v>273</v>
      </c>
      <c r="AJ414" s="43" t="s">
        <v>309</v>
      </c>
      <c r="AK414">
        <v>0</v>
      </c>
    </row>
    <row r="415" spans="31:37" x14ac:dyDescent="0.25">
      <c r="AE415" s="43" t="s">
        <v>65</v>
      </c>
      <c r="AF415" s="43" t="s">
        <v>60</v>
      </c>
      <c r="AG415" s="43" t="s">
        <v>67</v>
      </c>
      <c r="AH415">
        <v>2</v>
      </c>
      <c r="AI415" t="s">
        <v>273</v>
      </c>
      <c r="AJ415" s="43" t="s">
        <v>268</v>
      </c>
      <c r="AK415">
        <v>0</v>
      </c>
    </row>
    <row r="416" spans="31:37" x14ac:dyDescent="0.25">
      <c r="AE416" s="43" t="s">
        <v>50</v>
      </c>
      <c r="AF416" s="43" t="s">
        <v>26</v>
      </c>
      <c r="AG416" s="43" t="s">
        <v>36</v>
      </c>
      <c r="AH416">
        <v>2</v>
      </c>
      <c r="AI416" t="s">
        <v>317</v>
      </c>
      <c r="AJ416" s="43" t="s">
        <v>308</v>
      </c>
      <c r="AK416">
        <v>0</v>
      </c>
    </row>
    <row r="417" spans="31:37" x14ac:dyDescent="0.25">
      <c r="AE417" s="43" t="s">
        <v>50</v>
      </c>
      <c r="AF417" s="43" t="s">
        <v>26</v>
      </c>
      <c r="AG417" s="43" t="s">
        <v>36</v>
      </c>
      <c r="AH417">
        <v>2</v>
      </c>
      <c r="AI417" t="s">
        <v>317</v>
      </c>
      <c r="AJ417" s="43" t="s">
        <v>309</v>
      </c>
      <c r="AK417">
        <v>0</v>
      </c>
    </row>
    <row r="418" spans="31:37" x14ac:dyDescent="0.25">
      <c r="AE418" s="43" t="s">
        <v>50</v>
      </c>
      <c r="AF418" s="43" t="s">
        <v>26</v>
      </c>
      <c r="AG418" s="43" t="s">
        <v>36</v>
      </c>
      <c r="AH418">
        <v>2</v>
      </c>
      <c r="AI418" t="s">
        <v>317</v>
      </c>
      <c r="AJ418" s="43" t="s">
        <v>268</v>
      </c>
      <c r="AK418">
        <v>0</v>
      </c>
    </row>
    <row r="419" spans="31:37" x14ac:dyDescent="0.25">
      <c r="AE419" s="43" t="s">
        <v>50</v>
      </c>
      <c r="AF419" s="43" t="s">
        <v>26</v>
      </c>
      <c r="AG419" s="43" t="s">
        <v>36</v>
      </c>
      <c r="AH419">
        <v>2</v>
      </c>
      <c r="AI419" t="s">
        <v>325</v>
      </c>
      <c r="AJ419" s="43" t="s">
        <v>308</v>
      </c>
      <c r="AK419">
        <v>2.7</v>
      </c>
    </row>
    <row r="420" spans="31:37" x14ac:dyDescent="0.25">
      <c r="AE420" s="43" t="s">
        <v>50</v>
      </c>
      <c r="AF420" s="43" t="s">
        <v>26</v>
      </c>
      <c r="AG420" s="43" t="s">
        <v>36</v>
      </c>
      <c r="AH420">
        <v>2</v>
      </c>
      <c r="AI420" t="s">
        <v>325</v>
      </c>
      <c r="AJ420" s="43" t="s">
        <v>309</v>
      </c>
      <c r="AK420">
        <v>8</v>
      </c>
    </row>
    <row r="421" spans="31:37" x14ac:dyDescent="0.25">
      <c r="AE421" s="43" t="s">
        <v>50</v>
      </c>
      <c r="AF421" s="43" t="s">
        <v>26</v>
      </c>
      <c r="AG421" s="43" t="s">
        <v>36</v>
      </c>
      <c r="AH421">
        <v>2</v>
      </c>
      <c r="AI421" t="s">
        <v>325</v>
      </c>
      <c r="AJ421" s="43" t="s">
        <v>268</v>
      </c>
      <c r="AK421">
        <v>10.7</v>
      </c>
    </row>
    <row r="422" spans="31:37" x14ac:dyDescent="0.25">
      <c r="AE422" s="43" t="s">
        <v>50</v>
      </c>
      <c r="AF422" s="43" t="s">
        <v>26</v>
      </c>
      <c r="AG422" s="43" t="s">
        <v>36</v>
      </c>
      <c r="AH422">
        <v>2</v>
      </c>
      <c r="AI422" t="s">
        <v>330</v>
      </c>
      <c r="AJ422" s="43" t="s">
        <v>308</v>
      </c>
      <c r="AK422">
        <v>2.7</v>
      </c>
    </row>
    <row r="423" spans="31:37" x14ac:dyDescent="0.25">
      <c r="AE423" s="43" t="s">
        <v>50</v>
      </c>
      <c r="AF423" s="43" t="s">
        <v>26</v>
      </c>
      <c r="AG423" s="43" t="s">
        <v>36</v>
      </c>
      <c r="AH423">
        <v>2</v>
      </c>
      <c r="AI423" t="s">
        <v>330</v>
      </c>
      <c r="AJ423" s="43" t="s">
        <v>309</v>
      </c>
      <c r="AK423">
        <v>9.1</v>
      </c>
    </row>
    <row r="424" spans="31:37" x14ac:dyDescent="0.25">
      <c r="AE424" s="43" t="s">
        <v>50</v>
      </c>
      <c r="AF424" s="43" t="s">
        <v>26</v>
      </c>
      <c r="AG424" s="43" t="s">
        <v>36</v>
      </c>
      <c r="AH424">
        <v>2</v>
      </c>
      <c r="AI424" t="s">
        <v>330</v>
      </c>
      <c r="AJ424" s="43" t="s">
        <v>268</v>
      </c>
      <c r="AK424">
        <v>11.8</v>
      </c>
    </row>
    <row r="425" spans="31:37" x14ac:dyDescent="0.25">
      <c r="AE425" s="43" t="s">
        <v>50</v>
      </c>
      <c r="AF425" s="43" t="s">
        <v>26</v>
      </c>
      <c r="AG425" s="43" t="s">
        <v>36</v>
      </c>
      <c r="AH425">
        <v>2</v>
      </c>
      <c r="AI425" t="s">
        <v>331</v>
      </c>
      <c r="AJ425" s="43" t="s">
        <v>308</v>
      </c>
      <c r="AK425">
        <v>0</v>
      </c>
    </row>
    <row r="426" spans="31:37" x14ac:dyDescent="0.25">
      <c r="AE426" s="43" t="s">
        <v>50</v>
      </c>
      <c r="AF426" s="43" t="s">
        <v>26</v>
      </c>
      <c r="AG426" s="43" t="s">
        <v>36</v>
      </c>
      <c r="AH426">
        <v>2</v>
      </c>
      <c r="AI426" t="s">
        <v>331</v>
      </c>
      <c r="AJ426" s="43" t="s">
        <v>309</v>
      </c>
      <c r="AK426">
        <v>0</v>
      </c>
    </row>
    <row r="427" spans="31:37" x14ac:dyDescent="0.25">
      <c r="AE427" s="43" t="s">
        <v>50</v>
      </c>
      <c r="AF427" s="43" t="s">
        <v>26</v>
      </c>
      <c r="AG427" s="43" t="s">
        <v>36</v>
      </c>
      <c r="AH427">
        <v>2</v>
      </c>
      <c r="AI427" t="s">
        <v>331</v>
      </c>
      <c r="AJ427" s="43" t="s">
        <v>268</v>
      </c>
      <c r="AK427">
        <v>0</v>
      </c>
    </row>
    <row r="428" spans="31:37" x14ac:dyDescent="0.25">
      <c r="AE428" s="43" t="s">
        <v>50</v>
      </c>
      <c r="AF428" s="43" t="s">
        <v>26</v>
      </c>
      <c r="AG428" s="43" t="s">
        <v>36</v>
      </c>
      <c r="AH428">
        <v>2</v>
      </c>
      <c r="AI428" t="s">
        <v>341</v>
      </c>
      <c r="AJ428" s="43" t="s">
        <v>308</v>
      </c>
      <c r="AK428">
        <v>5.4</v>
      </c>
    </row>
    <row r="429" spans="31:37" x14ac:dyDescent="0.25">
      <c r="AE429" s="43" t="s">
        <v>50</v>
      </c>
      <c r="AF429" s="43" t="s">
        <v>26</v>
      </c>
      <c r="AG429" s="43" t="s">
        <v>36</v>
      </c>
      <c r="AH429">
        <v>2</v>
      </c>
      <c r="AI429" t="s">
        <v>341</v>
      </c>
      <c r="AJ429" s="43" t="s">
        <v>309</v>
      </c>
      <c r="AK429">
        <v>17.100000000000001</v>
      </c>
    </row>
    <row r="430" spans="31:37" x14ac:dyDescent="0.25">
      <c r="AE430" s="43" t="s">
        <v>50</v>
      </c>
      <c r="AF430" s="43" t="s">
        <v>26</v>
      </c>
      <c r="AG430" s="43" t="s">
        <v>36</v>
      </c>
      <c r="AH430">
        <v>2</v>
      </c>
      <c r="AI430" t="s">
        <v>341</v>
      </c>
      <c r="AJ430" s="43" t="s">
        <v>268</v>
      </c>
      <c r="AK430">
        <v>22.5</v>
      </c>
    </row>
    <row r="431" spans="31:37" x14ac:dyDescent="0.25">
      <c r="AE431" s="43" t="s">
        <v>50</v>
      </c>
      <c r="AF431" s="43" t="s">
        <v>26</v>
      </c>
      <c r="AG431" s="43" t="s">
        <v>36</v>
      </c>
      <c r="AH431">
        <v>2</v>
      </c>
      <c r="AI431" t="s">
        <v>273</v>
      </c>
      <c r="AJ431" s="43" t="s">
        <v>308</v>
      </c>
      <c r="AK431">
        <v>0</v>
      </c>
    </row>
    <row r="432" spans="31:37" x14ac:dyDescent="0.25">
      <c r="AE432" s="43" t="s">
        <v>50</v>
      </c>
      <c r="AF432" s="43" t="s">
        <v>26</v>
      </c>
      <c r="AG432" s="43" t="s">
        <v>36</v>
      </c>
      <c r="AH432">
        <v>2</v>
      </c>
      <c r="AI432" t="s">
        <v>273</v>
      </c>
      <c r="AJ432" s="43" t="s">
        <v>309</v>
      </c>
      <c r="AK432">
        <v>0</v>
      </c>
    </row>
    <row r="433" spans="31:37" x14ac:dyDescent="0.25">
      <c r="AE433" s="43" t="s">
        <v>50</v>
      </c>
      <c r="AF433" s="43" t="s">
        <v>26</v>
      </c>
      <c r="AG433" s="43" t="s">
        <v>36</v>
      </c>
      <c r="AH433">
        <v>2</v>
      </c>
      <c r="AI433" t="s">
        <v>273</v>
      </c>
      <c r="AJ433" s="43" t="s">
        <v>268</v>
      </c>
      <c r="AK433">
        <v>0</v>
      </c>
    </row>
    <row r="434" spans="31:37" x14ac:dyDescent="0.25">
      <c r="AE434" s="43" t="s">
        <v>116</v>
      </c>
      <c r="AF434" s="43" t="s">
        <v>60</v>
      </c>
      <c r="AG434" s="43" t="s">
        <v>62</v>
      </c>
      <c r="AH434">
        <v>2</v>
      </c>
      <c r="AI434" t="s">
        <v>317</v>
      </c>
      <c r="AJ434" s="43" t="s">
        <v>308</v>
      </c>
      <c r="AK434">
        <v>0</v>
      </c>
    </row>
    <row r="435" spans="31:37" x14ac:dyDescent="0.25">
      <c r="AE435" s="43" t="s">
        <v>116</v>
      </c>
      <c r="AF435" s="43" t="s">
        <v>60</v>
      </c>
      <c r="AG435" s="43" t="s">
        <v>62</v>
      </c>
      <c r="AH435">
        <v>2</v>
      </c>
      <c r="AI435" t="s">
        <v>317</v>
      </c>
      <c r="AJ435" s="43" t="s">
        <v>309</v>
      </c>
      <c r="AK435">
        <v>0</v>
      </c>
    </row>
    <row r="436" spans="31:37" x14ac:dyDescent="0.25">
      <c r="AE436" s="43" t="s">
        <v>116</v>
      </c>
      <c r="AF436" s="43" t="s">
        <v>60</v>
      </c>
      <c r="AG436" s="43" t="s">
        <v>62</v>
      </c>
      <c r="AH436">
        <v>2</v>
      </c>
      <c r="AI436" t="s">
        <v>317</v>
      </c>
      <c r="AJ436" s="43" t="s">
        <v>268</v>
      </c>
      <c r="AK436">
        <v>0</v>
      </c>
    </row>
    <row r="437" spans="31:37" x14ac:dyDescent="0.25">
      <c r="AE437" s="43" t="s">
        <v>116</v>
      </c>
      <c r="AF437" s="43" t="s">
        <v>60</v>
      </c>
      <c r="AG437" s="43" t="s">
        <v>62</v>
      </c>
      <c r="AH437">
        <v>2</v>
      </c>
      <c r="AI437" t="s">
        <v>325</v>
      </c>
      <c r="AJ437" s="43" t="s">
        <v>308</v>
      </c>
      <c r="AK437">
        <v>0</v>
      </c>
    </row>
    <row r="438" spans="31:37" x14ac:dyDescent="0.25">
      <c r="AE438" s="43" t="s">
        <v>116</v>
      </c>
      <c r="AF438" s="43" t="s">
        <v>60</v>
      </c>
      <c r="AG438" s="43" t="s">
        <v>62</v>
      </c>
      <c r="AH438">
        <v>2</v>
      </c>
      <c r="AI438" t="s">
        <v>325</v>
      </c>
      <c r="AJ438" s="43" t="s">
        <v>309</v>
      </c>
      <c r="AK438">
        <v>0</v>
      </c>
    </row>
    <row r="439" spans="31:37" x14ac:dyDescent="0.25">
      <c r="AE439" s="43" t="s">
        <v>116</v>
      </c>
      <c r="AF439" s="43" t="s">
        <v>60</v>
      </c>
      <c r="AG439" s="43" t="s">
        <v>62</v>
      </c>
      <c r="AH439">
        <v>2</v>
      </c>
      <c r="AI439" t="s">
        <v>325</v>
      </c>
      <c r="AJ439" s="43" t="s">
        <v>268</v>
      </c>
      <c r="AK439">
        <v>0</v>
      </c>
    </row>
    <row r="440" spans="31:37" x14ac:dyDescent="0.25">
      <c r="AE440" s="43" t="s">
        <v>116</v>
      </c>
      <c r="AF440" s="43" t="s">
        <v>60</v>
      </c>
      <c r="AG440" s="43" t="s">
        <v>62</v>
      </c>
      <c r="AH440">
        <v>2</v>
      </c>
      <c r="AI440" t="s">
        <v>330</v>
      </c>
      <c r="AJ440" s="43" t="s">
        <v>308</v>
      </c>
      <c r="AK440">
        <v>4.5999999999999996</v>
      </c>
    </row>
    <row r="441" spans="31:37" x14ac:dyDescent="0.25">
      <c r="AE441" s="43" t="s">
        <v>116</v>
      </c>
      <c r="AF441" s="43" t="s">
        <v>60</v>
      </c>
      <c r="AG441" s="43" t="s">
        <v>62</v>
      </c>
      <c r="AH441">
        <v>2</v>
      </c>
      <c r="AI441" t="s">
        <v>330</v>
      </c>
      <c r="AJ441" s="43" t="s">
        <v>309</v>
      </c>
      <c r="AK441">
        <v>6.65</v>
      </c>
    </row>
    <row r="442" spans="31:37" x14ac:dyDescent="0.25">
      <c r="AE442" s="43" t="s">
        <v>116</v>
      </c>
      <c r="AF442" s="43" t="s">
        <v>60</v>
      </c>
      <c r="AG442" s="43" t="s">
        <v>62</v>
      </c>
      <c r="AH442">
        <v>2</v>
      </c>
      <c r="AI442" t="s">
        <v>330</v>
      </c>
      <c r="AJ442" s="43" t="s">
        <v>268</v>
      </c>
      <c r="AK442">
        <v>11.25</v>
      </c>
    </row>
    <row r="443" spans="31:37" x14ac:dyDescent="0.25">
      <c r="AE443" s="43" t="s">
        <v>116</v>
      </c>
      <c r="AF443" s="43" t="s">
        <v>60</v>
      </c>
      <c r="AG443" s="43" t="s">
        <v>62</v>
      </c>
      <c r="AH443">
        <v>2</v>
      </c>
      <c r="AI443" t="s">
        <v>331</v>
      </c>
      <c r="AJ443" s="43" t="s">
        <v>308</v>
      </c>
      <c r="AK443">
        <v>4.8</v>
      </c>
    </row>
    <row r="444" spans="31:37" x14ac:dyDescent="0.25">
      <c r="AE444" s="43" t="s">
        <v>116</v>
      </c>
      <c r="AF444" s="43" t="s">
        <v>60</v>
      </c>
      <c r="AG444" s="43" t="s">
        <v>62</v>
      </c>
      <c r="AH444">
        <v>2</v>
      </c>
      <c r="AI444" t="s">
        <v>331</v>
      </c>
      <c r="AJ444" s="43" t="s">
        <v>309</v>
      </c>
      <c r="AK444">
        <v>6.3</v>
      </c>
    </row>
    <row r="445" spans="31:37" x14ac:dyDescent="0.25">
      <c r="AE445" s="43" t="s">
        <v>116</v>
      </c>
      <c r="AF445" s="43" t="s">
        <v>60</v>
      </c>
      <c r="AG445" s="43" t="s">
        <v>62</v>
      </c>
      <c r="AH445">
        <v>2</v>
      </c>
      <c r="AI445" t="s">
        <v>331</v>
      </c>
      <c r="AJ445" s="43" t="s">
        <v>268</v>
      </c>
      <c r="AK445">
        <v>11.1</v>
      </c>
    </row>
    <row r="446" spans="31:37" x14ac:dyDescent="0.25">
      <c r="AE446" s="43" t="s">
        <v>116</v>
      </c>
      <c r="AF446" s="43" t="s">
        <v>60</v>
      </c>
      <c r="AG446" s="43" t="s">
        <v>62</v>
      </c>
      <c r="AH446">
        <v>2</v>
      </c>
      <c r="AI446" t="s">
        <v>341</v>
      </c>
      <c r="AJ446" s="43" t="s">
        <v>308</v>
      </c>
      <c r="AK446">
        <v>9.3999999999999986</v>
      </c>
    </row>
    <row r="447" spans="31:37" x14ac:dyDescent="0.25">
      <c r="AE447" s="43" t="s">
        <v>116</v>
      </c>
      <c r="AF447" s="43" t="s">
        <v>60</v>
      </c>
      <c r="AG447" s="43" t="s">
        <v>62</v>
      </c>
      <c r="AH447">
        <v>2</v>
      </c>
      <c r="AI447" t="s">
        <v>341</v>
      </c>
      <c r="AJ447" s="43" t="s">
        <v>309</v>
      </c>
      <c r="AK447">
        <v>12.95</v>
      </c>
    </row>
    <row r="448" spans="31:37" x14ac:dyDescent="0.25">
      <c r="AE448" s="43" t="s">
        <v>116</v>
      </c>
      <c r="AF448" s="43" t="s">
        <v>60</v>
      </c>
      <c r="AG448" s="43" t="s">
        <v>62</v>
      </c>
      <c r="AH448">
        <v>2</v>
      </c>
      <c r="AI448" t="s">
        <v>341</v>
      </c>
      <c r="AJ448" s="43" t="s">
        <v>268</v>
      </c>
      <c r="AK448">
        <v>22.35</v>
      </c>
    </row>
    <row r="449" spans="31:37" x14ac:dyDescent="0.25">
      <c r="AE449" s="43" t="s">
        <v>116</v>
      </c>
      <c r="AF449" s="43" t="s">
        <v>60</v>
      </c>
      <c r="AG449" s="43" t="s">
        <v>62</v>
      </c>
      <c r="AH449">
        <v>2</v>
      </c>
      <c r="AI449" t="s">
        <v>273</v>
      </c>
      <c r="AJ449" s="43" t="s">
        <v>308</v>
      </c>
      <c r="AK449">
        <v>0</v>
      </c>
    </row>
    <row r="450" spans="31:37" x14ac:dyDescent="0.25">
      <c r="AE450" s="43" t="s">
        <v>116</v>
      </c>
      <c r="AF450" s="43" t="s">
        <v>60</v>
      </c>
      <c r="AG450" s="43" t="s">
        <v>62</v>
      </c>
      <c r="AH450">
        <v>2</v>
      </c>
      <c r="AI450" t="s">
        <v>273</v>
      </c>
      <c r="AJ450" s="43" t="s">
        <v>309</v>
      </c>
      <c r="AK450">
        <v>0</v>
      </c>
    </row>
    <row r="451" spans="31:37" x14ac:dyDescent="0.25">
      <c r="AE451" s="43" t="s">
        <v>116</v>
      </c>
      <c r="AF451" s="43" t="s">
        <v>60</v>
      </c>
      <c r="AG451" s="43" t="s">
        <v>62</v>
      </c>
      <c r="AH451">
        <v>2</v>
      </c>
      <c r="AI451" t="s">
        <v>273</v>
      </c>
      <c r="AJ451" s="43" t="s">
        <v>268</v>
      </c>
      <c r="AK451">
        <v>0</v>
      </c>
    </row>
    <row r="452" spans="31:37" x14ac:dyDescent="0.25">
      <c r="AE452" s="43" t="s">
        <v>112</v>
      </c>
      <c r="AF452" s="43" t="s">
        <v>26</v>
      </c>
      <c r="AG452" s="43" t="s">
        <v>31</v>
      </c>
      <c r="AH452">
        <v>2</v>
      </c>
      <c r="AI452" t="s">
        <v>317</v>
      </c>
      <c r="AJ452" s="43" t="s">
        <v>308</v>
      </c>
      <c r="AK452">
        <v>3.4</v>
      </c>
    </row>
    <row r="453" spans="31:37" x14ac:dyDescent="0.25">
      <c r="AE453" s="43" t="s">
        <v>112</v>
      </c>
      <c r="AF453" s="43" t="s">
        <v>26</v>
      </c>
      <c r="AG453" s="43" t="s">
        <v>31</v>
      </c>
      <c r="AH453">
        <v>2</v>
      </c>
      <c r="AI453" t="s">
        <v>317</v>
      </c>
      <c r="AJ453" s="43" t="s">
        <v>309</v>
      </c>
      <c r="AK453">
        <v>7.8</v>
      </c>
    </row>
    <row r="454" spans="31:37" x14ac:dyDescent="0.25">
      <c r="AE454" s="43" t="s">
        <v>112</v>
      </c>
      <c r="AF454" s="43" t="s">
        <v>26</v>
      </c>
      <c r="AG454" s="43" t="s">
        <v>31</v>
      </c>
      <c r="AH454">
        <v>2</v>
      </c>
      <c r="AI454" t="s">
        <v>317</v>
      </c>
      <c r="AJ454" s="43" t="s">
        <v>268</v>
      </c>
      <c r="AK454">
        <v>11.2</v>
      </c>
    </row>
    <row r="455" spans="31:37" x14ac:dyDescent="0.25">
      <c r="AE455" s="43" t="s">
        <v>112</v>
      </c>
      <c r="AF455" s="43" t="s">
        <v>26</v>
      </c>
      <c r="AG455" s="43" t="s">
        <v>31</v>
      </c>
      <c r="AH455">
        <v>2</v>
      </c>
      <c r="AI455" t="s">
        <v>325</v>
      </c>
      <c r="AJ455" s="43" t="s">
        <v>308</v>
      </c>
      <c r="AK455">
        <v>0</v>
      </c>
    </row>
    <row r="456" spans="31:37" x14ac:dyDescent="0.25">
      <c r="AE456" s="43" t="s">
        <v>112</v>
      </c>
      <c r="AF456" s="43" t="s">
        <v>26</v>
      </c>
      <c r="AG456" s="43" t="s">
        <v>31</v>
      </c>
      <c r="AH456">
        <v>2</v>
      </c>
      <c r="AI456" t="s">
        <v>325</v>
      </c>
      <c r="AJ456" s="43" t="s">
        <v>309</v>
      </c>
      <c r="AK456">
        <v>0</v>
      </c>
    </row>
    <row r="457" spans="31:37" x14ac:dyDescent="0.25">
      <c r="AE457" s="43" t="s">
        <v>112</v>
      </c>
      <c r="AF457" s="43" t="s">
        <v>26</v>
      </c>
      <c r="AG457" s="43" t="s">
        <v>31</v>
      </c>
      <c r="AH457">
        <v>2</v>
      </c>
      <c r="AI457" t="s">
        <v>325</v>
      </c>
      <c r="AJ457" s="43" t="s">
        <v>268</v>
      </c>
      <c r="AK457">
        <v>0</v>
      </c>
    </row>
    <row r="458" spans="31:37" x14ac:dyDescent="0.25">
      <c r="AE458" s="43" t="s">
        <v>112</v>
      </c>
      <c r="AF458" s="43" t="s">
        <v>26</v>
      </c>
      <c r="AG458" s="43" t="s">
        <v>31</v>
      </c>
      <c r="AH458">
        <v>2</v>
      </c>
      <c r="AI458" t="s">
        <v>330</v>
      </c>
      <c r="AJ458" s="43" t="s">
        <v>308</v>
      </c>
      <c r="AK458">
        <v>0</v>
      </c>
    </row>
    <row r="459" spans="31:37" x14ac:dyDescent="0.25">
      <c r="AE459" s="43" t="s">
        <v>112</v>
      </c>
      <c r="AF459" s="43" t="s">
        <v>26</v>
      </c>
      <c r="AG459" s="43" t="s">
        <v>31</v>
      </c>
      <c r="AH459">
        <v>2</v>
      </c>
      <c r="AI459" t="s">
        <v>330</v>
      </c>
      <c r="AJ459" s="43" t="s">
        <v>309</v>
      </c>
      <c r="AK459">
        <v>0</v>
      </c>
    </row>
    <row r="460" spans="31:37" x14ac:dyDescent="0.25">
      <c r="AE460" s="43" t="s">
        <v>112</v>
      </c>
      <c r="AF460" s="43" t="s">
        <v>26</v>
      </c>
      <c r="AG460" s="43" t="s">
        <v>31</v>
      </c>
      <c r="AH460">
        <v>2</v>
      </c>
      <c r="AI460" t="s">
        <v>330</v>
      </c>
      <c r="AJ460" s="43" t="s">
        <v>268</v>
      </c>
      <c r="AK460">
        <v>0</v>
      </c>
    </row>
    <row r="461" spans="31:37" x14ac:dyDescent="0.25">
      <c r="AE461" s="43" t="s">
        <v>112</v>
      </c>
      <c r="AF461" s="43" t="s">
        <v>26</v>
      </c>
      <c r="AG461" s="43" t="s">
        <v>31</v>
      </c>
      <c r="AH461">
        <v>2</v>
      </c>
      <c r="AI461" t="s">
        <v>331</v>
      </c>
      <c r="AJ461" s="43" t="s">
        <v>308</v>
      </c>
      <c r="AK461">
        <v>3.2</v>
      </c>
    </row>
    <row r="462" spans="31:37" x14ac:dyDescent="0.25">
      <c r="AE462" s="43" t="s">
        <v>112</v>
      </c>
      <c r="AF462" s="43" t="s">
        <v>26</v>
      </c>
      <c r="AG462" s="43" t="s">
        <v>31</v>
      </c>
      <c r="AH462">
        <v>2</v>
      </c>
      <c r="AI462" t="s">
        <v>331</v>
      </c>
      <c r="AJ462" s="43" t="s">
        <v>309</v>
      </c>
      <c r="AK462">
        <v>7.5</v>
      </c>
    </row>
    <row r="463" spans="31:37" x14ac:dyDescent="0.25">
      <c r="AE463" s="43" t="s">
        <v>112</v>
      </c>
      <c r="AF463" s="43" t="s">
        <v>26</v>
      </c>
      <c r="AG463" s="43" t="s">
        <v>31</v>
      </c>
      <c r="AH463">
        <v>2</v>
      </c>
      <c r="AI463" t="s">
        <v>331</v>
      </c>
      <c r="AJ463" s="43" t="s">
        <v>268</v>
      </c>
      <c r="AK463">
        <v>10.7</v>
      </c>
    </row>
    <row r="464" spans="31:37" x14ac:dyDescent="0.25">
      <c r="AE464" s="43" t="s">
        <v>112</v>
      </c>
      <c r="AF464" s="43" t="s">
        <v>26</v>
      </c>
      <c r="AG464" s="43" t="s">
        <v>31</v>
      </c>
      <c r="AH464">
        <v>2</v>
      </c>
      <c r="AI464" t="s">
        <v>341</v>
      </c>
      <c r="AJ464" s="43" t="s">
        <v>308</v>
      </c>
      <c r="AK464">
        <v>6.6</v>
      </c>
    </row>
    <row r="465" spans="31:37" x14ac:dyDescent="0.25">
      <c r="AE465" s="43" t="s">
        <v>112</v>
      </c>
      <c r="AF465" s="43" t="s">
        <v>26</v>
      </c>
      <c r="AG465" s="43" t="s">
        <v>31</v>
      </c>
      <c r="AH465">
        <v>2</v>
      </c>
      <c r="AI465" t="s">
        <v>341</v>
      </c>
      <c r="AJ465" s="43" t="s">
        <v>309</v>
      </c>
      <c r="AK465">
        <v>15.3</v>
      </c>
    </row>
    <row r="466" spans="31:37" x14ac:dyDescent="0.25">
      <c r="AE466" s="43" t="s">
        <v>112</v>
      </c>
      <c r="AF466" s="43" t="s">
        <v>26</v>
      </c>
      <c r="AG466" s="43" t="s">
        <v>31</v>
      </c>
      <c r="AH466">
        <v>2</v>
      </c>
      <c r="AI466" t="s">
        <v>341</v>
      </c>
      <c r="AJ466" s="43" t="s">
        <v>268</v>
      </c>
      <c r="AK466">
        <v>21.9</v>
      </c>
    </row>
    <row r="467" spans="31:37" x14ac:dyDescent="0.25">
      <c r="AE467" s="43" t="s">
        <v>112</v>
      </c>
      <c r="AF467" s="43" t="s">
        <v>26</v>
      </c>
      <c r="AG467" s="43" t="s">
        <v>31</v>
      </c>
      <c r="AH467">
        <v>2</v>
      </c>
      <c r="AI467" t="s">
        <v>273</v>
      </c>
      <c r="AJ467" s="43" t="s">
        <v>308</v>
      </c>
      <c r="AK467">
        <v>0</v>
      </c>
    </row>
    <row r="468" spans="31:37" x14ac:dyDescent="0.25">
      <c r="AE468" s="43" t="s">
        <v>112</v>
      </c>
      <c r="AF468" s="43" t="s">
        <v>26</v>
      </c>
      <c r="AG468" s="43" t="s">
        <v>31</v>
      </c>
      <c r="AH468">
        <v>2</v>
      </c>
      <c r="AI468" t="s">
        <v>273</v>
      </c>
      <c r="AJ468" s="43" t="s">
        <v>309</v>
      </c>
      <c r="AK468">
        <v>0</v>
      </c>
    </row>
    <row r="469" spans="31:37" x14ac:dyDescent="0.25">
      <c r="AE469" s="43" t="s">
        <v>112</v>
      </c>
      <c r="AF469" s="43" t="s">
        <v>26</v>
      </c>
      <c r="AG469" s="43" t="s">
        <v>31</v>
      </c>
      <c r="AH469">
        <v>2</v>
      </c>
      <c r="AI469" t="s">
        <v>273</v>
      </c>
      <c r="AJ469" s="43" t="s">
        <v>268</v>
      </c>
      <c r="AK469">
        <v>0</v>
      </c>
    </row>
    <row r="470" spans="31:37" x14ac:dyDescent="0.25">
      <c r="AE470" s="43" t="s">
        <v>75</v>
      </c>
      <c r="AF470" s="43" t="s">
        <v>60</v>
      </c>
      <c r="AG470" s="43" t="s">
        <v>28</v>
      </c>
      <c r="AH470">
        <v>2</v>
      </c>
      <c r="AI470" t="s">
        <v>317</v>
      </c>
      <c r="AJ470" s="43" t="s">
        <v>308</v>
      </c>
      <c r="AK470">
        <v>0</v>
      </c>
    </row>
    <row r="471" spans="31:37" x14ac:dyDescent="0.25">
      <c r="AE471" s="43" t="s">
        <v>75</v>
      </c>
      <c r="AF471" s="43" t="s">
        <v>60</v>
      </c>
      <c r="AG471" s="43" t="s">
        <v>28</v>
      </c>
      <c r="AH471">
        <v>2</v>
      </c>
      <c r="AI471" t="s">
        <v>317</v>
      </c>
      <c r="AJ471" s="43" t="s">
        <v>309</v>
      </c>
      <c r="AK471">
        <v>0</v>
      </c>
    </row>
    <row r="472" spans="31:37" x14ac:dyDescent="0.25">
      <c r="AE472" s="43" t="s">
        <v>75</v>
      </c>
      <c r="AF472" s="43" t="s">
        <v>60</v>
      </c>
      <c r="AG472" s="43" t="s">
        <v>28</v>
      </c>
      <c r="AH472">
        <v>2</v>
      </c>
      <c r="AI472" t="s">
        <v>317</v>
      </c>
      <c r="AJ472" s="43" t="s">
        <v>268</v>
      </c>
      <c r="AK472">
        <v>0</v>
      </c>
    </row>
    <row r="473" spans="31:37" x14ac:dyDescent="0.25">
      <c r="AE473" s="43" t="s">
        <v>75</v>
      </c>
      <c r="AF473" s="43" t="s">
        <v>60</v>
      </c>
      <c r="AG473" s="43" t="s">
        <v>28</v>
      </c>
      <c r="AH473">
        <v>2</v>
      </c>
      <c r="AI473" t="s">
        <v>325</v>
      </c>
      <c r="AJ473" s="43" t="s">
        <v>308</v>
      </c>
      <c r="AK473">
        <v>2.2000000000000002</v>
      </c>
    </row>
    <row r="474" spans="31:37" x14ac:dyDescent="0.25">
      <c r="AE474" s="43" t="s">
        <v>75</v>
      </c>
      <c r="AF474" s="43" t="s">
        <v>60</v>
      </c>
      <c r="AG474" s="43" t="s">
        <v>28</v>
      </c>
      <c r="AH474">
        <v>2</v>
      </c>
      <c r="AI474" t="s">
        <v>325</v>
      </c>
      <c r="AJ474" s="43" t="s">
        <v>309</v>
      </c>
      <c r="AK474">
        <v>8.1</v>
      </c>
    </row>
    <row r="475" spans="31:37" x14ac:dyDescent="0.25">
      <c r="AE475" s="43" t="s">
        <v>75</v>
      </c>
      <c r="AF475" s="43" t="s">
        <v>60</v>
      </c>
      <c r="AG475" s="43" t="s">
        <v>28</v>
      </c>
      <c r="AH475">
        <v>2</v>
      </c>
      <c r="AI475" t="s">
        <v>325</v>
      </c>
      <c r="AJ475" s="43" t="s">
        <v>268</v>
      </c>
      <c r="AK475">
        <v>10.3</v>
      </c>
    </row>
    <row r="476" spans="31:37" x14ac:dyDescent="0.25">
      <c r="AE476" s="43" t="s">
        <v>75</v>
      </c>
      <c r="AF476" s="43" t="s">
        <v>60</v>
      </c>
      <c r="AG476" s="43" t="s">
        <v>28</v>
      </c>
      <c r="AH476">
        <v>2</v>
      </c>
      <c r="AI476" t="s">
        <v>330</v>
      </c>
      <c r="AJ476" s="43" t="s">
        <v>308</v>
      </c>
      <c r="AK476">
        <v>2.5</v>
      </c>
    </row>
    <row r="477" spans="31:37" x14ac:dyDescent="0.25">
      <c r="AE477" s="43" t="s">
        <v>75</v>
      </c>
      <c r="AF477" s="43" t="s">
        <v>60</v>
      </c>
      <c r="AG477" s="43" t="s">
        <v>28</v>
      </c>
      <c r="AH477">
        <v>2</v>
      </c>
      <c r="AI477" t="s">
        <v>330</v>
      </c>
      <c r="AJ477" s="43" t="s">
        <v>309</v>
      </c>
      <c r="AK477">
        <v>8.15</v>
      </c>
    </row>
    <row r="478" spans="31:37" x14ac:dyDescent="0.25">
      <c r="AE478" s="43" t="s">
        <v>75</v>
      </c>
      <c r="AF478" s="43" t="s">
        <v>60</v>
      </c>
      <c r="AG478" s="43" t="s">
        <v>28</v>
      </c>
      <c r="AH478">
        <v>2</v>
      </c>
      <c r="AI478" t="s">
        <v>330</v>
      </c>
      <c r="AJ478" s="43" t="s">
        <v>268</v>
      </c>
      <c r="AK478">
        <v>10.65</v>
      </c>
    </row>
    <row r="479" spans="31:37" x14ac:dyDescent="0.25">
      <c r="AE479" s="43" t="s">
        <v>75</v>
      </c>
      <c r="AF479" s="43" t="s">
        <v>60</v>
      </c>
      <c r="AG479" s="43" t="s">
        <v>28</v>
      </c>
      <c r="AH479">
        <v>2</v>
      </c>
      <c r="AI479" t="s">
        <v>331</v>
      </c>
      <c r="AJ479" s="43" t="s">
        <v>308</v>
      </c>
      <c r="AK479">
        <v>0</v>
      </c>
    </row>
    <row r="480" spans="31:37" x14ac:dyDescent="0.25">
      <c r="AE480" s="43" t="s">
        <v>75</v>
      </c>
      <c r="AF480" s="43" t="s">
        <v>60</v>
      </c>
      <c r="AG480" s="43" t="s">
        <v>28</v>
      </c>
      <c r="AH480">
        <v>2</v>
      </c>
      <c r="AI480" t="s">
        <v>331</v>
      </c>
      <c r="AJ480" s="43" t="s">
        <v>309</v>
      </c>
      <c r="AK480">
        <v>0</v>
      </c>
    </row>
    <row r="481" spans="31:37" x14ac:dyDescent="0.25">
      <c r="AE481" s="43" t="s">
        <v>75</v>
      </c>
      <c r="AF481" s="43" t="s">
        <v>60</v>
      </c>
      <c r="AG481" s="43" t="s">
        <v>28</v>
      </c>
      <c r="AH481">
        <v>2</v>
      </c>
      <c r="AI481" t="s">
        <v>331</v>
      </c>
      <c r="AJ481" s="43" t="s">
        <v>268</v>
      </c>
      <c r="AK481">
        <v>0</v>
      </c>
    </row>
    <row r="482" spans="31:37" x14ac:dyDescent="0.25">
      <c r="AE482" s="43" t="s">
        <v>75</v>
      </c>
      <c r="AF482" s="43" t="s">
        <v>60</v>
      </c>
      <c r="AG482" s="43" t="s">
        <v>28</v>
      </c>
      <c r="AH482">
        <v>2</v>
      </c>
      <c r="AI482" t="s">
        <v>341</v>
      </c>
      <c r="AJ482" s="43" t="s">
        <v>308</v>
      </c>
      <c r="AK482">
        <v>4.7</v>
      </c>
    </row>
    <row r="483" spans="31:37" x14ac:dyDescent="0.25">
      <c r="AE483" s="43" t="s">
        <v>75</v>
      </c>
      <c r="AF483" s="43" t="s">
        <v>60</v>
      </c>
      <c r="AG483" s="43" t="s">
        <v>28</v>
      </c>
      <c r="AH483">
        <v>2</v>
      </c>
      <c r="AI483" t="s">
        <v>341</v>
      </c>
      <c r="AJ483" s="43" t="s">
        <v>309</v>
      </c>
      <c r="AK483">
        <v>16.25</v>
      </c>
    </row>
    <row r="484" spans="31:37" x14ac:dyDescent="0.25">
      <c r="AE484" s="43" t="s">
        <v>75</v>
      </c>
      <c r="AF484" s="43" t="s">
        <v>60</v>
      </c>
      <c r="AG484" s="43" t="s">
        <v>28</v>
      </c>
      <c r="AH484">
        <v>2</v>
      </c>
      <c r="AI484" t="s">
        <v>341</v>
      </c>
      <c r="AJ484" s="43" t="s">
        <v>268</v>
      </c>
      <c r="AK484">
        <v>20.950000000000003</v>
      </c>
    </row>
    <row r="485" spans="31:37" x14ac:dyDescent="0.25">
      <c r="AE485" s="43" t="s">
        <v>75</v>
      </c>
      <c r="AF485" s="43" t="s">
        <v>60</v>
      </c>
      <c r="AG485" s="43" t="s">
        <v>28</v>
      </c>
      <c r="AH485">
        <v>2</v>
      </c>
      <c r="AI485" t="s">
        <v>273</v>
      </c>
      <c r="AJ485" s="43" t="s">
        <v>308</v>
      </c>
      <c r="AK485">
        <v>0</v>
      </c>
    </row>
    <row r="486" spans="31:37" x14ac:dyDescent="0.25">
      <c r="AE486" s="43" t="s">
        <v>75</v>
      </c>
      <c r="AF486" s="43" t="s">
        <v>60</v>
      </c>
      <c r="AG486" s="43" t="s">
        <v>28</v>
      </c>
      <c r="AH486">
        <v>2</v>
      </c>
      <c r="AI486" t="s">
        <v>273</v>
      </c>
      <c r="AJ486" s="43" t="s">
        <v>309</v>
      </c>
      <c r="AK486">
        <v>0</v>
      </c>
    </row>
    <row r="487" spans="31:37" x14ac:dyDescent="0.25">
      <c r="AE487" s="43" t="s">
        <v>75</v>
      </c>
      <c r="AF487" s="43" t="s">
        <v>60</v>
      </c>
      <c r="AG487" s="43" t="s">
        <v>28</v>
      </c>
      <c r="AH487">
        <v>2</v>
      </c>
      <c r="AI487" t="s">
        <v>273</v>
      </c>
      <c r="AJ487" s="43" t="s">
        <v>268</v>
      </c>
      <c r="AK487">
        <v>0</v>
      </c>
    </row>
    <row r="488" spans="31:37" x14ac:dyDescent="0.25">
      <c r="AE488" s="43" t="s">
        <v>88</v>
      </c>
      <c r="AF488" s="43" t="s">
        <v>60</v>
      </c>
      <c r="AG488" s="43" t="s">
        <v>36</v>
      </c>
      <c r="AH488">
        <v>2</v>
      </c>
      <c r="AI488" t="s">
        <v>317</v>
      </c>
      <c r="AJ488" s="43" t="s">
        <v>308</v>
      </c>
      <c r="AK488">
        <v>0</v>
      </c>
    </row>
    <row r="489" spans="31:37" x14ac:dyDescent="0.25">
      <c r="AE489" s="43" t="s">
        <v>88</v>
      </c>
      <c r="AF489" s="43" t="s">
        <v>60</v>
      </c>
      <c r="AG489" s="43" t="s">
        <v>36</v>
      </c>
      <c r="AH489">
        <v>2</v>
      </c>
      <c r="AI489" t="s">
        <v>317</v>
      </c>
      <c r="AJ489" s="43" t="s">
        <v>309</v>
      </c>
      <c r="AK489">
        <v>0</v>
      </c>
    </row>
    <row r="490" spans="31:37" x14ac:dyDescent="0.25">
      <c r="AE490" s="43" t="s">
        <v>88</v>
      </c>
      <c r="AF490" s="43" t="s">
        <v>60</v>
      </c>
      <c r="AG490" s="43" t="s">
        <v>36</v>
      </c>
      <c r="AH490">
        <v>2</v>
      </c>
      <c r="AI490" t="s">
        <v>317</v>
      </c>
      <c r="AJ490" s="43" t="s">
        <v>268</v>
      </c>
      <c r="AK490">
        <v>0</v>
      </c>
    </row>
    <row r="491" spans="31:37" x14ac:dyDescent="0.25">
      <c r="AE491" s="43" t="s">
        <v>88</v>
      </c>
      <c r="AF491" s="43" t="s">
        <v>60</v>
      </c>
      <c r="AG491" s="43" t="s">
        <v>36</v>
      </c>
      <c r="AH491">
        <v>2</v>
      </c>
      <c r="AI491" t="s">
        <v>325</v>
      </c>
      <c r="AJ491" s="43" t="s">
        <v>308</v>
      </c>
      <c r="AK491">
        <v>2.1</v>
      </c>
    </row>
    <row r="492" spans="31:37" x14ac:dyDescent="0.25">
      <c r="AE492" s="43" t="s">
        <v>88</v>
      </c>
      <c r="AF492" s="43" t="s">
        <v>60</v>
      </c>
      <c r="AG492" s="43" t="s">
        <v>36</v>
      </c>
      <c r="AH492">
        <v>2</v>
      </c>
      <c r="AI492" t="s">
        <v>325</v>
      </c>
      <c r="AJ492" s="43" t="s">
        <v>309</v>
      </c>
      <c r="AK492">
        <v>6.9</v>
      </c>
    </row>
    <row r="493" spans="31:37" x14ac:dyDescent="0.25">
      <c r="AE493" s="43" t="s">
        <v>88</v>
      </c>
      <c r="AF493" s="43" t="s">
        <v>60</v>
      </c>
      <c r="AG493" s="43" t="s">
        <v>36</v>
      </c>
      <c r="AH493">
        <v>2</v>
      </c>
      <c r="AI493" t="s">
        <v>325</v>
      </c>
      <c r="AJ493" s="43" t="s">
        <v>268</v>
      </c>
      <c r="AK493">
        <v>9</v>
      </c>
    </row>
    <row r="494" spans="31:37" x14ac:dyDescent="0.25">
      <c r="AE494" s="43" t="s">
        <v>88</v>
      </c>
      <c r="AF494" s="43" t="s">
        <v>60</v>
      </c>
      <c r="AG494" s="43" t="s">
        <v>36</v>
      </c>
      <c r="AH494">
        <v>2</v>
      </c>
      <c r="AI494" t="s">
        <v>330</v>
      </c>
      <c r="AJ494" s="43" t="s">
        <v>308</v>
      </c>
      <c r="AK494">
        <v>0</v>
      </c>
    </row>
    <row r="495" spans="31:37" x14ac:dyDescent="0.25">
      <c r="AE495" s="43" t="s">
        <v>88</v>
      </c>
      <c r="AF495" s="43" t="s">
        <v>60</v>
      </c>
      <c r="AG495" s="43" t="s">
        <v>36</v>
      </c>
      <c r="AH495">
        <v>2</v>
      </c>
      <c r="AI495" t="s">
        <v>330</v>
      </c>
      <c r="AJ495" s="43" t="s">
        <v>309</v>
      </c>
      <c r="AK495">
        <v>0</v>
      </c>
    </row>
    <row r="496" spans="31:37" x14ac:dyDescent="0.25">
      <c r="AE496" s="43" t="s">
        <v>88</v>
      </c>
      <c r="AF496" s="43" t="s">
        <v>60</v>
      </c>
      <c r="AG496" s="43" t="s">
        <v>36</v>
      </c>
      <c r="AH496">
        <v>2</v>
      </c>
      <c r="AI496" t="s">
        <v>330</v>
      </c>
      <c r="AJ496" s="43" t="s">
        <v>268</v>
      </c>
      <c r="AK496">
        <v>0</v>
      </c>
    </row>
    <row r="497" spans="31:37" x14ac:dyDescent="0.25">
      <c r="AE497" s="43" t="s">
        <v>88</v>
      </c>
      <c r="AF497" s="43" t="s">
        <v>60</v>
      </c>
      <c r="AG497" s="43" t="s">
        <v>36</v>
      </c>
      <c r="AH497">
        <v>2</v>
      </c>
      <c r="AI497" t="s">
        <v>331</v>
      </c>
      <c r="AJ497" s="43" t="s">
        <v>308</v>
      </c>
      <c r="AK497">
        <v>1.9</v>
      </c>
    </row>
    <row r="498" spans="31:37" x14ac:dyDescent="0.25">
      <c r="AE498" s="43" t="s">
        <v>88</v>
      </c>
      <c r="AF498" s="43" t="s">
        <v>60</v>
      </c>
      <c r="AG498" s="43" t="s">
        <v>36</v>
      </c>
      <c r="AH498">
        <v>2</v>
      </c>
      <c r="AI498" t="s">
        <v>331</v>
      </c>
      <c r="AJ498" s="43" t="s">
        <v>309</v>
      </c>
      <c r="AK498">
        <v>4.2</v>
      </c>
    </row>
    <row r="499" spans="31:37" x14ac:dyDescent="0.25">
      <c r="AE499" s="43" t="s">
        <v>88</v>
      </c>
      <c r="AF499" s="43" t="s">
        <v>60</v>
      </c>
      <c r="AG499" s="43" t="s">
        <v>36</v>
      </c>
      <c r="AH499">
        <v>2</v>
      </c>
      <c r="AI499" t="s">
        <v>331</v>
      </c>
      <c r="AJ499" s="43" t="s">
        <v>268</v>
      </c>
      <c r="AK499">
        <v>6.1</v>
      </c>
    </row>
    <row r="500" spans="31:37" x14ac:dyDescent="0.25">
      <c r="AE500" s="43" t="s">
        <v>88</v>
      </c>
      <c r="AF500" s="43" t="s">
        <v>60</v>
      </c>
      <c r="AG500" s="43" t="s">
        <v>36</v>
      </c>
      <c r="AH500">
        <v>2</v>
      </c>
      <c r="AI500" t="s">
        <v>341</v>
      </c>
      <c r="AJ500" s="43" t="s">
        <v>308</v>
      </c>
      <c r="AK500">
        <v>4</v>
      </c>
    </row>
    <row r="501" spans="31:37" x14ac:dyDescent="0.25">
      <c r="AE501" s="43" t="s">
        <v>88</v>
      </c>
      <c r="AF501" s="43" t="s">
        <v>60</v>
      </c>
      <c r="AG501" s="43" t="s">
        <v>36</v>
      </c>
      <c r="AH501">
        <v>2</v>
      </c>
      <c r="AI501" t="s">
        <v>341</v>
      </c>
      <c r="AJ501" s="43" t="s">
        <v>309</v>
      </c>
      <c r="AK501">
        <v>11.100000000000001</v>
      </c>
    </row>
    <row r="502" spans="31:37" x14ac:dyDescent="0.25">
      <c r="AE502" s="43" t="s">
        <v>88</v>
      </c>
      <c r="AF502" s="43" t="s">
        <v>60</v>
      </c>
      <c r="AG502" s="43" t="s">
        <v>36</v>
      </c>
      <c r="AH502">
        <v>2</v>
      </c>
      <c r="AI502" t="s">
        <v>341</v>
      </c>
      <c r="AJ502" s="43" t="s">
        <v>268</v>
      </c>
      <c r="AK502">
        <v>15.1</v>
      </c>
    </row>
    <row r="503" spans="31:37" x14ac:dyDescent="0.25">
      <c r="AE503" s="43" t="s">
        <v>88</v>
      </c>
      <c r="AF503" s="43" t="s">
        <v>60</v>
      </c>
      <c r="AG503" s="43" t="s">
        <v>36</v>
      </c>
      <c r="AH503">
        <v>2</v>
      </c>
      <c r="AI503" t="s">
        <v>273</v>
      </c>
      <c r="AJ503" s="43" t="s">
        <v>308</v>
      </c>
      <c r="AK503">
        <v>0</v>
      </c>
    </row>
    <row r="504" spans="31:37" x14ac:dyDescent="0.25">
      <c r="AE504" s="43" t="s">
        <v>88</v>
      </c>
      <c r="AF504" s="43" t="s">
        <v>60</v>
      </c>
      <c r="AG504" s="43" t="s">
        <v>36</v>
      </c>
      <c r="AH504">
        <v>2</v>
      </c>
      <c r="AI504" t="s">
        <v>273</v>
      </c>
      <c r="AJ504" s="43" t="s">
        <v>309</v>
      </c>
      <c r="AK504">
        <v>0</v>
      </c>
    </row>
    <row r="505" spans="31:37" x14ac:dyDescent="0.25">
      <c r="AE505" s="43" t="s">
        <v>88</v>
      </c>
      <c r="AF505" s="43" t="s">
        <v>60</v>
      </c>
      <c r="AG505" s="43" t="s">
        <v>36</v>
      </c>
      <c r="AH505">
        <v>2</v>
      </c>
      <c r="AI505" t="s">
        <v>273</v>
      </c>
      <c r="AJ505" s="43" t="s">
        <v>268</v>
      </c>
      <c r="AK505">
        <v>0</v>
      </c>
    </row>
    <row r="506" spans="31:37" x14ac:dyDescent="0.25">
      <c r="AE506" s="43" t="s">
        <v>118</v>
      </c>
      <c r="AF506" s="43" t="s">
        <v>60</v>
      </c>
      <c r="AG506" s="43" t="s">
        <v>31</v>
      </c>
      <c r="AH506">
        <v>1</v>
      </c>
      <c r="AI506" t="s">
        <v>317</v>
      </c>
      <c r="AJ506" s="43" t="s">
        <v>308</v>
      </c>
      <c r="AK506">
        <v>0</v>
      </c>
    </row>
    <row r="507" spans="31:37" x14ac:dyDescent="0.25">
      <c r="AE507" s="43" t="s">
        <v>118</v>
      </c>
      <c r="AF507" s="43" t="s">
        <v>60</v>
      </c>
      <c r="AG507" s="43" t="s">
        <v>31</v>
      </c>
      <c r="AH507">
        <v>1</v>
      </c>
      <c r="AI507" t="s">
        <v>317</v>
      </c>
      <c r="AJ507" s="43" t="s">
        <v>309</v>
      </c>
      <c r="AK507">
        <v>0</v>
      </c>
    </row>
    <row r="508" spans="31:37" x14ac:dyDescent="0.25">
      <c r="AE508" s="43" t="s">
        <v>118</v>
      </c>
      <c r="AF508" s="43" t="s">
        <v>60</v>
      </c>
      <c r="AG508" s="43" t="s">
        <v>31</v>
      </c>
      <c r="AH508">
        <v>1</v>
      </c>
      <c r="AI508" t="s">
        <v>317</v>
      </c>
      <c r="AJ508" s="43" t="s">
        <v>268</v>
      </c>
      <c r="AK508">
        <v>0</v>
      </c>
    </row>
    <row r="509" spans="31:37" x14ac:dyDescent="0.25">
      <c r="AE509" s="43" t="s">
        <v>118</v>
      </c>
      <c r="AF509" s="43" t="s">
        <v>60</v>
      </c>
      <c r="AG509" s="43" t="s">
        <v>31</v>
      </c>
      <c r="AH509">
        <v>1</v>
      </c>
      <c r="AI509" t="s">
        <v>325</v>
      </c>
      <c r="AJ509" s="43" t="s">
        <v>308</v>
      </c>
      <c r="AK509">
        <v>0</v>
      </c>
    </row>
    <row r="510" spans="31:37" x14ac:dyDescent="0.25">
      <c r="AE510" s="43" t="s">
        <v>118</v>
      </c>
      <c r="AF510" s="43" t="s">
        <v>60</v>
      </c>
      <c r="AG510" s="43" t="s">
        <v>31</v>
      </c>
      <c r="AH510">
        <v>1</v>
      </c>
      <c r="AI510" t="s">
        <v>325</v>
      </c>
      <c r="AJ510" s="43" t="s">
        <v>309</v>
      </c>
      <c r="AK510">
        <v>0</v>
      </c>
    </row>
    <row r="511" spans="31:37" x14ac:dyDescent="0.25">
      <c r="AE511" s="43" t="s">
        <v>118</v>
      </c>
      <c r="AF511" s="43" t="s">
        <v>60</v>
      </c>
      <c r="AG511" s="43" t="s">
        <v>31</v>
      </c>
      <c r="AH511">
        <v>1</v>
      </c>
      <c r="AI511" t="s">
        <v>325</v>
      </c>
      <c r="AJ511" s="43" t="s">
        <v>268</v>
      </c>
      <c r="AK511">
        <v>0</v>
      </c>
    </row>
    <row r="512" spans="31:37" x14ac:dyDescent="0.25">
      <c r="AE512" s="43" t="s">
        <v>118</v>
      </c>
      <c r="AF512" s="43" t="s">
        <v>60</v>
      </c>
      <c r="AG512" s="43" t="s">
        <v>31</v>
      </c>
      <c r="AH512">
        <v>1</v>
      </c>
      <c r="AI512" t="s">
        <v>330</v>
      </c>
      <c r="AJ512" s="43" t="s">
        <v>308</v>
      </c>
      <c r="AK512">
        <v>3.7</v>
      </c>
    </row>
    <row r="513" spans="31:37" x14ac:dyDescent="0.25">
      <c r="AE513" s="43" t="s">
        <v>118</v>
      </c>
      <c r="AF513" s="43" t="s">
        <v>60</v>
      </c>
      <c r="AG513" s="43" t="s">
        <v>31</v>
      </c>
      <c r="AH513">
        <v>1</v>
      </c>
      <c r="AI513" t="s">
        <v>330</v>
      </c>
      <c r="AJ513" s="43" t="s">
        <v>309</v>
      </c>
      <c r="AK513">
        <v>8.15</v>
      </c>
    </row>
    <row r="514" spans="31:37" x14ac:dyDescent="0.25">
      <c r="AE514" s="43" t="s">
        <v>118</v>
      </c>
      <c r="AF514" s="43" t="s">
        <v>60</v>
      </c>
      <c r="AG514" s="43" t="s">
        <v>31</v>
      </c>
      <c r="AH514">
        <v>1</v>
      </c>
      <c r="AI514" t="s">
        <v>330</v>
      </c>
      <c r="AJ514" s="43" t="s">
        <v>268</v>
      </c>
      <c r="AK514">
        <v>11.85</v>
      </c>
    </row>
    <row r="515" spans="31:37" x14ac:dyDescent="0.25">
      <c r="AE515" s="43" t="s">
        <v>118</v>
      </c>
      <c r="AF515" s="43" t="s">
        <v>60</v>
      </c>
      <c r="AG515" s="43" t="s">
        <v>31</v>
      </c>
      <c r="AH515">
        <v>1</v>
      </c>
      <c r="AI515" t="s">
        <v>331</v>
      </c>
      <c r="AJ515" s="43" t="s">
        <v>308</v>
      </c>
      <c r="AK515">
        <v>0</v>
      </c>
    </row>
    <row r="516" spans="31:37" x14ac:dyDescent="0.25">
      <c r="AE516" s="43" t="s">
        <v>118</v>
      </c>
      <c r="AF516" s="43" t="s">
        <v>60</v>
      </c>
      <c r="AG516" s="43" t="s">
        <v>31</v>
      </c>
      <c r="AH516">
        <v>1</v>
      </c>
      <c r="AI516" t="s">
        <v>331</v>
      </c>
      <c r="AJ516" s="43" t="s">
        <v>309</v>
      </c>
      <c r="AK516">
        <v>0</v>
      </c>
    </row>
    <row r="517" spans="31:37" x14ac:dyDescent="0.25">
      <c r="AE517" s="43" t="s">
        <v>118</v>
      </c>
      <c r="AF517" s="43" t="s">
        <v>60</v>
      </c>
      <c r="AG517" s="43" t="s">
        <v>31</v>
      </c>
      <c r="AH517">
        <v>1</v>
      </c>
      <c r="AI517" t="s">
        <v>331</v>
      </c>
      <c r="AJ517" s="43" t="s">
        <v>268</v>
      </c>
      <c r="AK517">
        <v>0</v>
      </c>
    </row>
    <row r="518" spans="31:37" x14ac:dyDescent="0.25">
      <c r="AE518" s="43" t="s">
        <v>118</v>
      </c>
      <c r="AF518" s="43" t="s">
        <v>60</v>
      </c>
      <c r="AG518" s="43" t="s">
        <v>31</v>
      </c>
      <c r="AH518">
        <v>1</v>
      </c>
      <c r="AI518" t="s">
        <v>341</v>
      </c>
      <c r="AJ518" s="43" t="s">
        <v>308</v>
      </c>
      <c r="AK518">
        <v>3.7</v>
      </c>
    </row>
    <row r="519" spans="31:37" x14ac:dyDescent="0.25">
      <c r="AE519" s="43" t="s">
        <v>118</v>
      </c>
      <c r="AF519" s="43" t="s">
        <v>60</v>
      </c>
      <c r="AG519" s="43" t="s">
        <v>31</v>
      </c>
      <c r="AH519">
        <v>1</v>
      </c>
      <c r="AI519" t="s">
        <v>341</v>
      </c>
      <c r="AJ519" s="43" t="s">
        <v>309</v>
      </c>
      <c r="AK519">
        <v>8.15</v>
      </c>
    </row>
    <row r="520" spans="31:37" x14ac:dyDescent="0.25">
      <c r="AE520" s="43" t="s">
        <v>118</v>
      </c>
      <c r="AF520" s="43" t="s">
        <v>60</v>
      </c>
      <c r="AG520" s="43" t="s">
        <v>31</v>
      </c>
      <c r="AH520">
        <v>1</v>
      </c>
      <c r="AI520" t="s">
        <v>341</v>
      </c>
      <c r="AJ520" s="43" t="s">
        <v>268</v>
      </c>
      <c r="AK520">
        <v>11.85</v>
      </c>
    </row>
    <row r="521" spans="31:37" x14ac:dyDescent="0.25">
      <c r="AE521" s="43" t="s">
        <v>118</v>
      </c>
      <c r="AF521" s="43" t="s">
        <v>60</v>
      </c>
      <c r="AG521" s="43" t="s">
        <v>31</v>
      </c>
      <c r="AH521">
        <v>1</v>
      </c>
      <c r="AI521" t="s">
        <v>273</v>
      </c>
      <c r="AJ521" s="43" t="s">
        <v>308</v>
      </c>
      <c r="AK521">
        <v>0</v>
      </c>
    </row>
    <row r="522" spans="31:37" x14ac:dyDescent="0.25">
      <c r="AE522" s="43" t="s">
        <v>118</v>
      </c>
      <c r="AF522" s="43" t="s">
        <v>60</v>
      </c>
      <c r="AG522" s="43" t="s">
        <v>31</v>
      </c>
      <c r="AH522">
        <v>1</v>
      </c>
      <c r="AI522" t="s">
        <v>273</v>
      </c>
      <c r="AJ522" s="43" t="s">
        <v>309</v>
      </c>
      <c r="AK522">
        <v>0</v>
      </c>
    </row>
    <row r="523" spans="31:37" x14ac:dyDescent="0.25">
      <c r="AE523" s="43" t="s">
        <v>118</v>
      </c>
      <c r="AF523" s="43" t="s">
        <v>60</v>
      </c>
      <c r="AG523" s="43" t="s">
        <v>31</v>
      </c>
      <c r="AH523">
        <v>1</v>
      </c>
      <c r="AI523" t="s">
        <v>273</v>
      </c>
      <c r="AJ523" s="43" t="s">
        <v>268</v>
      </c>
      <c r="AK523">
        <v>0</v>
      </c>
    </row>
    <row r="524" spans="31:37" x14ac:dyDescent="0.25">
      <c r="AE524" s="43" t="s">
        <v>142</v>
      </c>
      <c r="AF524" s="43" t="s">
        <v>60</v>
      </c>
      <c r="AG524" s="43" t="s">
        <v>62</v>
      </c>
      <c r="AH524">
        <v>1</v>
      </c>
      <c r="AI524" t="s">
        <v>317</v>
      </c>
      <c r="AJ524" s="43" t="s">
        <v>308</v>
      </c>
      <c r="AK524">
        <v>3.6</v>
      </c>
    </row>
    <row r="525" spans="31:37" x14ac:dyDescent="0.25">
      <c r="AE525" s="43" t="s">
        <v>142</v>
      </c>
      <c r="AF525" s="43" t="s">
        <v>60</v>
      </c>
      <c r="AG525" s="43" t="s">
        <v>62</v>
      </c>
      <c r="AH525">
        <v>1</v>
      </c>
      <c r="AI525" t="s">
        <v>317</v>
      </c>
      <c r="AJ525" s="43" t="s">
        <v>309</v>
      </c>
      <c r="AK525">
        <v>8</v>
      </c>
    </row>
    <row r="526" spans="31:37" x14ac:dyDescent="0.25">
      <c r="AE526" s="43" t="s">
        <v>142</v>
      </c>
      <c r="AF526" s="43" t="s">
        <v>60</v>
      </c>
      <c r="AG526" s="43" t="s">
        <v>62</v>
      </c>
      <c r="AH526">
        <v>1</v>
      </c>
      <c r="AI526" t="s">
        <v>317</v>
      </c>
      <c r="AJ526" s="43" t="s">
        <v>268</v>
      </c>
      <c r="AK526">
        <v>11.6</v>
      </c>
    </row>
    <row r="527" spans="31:37" x14ac:dyDescent="0.25">
      <c r="AE527" s="43" t="s">
        <v>142</v>
      </c>
      <c r="AF527" s="43" t="s">
        <v>60</v>
      </c>
      <c r="AG527" s="43" t="s">
        <v>62</v>
      </c>
      <c r="AH527">
        <v>1</v>
      </c>
      <c r="AI527" t="s">
        <v>325</v>
      </c>
      <c r="AJ527" s="43" t="s">
        <v>308</v>
      </c>
      <c r="AK527">
        <v>0</v>
      </c>
    </row>
    <row r="528" spans="31:37" x14ac:dyDescent="0.25">
      <c r="AE528" s="43" t="s">
        <v>142</v>
      </c>
      <c r="AF528" s="43" t="s">
        <v>60</v>
      </c>
      <c r="AG528" s="43" t="s">
        <v>62</v>
      </c>
      <c r="AH528">
        <v>1</v>
      </c>
      <c r="AI528" t="s">
        <v>325</v>
      </c>
      <c r="AJ528" s="43" t="s">
        <v>309</v>
      </c>
      <c r="AK528">
        <v>0</v>
      </c>
    </row>
    <row r="529" spans="31:37" x14ac:dyDescent="0.25">
      <c r="AE529" s="43" t="s">
        <v>142</v>
      </c>
      <c r="AF529" s="43" t="s">
        <v>60</v>
      </c>
      <c r="AG529" s="43" t="s">
        <v>62</v>
      </c>
      <c r="AH529">
        <v>1</v>
      </c>
      <c r="AI529" t="s">
        <v>325</v>
      </c>
      <c r="AJ529" s="43" t="s">
        <v>268</v>
      </c>
      <c r="AK529">
        <v>0</v>
      </c>
    </row>
    <row r="530" spans="31:37" x14ac:dyDescent="0.25">
      <c r="AE530" s="43" t="s">
        <v>142</v>
      </c>
      <c r="AF530" s="43" t="s">
        <v>60</v>
      </c>
      <c r="AG530" s="43" t="s">
        <v>62</v>
      </c>
      <c r="AH530">
        <v>1</v>
      </c>
      <c r="AI530" t="s">
        <v>330</v>
      </c>
      <c r="AJ530" s="43" t="s">
        <v>308</v>
      </c>
      <c r="AK530">
        <v>0</v>
      </c>
    </row>
    <row r="531" spans="31:37" x14ac:dyDescent="0.25">
      <c r="AE531" s="43" t="s">
        <v>142</v>
      </c>
      <c r="AF531" s="43" t="s">
        <v>60</v>
      </c>
      <c r="AG531" s="43" t="s">
        <v>62</v>
      </c>
      <c r="AH531">
        <v>1</v>
      </c>
      <c r="AI531" t="s">
        <v>330</v>
      </c>
      <c r="AJ531" s="43" t="s">
        <v>309</v>
      </c>
      <c r="AK531">
        <v>0</v>
      </c>
    </row>
    <row r="532" spans="31:37" x14ac:dyDescent="0.25">
      <c r="AE532" s="43" t="s">
        <v>142</v>
      </c>
      <c r="AF532" s="43" t="s">
        <v>60</v>
      </c>
      <c r="AG532" s="43" t="s">
        <v>62</v>
      </c>
      <c r="AH532">
        <v>1</v>
      </c>
      <c r="AI532" t="s">
        <v>330</v>
      </c>
      <c r="AJ532" s="43" t="s">
        <v>268</v>
      </c>
      <c r="AK532">
        <v>0</v>
      </c>
    </row>
    <row r="533" spans="31:37" x14ac:dyDescent="0.25">
      <c r="AE533" s="43" t="s">
        <v>142</v>
      </c>
      <c r="AF533" s="43" t="s">
        <v>60</v>
      </c>
      <c r="AG533" s="43" t="s">
        <v>62</v>
      </c>
      <c r="AH533">
        <v>1</v>
      </c>
      <c r="AI533" t="s">
        <v>331</v>
      </c>
      <c r="AJ533" s="43" t="s">
        <v>308</v>
      </c>
      <c r="AK533">
        <v>0</v>
      </c>
    </row>
    <row r="534" spans="31:37" x14ac:dyDescent="0.25">
      <c r="AE534" s="43" t="s">
        <v>142</v>
      </c>
      <c r="AF534" s="43" t="s">
        <v>60</v>
      </c>
      <c r="AG534" s="43" t="s">
        <v>62</v>
      </c>
      <c r="AH534">
        <v>1</v>
      </c>
      <c r="AI534" t="s">
        <v>331</v>
      </c>
      <c r="AJ534" s="43" t="s">
        <v>309</v>
      </c>
      <c r="AK534">
        <v>0</v>
      </c>
    </row>
    <row r="535" spans="31:37" x14ac:dyDescent="0.25">
      <c r="AE535" s="43" t="s">
        <v>142</v>
      </c>
      <c r="AF535" s="43" t="s">
        <v>60</v>
      </c>
      <c r="AG535" s="43" t="s">
        <v>62</v>
      </c>
      <c r="AH535">
        <v>1</v>
      </c>
      <c r="AI535" t="s">
        <v>331</v>
      </c>
      <c r="AJ535" s="43" t="s">
        <v>268</v>
      </c>
      <c r="AK535">
        <v>0</v>
      </c>
    </row>
    <row r="536" spans="31:37" x14ac:dyDescent="0.25">
      <c r="AE536" s="43" t="s">
        <v>142</v>
      </c>
      <c r="AF536" s="43" t="s">
        <v>60</v>
      </c>
      <c r="AG536" s="43" t="s">
        <v>62</v>
      </c>
      <c r="AH536">
        <v>1</v>
      </c>
      <c r="AI536" t="s">
        <v>341</v>
      </c>
      <c r="AJ536" s="43" t="s">
        <v>308</v>
      </c>
      <c r="AK536">
        <v>3.6</v>
      </c>
    </row>
    <row r="537" spans="31:37" x14ac:dyDescent="0.25">
      <c r="AE537" s="43" t="s">
        <v>142</v>
      </c>
      <c r="AF537" s="43" t="s">
        <v>60</v>
      </c>
      <c r="AG537" s="43" t="s">
        <v>62</v>
      </c>
      <c r="AH537">
        <v>1</v>
      </c>
      <c r="AI537" t="s">
        <v>341</v>
      </c>
      <c r="AJ537" s="43" t="s">
        <v>309</v>
      </c>
      <c r="AK537">
        <v>8</v>
      </c>
    </row>
    <row r="538" spans="31:37" x14ac:dyDescent="0.25">
      <c r="AE538" s="43" t="s">
        <v>142</v>
      </c>
      <c r="AF538" s="43" t="s">
        <v>60</v>
      </c>
      <c r="AG538" s="43" t="s">
        <v>62</v>
      </c>
      <c r="AH538">
        <v>1</v>
      </c>
      <c r="AI538" t="s">
        <v>341</v>
      </c>
      <c r="AJ538" s="43" t="s">
        <v>268</v>
      </c>
      <c r="AK538">
        <v>11.6</v>
      </c>
    </row>
    <row r="539" spans="31:37" x14ac:dyDescent="0.25">
      <c r="AE539" s="43" t="s">
        <v>142</v>
      </c>
      <c r="AF539" s="43" t="s">
        <v>60</v>
      </c>
      <c r="AG539" s="43" t="s">
        <v>62</v>
      </c>
      <c r="AH539">
        <v>1</v>
      </c>
      <c r="AI539" t="s">
        <v>273</v>
      </c>
      <c r="AJ539" s="43" t="s">
        <v>308</v>
      </c>
      <c r="AK539">
        <v>0</v>
      </c>
    </row>
    <row r="540" spans="31:37" x14ac:dyDescent="0.25">
      <c r="AE540" s="43" t="s">
        <v>142</v>
      </c>
      <c r="AF540" s="43" t="s">
        <v>60</v>
      </c>
      <c r="AG540" s="43" t="s">
        <v>62</v>
      </c>
      <c r="AH540">
        <v>1</v>
      </c>
      <c r="AI540" t="s">
        <v>273</v>
      </c>
      <c r="AJ540" s="43" t="s">
        <v>309</v>
      </c>
      <c r="AK540">
        <v>0</v>
      </c>
    </row>
    <row r="541" spans="31:37" x14ac:dyDescent="0.25">
      <c r="AE541" s="43" t="s">
        <v>142</v>
      </c>
      <c r="AF541" s="43" t="s">
        <v>60</v>
      </c>
      <c r="AG541" s="43" t="s">
        <v>62</v>
      </c>
      <c r="AH541">
        <v>1</v>
      </c>
      <c r="AI541" t="s">
        <v>273</v>
      </c>
      <c r="AJ541" s="43" t="s">
        <v>268</v>
      </c>
      <c r="AK541">
        <v>0</v>
      </c>
    </row>
    <row r="542" spans="31:37" x14ac:dyDescent="0.25">
      <c r="AE542" s="43" t="s">
        <v>132</v>
      </c>
      <c r="AF542" s="43" t="s">
        <v>26</v>
      </c>
      <c r="AG542" s="43" t="s">
        <v>39</v>
      </c>
      <c r="AH542">
        <v>1</v>
      </c>
      <c r="AI542" t="s">
        <v>317</v>
      </c>
      <c r="AJ542" s="43" t="s">
        <v>308</v>
      </c>
      <c r="AK542">
        <v>2.4</v>
      </c>
    </row>
    <row r="543" spans="31:37" x14ac:dyDescent="0.25">
      <c r="AE543" s="43" t="s">
        <v>132</v>
      </c>
      <c r="AF543" s="43" t="s">
        <v>26</v>
      </c>
      <c r="AG543" s="43" t="s">
        <v>39</v>
      </c>
      <c r="AH543">
        <v>1</v>
      </c>
      <c r="AI543" t="s">
        <v>317</v>
      </c>
      <c r="AJ543" s="43" t="s">
        <v>309</v>
      </c>
      <c r="AK543">
        <v>9.1</v>
      </c>
    </row>
    <row r="544" spans="31:37" x14ac:dyDescent="0.25">
      <c r="AE544" s="43" t="s">
        <v>132</v>
      </c>
      <c r="AF544" s="43" t="s">
        <v>26</v>
      </c>
      <c r="AG544" s="43" t="s">
        <v>39</v>
      </c>
      <c r="AH544">
        <v>1</v>
      </c>
      <c r="AI544" t="s">
        <v>317</v>
      </c>
      <c r="AJ544" s="43" t="s">
        <v>268</v>
      </c>
      <c r="AK544">
        <v>11.5</v>
      </c>
    </row>
    <row r="545" spans="31:37" x14ac:dyDescent="0.25">
      <c r="AE545" s="43" t="s">
        <v>132</v>
      </c>
      <c r="AF545" s="43" t="s">
        <v>26</v>
      </c>
      <c r="AG545" s="43" t="s">
        <v>39</v>
      </c>
      <c r="AH545">
        <v>1</v>
      </c>
      <c r="AI545" t="s">
        <v>325</v>
      </c>
      <c r="AJ545" s="43" t="s">
        <v>308</v>
      </c>
      <c r="AK545">
        <v>0</v>
      </c>
    </row>
    <row r="546" spans="31:37" x14ac:dyDescent="0.25">
      <c r="AE546" s="43" t="s">
        <v>132</v>
      </c>
      <c r="AF546" s="43" t="s">
        <v>26</v>
      </c>
      <c r="AG546" s="43" t="s">
        <v>39</v>
      </c>
      <c r="AH546">
        <v>1</v>
      </c>
      <c r="AI546" t="s">
        <v>325</v>
      </c>
      <c r="AJ546" s="43" t="s">
        <v>309</v>
      </c>
      <c r="AK546">
        <v>0</v>
      </c>
    </row>
    <row r="547" spans="31:37" x14ac:dyDescent="0.25">
      <c r="AE547" s="43" t="s">
        <v>132</v>
      </c>
      <c r="AF547" s="43" t="s">
        <v>26</v>
      </c>
      <c r="AG547" s="43" t="s">
        <v>39</v>
      </c>
      <c r="AH547">
        <v>1</v>
      </c>
      <c r="AI547" t="s">
        <v>325</v>
      </c>
      <c r="AJ547" s="43" t="s">
        <v>268</v>
      </c>
      <c r="AK547">
        <v>0</v>
      </c>
    </row>
    <row r="548" spans="31:37" x14ac:dyDescent="0.25">
      <c r="AE548" s="43" t="s">
        <v>132</v>
      </c>
      <c r="AF548" s="43" t="s">
        <v>26</v>
      </c>
      <c r="AG548" s="43" t="s">
        <v>39</v>
      </c>
      <c r="AH548">
        <v>1</v>
      </c>
      <c r="AI548" t="s">
        <v>330</v>
      </c>
      <c r="AJ548" s="43" t="s">
        <v>308</v>
      </c>
      <c r="AK548">
        <v>0</v>
      </c>
    </row>
    <row r="549" spans="31:37" x14ac:dyDescent="0.25">
      <c r="AE549" s="43" t="s">
        <v>132</v>
      </c>
      <c r="AF549" s="43" t="s">
        <v>26</v>
      </c>
      <c r="AG549" s="43" t="s">
        <v>39</v>
      </c>
      <c r="AH549">
        <v>1</v>
      </c>
      <c r="AI549" t="s">
        <v>330</v>
      </c>
      <c r="AJ549" s="43" t="s">
        <v>309</v>
      </c>
      <c r="AK549">
        <v>0</v>
      </c>
    </row>
    <row r="550" spans="31:37" x14ac:dyDescent="0.25">
      <c r="AE550" s="43" t="s">
        <v>132</v>
      </c>
      <c r="AF550" s="43" t="s">
        <v>26</v>
      </c>
      <c r="AG550" s="43" t="s">
        <v>39</v>
      </c>
      <c r="AH550">
        <v>1</v>
      </c>
      <c r="AI550" t="s">
        <v>330</v>
      </c>
      <c r="AJ550" s="43" t="s">
        <v>268</v>
      </c>
      <c r="AK550">
        <v>0</v>
      </c>
    </row>
    <row r="551" spans="31:37" x14ac:dyDescent="0.25">
      <c r="AE551" s="43" t="s">
        <v>132</v>
      </c>
      <c r="AF551" s="43" t="s">
        <v>26</v>
      </c>
      <c r="AG551" s="43" t="s">
        <v>39</v>
      </c>
      <c r="AH551">
        <v>1</v>
      </c>
      <c r="AI551" t="s">
        <v>331</v>
      </c>
      <c r="AJ551" s="43" t="s">
        <v>308</v>
      </c>
      <c r="AK551">
        <v>0</v>
      </c>
    </row>
    <row r="552" spans="31:37" x14ac:dyDescent="0.25">
      <c r="AE552" s="43" t="s">
        <v>132</v>
      </c>
      <c r="AF552" s="43" t="s">
        <v>26</v>
      </c>
      <c r="AG552" s="43" t="s">
        <v>39</v>
      </c>
      <c r="AH552">
        <v>1</v>
      </c>
      <c r="AI552" t="s">
        <v>331</v>
      </c>
      <c r="AJ552" s="43" t="s">
        <v>309</v>
      </c>
      <c r="AK552">
        <v>0</v>
      </c>
    </row>
    <row r="553" spans="31:37" x14ac:dyDescent="0.25">
      <c r="AE553" s="43" t="s">
        <v>132</v>
      </c>
      <c r="AF553" s="43" t="s">
        <v>26</v>
      </c>
      <c r="AG553" s="43" t="s">
        <v>39</v>
      </c>
      <c r="AH553">
        <v>1</v>
      </c>
      <c r="AI553" t="s">
        <v>331</v>
      </c>
      <c r="AJ553" s="43" t="s">
        <v>268</v>
      </c>
      <c r="AK553">
        <v>0</v>
      </c>
    </row>
    <row r="554" spans="31:37" x14ac:dyDescent="0.25">
      <c r="AE554" s="43" t="s">
        <v>132</v>
      </c>
      <c r="AF554" s="43" t="s">
        <v>26</v>
      </c>
      <c r="AG554" s="43" t="s">
        <v>39</v>
      </c>
      <c r="AH554">
        <v>1</v>
      </c>
      <c r="AI554" t="s">
        <v>341</v>
      </c>
      <c r="AJ554" s="43" t="s">
        <v>308</v>
      </c>
      <c r="AK554">
        <v>2.4</v>
      </c>
    </row>
    <row r="555" spans="31:37" x14ac:dyDescent="0.25">
      <c r="AE555" s="43" t="s">
        <v>132</v>
      </c>
      <c r="AF555" s="43" t="s">
        <v>26</v>
      </c>
      <c r="AG555" s="43" t="s">
        <v>39</v>
      </c>
      <c r="AH555">
        <v>1</v>
      </c>
      <c r="AI555" t="s">
        <v>341</v>
      </c>
      <c r="AJ555" s="43" t="s">
        <v>309</v>
      </c>
      <c r="AK555">
        <v>9.1</v>
      </c>
    </row>
    <row r="556" spans="31:37" x14ac:dyDescent="0.25">
      <c r="AE556" s="43" t="s">
        <v>132</v>
      </c>
      <c r="AF556" s="43" t="s">
        <v>26</v>
      </c>
      <c r="AG556" s="43" t="s">
        <v>39</v>
      </c>
      <c r="AH556">
        <v>1</v>
      </c>
      <c r="AI556" t="s">
        <v>341</v>
      </c>
      <c r="AJ556" s="43" t="s">
        <v>268</v>
      </c>
      <c r="AK556">
        <v>11.5</v>
      </c>
    </row>
    <row r="557" spans="31:37" x14ac:dyDescent="0.25">
      <c r="AE557" s="43" t="s">
        <v>132</v>
      </c>
      <c r="AF557" s="43" t="s">
        <v>26</v>
      </c>
      <c r="AG557" s="43" t="s">
        <v>39</v>
      </c>
      <c r="AH557">
        <v>1</v>
      </c>
      <c r="AI557" t="s">
        <v>273</v>
      </c>
      <c r="AJ557" s="43" t="s">
        <v>308</v>
      </c>
      <c r="AK557">
        <v>0</v>
      </c>
    </row>
    <row r="558" spans="31:37" x14ac:dyDescent="0.25">
      <c r="AE558" s="43" t="s">
        <v>132</v>
      </c>
      <c r="AF558" s="43" t="s">
        <v>26</v>
      </c>
      <c r="AG558" s="43" t="s">
        <v>39</v>
      </c>
      <c r="AH558">
        <v>1</v>
      </c>
      <c r="AI558" t="s">
        <v>273</v>
      </c>
      <c r="AJ558" s="43" t="s">
        <v>309</v>
      </c>
      <c r="AK558">
        <v>0</v>
      </c>
    </row>
    <row r="559" spans="31:37" x14ac:dyDescent="0.25">
      <c r="AE559" s="43" t="s">
        <v>132</v>
      </c>
      <c r="AF559" s="43" t="s">
        <v>26</v>
      </c>
      <c r="AG559" s="43" t="s">
        <v>39</v>
      </c>
      <c r="AH559">
        <v>1</v>
      </c>
      <c r="AI559" t="s">
        <v>273</v>
      </c>
      <c r="AJ559" s="43" t="s">
        <v>268</v>
      </c>
      <c r="AK559">
        <v>0</v>
      </c>
    </row>
    <row r="560" spans="31:37" x14ac:dyDescent="0.25">
      <c r="AE560" s="43" t="s">
        <v>57</v>
      </c>
      <c r="AF560" s="43" t="s">
        <v>26</v>
      </c>
      <c r="AG560" s="43" t="s">
        <v>36</v>
      </c>
      <c r="AH560">
        <v>1</v>
      </c>
      <c r="AI560" t="s">
        <v>317</v>
      </c>
      <c r="AJ560" s="43" t="s">
        <v>308</v>
      </c>
      <c r="AK560">
        <v>1.9</v>
      </c>
    </row>
    <row r="561" spans="31:37" x14ac:dyDescent="0.25">
      <c r="AE561" s="43" t="s">
        <v>57</v>
      </c>
      <c r="AF561" s="43" t="s">
        <v>26</v>
      </c>
      <c r="AG561" s="43" t="s">
        <v>36</v>
      </c>
      <c r="AH561">
        <v>1</v>
      </c>
      <c r="AI561" t="s">
        <v>317</v>
      </c>
      <c r="AJ561" s="43" t="s">
        <v>309</v>
      </c>
      <c r="AK561">
        <v>8.1</v>
      </c>
    </row>
    <row r="562" spans="31:37" x14ac:dyDescent="0.25">
      <c r="AE562" s="43" t="s">
        <v>57</v>
      </c>
      <c r="AF562" s="43" t="s">
        <v>26</v>
      </c>
      <c r="AG562" s="43" t="s">
        <v>36</v>
      </c>
      <c r="AH562">
        <v>1</v>
      </c>
      <c r="AI562" t="s">
        <v>317</v>
      </c>
      <c r="AJ562" s="43" t="s">
        <v>268</v>
      </c>
      <c r="AK562">
        <v>10</v>
      </c>
    </row>
    <row r="563" spans="31:37" x14ac:dyDescent="0.25">
      <c r="AE563" s="43" t="s">
        <v>57</v>
      </c>
      <c r="AF563" s="43" t="s">
        <v>26</v>
      </c>
      <c r="AG563" s="43" t="s">
        <v>36</v>
      </c>
      <c r="AH563">
        <v>1</v>
      </c>
      <c r="AI563" t="s">
        <v>325</v>
      </c>
      <c r="AJ563" s="43" t="s">
        <v>308</v>
      </c>
      <c r="AK563">
        <v>0</v>
      </c>
    </row>
    <row r="564" spans="31:37" x14ac:dyDescent="0.25">
      <c r="AE564" s="43" t="s">
        <v>57</v>
      </c>
      <c r="AF564" s="43" t="s">
        <v>26</v>
      </c>
      <c r="AG564" s="43" t="s">
        <v>36</v>
      </c>
      <c r="AH564">
        <v>1</v>
      </c>
      <c r="AI564" t="s">
        <v>325</v>
      </c>
      <c r="AJ564" s="43" t="s">
        <v>309</v>
      </c>
      <c r="AK564">
        <v>0</v>
      </c>
    </row>
    <row r="565" spans="31:37" x14ac:dyDescent="0.25">
      <c r="AE565" s="43" t="s">
        <v>57</v>
      </c>
      <c r="AF565" s="43" t="s">
        <v>26</v>
      </c>
      <c r="AG565" s="43" t="s">
        <v>36</v>
      </c>
      <c r="AH565">
        <v>1</v>
      </c>
      <c r="AI565" t="s">
        <v>325</v>
      </c>
      <c r="AJ565" s="43" t="s">
        <v>268</v>
      </c>
      <c r="AK565">
        <v>0</v>
      </c>
    </row>
    <row r="566" spans="31:37" x14ac:dyDescent="0.25">
      <c r="AE566" s="43" t="s">
        <v>57</v>
      </c>
      <c r="AF566" s="43" t="s">
        <v>26</v>
      </c>
      <c r="AG566" s="43" t="s">
        <v>36</v>
      </c>
      <c r="AH566">
        <v>1</v>
      </c>
      <c r="AI566" t="s">
        <v>330</v>
      </c>
      <c r="AJ566" s="43" t="s">
        <v>308</v>
      </c>
      <c r="AK566">
        <v>0</v>
      </c>
    </row>
    <row r="567" spans="31:37" x14ac:dyDescent="0.25">
      <c r="AE567" s="43" t="s">
        <v>57</v>
      </c>
      <c r="AF567" s="43" t="s">
        <v>26</v>
      </c>
      <c r="AG567" s="43" t="s">
        <v>36</v>
      </c>
      <c r="AH567">
        <v>1</v>
      </c>
      <c r="AI567" t="s">
        <v>330</v>
      </c>
      <c r="AJ567" s="43" t="s">
        <v>309</v>
      </c>
      <c r="AK567">
        <v>0</v>
      </c>
    </row>
    <row r="568" spans="31:37" x14ac:dyDescent="0.25">
      <c r="AE568" s="43" t="s">
        <v>57</v>
      </c>
      <c r="AF568" s="43" t="s">
        <v>26</v>
      </c>
      <c r="AG568" s="43" t="s">
        <v>36</v>
      </c>
      <c r="AH568">
        <v>1</v>
      </c>
      <c r="AI568" t="s">
        <v>330</v>
      </c>
      <c r="AJ568" s="43" t="s">
        <v>268</v>
      </c>
      <c r="AK568">
        <v>0</v>
      </c>
    </row>
    <row r="569" spans="31:37" x14ac:dyDescent="0.25">
      <c r="AE569" s="43" t="s">
        <v>57</v>
      </c>
      <c r="AF569" s="43" t="s">
        <v>26</v>
      </c>
      <c r="AG569" s="43" t="s">
        <v>36</v>
      </c>
      <c r="AH569">
        <v>1</v>
      </c>
      <c r="AI569" t="s">
        <v>331</v>
      </c>
      <c r="AJ569" s="43" t="s">
        <v>308</v>
      </c>
      <c r="AK569">
        <v>0</v>
      </c>
    </row>
    <row r="570" spans="31:37" x14ac:dyDescent="0.25">
      <c r="AE570" s="43" t="s">
        <v>57</v>
      </c>
      <c r="AF570" s="43" t="s">
        <v>26</v>
      </c>
      <c r="AG570" s="43" t="s">
        <v>36</v>
      </c>
      <c r="AH570">
        <v>1</v>
      </c>
      <c r="AI570" t="s">
        <v>331</v>
      </c>
      <c r="AJ570" s="43" t="s">
        <v>309</v>
      </c>
      <c r="AK570">
        <v>0</v>
      </c>
    </row>
    <row r="571" spans="31:37" x14ac:dyDescent="0.25">
      <c r="AE571" s="43" t="s">
        <v>57</v>
      </c>
      <c r="AF571" s="43" t="s">
        <v>26</v>
      </c>
      <c r="AG571" s="43" t="s">
        <v>36</v>
      </c>
      <c r="AH571">
        <v>1</v>
      </c>
      <c r="AI571" t="s">
        <v>331</v>
      </c>
      <c r="AJ571" s="43" t="s">
        <v>268</v>
      </c>
      <c r="AK571">
        <v>0</v>
      </c>
    </row>
    <row r="572" spans="31:37" x14ac:dyDescent="0.25">
      <c r="AE572" s="43" t="s">
        <v>57</v>
      </c>
      <c r="AF572" s="43" t="s">
        <v>26</v>
      </c>
      <c r="AG572" s="43" t="s">
        <v>36</v>
      </c>
      <c r="AH572">
        <v>1</v>
      </c>
      <c r="AI572" t="s">
        <v>341</v>
      </c>
      <c r="AJ572" s="43" t="s">
        <v>308</v>
      </c>
      <c r="AK572">
        <v>1.9</v>
      </c>
    </row>
    <row r="573" spans="31:37" x14ac:dyDescent="0.25">
      <c r="AE573" s="43" t="s">
        <v>57</v>
      </c>
      <c r="AF573" s="43" t="s">
        <v>26</v>
      </c>
      <c r="AG573" s="43" t="s">
        <v>36</v>
      </c>
      <c r="AH573">
        <v>1</v>
      </c>
      <c r="AI573" t="s">
        <v>341</v>
      </c>
      <c r="AJ573" s="43" t="s">
        <v>309</v>
      </c>
      <c r="AK573">
        <v>8.1</v>
      </c>
    </row>
    <row r="574" spans="31:37" x14ac:dyDescent="0.25">
      <c r="AE574" s="43" t="s">
        <v>57</v>
      </c>
      <c r="AF574" s="43" t="s">
        <v>26</v>
      </c>
      <c r="AG574" s="43" t="s">
        <v>36</v>
      </c>
      <c r="AH574">
        <v>1</v>
      </c>
      <c r="AI574" t="s">
        <v>341</v>
      </c>
      <c r="AJ574" s="43" t="s">
        <v>268</v>
      </c>
      <c r="AK574">
        <v>10</v>
      </c>
    </row>
    <row r="575" spans="31:37" x14ac:dyDescent="0.25">
      <c r="AE575" s="43" t="s">
        <v>57</v>
      </c>
      <c r="AF575" s="43" t="s">
        <v>26</v>
      </c>
      <c r="AG575" s="43" t="s">
        <v>36</v>
      </c>
      <c r="AH575">
        <v>1</v>
      </c>
      <c r="AI575" t="s">
        <v>273</v>
      </c>
      <c r="AJ575" s="43" t="s">
        <v>308</v>
      </c>
      <c r="AK575">
        <v>0</v>
      </c>
    </row>
    <row r="576" spans="31:37" x14ac:dyDescent="0.25">
      <c r="AE576" s="43" t="s">
        <v>57</v>
      </c>
      <c r="AF576" s="43" t="s">
        <v>26</v>
      </c>
      <c r="AG576" s="43" t="s">
        <v>36</v>
      </c>
      <c r="AH576">
        <v>1</v>
      </c>
      <c r="AI576" t="s">
        <v>273</v>
      </c>
      <c r="AJ576" s="43" t="s">
        <v>309</v>
      </c>
      <c r="AK576">
        <v>0</v>
      </c>
    </row>
    <row r="577" spans="31:37" x14ac:dyDescent="0.25">
      <c r="AE577" s="43" t="s">
        <v>57</v>
      </c>
      <c r="AF577" s="43" t="s">
        <v>26</v>
      </c>
      <c r="AG577" s="43" t="s">
        <v>36</v>
      </c>
      <c r="AH577">
        <v>1</v>
      </c>
      <c r="AI577" t="s">
        <v>273</v>
      </c>
      <c r="AJ577" s="43" t="s">
        <v>268</v>
      </c>
      <c r="AK577">
        <v>0</v>
      </c>
    </row>
    <row r="578" spans="31:37" x14ac:dyDescent="0.25">
      <c r="AE578" s="43" t="s">
        <v>98</v>
      </c>
      <c r="AF578" s="43" t="s">
        <v>60</v>
      </c>
      <c r="AG578" s="43" t="s">
        <v>72</v>
      </c>
      <c r="AH578">
        <v>1</v>
      </c>
      <c r="AI578" t="s">
        <v>317</v>
      </c>
      <c r="AJ578" s="43" t="s">
        <v>308</v>
      </c>
      <c r="AK578">
        <v>0</v>
      </c>
    </row>
    <row r="579" spans="31:37" x14ac:dyDescent="0.25">
      <c r="AE579" s="43" t="s">
        <v>98</v>
      </c>
      <c r="AF579" s="43" t="s">
        <v>60</v>
      </c>
      <c r="AG579" s="43" t="s">
        <v>72</v>
      </c>
      <c r="AH579">
        <v>1</v>
      </c>
      <c r="AI579" t="s">
        <v>317</v>
      </c>
      <c r="AJ579" s="43" t="s">
        <v>309</v>
      </c>
      <c r="AK579">
        <v>0</v>
      </c>
    </row>
    <row r="580" spans="31:37" x14ac:dyDescent="0.25">
      <c r="AE580" s="43" t="s">
        <v>98</v>
      </c>
      <c r="AF580" s="43" t="s">
        <v>60</v>
      </c>
      <c r="AG580" s="43" t="s">
        <v>72</v>
      </c>
      <c r="AH580">
        <v>1</v>
      </c>
      <c r="AI580" t="s">
        <v>317</v>
      </c>
      <c r="AJ580" s="43" t="s">
        <v>268</v>
      </c>
      <c r="AK580">
        <v>0</v>
      </c>
    </row>
    <row r="581" spans="31:37" x14ac:dyDescent="0.25">
      <c r="AE581" s="43" t="s">
        <v>98</v>
      </c>
      <c r="AF581" s="43" t="s">
        <v>60</v>
      </c>
      <c r="AG581" s="43" t="s">
        <v>72</v>
      </c>
      <c r="AH581">
        <v>1</v>
      </c>
      <c r="AI581" t="s">
        <v>325</v>
      </c>
      <c r="AJ581" s="43" t="s">
        <v>308</v>
      </c>
      <c r="AK581">
        <v>0</v>
      </c>
    </row>
    <row r="582" spans="31:37" x14ac:dyDescent="0.25">
      <c r="AE582" s="43" t="s">
        <v>98</v>
      </c>
      <c r="AF582" s="43" t="s">
        <v>60</v>
      </c>
      <c r="AG582" s="43" t="s">
        <v>72</v>
      </c>
      <c r="AH582">
        <v>1</v>
      </c>
      <c r="AI582" t="s">
        <v>325</v>
      </c>
      <c r="AJ582" s="43" t="s">
        <v>309</v>
      </c>
      <c r="AK582">
        <v>0</v>
      </c>
    </row>
    <row r="583" spans="31:37" x14ac:dyDescent="0.25">
      <c r="AE583" s="43" t="s">
        <v>98</v>
      </c>
      <c r="AF583" s="43" t="s">
        <v>60</v>
      </c>
      <c r="AG583" s="43" t="s">
        <v>72</v>
      </c>
      <c r="AH583">
        <v>1</v>
      </c>
      <c r="AI583" t="s">
        <v>325</v>
      </c>
      <c r="AJ583" s="43" t="s">
        <v>268</v>
      </c>
      <c r="AK583">
        <v>0</v>
      </c>
    </row>
    <row r="584" spans="31:37" x14ac:dyDescent="0.25">
      <c r="AE584" s="43" t="s">
        <v>98</v>
      </c>
      <c r="AF584" s="43" t="s">
        <v>60</v>
      </c>
      <c r="AG584" s="43" t="s">
        <v>72</v>
      </c>
      <c r="AH584">
        <v>1</v>
      </c>
      <c r="AI584" t="s">
        <v>330</v>
      </c>
      <c r="AJ584" s="43" t="s">
        <v>308</v>
      </c>
      <c r="AK584">
        <v>2.6</v>
      </c>
    </row>
    <row r="585" spans="31:37" x14ac:dyDescent="0.25">
      <c r="AE585" s="43" t="s">
        <v>98</v>
      </c>
      <c r="AF585" s="43" t="s">
        <v>60</v>
      </c>
      <c r="AG585" s="43" t="s">
        <v>72</v>
      </c>
      <c r="AH585">
        <v>1</v>
      </c>
      <c r="AI585" t="s">
        <v>330</v>
      </c>
      <c r="AJ585" s="43" t="s">
        <v>309</v>
      </c>
      <c r="AK585">
        <v>6.95</v>
      </c>
    </row>
    <row r="586" spans="31:37" x14ac:dyDescent="0.25">
      <c r="AE586" s="43" t="s">
        <v>98</v>
      </c>
      <c r="AF586" s="43" t="s">
        <v>60</v>
      </c>
      <c r="AG586" s="43" t="s">
        <v>72</v>
      </c>
      <c r="AH586">
        <v>1</v>
      </c>
      <c r="AI586" t="s">
        <v>330</v>
      </c>
      <c r="AJ586" s="43" t="s">
        <v>268</v>
      </c>
      <c r="AK586">
        <v>9.5500000000000007</v>
      </c>
    </row>
    <row r="587" spans="31:37" x14ac:dyDescent="0.25">
      <c r="AE587" s="43" t="s">
        <v>98</v>
      </c>
      <c r="AF587" s="43" t="s">
        <v>60</v>
      </c>
      <c r="AG587" s="43" t="s">
        <v>72</v>
      </c>
      <c r="AH587">
        <v>1</v>
      </c>
      <c r="AI587" t="s">
        <v>331</v>
      </c>
      <c r="AJ587" s="43" t="s">
        <v>308</v>
      </c>
      <c r="AK587">
        <v>0</v>
      </c>
    </row>
    <row r="588" spans="31:37" x14ac:dyDescent="0.25">
      <c r="AE588" s="43" t="s">
        <v>98</v>
      </c>
      <c r="AF588" s="43" t="s">
        <v>60</v>
      </c>
      <c r="AG588" s="43" t="s">
        <v>72</v>
      </c>
      <c r="AH588">
        <v>1</v>
      </c>
      <c r="AI588" t="s">
        <v>331</v>
      </c>
      <c r="AJ588" s="43" t="s">
        <v>309</v>
      </c>
      <c r="AK588">
        <v>0</v>
      </c>
    </row>
    <row r="589" spans="31:37" x14ac:dyDescent="0.25">
      <c r="AE589" s="43" t="s">
        <v>98</v>
      </c>
      <c r="AF589" s="43" t="s">
        <v>60</v>
      </c>
      <c r="AG589" s="43" t="s">
        <v>72</v>
      </c>
      <c r="AH589">
        <v>1</v>
      </c>
      <c r="AI589" t="s">
        <v>331</v>
      </c>
      <c r="AJ589" s="43" t="s">
        <v>268</v>
      </c>
      <c r="AK589">
        <v>0</v>
      </c>
    </row>
    <row r="590" spans="31:37" x14ac:dyDescent="0.25">
      <c r="AE590" s="43" t="s">
        <v>98</v>
      </c>
      <c r="AF590" s="43" t="s">
        <v>60</v>
      </c>
      <c r="AG590" s="43" t="s">
        <v>72</v>
      </c>
      <c r="AH590">
        <v>1</v>
      </c>
      <c r="AI590" t="s">
        <v>341</v>
      </c>
      <c r="AJ590" s="43" t="s">
        <v>308</v>
      </c>
      <c r="AK590">
        <v>2.6</v>
      </c>
    </row>
    <row r="591" spans="31:37" x14ac:dyDescent="0.25">
      <c r="AE591" s="43" t="s">
        <v>98</v>
      </c>
      <c r="AF591" s="43" t="s">
        <v>60</v>
      </c>
      <c r="AG591" s="43" t="s">
        <v>72</v>
      </c>
      <c r="AH591">
        <v>1</v>
      </c>
      <c r="AI591" t="s">
        <v>341</v>
      </c>
      <c r="AJ591" s="43" t="s">
        <v>309</v>
      </c>
      <c r="AK591">
        <v>6.95</v>
      </c>
    </row>
    <row r="592" spans="31:37" x14ac:dyDescent="0.25">
      <c r="AE592" s="43" t="s">
        <v>98</v>
      </c>
      <c r="AF592" s="43" t="s">
        <v>60</v>
      </c>
      <c r="AG592" s="43" t="s">
        <v>72</v>
      </c>
      <c r="AH592">
        <v>1</v>
      </c>
      <c r="AI592" t="s">
        <v>341</v>
      </c>
      <c r="AJ592" s="43" t="s">
        <v>268</v>
      </c>
      <c r="AK592">
        <v>9.5500000000000007</v>
      </c>
    </row>
    <row r="593" spans="31:37" x14ac:dyDescent="0.25">
      <c r="AE593" s="43" t="s">
        <v>98</v>
      </c>
      <c r="AF593" s="43" t="s">
        <v>60</v>
      </c>
      <c r="AG593" s="43" t="s">
        <v>72</v>
      </c>
      <c r="AH593">
        <v>1</v>
      </c>
      <c r="AI593" t="s">
        <v>273</v>
      </c>
      <c r="AJ593" s="43" t="s">
        <v>308</v>
      </c>
      <c r="AK593">
        <v>0</v>
      </c>
    </row>
    <row r="594" spans="31:37" x14ac:dyDescent="0.25">
      <c r="AE594" s="43" t="s">
        <v>98</v>
      </c>
      <c r="AF594" s="43" t="s">
        <v>60</v>
      </c>
      <c r="AG594" s="43" t="s">
        <v>72</v>
      </c>
      <c r="AH594">
        <v>1</v>
      </c>
      <c r="AI594" t="s">
        <v>273</v>
      </c>
      <c r="AJ594" s="43" t="s">
        <v>309</v>
      </c>
      <c r="AK594">
        <v>0</v>
      </c>
    </row>
    <row r="595" spans="31:37" x14ac:dyDescent="0.25">
      <c r="AE595" s="43" t="s">
        <v>98</v>
      </c>
      <c r="AF595" s="43" t="s">
        <v>60</v>
      </c>
      <c r="AG595" s="43" t="s">
        <v>72</v>
      </c>
      <c r="AH595">
        <v>1</v>
      </c>
      <c r="AI595" t="s">
        <v>273</v>
      </c>
      <c r="AJ595" s="43" t="s">
        <v>268</v>
      </c>
      <c r="AK595">
        <v>0</v>
      </c>
    </row>
    <row r="596" spans="31:37" x14ac:dyDescent="0.25">
      <c r="AE596" s="43" t="s">
        <v>122</v>
      </c>
      <c r="AF596" s="43" t="s">
        <v>26</v>
      </c>
      <c r="AG596" s="43" t="s">
        <v>124</v>
      </c>
      <c r="AH596">
        <v>1</v>
      </c>
      <c r="AI596" t="s">
        <v>317</v>
      </c>
      <c r="AJ596" s="43" t="s">
        <v>308</v>
      </c>
      <c r="AK596">
        <v>0</v>
      </c>
    </row>
    <row r="597" spans="31:37" x14ac:dyDescent="0.25">
      <c r="AE597" s="43" t="s">
        <v>122</v>
      </c>
      <c r="AF597" s="43" t="s">
        <v>26</v>
      </c>
      <c r="AG597" s="43" t="s">
        <v>124</v>
      </c>
      <c r="AH597">
        <v>1</v>
      </c>
      <c r="AI597" t="s">
        <v>317</v>
      </c>
      <c r="AJ597" s="43" t="s">
        <v>309</v>
      </c>
      <c r="AK597">
        <v>0</v>
      </c>
    </row>
    <row r="598" spans="31:37" x14ac:dyDescent="0.25">
      <c r="AE598" s="43" t="s">
        <v>122</v>
      </c>
      <c r="AF598" s="43" t="s">
        <v>26</v>
      </c>
      <c r="AG598" s="43" t="s">
        <v>124</v>
      </c>
      <c r="AH598">
        <v>1</v>
      </c>
      <c r="AI598" t="s">
        <v>317</v>
      </c>
      <c r="AJ598" s="43" t="s">
        <v>268</v>
      </c>
      <c r="AK598">
        <v>0</v>
      </c>
    </row>
    <row r="599" spans="31:37" x14ac:dyDescent="0.25">
      <c r="AE599" s="43" t="s">
        <v>122</v>
      </c>
      <c r="AF599" s="43" t="s">
        <v>26</v>
      </c>
      <c r="AG599" s="43" t="s">
        <v>124</v>
      </c>
      <c r="AH599">
        <v>1</v>
      </c>
      <c r="AI599" t="s">
        <v>325</v>
      </c>
      <c r="AJ599" s="43" t="s">
        <v>308</v>
      </c>
      <c r="AK599">
        <v>0</v>
      </c>
    </row>
    <row r="600" spans="31:37" x14ac:dyDescent="0.25">
      <c r="AE600" s="43" t="s">
        <v>122</v>
      </c>
      <c r="AF600" s="43" t="s">
        <v>26</v>
      </c>
      <c r="AG600" s="43" t="s">
        <v>124</v>
      </c>
      <c r="AH600">
        <v>1</v>
      </c>
      <c r="AI600" t="s">
        <v>325</v>
      </c>
      <c r="AJ600" s="43" t="s">
        <v>309</v>
      </c>
      <c r="AK600">
        <v>0</v>
      </c>
    </row>
    <row r="601" spans="31:37" x14ac:dyDescent="0.25">
      <c r="AE601" s="43" t="s">
        <v>122</v>
      </c>
      <c r="AF601" s="43" t="s">
        <v>26</v>
      </c>
      <c r="AG601" s="43" t="s">
        <v>124</v>
      </c>
      <c r="AH601">
        <v>1</v>
      </c>
      <c r="AI601" t="s">
        <v>325</v>
      </c>
      <c r="AJ601" s="43" t="s">
        <v>268</v>
      </c>
      <c r="AK601">
        <v>0</v>
      </c>
    </row>
    <row r="602" spans="31:37" x14ac:dyDescent="0.25">
      <c r="AE602" s="43" t="s">
        <v>122</v>
      </c>
      <c r="AF602" s="43" t="s">
        <v>26</v>
      </c>
      <c r="AG602" s="43" t="s">
        <v>124</v>
      </c>
      <c r="AH602">
        <v>1</v>
      </c>
      <c r="AI602" t="s">
        <v>330</v>
      </c>
      <c r="AJ602" s="43" t="s">
        <v>308</v>
      </c>
      <c r="AK602">
        <v>2</v>
      </c>
    </row>
    <row r="603" spans="31:37" x14ac:dyDescent="0.25">
      <c r="AE603" s="43" t="s">
        <v>122</v>
      </c>
      <c r="AF603" s="43" t="s">
        <v>26</v>
      </c>
      <c r="AG603" s="43" t="s">
        <v>124</v>
      </c>
      <c r="AH603">
        <v>1</v>
      </c>
      <c r="AI603" t="s">
        <v>330</v>
      </c>
      <c r="AJ603" s="43" t="s">
        <v>309</v>
      </c>
      <c r="AK603">
        <v>6.6</v>
      </c>
    </row>
    <row r="604" spans="31:37" x14ac:dyDescent="0.25">
      <c r="AE604" s="43" t="s">
        <v>122</v>
      </c>
      <c r="AF604" s="43" t="s">
        <v>26</v>
      </c>
      <c r="AG604" s="43" t="s">
        <v>124</v>
      </c>
      <c r="AH604">
        <v>1</v>
      </c>
      <c r="AI604" t="s">
        <v>330</v>
      </c>
      <c r="AJ604" s="43" t="s">
        <v>268</v>
      </c>
      <c r="AK604">
        <v>8.6</v>
      </c>
    </row>
    <row r="605" spans="31:37" x14ac:dyDescent="0.25">
      <c r="AE605" s="43" t="s">
        <v>122</v>
      </c>
      <c r="AF605" s="43" t="s">
        <v>26</v>
      </c>
      <c r="AG605" s="43" t="s">
        <v>124</v>
      </c>
      <c r="AH605">
        <v>1</v>
      </c>
      <c r="AI605" t="s">
        <v>331</v>
      </c>
      <c r="AJ605" s="43" t="s">
        <v>308</v>
      </c>
      <c r="AK605">
        <v>0</v>
      </c>
    </row>
    <row r="606" spans="31:37" x14ac:dyDescent="0.25">
      <c r="AE606" s="43" t="s">
        <v>122</v>
      </c>
      <c r="AF606" s="43" t="s">
        <v>26</v>
      </c>
      <c r="AG606" s="43" t="s">
        <v>124</v>
      </c>
      <c r="AH606">
        <v>1</v>
      </c>
      <c r="AI606" t="s">
        <v>331</v>
      </c>
      <c r="AJ606" s="43" t="s">
        <v>309</v>
      </c>
      <c r="AK606">
        <v>0</v>
      </c>
    </row>
    <row r="607" spans="31:37" x14ac:dyDescent="0.25">
      <c r="AE607" s="43" t="s">
        <v>122</v>
      </c>
      <c r="AF607" s="43" t="s">
        <v>26</v>
      </c>
      <c r="AG607" s="43" t="s">
        <v>124</v>
      </c>
      <c r="AH607">
        <v>1</v>
      </c>
      <c r="AI607" t="s">
        <v>331</v>
      </c>
      <c r="AJ607" s="43" t="s">
        <v>268</v>
      </c>
      <c r="AK607">
        <v>0</v>
      </c>
    </row>
    <row r="608" spans="31:37" x14ac:dyDescent="0.25">
      <c r="AE608" s="43" t="s">
        <v>122</v>
      </c>
      <c r="AF608" s="43" t="s">
        <v>26</v>
      </c>
      <c r="AG608" s="43" t="s">
        <v>124</v>
      </c>
      <c r="AH608">
        <v>1</v>
      </c>
      <c r="AI608" t="s">
        <v>341</v>
      </c>
      <c r="AJ608" s="43" t="s">
        <v>308</v>
      </c>
      <c r="AK608">
        <v>2</v>
      </c>
    </row>
    <row r="609" spans="31:37" x14ac:dyDescent="0.25">
      <c r="AE609" s="43" t="s">
        <v>122</v>
      </c>
      <c r="AF609" s="43" t="s">
        <v>26</v>
      </c>
      <c r="AG609" s="43" t="s">
        <v>124</v>
      </c>
      <c r="AH609">
        <v>1</v>
      </c>
      <c r="AI609" t="s">
        <v>341</v>
      </c>
      <c r="AJ609" s="43" t="s">
        <v>309</v>
      </c>
      <c r="AK609">
        <v>6.6</v>
      </c>
    </row>
    <row r="610" spans="31:37" x14ac:dyDescent="0.25">
      <c r="AE610" s="43" t="s">
        <v>122</v>
      </c>
      <c r="AF610" s="43" t="s">
        <v>26</v>
      </c>
      <c r="AG610" s="43" t="s">
        <v>124</v>
      </c>
      <c r="AH610">
        <v>1</v>
      </c>
      <c r="AI610" t="s">
        <v>341</v>
      </c>
      <c r="AJ610" s="43" t="s">
        <v>268</v>
      </c>
      <c r="AK610">
        <v>8.6</v>
      </c>
    </row>
    <row r="611" spans="31:37" x14ac:dyDescent="0.25">
      <c r="AE611" s="43" t="s">
        <v>122</v>
      </c>
      <c r="AF611" s="43" t="s">
        <v>26</v>
      </c>
      <c r="AG611" s="43" t="s">
        <v>124</v>
      </c>
      <c r="AH611">
        <v>1</v>
      </c>
      <c r="AI611" t="s">
        <v>273</v>
      </c>
      <c r="AJ611" s="43" t="s">
        <v>308</v>
      </c>
      <c r="AK611">
        <v>0</v>
      </c>
    </row>
    <row r="612" spans="31:37" x14ac:dyDescent="0.25">
      <c r="AE612" s="43" t="s">
        <v>122</v>
      </c>
      <c r="AF612" s="43" t="s">
        <v>26</v>
      </c>
      <c r="AG612" s="43" t="s">
        <v>124</v>
      </c>
      <c r="AH612">
        <v>1</v>
      </c>
      <c r="AI612" t="s">
        <v>273</v>
      </c>
      <c r="AJ612" s="43" t="s">
        <v>309</v>
      </c>
      <c r="AK612">
        <v>0</v>
      </c>
    </row>
    <row r="613" spans="31:37" x14ac:dyDescent="0.25">
      <c r="AE613" s="43" t="s">
        <v>122</v>
      </c>
      <c r="AF613" s="43" t="s">
        <v>26</v>
      </c>
      <c r="AG613" s="43" t="s">
        <v>124</v>
      </c>
      <c r="AH613">
        <v>1</v>
      </c>
      <c r="AI613" t="s">
        <v>273</v>
      </c>
      <c r="AJ613" s="43" t="s">
        <v>268</v>
      </c>
      <c r="AK613">
        <v>0</v>
      </c>
    </row>
    <row r="614" spans="31:37" x14ac:dyDescent="0.25">
      <c r="AE614" s="43" t="s">
        <v>135</v>
      </c>
      <c r="AF614" s="43" t="s">
        <v>26</v>
      </c>
      <c r="AG614" s="43" t="s">
        <v>124</v>
      </c>
      <c r="AH614">
        <v>1</v>
      </c>
      <c r="AI614" t="s">
        <v>317</v>
      </c>
      <c r="AJ614" s="43" t="s">
        <v>308</v>
      </c>
      <c r="AK614">
        <v>1.5</v>
      </c>
    </row>
    <row r="615" spans="31:37" x14ac:dyDescent="0.25">
      <c r="AE615" s="43" t="s">
        <v>135</v>
      </c>
      <c r="AF615" s="43" t="s">
        <v>26</v>
      </c>
      <c r="AG615" s="43" t="s">
        <v>124</v>
      </c>
      <c r="AH615">
        <v>1</v>
      </c>
      <c r="AI615" t="s">
        <v>317</v>
      </c>
      <c r="AJ615" s="43" t="s">
        <v>309</v>
      </c>
      <c r="AK615">
        <v>5</v>
      </c>
    </row>
    <row r="616" spans="31:37" x14ac:dyDescent="0.25">
      <c r="AE616" s="43" t="s">
        <v>135</v>
      </c>
      <c r="AF616" s="43" t="s">
        <v>26</v>
      </c>
      <c r="AG616" s="43" t="s">
        <v>124</v>
      </c>
      <c r="AH616">
        <v>1</v>
      </c>
      <c r="AI616" t="s">
        <v>317</v>
      </c>
      <c r="AJ616" s="43" t="s">
        <v>268</v>
      </c>
      <c r="AK616">
        <v>6.5</v>
      </c>
    </row>
    <row r="617" spans="31:37" x14ac:dyDescent="0.25">
      <c r="AE617" s="43" t="s">
        <v>135</v>
      </c>
      <c r="AF617" s="43" t="s">
        <v>26</v>
      </c>
      <c r="AG617" s="43" t="s">
        <v>124</v>
      </c>
      <c r="AH617">
        <v>1</v>
      </c>
      <c r="AI617" t="s">
        <v>325</v>
      </c>
      <c r="AJ617" s="43" t="s">
        <v>308</v>
      </c>
      <c r="AK617">
        <v>0</v>
      </c>
    </row>
    <row r="618" spans="31:37" x14ac:dyDescent="0.25">
      <c r="AE618" s="43" t="s">
        <v>135</v>
      </c>
      <c r="AF618" s="43" t="s">
        <v>26</v>
      </c>
      <c r="AG618" s="43" t="s">
        <v>124</v>
      </c>
      <c r="AH618">
        <v>1</v>
      </c>
      <c r="AI618" t="s">
        <v>325</v>
      </c>
      <c r="AJ618" s="43" t="s">
        <v>309</v>
      </c>
      <c r="AK618">
        <v>0</v>
      </c>
    </row>
    <row r="619" spans="31:37" x14ac:dyDescent="0.25">
      <c r="AE619" s="43" t="s">
        <v>135</v>
      </c>
      <c r="AF619" s="43" t="s">
        <v>26</v>
      </c>
      <c r="AG619" s="43" t="s">
        <v>124</v>
      </c>
      <c r="AH619">
        <v>1</v>
      </c>
      <c r="AI619" t="s">
        <v>325</v>
      </c>
      <c r="AJ619" s="43" t="s">
        <v>268</v>
      </c>
      <c r="AK619">
        <v>0</v>
      </c>
    </row>
    <row r="620" spans="31:37" x14ac:dyDescent="0.25">
      <c r="AE620" s="43" t="s">
        <v>135</v>
      </c>
      <c r="AF620" s="43" t="s">
        <v>26</v>
      </c>
      <c r="AG620" s="43" t="s">
        <v>124</v>
      </c>
      <c r="AH620">
        <v>1</v>
      </c>
      <c r="AI620" t="s">
        <v>330</v>
      </c>
      <c r="AJ620" s="43" t="s">
        <v>308</v>
      </c>
      <c r="AK620">
        <v>0</v>
      </c>
    </row>
    <row r="621" spans="31:37" x14ac:dyDescent="0.25">
      <c r="AE621" s="43" t="s">
        <v>135</v>
      </c>
      <c r="AF621" s="43" t="s">
        <v>26</v>
      </c>
      <c r="AG621" s="43" t="s">
        <v>124</v>
      </c>
      <c r="AH621">
        <v>1</v>
      </c>
      <c r="AI621" t="s">
        <v>330</v>
      </c>
      <c r="AJ621" s="43" t="s">
        <v>309</v>
      </c>
      <c r="AK621">
        <v>0</v>
      </c>
    </row>
    <row r="622" spans="31:37" x14ac:dyDescent="0.25">
      <c r="AE622" s="43" t="s">
        <v>135</v>
      </c>
      <c r="AF622" s="43" t="s">
        <v>26</v>
      </c>
      <c r="AG622" s="43" t="s">
        <v>124</v>
      </c>
      <c r="AH622">
        <v>1</v>
      </c>
      <c r="AI622" t="s">
        <v>330</v>
      </c>
      <c r="AJ622" s="43" t="s">
        <v>268</v>
      </c>
      <c r="AK622">
        <v>0</v>
      </c>
    </row>
    <row r="623" spans="31:37" x14ac:dyDescent="0.25">
      <c r="AE623" s="43" t="s">
        <v>135</v>
      </c>
      <c r="AF623" s="43" t="s">
        <v>26</v>
      </c>
      <c r="AG623" s="43" t="s">
        <v>124</v>
      </c>
      <c r="AH623">
        <v>1</v>
      </c>
      <c r="AI623" t="s">
        <v>331</v>
      </c>
      <c r="AJ623" s="43" t="s">
        <v>308</v>
      </c>
      <c r="AK623">
        <v>0</v>
      </c>
    </row>
    <row r="624" spans="31:37" x14ac:dyDescent="0.25">
      <c r="AE624" s="43" t="s">
        <v>135</v>
      </c>
      <c r="AF624" s="43" t="s">
        <v>26</v>
      </c>
      <c r="AG624" s="43" t="s">
        <v>124</v>
      </c>
      <c r="AH624">
        <v>1</v>
      </c>
      <c r="AI624" t="s">
        <v>331</v>
      </c>
      <c r="AJ624" s="43" t="s">
        <v>309</v>
      </c>
      <c r="AK624">
        <v>0</v>
      </c>
    </row>
    <row r="625" spans="31:37" x14ac:dyDescent="0.25">
      <c r="AE625" s="43" t="s">
        <v>135</v>
      </c>
      <c r="AF625" s="43" t="s">
        <v>26</v>
      </c>
      <c r="AG625" s="43" t="s">
        <v>124</v>
      </c>
      <c r="AH625">
        <v>1</v>
      </c>
      <c r="AI625" t="s">
        <v>331</v>
      </c>
      <c r="AJ625" s="43" t="s">
        <v>268</v>
      </c>
      <c r="AK625">
        <v>0</v>
      </c>
    </row>
    <row r="626" spans="31:37" x14ac:dyDescent="0.25">
      <c r="AE626" s="43" t="s">
        <v>135</v>
      </c>
      <c r="AF626" s="43" t="s">
        <v>26</v>
      </c>
      <c r="AG626" s="43" t="s">
        <v>124</v>
      </c>
      <c r="AH626">
        <v>1</v>
      </c>
      <c r="AI626" t="s">
        <v>341</v>
      </c>
      <c r="AJ626" s="43" t="s">
        <v>308</v>
      </c>
      <c r="AK626">
        <v>1.5</v>
      </c>
    </row>
    <row r="627" spans="31:37" x14ac:dyDescent="0.25">
      <c r="AE627" s="43" t="s">
        <v>135</v>
      </c>
      <c r="AF627" s="43" t="s">
        <v>26</v>
      </c>
      <c r="AG627" s="43" t="s">
        <v>124</v>
      </c>
      <c r="AH627">
        <v>1</v>
      </c>
      <c r="AI627" t="s">
        <v>341</v>
      </c>
      <c r="AJ627" s="43" t="s">
        <v>309</v>
      </c>
      <c r="AK627">
        <v>5</v>
      </c>
    </row>
    <row r="628" spans="31:37" x14ac:dyDescent="0.25">
      <c r="AE628" s="43" t="s">
        <v>135</v>
      </c>
      <c r="AF628" s="43" t="s">
        <v>26</v>
      </c>
      <c r="AG628" s="43" t="s">
        <v>124</v>
      </c>
      <c r="AH628">
        <v>1</v>
      </c>
      <c r="AI628" t="s">
        <v>341</v>
      </c>
      <c r="AJ628" s="43" t="s">
        <v>268</v>
      </c>
      <c r="AK628">
        <v>6.5</v>
      </c>
    </row>
    <row r="629" spans="31:37" x14ac:dyDescent="0.25">
      <c r="AE629" s="43" t="s">
        <v>135</v>
      </c>
      <c r="AF629" s="43" t="s">
        <v>26</v>
      </c>
      <c r="AG629" s="43" t="s">
        <v>124</v>
      </c>
      <c r="AH629">
        <v>1</v>
      </c>
      <c r="AI629" t="s">
        <v>273</v>
      </c>
      <c r="AJ629" s="43" t="s">
        <v>308</v>
      </c>
      <c r="AK629">
        <v>0</v>
      </c>
    </row>
    <row r="630" spans="31:37" x14ac:dyDescent="0.25">
      <c r="AE630" s="43" t="s">
        <v>135</v>
      </c>
      <c r="AF630" s="43" t="s">
        <v>26</v>
      </c>
      <c r="AG630" s="43" t="s">
        <v>124</v>
      </c>
      <c r="AH630">
        <v>1</v>
      </c>
      <c r="AI630" t="s">
        <v>273</v>
      </c>
      <c r="AJ630" s="43" t="s">
        <v>309</v>
      </c>
      <c r="AK630">
        <v>0</v>
      </c>
    </row>
    <row r="631" spans="31:37" x14ac:dyDescent="0.25">
      <c r="AE631" s="43" t="s">
        <v>135</v>
      </c>
      <c r="AF631" s="43" t="s">
        <v>26</v>
      </c>
      <c r="AG631" s="43" t="s">
        <v>124</v>
      </c>
      <c r="AH631">
        <v>1</v>
      </c>
      <c r="AI631" t="s">
        <v>273</v>
      </c>
      <c r="AJ631" s="43" t="s">
        <v>268</v>
      </c>
      <c r="AK631">
        <v>0</v>
      </c>
    </row>
    <row r="632" spans="31:37" x14ac:dyDescent="0.25">
      <c r="AE632" s="43" t="s">
        <v>139</v>
      </c>
      <c r="AF632" s="43" t="s">
        <v>26</v>
      </c>
      <c r="AG632" s="43" t="s">
        <v>124</v>
      </c>
      <c r="AH632">
        <v>1</v>
      </c>
      <c r="AI632" t="s">
        <v>317</v>
      </c>
      <c r="AJ632" s="43" t="s">
        <v>308</v>
      </c>
      <c r="AK632">
        <v>1</v>
      </c>
    </row>
    <row r="633" spans="31:37" x14ac:dyDescent="0.25">
      <c r="AE633" s="43" t="s">
        <v>139</v>
      </c>
      <c r="AF633" s="43" t="s">
        <v>26</v>
      </c>
      <c r="AG633" s="43" t="s">
        <v>124</v>
      </c>
      <c r="AH633">
        <v>1</v>
      </c>
      <c r="AI633" t="s">
        <v>317</v>
      </c>
      <c r="AJ633" s="43" t="s">
        <v>309</v>
      </c>
      <c r="AK633">
        <v>3.1</v>
      </c>
    </row>
    <row r="634" spans="31:37" x14ac:dyDescent="0.25">
      <c r="AE634" s="43" t="s">
        <v>139</v>
      </c>
      <c r="AF634" s="43" t="s">
        <v>26</v>
      </c>
      <c r="AG634" s="43" t="s">
        <v>124</v>
      </c>
      <c r="AH634">
        <v>1</v>
      </c>
      <c r="AI634" t="s">
        <v>317</v>
      </c>
      <c r="AJ634" s="43" t="s">
        <v>268</v>
      </c>
      <c r="AK634">
        <v>4.0999999999999996</v>
      </c>
    </row>
    <row r="635" spans="31:37" x14ac:dyDescent="0.25">
      <c r="AE635" s="43" t="s">
        <v>139</v>
      </c>
      <c r="AF635" s="43" t="s">
        <v>26</v>
      </c>
      <c r="AG635" s="43" t="s">
        <v>124</v>
      </c>
      <c r="AH635">
        <v>1</v>
      </c>
      <c r="AI635" t="s">
        <v>325</v>
      </c>
      <c r="AJ635" s="43" t="s">
        <v>308</v>
      </c>
      <c r="AK635">
        <v>0</v>
      </c>
    </row>
    <row r="636" spans="31:37" x14ac:dyDescent="0.25">
      <c r="AE636" s="43" t="s">
        <v>139</v>
      </c>
      <c r="AF636" s="43" t="s">
        <v>26</v>
      </c>
      <c r="AG636" s="43" t="s">
        <v>124</v>
      </c>
      <c r="AH636">
        <v>1</v>
      </c>
      <c r="AI636" t="s">
        <v>325</v>
      </c>
      <c r="AJ636" s="43" t="s">
        <v>309</v>
      </c>
      <c r="AK636">
        <v>0</v>
      </c>
    </row>
    <row r="637" spans="31:37" x14ac:dyDescent="0.25">
      <c r="AE637" s="43" t="s">
        <v>139</v>
      </c>
      <c r="AF637" s="43" t="s">
        <v>26</v>
      </c>
      <c r="AG637" s="43" t="s">
        <v>124</v>
      </c>
      <c r="AH637">
        <v>1</v>
      </c>
      <c r="AI637" t="s">
        <v>325</v>
      </c>
      <c r="AJ637" s="43" t="s">
        <v>268</v>
      </c>
      <c r="AK637">
        <v>0</v>
      </c>
    </row>
    <row r="638" spans="31:37" x14ac:dyDescent="0.25">
      <c r="AE638" s="43" t="s">
        <v>139</v>
      </c>
      <c r="AF638" s="43" t="s">
        <v>26</v>
      </c>
      <c r="AG638" s="43" t="s">
        <v>124</v>
      </c>
      <c r="AH638">
        <v>1</v>
      </c>
      <c r="AI638" t="s">
        <v>330</v>
      </c>
      <c r="AJ638" s="43" t="s">
        <v>308</v>
      </c>
      <c r="AK638">
        <v>0</v>
      </c>
    </row>
    <row r="639" spans="31:37" x14ac:dyDescent="0.25">
      <c r="AE639" s="43" t="s">
        <v>139</v>
      </c>
      <c r="AF639" s="43" t="s">
        <v>26</v>
      </c>
      <c r="AG639" s="43" t="s">
        <v>124</v>
      </c>
      <c r="AH639">
        <v>1</v>
      </c>
      <c r="AI639" t="s">
        <v>330</v>
      </c>
      <c r="AJ639" s="43" t="s">
        <v>309</v>
      </c>
      <c r="AK639">
        <v>0</v>
      </c>
    </row>
    <row r="640" spans="31:37" x14ac:dyDescent="0.25">
      <c r="AE640" s="43" t="s">
        <v>139</v>
      </c>
      <c r="AF640" s="43" t="s">
        <v>26</v>
      </c>
      <c r="AG640" s="43" t="s">
        <v>124</v>
      </c>
      <c r="AH640">
        <v>1</v>
      </c>
      <c r="AI640" t="s">
        <v>330</v>
      </c>
      <c r="AJ640" s="43" t="s">
        <v>268</v>
      </c>
      <c r="AK640">
        <v>0</v>
      </c>
    </row>
    <row r="641" spans="31:37" x14ac:dyDescent="0.25">
      <c r="AE641" s="43" t="s">
        <v>139</v>
      </c>
      <c r="AF641" s="43" t="s">
        <v>26</v>
      </c>
      <c r="AG641" s="43" t="s">
        <v>124</v>
      </c>
      <c r="AH641">
        <v>1</v>
      </c>
      <c r="AI641" t="s">
        <v>331</v>
      </c>
      <c r="AJ641" s="43" t="s">
        <v>308</v>
      </c>
      <c r="AK641">
        <v>0</v>
      </c>
    </row>
    <row r="642" spans="31:37" x14ac:dyDescent="0.25">
      <c r="AE642" s="43" t="s">
        <v>139</v>
      </c>
      <c r="AF642" s="43" t="s">
        <v>26</v>
      </c>
      <c r="AG642" s="43" t="s">
        <v>124</v>
      </c>
      <c r="AH642">
        <v>1</v>
      </c>
      <c r="AI642" t="s">
        <v>331</v>
      </c>
      <c r="AJ642" s="43" t="s">
        <v>309</v>
      </c>
      <c r="AK642">
        <v>0</v>
      </c>
    </row>
    <row r="643" spans="31:37" x14ac:dyDescent="0.25">
      <c r="AE643" s="43" t="s">
        <v>139</v>
      </c>
      <c r="AF643" s="43" t="s">
        <v>26</v>
      </c>
      <c r="AG643" s="43" t="s">
        <v>124</v>
      </c>
      <c r="AH643">
        <v>1</v>
      </c>
      <c r="AI643" t="s">
        <v>331</v>
      </c>
      <c r="AJ643" s="43" t="s">
        <v>268</v>
      </c>
      <c r="AK643">
        <v>0</v>
      </c>
    </row>
    <row r="644" spans="31:37" x14ac:dyDescent="0.25">
      <c r="AE644" s="43" t="s">
        <v>139</v>
      </c>
      <c r="AF644" s="43" t="s">
        <v>26</v>
      </c>
      <c r="AG644" s="43" t="s">
        <v>124</v>
      </c>
      <c r="AH644">
        <v>1</v>
      </c>
      <c r="AI644" t="s">
        <v>341</v>
      </c>
      <c r="AJ644" s="43" t="s">
        <v>308</v>
      </c>
      <c r="AK644">
        <v>1</v>
      </c>
    </row>
    <row r="645" spans="31:37" x14ac:dyDescent="0.25">
      <c r="AE645" s="43" t="s">
        <v>139</v>
      </c>
      <c r="AF645" s="43" t="s">
        <v>26</v>
      </c>
      <c r="AG645" s="43" t="s">
        <v>124</v>
      </c>
      <c r="AH645">
        <v>1</v>
      </c>
      <c r="AI645" t="s">
        <v>341</v>
      </c>
      <c r="AJ645" s="43" t="s">
        <v>309</v>
      </c>
      <c r="AK645">
        <v>3.1</v>
      </c>
    </row>
    <row r="646" spans="31:37" x14ac:dyDescent="0.25">
      <c r="AE646" s="43" t="s">
        <v>139</v>
      </c>
      <c r="AF646" s="43" t="s">
        <v>26</v>
      </c>
      <c r="AG646" s="43" t="s">
        <v>124</v>
      </c>
      <c r="AH646">
        <v>1</v>
      </c>
      <c r="AI646" t="s">
        <v>341</v>
      </c>
      <c r="AJ646" s="43" t="s">
        <v>268</v>
      </c>
      <c r="AK646">
        <v>4.0999999999999996</v>
      </c>
    </row>
    <row r="647" spans="31:37" x14ac:dyDescent="0.25">
      <c r="AE647" s="43" t="s">
        <v>139</v>
      </c>
      <c r="AF647" s="43" t="s">
        <v>26</v>
      </c>
      <c r="AG647" s="43" t="s">
        <v>124</v>
      </c>
      <c r="AH647">
        <v>1</v>
      </c>
      <c r="AI647" t="s">
        <v>273</v>
      </c>
      <c r="AJ647" s="43" t="s">
        <v>308</v>
      </c>
      <c r="AK647">
        <v>0</v>
      </c>
    </row>
    <row r="648" spans="31:37" x14ac:dyDescent="0.25">
      <c r="AE648" s="43" t="s">
        <v>139</v>
      </c>
      <c r="AF648" s="43" t="s">
        <v>26</v>
      </c>
      <c r="AG648" s="43" t="s">
        <v>124</v>
      </c>
      <c r="AH648">
        <v>1</v>
      </c>
      <c r="AI648" t="s">
        <v>273</v>
      </c>
      <c r="AJ648" s="43" t="s">
        <v>309</v>
      </c>
      <c r="AK648">
        <v>0</v>
      </c>
    </row>
    <row r="649" spans="31:37" x14ac:dyDescent="0.25">
      <c r="AE649" s="43" t="s">
        <v>139</v>
      </c>
      <c r="AF649" s="43" t="s">
        <v>26</v>
      </c>
      <c r="AG649" s="43" t="s">
        <v>124</v>
      </c>
      <c r="AH649">
        <v>1</v>
      </c>
      <c r="AI649" t="s">
        <v>273</v>
      </c>
      <c r="AJ649" s="43" t="s">
        <v>268</v>
      </c>
      <c r="AK649">
        <v>0</v>
      </c>
    </row>
    <row r="650" spans="31:37" x14ac:dyDescent="0.25">
      <c r="AE650" s="43" t="s">
        <v>137</v>
      </c>
      <c r="AF650" s="43" t="s">
        <v>26</v>
      </c>
      <c r="AG650" s="43" t="s">
        <v>124</v>
      </c>
      <c r="AH650">
        <v>1</v>
      </c>
      <c r="AI650" t="s">
        <v>317</v>
      </c>
      <c r="AJ650" s="43" t="s">
        <v>308</v>
      </c>
      <c r="AK650">
        <v>0.1</v>
      </c>
    </row>
    <row r="651" spans="31:37" x14ac:dyDescent="0.25">
      <c r="AE651" s="43" t="s">
        <v>137</v>
      </c>
      <c r="AF651" s="43" t="s">
        <v>26</v>
      </c>
      <c r="AG651" s="43" t="s">
        <v>124</v>
      </c>
      <c r="AH651">
        <v>1</v>
      </c>
      <c r="AI651" t="s">
        <v>317</v>
      </c>
      <c r="AJ651" s="43" t="s">
        <v>309</v>
      </c>
      <c r="AK651">
        <v>1</v>
      </c>
    </row>
    <row r="652" spans="31:37" x14ac:dyDescent="0.25">
      <c r="AE652" s="43" t="s">
        <v>137</v>
      </c>
      <c r="AF652" s="43" t="s">
        <v>26</v>
      </c>
      <c r="AG652" s="43" t="s">
        <v>124</v>
      </c>
      <c r="AH652">
        <v>1</v>
      </c>
      <c r="AI652" t="s">
        <v>317</v>
      </c>
      <c r="AJ652" s="43" t="s">
        <v>268</v>
      </c>
      <c r="AK652">
        <v>1.1000000000000001</v>
      </c>
    </row>
    <row r="653" spans="31:37" x14ac:dyDescent="0.25">
      <c r="AE653" s="43" t="s">
        <v>137</v>
      </c>
      <c r="AF653" s="43" t="s">
        <v>26</v>
      </c>
      <c r="AG653" s="43" t="s">
        <v>124</v>
      </c>
      <c r="AH653">
        <v>1</v>
      </c>
      <c r="AI653" t="s">
        <v>325</v>
      </c>
      <c r="AJ653" s="43" t="s">
        <v>308</v>
      </c>
      <c r="AK653">
        <v>0</v>
      </c>
    </row>
    <row r="654" spans="31:37" x14ac:dyDescent="0.25">
      <c r="AE654" s="43" t="s">
        <v>137</v>
      </c>
      <c r="AF654" s="43" t="s">
        <v>26</v>
      </c>
      <c r="AG654" s="43" t="s">
        <v>124</v>
      </c>
      <c r="AH654">
        <v>1</v>
      </c>
      <c r="AI654" t="s">
        <v>325</v>
      </c>
      <c r="AJ654" s="43" t="s">
        <v>309</v>
      </c>
      <c r="AK654">
        <v>0</v>
      </c>
    </row>
    <row r="655" spans="31:37" x14ac:dyDescent="0.25">
      <c r="AE655" s="43" t="s">
        <v>137</v>
      </c>
      <c r="AF655" s="43" t="s">
        <v>26</v>
      </c>
      <c r="AG655" s="43" t="s">
        <v>124</v>
      </c>
      <c r="AH655">
        <v>1</v>
      </c>
      <c r="AI655" t="s">
        <v>325</v>
      </c>
      <c r="AJ655" s="43" t="s">
        <v>268</v>
      </c>
      <c r="AK655">
        <v>0</v>
      </c>
    </row>
    <row r="656" spans="31:37" x14ac:dyDescent="0.25">
      <c r="AE656" s="43" t="s">
        <v>137</v>
      </c>
      <c r="AF656" s="43" t="s">
        <v>26</v>
      </c>
      <c r="AG656" s="43" t="s">
        <v>124</v>
      </c>
      <c r="AH656">
        <v>1</v>
      </c>
      <c r="AI656" t="s">
        <v>330</v>
      </c>
      <c r="AJ656" s="43" t="s">
        <v>308</v>
      </c>
      <c r="AK656">
        <v>0</v>
      </c>
    </row>
    <row r="657" spans="31:37" x14ac:dyDescent="0.25">
      <c r="AE657" s="43" t="s">
        <v>137</v>
      </c>
      <c r="AF657" s="43" t="s">
        <v>26</v>
      </c>
      <c r="AG657" s="43" t="s">
        <v>124</v>
      </c>
      <c r="AH657">
        <v>1</v>
      </c>
      <c r="AI657" t="s">
        <v>330</v>
      </c>
      <c r="AJ657" s="43" t="s">
        <v>309</v>
      </c>
      <c r="AK657">
        <v>0</v>
      </c>
    </row>
    <row r="658" spans="31:37" x14ac:dyDescent="0.25">
      <c r="AE658" s="43" t="s">
        <v>137</v>
      </c>
      <c r="AF658" s="43" t="s">
        <v>26</v>
      </c>
      <c r="AG658" s="43" t="s">
        <v>124</v>
      </c>
      <c r="AH658">
        <v>1</v>
      </c>
      <c r="AI658" t="s">
        <v>330</v>
      </c>
      <c r="AJ658" s="43" t="s">
        <v>268</v>
      </c>
      <c r="AK658">
        <v>0</v>
      </c>
    </row>
    <row r="659" spans="31:37" x14ac:dyDescent="0.25">
      <c r="AE659" s="43" t="s">
        <v>137</v>
      </c>
      <c r="AF659" s="43" t="s">
        <v>26</v>
      </c>
      <c r="AG659" s="43" t="s">
        <v>124</v>
      </c>
      <c r="AH659">
        <v>1</v>
      </c>
      <c r="AI659" t="s">
        <v>331</v>
      </c>
      <c r="AJ659" s="43" t="s">
        <v>308</v>
      </c>
      <c r="AK659">
        <v>0</v>
      </c>
    </row>
    <row r="660" spans="31:37" x14ac:dyDescent="0.25">
      <c r="AE660" s="43" t="s">
        <v>137</v>
      </c>
      <c r="AF660" s="43" t="s">
        <v>26</v>
      </c>
      <c r="AG660" s="43" t="s">
        <v>124</v>
      </c>
      <c r="AH660">
        <v>1</v>
      </c>
      <c r="AI660" t="s">
        <v>331</v>
      </c>
      <c r="AJ660" s="43" t="s">
        <v>309</v>
      </c>
      <c r="AK660">
        <v>0</v>
      </c>
    </row>
    <row r="661" spans="31:37" x14ac:dyDescent="0.25">
      <c r="AE661" s="43" t="s">
        <v>137</v>
      </c>
      <c r="AF661" s="43" t="s">
        <v>26</v>
      </c>
      <c r="AG661" s="43" t="s">
        <v>124</v>
      </c>
      <c r="AH661">
        <v>1</v>
      </c>
      <c r="AI661" t="s">
        <v>331</v>
      </c>
      <c r="AJ661" s="43" t="s">
        <v>268</v>
      </c>
      <c r="AK661">
        <v>0</v>
      </c>
    </row>
    <row r="662" spans="31:37" x14ac:dyDescent="0.25">
      <c r="AE662" s="43" t="s">
        <v>137</v>
      </c>
      <c r="AF662" s="43" t="s">
        <v>26</v>
      </c>
      <c r="AG662" s="43" t="s">
        <v>124</v>
      </c>
      <c r="AH662">
        <v>1</v>
      </c>
      <c r="AI662" t="s">
        <v>341</v>
      </c>
      <c r="AJ662" s="43" t="s">
        <v>308</v>
      </c>
      <c r="AK662">
        <v>0.1</v>
      </c>
    </row>
    <row r="663" spans="31:37" x14ac:dyDescent="0.25">
      <c r="AE663" s="43" t="s">
        <v>137</v>
      </c>
      <c r="AF663" s="43" t="s">
        <v>26</v>
      </c>
      <c r="AG663" s="43" t="s">
        <v>124</v>
      </c>
      <c r="AH663">
        <v>1</v>
      </c>
      <c r="AI663" t="s">
        <v>341</v>
      </c>
      <c r="AJ663" s="43" t="s">
        <v>309</v>
      </c>
      <c r="AK663">
        <v>1</v>
      </c>
    </row>
    <row r="664" spans="31:37" x14ac:dyDescent="0.25">
      <c r="AE664" s="43" t="s">
        <v>137</v>
      </c>
      <c r="AF664" s="43" t="s">
        <v>26</v>
      </c>
      <c r="AG664" s="43" t="s">
        <v>124</v>
      </c>
      <c r="AH664">
        <v>1</v>
      </c>
      <c r="AI664" t="s">
        <v>341</v>
      </c>
      <c r="AJ664" s="43" t="s">
        <v>268</v>
      </c>
      <c r="AK664">
        <v>1.1000000000000001</v>
      </c>
    </row>
    <row r="665" spans="31:37" x14ac:dyDescent="0.25">
      <c r="AE665" s="43" t="s">
        <v>137</v>
      </c>
      <c r="AF665" s="43" t="s">
        <v>26</v>
      </c>
      <c r="AG665" s="43" t="s">
        <v>124</v>
      </c>
      <c r="AH665">
        <v>1</v>
      </c>
      <c r="AI665" t="s">
        <v>273</v>
      </c>
      <c r="AJ665" s="43" t="s">
        <v>308</v>
      </c>
      <c r="AK665">
        <v>0</v>
      </c>
    </row>
    <row r="666" spans="31:37" x14ac:dyDescent="0.25">
      <c r="AE666" s="43" t="s">
        <v>137</v>
      </c>
      <c r="AF666" s="43" t="s">
        <v>26</v>
      </c>
      <c r="AG666" s="43" t="s">
        <v>124</v>
      </c>
      <c r="AH666">
        <v>1</v>
      </c>
      <c r="AI666" t="s">
        <v>273</v>
      </c>
      <c r="AJ666" s="43" t="s">
        <v>309</v>
      </c>
      <c r="AK666">
        <v>0</v>
      </c>
    </row>
    <row r="667" spans="31:37" x14ac:dyDescent="0.25">
      <c r="AE667" s="43" t="s">
        <v>137</v>
      </c>
      <c r="AF667" s="43" t="s">
        <v>26</v>
      </c>
      <c r="AG667" s="43" t="s">
        <v>124</v>
      </c>
      <c r="AH667">
        <v>1</v>
      </c>
      <c r="AI667" t="s">
        <v>273</v>
      </c>
      <c r="AJ667" s="43" t="s">
        <v>268</v>
      </c>
      <c r="AK667">
        <v>0</v>
      </c>
    </row>
  </sheetData>
  <mergeCells count="2">
    <mergeCell ref="Y2:Y7"/>
    <mergeCell ref="Y8:Y13"/>
  </mergeCells>
  <conditionalFormatting sqref="A2:A38">
    <cfRule type="expression" dxfId="508" priority="1">
      <formula>IF($B2="junior",$T2=MAX(_xlfn._xlws.FILTER($T$2:$T$47,$B$2:$B$47="junior")),$T2=MAX(_xlfn._xlws.FILTER($T$2:$T$47,$B$2:$B$47="senior")))</formula>
    </cfRule>
    <cfRule type="expression" dxfId="507" priority="2">
      <formula>IF($B2="junior",$T2=LARGE(_xlfn._xlws.FILTER($T$2:$T$47,$B$2:$B$47="junior"),2),$T2=LARGE(_xlfn._xlws.FILTER($T$2:$T$47,$B$2:$B$47="senior"),2))</formula>
    </cfRule>
    <cfRule type="expression" dxfId="506" priority="3">
      <formula>IF($B2="junior",$T2=LARGE(_xlfn._xlws.FILTER($T$2:$T$47,$B$2:$B$47="junior"),3),$T2=LARGE(_xlfn._xlws.FILTER($T$2:$T$47,$B$2:$B$47="senior"),3))</formula>
    </cfRule>
    <cfRule type="expression" dxfId="505" priority="4">
      <formula>IF($B2="junior",$R2=MAX(_xlfn._xlws.FILTER($R$2:$R$47,$B$2:$B$47="junior")),$R2=MAX(_xlfn._xlws.FILTER($R$2:$R$47,$B$2:$B$47="senior")))</formula>
    </cfRule>
    <cfRule type="expression" dxfId="504" priority="5">
      <formula>IF($B2="junior",$S2=MAX(_xlfn._xlws.FILTER($S$2:$S$47,$B$2:$B$47="junior")),$S2=MAX(_xlfn._xlws.FILTER($S$2:$S$47,$B$2:$B$47="senior")))</formula>
    </cfRule>
  </conditionalFormatting>
  <conditionalFormatting sqref="F2:F39 I2:I39 L2:L39 O2:O39 U2:U39">
    <cfRule type="expression" dxfId="503" priority="10">
      <formula>IF($B2="junior",F2&gt;=($AA$8+$AB$8),F2&gt;=($AA$2+$AB$2))</formula>
    </cfRule>
  </conditionalFormatting>
  <conditionalFormatting sqref="F2:F39 I2:I39 L2:L39 O2:O39">
    <cfRule type="expression" dxfId="502" priority="14">
      <formula>AND(AND($B2="junior",F2&lt;2.6),F2&gt;0)</formula>
    </cfRule>
    <cfRule type="expression" dxfId="501" priority="15">
      <formula>AND(AND($B2="senior",F2&lt;2.9),F2&gt;0)</formula>
    </cfRule>
  </conditionalFormatting>
  <conditionalFormatting sqref="F2:W39">
    <cfRule type="cellIs" dxfId="500" priority="16" operator="equal">
      <formula>0</formula>
    </cfRule>
  </conditionalFormatting>
  <conditionalFormatting sqref="H2:H39 K2:K39 N2:N39 Q2:Q39 W2:W39">
    <cfRule type="expression" dxfId="499" priority="11">
      <formula>IF($B2="junior",H2&gt;=($AA$10+$AB$10),H2&gt;=($AA$4+$AB$4))</formula>
    </cfRule>
  </conditionalFormatting>
  <conditionalFormatting sqref="H2:H39 K2:K39 N2:N39 Q2:Q39">
    <cfRule type="expression" dxfId="498" priority="8">
      <formula>IF($B2="junior",H2&gt;=$AC$10,H2&gt;=$AC$4)</formula>
    </cfRule>
  </conditionalFormatting>
  <conditionalFormatting sqref="R2:R39">
    <cfRule type="expression" dxfId="497" priority="9">
      <formula>IF($B2="junior",R2&gt;=($AA$11+$AB$11),R2&gt;=($AA$5+$AB$5))</formula>
    </cfRule>
  </conditionalFormatting>
  <conditionalFormatting sqref="S2:S39">
    <cfRule type="expression" dxfId="496" priority="13">
      <formula>IF($B2="junior",S2&gt;=$AA$12+$AB$12,S2&gt;=$AA$6+$AB$6)</formula>
    </cfRule>
  </conditionalFormatting>
  <conditionalFormatting sqref="T2:T39">
    <cfRule type="expression" dxfId="495" priority="7">
      <formula>IF($B2="junior",T2&gt;=$AC$13,T2&gt;=$AC$7)</formula>
    </cfRule>
    <cfRule type="expression" dxfId="494" priority="12">
      <formula>IF($B2="junior",T2&gt;=($AA$13+$AB$13),T2&gt;=($AA$7+$AB$7))</formula>
    </cfRule>
  </conditionalFormatting>
  <conditionalFormatting sqref="V2:V39">
    <cfRule type="expression" dxfId="493" priority="6">
      <formula>IF($B2="junior",V2&gt;=$AA$9+$AB$9,V2&gt;=$AA$3+$AB$3)</formula>
    </cfRule>
  </conditionalFormatting>
  <pageMargins left="0.7" right="0.7" top="0.75" bottom="0.75" header="0.3" footer="0.3"/>
  <drawing r:id="rId2"/>
  <tableParts count="3">
    <tablePart r:id="rId3"/>
    <tablePart r:id="rId4"/>
    <tablePart r:id="rId5"/>
  </tablePart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20802-9EC6-2A47-AD7E-AC059655761E}">
  <sheetPr codeName="Arkusz12">
    <tabColor theme="5" tint="0.39997558519241921"/>
  </sheetPr>
  <dimension ref="A1:DI937"/>
  <sheetViews>
    <sheetView topLeftCell="A36" zoomScale="70" zoomScaleNormal="70" workbookViewId="0">
      <selection activeCell="C65" sqref="C65"/>
    </sheetView>
  </sheetViews>
  <sheetFormatPr defaultColWidth="11" defaultRowHeight="15.75" x14ac:dyDescent="0.25"/>
  <cols>
    <col min="1" max="1" width="22.125" bestFit="1" customWidth="1"/>
    <col min="2" max="2" width="17" style="2" bestFit="1" customWidth="1"/>
    <col min="3" max="3" width="17" bestFit="1" customWidth="1"/>
    <col min="4" max="4" width="25.125" bestFit="1" customWidth="1"/>
    <col min="5" max="5" width="26.375" bestFit="1" customWidth="1"/>
    <col min="6" max="6" width="26.375" style="4" hidden="1" customWidth="1"/>
    <col min="7" max="8" width="8" style="7" hidden="1" customWidth="1"/>
    <col min="9" max="9" width="8" style="4" hidden="1" customWidth="1"/>
    <col min="10" max="11" width="8" style="7" hidden="1" customWidth="1"/>
    <col min="12" max="12" width="8" style="4" hidden="1" customWidth="1"/>
    <col min="13" max="14" width="8" style="7" hidden="1" customWidth="1"/>
    <col min="15" max="15" width="8" style="4" hidden="1" customWidth="1"/>
    <col min="16" max="17" width="8" style="7" hidden="1" customWidth="1"/>
    <col min="18" max="18" width="8" style="4" hidden="1" customWidth="1"/>
    <col min="19" max="20" width="8" style="7" hidden="1" customWidth="1"/>
    <col min="21" max="21" width="8" style="4" hidden="1" customWidth="1"/>
    <col min="22" max="23" width="8" style="7" hidden="1" customWidth="1"/>
    <col min="24" max="24" width="23.125" style="2" bestFit="1" customWidth="1"/>
    <col min="25" max="27" width="8" style="7" customWidth="1"/>
    <col min="28" max="28" width="8" style="7" hidden="1" customWidth="1"/>
    <col min="29" max="45" width="8" style="2" hidden="1" customWidth="1"/>
    <col min="46" max="46" width="8" style="2" customWidth="1"/>
    <col min="47" max="47" width="18.375" style="2" bestFit="1" customWidth="1"/>
    <col min="48" max="49" width="8" style="2" customWidth="1"/>
    <col min="50" max="67" width="8" style="2" hidden="1" customWidth="1"/>
    <col min="68" max="71" width="8" style="2" customWidth="1"/>
    <col min="72" max="89" width="8" style="2" hidden="1" customWidth="1"/>
    <col min="90" max="90" width="19" style="2" bestFit="1" customWidth="1"/>
    <col min="91" max="91" width="8" style="2" customWidth="1"/>
    <col min="92" max="92" width="23.125" style="2" bestFit="1" customWidth="1"/>
    <col min="93" max="99" width="8" style="2" customWidth="1"/>
    <col min="101" max="101" width="16.5" bestFit="1" customWidth="1"/>
    <col min="102" max="102" width="16.75" bestFit="1" customWidth="1"/>
    <col min="103" max="103" width="13.875" bestFit="1" customWidth="1"/>
    <col min="104" max="104" width="8.125" bestFit="1" customWidth="1"/>
    <col min="105" max="105" width="14" bestFit="1" customWidth="1"/>
    <col min="106" max="106" width="22.125" bestFit="1" customWidth="1"/>
  </cols>
  <sheetData>
    <row r="1" spans="1:113" s="2" customFormat="1" x14ac:dyDescent="0.25">
      <c r="A1" s="2" t="s">
        <v>1</v>
      </c>
      <c r="B1" s="2" t="s">
        <v>2</v>
      </c>
      <c r="C1" s="2" t="s">
        <v>4</v>
      </c>
      <c r="D1" s="2" t="s">
        <v>5</v>
      </c>
      <c r="E1" s="2" t="s">
        <v>255</v>
      </c>
      <c r="F1" s="2" t="s">
        <v>145</v>
      </c>
      <c r="G1" s="2" t="s">
        <v>146</v>
      </c>
      <c r="H1" s="2" t="s">
        <v>147</v>
      </c>
      <c r="I1" s="2" t="s">
        <v>157</v>
      </c>
      <c r="J1" s="2" t="s">
        <v>158</v>
      </c>
      <c r="K1" s="2" t="s">
        <v>159</v>
      </c>
      <c r="L1" s="2" t="s">
        <v>169</v>
      </c>
      <c r="M1" s="2" t="s">
        <v>170</v>
      </c>
      <c r="N1" s="2" t="s">
        <v>171</v>
      </c>
      <c r="O1" s="2" t="s">
        <v>181</v>
      </c>
      <c r="P1" s="2" t="s">
        <v>182</v>
      </c>
      <c r="Q1" s="2" t="s">
        <v>183</v>
      </c>
      <c r="R1" s="2" t="s">
        <v>193</v>
      </c>
      <c r="S1" s="2" t="s">
        <v>194</v>
      </c>
      <c r="T1" s="2" t="s">
        <v>195</v>
      </c>
      <c r="U1" s="2" t="s">
        <v>205</v>
      </c>
      <c r="V1" s="2" t="s">
        <v>206</v>
      </c>
      <c r="W1" s="2" t="s">
        <v>207</v>
      </c>
      <c r="X1" s="2" t="s">
        <v>229</v>
      </c>
      <c r="Y1" s="2" t="s">
        <v>222</v>
      </c>
      <c r="Z1" s="2" t="s">
        <v>223</v>
      </c>
      <c r="AA1" s="2" t="s">
        <v>256</v>
      </c>
      <c r="AB1" s="2" t="s">
        <v>148</v>
      </c>
      <c r="AC1" s="2" t="s">
        <v>149</v>
      </c>
      <c r="AD1" s="2" t="s">
        <v>150</v>
      </c>
      <c r="AE1" s="2" t="s">
        <v>160</v>
      </c>
      <c r="AF1" s="2" t="s">
        <v>161</v>
      </c>
      <c r="AG1" s="2" t="s">
        <v>162</v>
      </c>
      <c r="AH1" s="2" t="s">
        <v>172</v>
      </c>
      <c r="AI1" s="2" t="s">
        <v>173</v>
      </c>
      <c r="AJ1" s="2" t="s">
        <v>174</v>
      </c>
      <c r="AK1" s="2" t="s">
        <v>184</v>
      </c>
      <c r="AL1" s="2" t="s">
        <v>185</v>
      </c>
      <c r="AM1" s="2" t="s">
        <v>186</v>
      </c>
      <c r="AN1" s="2" t="s">
        <v>196</v>
      </c>
      <c r="AO1" s="2" t="s">
        <v>197</v>
      </c>
      <c r="AP1" s="2" t="s">
        <v>198</v>
      </c>
      <c r="AQ1" s="2" t="s">
        <v>208</v>
      </c>
      <c r="AR1" s="2" t="s">
        <v>209</v>
      </c>
      <c r="AS1" s="2" t="s">
        <v>210</v>
      </c>
      <c r="AT1" s="2" t="s">
        <v>230</v>
      </c>
      <c r="AU1" s="2" t="s">
        <v>231</v>
      </c>
      <c r="AV1" s="2" t="s">
        <v>224</v>
      </c>
      <c r="AW1" s="2" t="s">
        <v>258</v>
      </c>
      <c r="AX1" s="2" t="s">
        <v>151</v>
      </c>
      <c r="AY1" s="2" t="s">
        <v>152</v>
      </c>
      <c r="AZ1" s="2" t="s">
        <v>153</v>
      </c>
      <c r="BA1" s="2" t="s">
        <v>163</v>
      </c>
      <c r="BB1" s="2" t="s">
        <v>164</v>
      </c>
      <c r="BC1" s="2" t="s">
        <v>165</v>
      </c>
      <c r="BD1" s="2" t="s">
        <v>175</v>
      </c>
      <c r="BE1" s="2" t="s">
        <v>176</v>
      </c>
      <c r="BF1" s="2" t="s">
        <v>177</v>
      </c>
      <c r="BG1" s="2" t="s">
        <v>187</v>
      </c>
      <c r="BH1" s="2" t="s">
        <v>188</v>
      </c>
      <c r="BI1" s="2" t="s">
        <v>189</v>
      </c>
      <c r="BJ1" s="2" t="s">
        <v>199</v>
      </c>
      <c r="BK1" s="2" t="s">
        <v>200</v>
      </c>
      <c r="BL1" s="2" t="s">
        <v>201</v>
      </c>
      <c r="BM1" s="2" t="s">
        <v>211</v>
      </c>
      <c r="BN1" s="2" t="s">
        <v>212</v>
      </c>
      <c r="BO1" s="2" t="s">
        <v>213</v>
      </c>
      <c r="BP1" s="2" t="s">
        <v>232</v>
      </c>
      <c r="BQ1" s="2" t="s">
        <v>254</v>
      </c>
      <c r="BR1" s="2" t="s">
        <v>225</v>
      </c>
      <c r="BS1" s="7" t="s">
        <v>257</v>
      </c>
      <c r="BT1" s="2" t="s">
        <v>154</v>
      </c>
      <c r="BU1" s="2" t="s">
        <v>155</v>
      </c>
      <c r="BV1" s="2" t="s">
        <v>156</v>
      </c>
      <c r="BW1" s="2" t="s">
        <v>166</v>
      </c>
      <c r="BX1" s="2" t="s">
        <v>167</v>
      </c>
      <c r="BY1" s="2" t="s">
        <v>168</v>
      </c>
      <c r="BZ1" s="2" t="s">
        <v>178</v>
      </c>
      <c r="CA1" s="2" t="s">
        <v>179</v>
      </c>
      <c r="CB1" s="2" t="s">
        <v>180</v>
      </c>
      <c r="CC1" s="2" t="s">
        <v>190</v>
      </c>
      <c r="CD1" s="2" t="s">
        <v>191</v>
      </c>
      <c r="CE1" s="2" t="s">
        <v>192</v>
      </c>
      <c r="CF1" s="2" t="s">
        <v>202</v>
      </c>
      <c r="CG1" s="2" t="s">
        <v>203</v>
      </c>
      <c r="CH1" s="2" t="s">
        <v>204</v>
      </c>
      <c r="CI1" s="2" t="s">
        <v>214</v>
      </c>
      <c r="CJ1" s="2" t="s">
        <v>215</v>
      </c>
      <c r="CK1" s="2" t="s">
        <v>216</v>
      </c>
      <c r="CL1" s="2" t="s">
        <v>233</v>
      </c>
      <c r="CM1" s="2" t="s">
        <v>234</v>
      </c>
      <c r="CN1" s="2" t="s">
        <v>226</v>
      </c>
      <c r="CO1" s="2" t="s">
        <v>259</v>
      </c>
      <c r="CP1" s="2" t="s">
        <v>263</v>
      </c>
      <c r="CQ1" s="2" t="s">
        <v>264</v>
      </c>
      <c r="CR1" s="2" t="s">
        <v>265</v>
      </c>
      <c r="CS1" s="2" t="s">
        <v>260</v>
      </c>
      <c r="CT1" s="2" t="s">
        <v>261</v>
      </c>
      <c r="CU1" s="2" t="s">
        <v>262</v>
      </c>
      <c r="CY1" s="20" t="s">
        <v>273</v>
      </c>
      <c r="CZ1" s="20" t="s">
        <v>272</v>
      </c>
      <c r="DA1" s="20" t="s">
        <v>274</v>
      </c>
      <c r="DC1" t="s">
        <v>1</v>
      </c>
      <c r="DD1" t="s">
        <v>2</v>
      </c>
      <c r="DE1" t="s">
        <v>5</v>
      </c>
      <c r="DF1" t="s">
        <v>255</v>
      </c>
      <c r="DG1" t="s">
        <v>333</v>
      </c>
      <c r="DH1" t="s">
        <v>266</v>
      </c>
      <c r="DI1" t="s">
        <v>307</v>
      </c>
    </row>
    <row r="2" spans="1:113" x14ac:dyDescent="0.25">
      <c r="A2" t="s">
        <v>59</v>
      </c>
      <c r="B2" s="2" t="s">
        <v>60</v>
      </c>
      <c r="C2" s="2" t="s">
        <v>61</v>
      </c>
      <c r="D2" t="s">
        <v>62</v>
      </c>
      <c r="E2" s="2">
        <f>SUM(COUNTIF(AA[[#This Row],[Bydgoszcz_all_around]],"Yes"),COUNTIF(AA[[#This Row],[Zabrze_all_around]],"Yes"),COUNTIF(AA[[#This Row],[Cracow_all_around]],"Yes"),COUNTIF(AA[[#This Row],[Gdansk_all_Around]],"Yes"))</f>
        <v>3</v>
      </c>
      <c r="F2" s="4">
        <v>0</v>
      </c>
      <c r="G2" s="7">
        <v>0</v>
      </c>
      <c r="H2" s="7">
        <v>0</v>
      </c>
      <c r="I2" s="4">
        <v>0</v>
      </c>
      <c r="J2" s="7">
        <v>0</v>
      </c>
      <c r="K2" s="7">
        <v>0</v>
      </c>
      <c r="L2" s="4">
        <v>0</v>
      </c>
      <c r="M2" s="7">
        <v>0</v>
      </c>
      <c r="N2" s="7">
        <v>0</v>
      </c>
      <c r="O2" s="4">
        <v>0</v>
      </c>
      <c r="P2" s="7">
        <v>0</v>
      </c>
      <c r="Q2" s="7">
        <v>0</v>
      </c>
      <c r="R2" s="4">
        <v>0</v>
      </c>
      <c r="S2" s="7">
        <v>0</v>
      </c>
      <c r="T2" s="7">
        <v>0</v>
      </c>
      <c r="U2" s="4">
        <v>0</v>
      </c>
      <c r="V2" s="7">
        <v>0</v>
      </c>
      <c r="W2" s="7">
        <v>0</v>
      </c>
      <c r="X2" s="4">
        <f t="shared" ref="X2:X33" si="0">SUM(F2,I2,L2,O2,R2,U2)</f>
        <v>0</v>
      </c>
      <c r="Y2" s="7">
        <f t="shared" ref="Y2:Y33" si="1">SUM(G2,J2,M2,P2,S2,V2)</f>
        <v>0</v>
      </c>
      <c r="Z2" s="7">
        <f t="shared" ref="Z2:Z33" si="2">SUM(H2,K2,N2,Q2,T2,W2)</f>
        <v>0</v>
      </c>
      <c r="AA2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2" s="4">
        <v>5.3</v>
      </c>
      <c r="AC2" s="7">
        <v>8.15</v>
      </c>
      <c r="AD2" s="7">
        <v>13.45</v>
      </c>
      <c r="AE2" s="4">
        <v>4.9000000000000004</v>
      </c>
      <c r="AF2" s="7">
        <v>7.4</v>
      </c>
      <c r="AG2" s="7">
        <v>12.3</v>
      </c>
      <c r="AH2" s="4">
        <v>4.0999999999999996</v>
      </c>
      <c r="AI2" s="7">
        <v>8.35</v>
      </c>
      <c r="AJ2" s="7">
        <v>12.45</v>
      </c>
      <c r="AK2" s="4">
        <v>4.4000000000000004</v>
      </c>
      <c r="AL2" s="7">
        <v>9.1</v>
      </c>
      <c r="AM2" s="7">
        <v>13.5</v>
      </c>
      <c r="AN2" s="4">
        <v>5</v>
      </c>
      <c r="AO2" s="7">
        <v>7.45</v>
      </c>
      <c r="AP2" s="7">
        <v>12.45</v>
      </c>
      <c r="AQ2" s="4">
        <v>4.5999999999999996</v>
      </c>
      <c r="AR2" s="7">
        <v>7.4</v>
      </c>
      <c r="AS2" s="7">
        <v>12</v>
      </c>
      <c r="AT2" s="4">
        <f t="shared" ref="AT2:AT33" si="3">SUM(AB2,AE2,AH2,AK2,AN2,AQ2)</f>
        <v>28.299999999999997</v>
      </c>
      <c r="AU2" s="7">
        <f t="shared" ref="AU2:AU33" si="4">SUM(AC2,AF2,AI2,AL2,AO2,AR2)</f>
        <v>47.85</v>
      </c>
      <c r="AV2" s="7">
        <f t="shared" ref="AV2:AV33" si="5">SUM(AD2,AG2,AJ2,AM2,AP2,AS2)</f>
        <v>76.150000000000006</v>
      </c>
      <c r="AW2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2" s="4">
        <v>5.3</v>
      </c>
      <c r="AY2" s="7">
        <v>7.25</v>
      </c>
      <c r="AZ2" s="7">
        <v>12.55</v>
      </c>
      <c r="BA2" s="4">
        <v>5.2</v>
      </c>
      <c r="BB2" s="7">
        <v>7.7</v>
      </c>
      <c r="BC2" s="7">
        <v>12.9</v>
      </c>
      <c r="BD2" s="4">
        <v>4.0999999999999996</v>
      </c>
      <c r="BE2" s="7">
        <v>8.1</v>
      </c>
      <c r="BF2" s="7">
        <v>12.2</v>
      </c>
      <c r="BG2" s="4">
        <v>4.4000000000000004</v>
      </c>
      <c r="BH2" s="7">
        <v>9.15</v>
      </c>
      <c r="BI2" s="7">
        <v>13.55</v>
      </c>
      <c r="BJ2" s="4">
        <v>5.3</v>
      </c>
      <c r="BK2" s="7">
        <v>6.6</v>
      </c>
      <c r="BL2" s="7">
        <v>11.9</v>
      </c>
      <c r="BM2" s="4">
        <v>4.5999999999999996</v>
      </c>
      <c r="BN2" s="7">
        <v>8.15</v>
      </c>
      <c r="BO2" s="7">
        <v>12.75</v>
      </c>
      <c r="BP2" s="4">
        <f t="shared" ref="BP2:BP33" si="6">SUM(AX2,BA2,BD2,BG2,BJ2,BM2)</f>
        <v>28.9</v>
      </c>
      <c r="BQ2" s="7">
        <f t="shared" ref="BQ2:BQ33" si="7">SUM(AY2,BB2,BE2,BH2,BK2,BN2)</f>
        <v>46.949999999999996</v>
      </c>
      <c r="BR2" s="7">
        <f t="shared" ref="BR2:BR33" si="8">SUM(AZ2,BC2,BF2,BI2,BL2,BO2)</f>
        <v>75.849999999999994</v>
      </c>
      <c r="BS2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2" s="4">
        <v>5.4</v>
      </c>
      <c r="BU2" s="7">
        <v>7.4</v>
      </c>
      <c r="BV2" s="7">
        <v>12.8</v>
      </c>
      <c r="BW2" s="4">
        <v>4.9000000000000004</v>
      </c>
      <c r="BX2" s="7">
        <v>6</v>
      </c>
      <c r="BY2" s="7">
        <v>10.9</v>
      </c>
      <c r="BZ2" s="4">
        <v>2.8</v>
      </c>
      <c r="CA2" s="7">
        <v>9.1999999999999993</v>
      </c>
      <c r="CB2" s="7">
        <v>12</v>
      </c>
      <c r="CC2" s="4">
        <v>4.4000000000000004</v>
      </c>
      <c r="CD2" s="7">
        <v>8.3000000000000007</v>
      </c>
      <c r="CE2" s="7">
        <v>12.7</v>
      </c>
      <c r="CF2" s="4">
        <v>5.3</v>
      </c>
      <c r="CG2" s="7">
        <v>7</v>
      </c>
      <c r="CH2" s="7">
        <v>12.3</v>
      </c>
      <c r="CI2" s="4">
        <v>4.9000000000000004</v>
      </c>
      <c r="CJ2" s="7">
        <v>6.9</v>
      </c>
      <c r="CK2" s="7">
        <v>11.8</v>
      </c>
      <c r="CL2" s="4">
        <f t="shared" ref="CL2:CL33" si="9">SUM(BT2,BW2,BZ2,CC2,CF2,CI2)</f>
        <v>27.700000000000003</v>
      </c>
      <c r="CM2" s="7">
        <f t="shared" ref="CM2:CM33" si="10">SUM(BU2,BX2,CA2,CD2,CG2,CJ2)</f>
        <v>44.800000000000004</v>
      </c>
      <c r="CN2" s="7">
        <f t="shared" ref="CN2:CN33" si="11">SUM(BV2,BY2,CB2,CE2,CH2,CK2)</f>
        <v>72.5</v>
      </c>
      <c r="CO2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84.9</v>
      </c>
      <c r="CQ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139.6</v>
      </c>
      <c r="CR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224.5</v>
      </c>
      <c r="CS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28.3</v>
      </c>
      <c r="CT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46.533333333333331</v>
      </c>
      <c r="CU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74.833333333333329</v>
      </c>
      <c r="CW2" s="39" t="s">
        <v>60</v>
      </c>
      <c r="CX2" s="20" t="s">
        <v>269</v>
      </c>
      <c r="CY2" s="21" cm="1">
        <f t="array" ref="CY2">SUM(_xlfn._xlws.FILTER(AA[bydgoszcz_DScore],(AA[Category]="senior")*(AA[Bydgoszcz_all_around]&gt;="yes")),_xlfn._xlws.FILTER(AA[zabrze_Dscore],(AA[Category]="senior")*(AA[Zabrze_all_around]&gt;="yes")),_xlfn._xlws.FILTER(AA[cracow_Dscore],(AA[Category]="senior")*(AA[Cracow_all_around]&gt;="yes")),_xlfn._xlws.FILTER(AA[gdansk_Dscore],(AA[Category]="senior")*(AA[Gdansk_all_Around]&gt;="yes")))/(COUNTIFS(AA[bydgoszcz_DScore],"&gt;0",AA[Category],"senior",AA[Bydgoszcz_all_around],"Yes")+COUNTIFS(AA[zabrze_Dscore],"&gt;0",AA[Category],"senior",AA[Zabrze_all_around],"Yes")+COUNTIFS(AA[cracow_Dscore],"&gt;0",AA[Category],"senior",AA[Cracow_all_around],"Yes")+COUNTIFS(AA[gdansk_Dscore],"&gt;0",AA[Category],"senior",AA[Gdansk_all_Around],"Yes"))</f>
        <v>22.792682926829269</v>
      </c>
      <c r="CZ2" s="21" cm="1">
        <f t="array" ref="CZ2">_xlfn.STDEV.S(_xlfn._xlws.FILTER(AA[bydgoszcz_DScore],(AA[Category]="senior")*(AA[Bydgoszcz_all_around]&gt;="yes")*(AA[bydgoszcz_DScore]&gt;0)),_xlfn._xlws.FILTER(AA[zabrze_Dscore],(AA[Category]="senior")*(AA[zabrze_Dscore]&gt;0)*(AA[Zabrze_all_around]&gt;="yes")),_xlfn._xlws.FILTER(AA[cracow_Dscore],(AA[Category]="senior")*(AA[cracow_Dscore]&gt;0)*(AA[Cracow_all_around]&gt;="yes")),_xlfn._xlws.FILTER(AA[gdansk_Dscore],(AA[Category]="senior")*(AA[gdansk_Dscore]&gt;0)*(AA[Gdansk_all_Around]&gt;="yes")))</f>
        <v>3.514924625358435</v>
      </c>
      <c r="DA2" s="21" cm="1">
        <f t="array" ref="DA2">MAX(_xlfn._xlws.FILTER(AA[bydgoszcz_DScore],AA[Category]="senior"),_xlfn._xlws.FILTER(AA[zabrze_Dscore],AA[Category]="senior"),_xlfn._xlws.FILTER(AA[cracow_Dscore],AA[Category]="senior"),_xlfn._xlws.FILTER(AA[gdansk_Dscore],AA[Category]="senior"))</f>
        <v>30.099999999999998</v>
      </c>
      <c r="DC2" s="43" t="s">
        <v>59</v>
      </c>
      <c r="DD2" s="43" t="s">
        <v>60</v>
      </c>
      <c r="DE2" s="43" t="s">
        <v>62</v>
      </c>
      <c r="DF2">
        <v>3</v>
      </c>
      <c r="DG2" t="s">
        <v>317</v>
      </c>
      <c r="DH2" s="43" t="s">
        <v>308</v>
      </c>
      <c r="DI2">
        <v>0</v>
      </c>
    </row>
    <row r="3" spans="1:113" x14ac:dyDescent="0.25">
      <c r="A3" t="s">
        <v>63</v>
      </c>
      <c r="B3" s="2" t="s">
        <v>60</v>
      </c>
      <c r="C3" s="2" t="s">
        <v>64</v>
      </c>
      <c r="D3" t="s">
        <v>39</v>
      </c>
      <c r="E3" s="2">
        <f>SUM(COUNTIF(AA[[#This Row],[Bydgoszcz_all_around]],"Yes"),COUNTIF(AA[[#This Row],[Zabrze_all_around]],"Yes"),COUNTIF(AA[[#This Row],[Cracow_all_around]],"Yes"),COUNTIF(AA[[#This Row],[Gdansk_all_Around]],"Yes"))</f>
        <v>4</v>
      </c>
      <c r="F3" s="4">
        <v>5.8</v>
      </c>
      <c r="G3" s="7">
        <v>7.8</v>
      </c>
      <c r="H3" s="7">
        <v>13.6</v>
      </c>
      <c r="I3" s="4">
        <v>4.4000000000000004</v>
      </c>
      <c r="J3" s="7">
        <v>7.1</v>
      </c>
      <c r="K3" s="7">
        <v>11.5</v>
      </c>
      <c r="L3" s="4">
        <v>4.5999999999999996</v>
      </c>
      <c r="M3" s="7">
        <v>7.2</v>
      </c>
      <c r="N3" s="7">
        <v>11.8</v>
      </c>
      <c r="O3" s="4">
        <v>4.8</v>
      </c>
      <c r="P3" s="7">
        <v>8.6999999999999993</v>
      </c>
      <c r="Q3" s="7">
        <v>13.5</v>
      </c>
      <c r="R3" s="4">
        <v>4.2</v>
      </c>
      <c r="S3" s="7">
        <v>8.6</v>
      </c>
      <c r="T3" s="7">
        <v>12.8</v>
      </c>
      <c r="U3" s="4">
        <v>4.4000000000000004</v>
      </c>
      <c r="V3" s="7">
        <v>8</v>
      </c>
      <c r="W3" s="7">
        <v>12.4</v>
      </c>
      <c r="X3" s="4">
        <f t="shared" si="0"/>
        <v>28.199999999999996</v>
      </c>
      <c r="Y3" s="7">
        <f t="shared" si="1"/>
        <v>47.4</v>
      </c>
      <c r="Z3" s="7">
        <f t="shared" si="2"/>
        <v>75.600000000000009</v>
      </c>
      <c r="AA3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3" s="4">
        <v>6</v>
      </c>
      <c r="AC3" s="7">
        <v>6.6</v>
      </c>
      <c r="AD3" s="7">
        <v>12.6</v>
      </c>
      <c r="AE3" s="4">
        <v>4.5999999999999996</v>
      </c>
      <c r="AF3" s="7">
        <v>6.4</v>
      </c>
      <c r="AG3" s="7">
        <v>11</v>
      </c>
      <c r="AH3" s="4">
        <v>3.9</v>
      </c>
      <c r="AI3" s="7">
        <v>8.1</v>
      </c>
      <c r="AJ3" s="7">
        <v>12</v>
      </c>
      <c r="AK3" s="4">
        <v>5.2</v>
      </c>
      <c r="AL3" s="7">
        <v>9.6</v>
      </c>
      <c r="AM3" s="7">
        <v>14.8</v>
      </c>
      <c r="AN3" s="4">
        <v>4.2</v>
      </c>
      <c r="AO3" s="7">
        <v>8.1999999999999993</v>
      </c>
      <c r="AP3" s="7">
        <v>12.4</v>
      </c>
      <c r="AQ3" s="4">
        <v>4.4000000000000004</v>
      </c>
      <c r="AR3" s="7">
        <v>6.8</v>
      </c>
      <c r="AS3" s="7">
        <v>11.2</v>
      </c>
      <c r="AT3" s="4">
        <f t="shared" si="3"/>
        <v>28.299999999999997</v>
      </c>
      <c r="AU3" s="7">
        <f t="shared" si="4"/>
        <v>45.7</v>
      </c>
      <c r="AV3" s="7">
        <f t="shared" si="5"/>
        <v>74</v>
      </c>
      <c r="AW3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3" s="4">
        <v>5.6</v>
      </c>
      <c r="AY3" s="7">
        <v>7.65</v>
      </c>
      <c r="AZ3" s="7">
        <v>13.25</v>
      </c>
      <c r="BA3" s="4">
        <v>4.4000000000000004</v>
      </c>
      <c r="BB3" s="7">
        <v>7</v>
      </c>
      <c r="BC3" s="7">
        <v>11.4</v>
      </c>
      <c r="BD3" s="4">
        <v>4.3</v>
      </c>
      <c r="BE3" s="7">
        <v>7.85</v>
      </c>
      <c r="BF3" s="7">
        <v>12.15</v>
      </c>
      <c r="BG3" s="4">
        <v>5.2</v>
      </c>
      <c r="BH3" s="7">
        <v>8.0500000000000007</v>
      </c>
      <c r="BI3" s="7">
        <v>13.25</v>
      </c>
      <c r="BJ3" s="4">
        <v>4.2</v>
      </c>
      <c r="BK3" s="7">
        <v>8.8000000000000007</v>
      </c>
      <c r="BL3" s="7">
        <v>13</v>
      </c>
      <c r="BM3" s="4">
        <v>4.4000000000000004</v>
      </c>
      <c r="BN3" s="7">
        <v>8.4</v>
      </c>
      <c r="BO3" s="7">
        <v>12.8</v>
      </c>
      <c r="BP3" s="4">
        <f t="shared" si="6"/>
        <v>28.1</v>
      </c>
      <c r="BQ3" s="7">
        <f t="shared" si="7"/>
        <v>47.75</v>
      </c>
      <c r="BR3" s="7">
        <f t="shared" si="8"/>
        <v>75.849999999999994</v>
      </c>
      <c r="BS3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3" s="4">
        <v>5.6</v>
      </c>
      <c r="BU3" s="7">
        <v>6.65</v>
      </c>
      <c r="BV3" s="7">
        <v>12.25</v>
      </c>
      <c r="BW3" s="4">
        <v>4.4000000000000004</v>
      </c>
      <c r="BX3" s="7">
        <v>5</v>
      </c>
      <c r="BY3" s="7">
        <v>9.4</v>
      </c>
      <c r="BZ3" s="4">
        <v>4.2</v>
      </c>
      <c r="CA3" s="7">
        <v>8</v>
      </c>
      <c r="CB3" s="7">
        <v>12.2</v>
      </c>
      <c r="CC3" s="4">
        <v>4.8</v>
      </c>
      <c r="CD3" s="7">
        <v>8.3000000000000007</v>
      </c>
      <c r="CE3" s="7">
        <v>13.1</v>
      </c>
      <c r="CF3" s="4">
        <v>4.2</v>
      </c>
      <c r="CG3" s="7">
        <v>9.1999999999999993</v>
      </c>
      <c r="CH3" s="7">
        <v>13.4</v>
      </c>
      <c r="CI3" s="4">
        <v>4.2</v>
      </c>
      <c r="CJ3" s="7">
        <v>8</v>
      </c>
      <c r="CK3" s="7">
        <v>12.2</v>
      </c>
      <c r="CL3" s="4">
        <f t="shared" si="9"/>
        <v>27.4</v>
      </c>
      <c r="CM3" s="7">
        <f t="shared" si="10"/>
        <v>45.15</v>
      </c>
      <c r="CN3" s="7">
        <f t="shared" si="11"/>
        <v>72.55</v>
      </c>
      <c r="CO3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84.6</v>
      </c>
      <c r="CQ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140.85000000000002</v>
      </c>
      <c r="CR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225.45</v>
      </c>
      <c r="CS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28.2</v>
      </c>
      <c r="CT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46.95000000000001</v>
      </c>
      <c r="CU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75.149999999999991</v>
      </c>
      <c r="CW3" s="40"/>
      <c r="CX3" s="20" t="s">
        <v>267</v>
      </c>
      <c r="CY3" s="22" cm="1">
        <f t="array" ref="CY3">SUM(_xlfn._xlws.FILTER(AA[bydgoszcz_Escore],(AA[Category]="senior")*(AA[Bydgoszcz_all_around]&gt;="yes")),_xlfn._xlws.FILTER(AA[zabrze_Escore],(AA[Category]="senior")*(AA[Zabrze_all_around]&gt;="yes")),_xlfn._xlws.FILTER(AA[cracow_Escore],(AA[Category]="senior")*(AA[Cracow_all_around]&gt;="yes")),_xlfn._xlws.FILTER(AA[gdansk_Escore],(AA[Category]="senior")*(AA[Gdansk_all_Around]&gt;="yes")))/(COUNTIFS(AA[bydgoszcz_Escore],"&gt;0",AA[Category],"senior",AA[Bydgoszcz_all_around],"Yes")+COUNTIFS(AA[zabrze_Escore],"&gt;0",AA[Category],"senior",AA[Zabrze_all_around],"Yes")+COUNTIFS(AA[cracow_Escore],"&gt;0",AA[Category],"senior",AA[Cracow_all_around],"Yes")+COUNTIFS(AA[gdansk_Escore],"&gt;0",AA[Category],"senior",AA[Gdansk_all_Around],"Yes"))</f>
        <v>46.186585365853652</v>
      </c>
      <c r="CZ3" s="22" cm="1">
        <f t="array" ref="CZ3">_xlfn.STDEV.S(_xlfn._xlws.FILTER(AA[bydgoszcz_Escore],(AA[Category]="senior")*(AA[Bydgoszcz_all_around]&gt;="yes")*(AA[bydgoszcz_Escore]&gt;0)),_xlfn._xlws.FILTER(AA[zabrze_Escore],(AA[Category]="senior")*(AA[zabrze_Escore]&gt;0)*(AA[Zabrze_all_around]&gt;="yes")),_xlfn._xlws.FILTER(AA[cracow_Escore],(AA[Category]="senior")*(AA[cracow_Escore]&gt;0)*(AA[Cracow_all_around]&gt;="yes")),_xlfn._xlws.FILTER(AA[gdansk_Escore],(AA[Category]="senior")*(AA[gdansk_Escore]&gt;0)*(AA[Gdansk_all_Around]&gt;="yes")))</f>
        <v>3.3056963031682876</v>
      </c>
      <c r="DA3" s="22" cm="1">
        <f t="array" ref="DA3">MAX(_xlfn._xlws.FILTER(AA[bydgoszcz_Escore],AA[Category]="senior"),_xlfn._xlws.FILTER(AA[zabrze_Escore],AA[Category]="senior"),_xlfn._xlws.FILTER(AA[cracow_Escore],AA[Category]="senior"),_xlfn._xlws.FILTER(AA[gdansk_Escore],AA[Category]="senior"))</f>
        <v>51.55</v>
      </c>
      <c r="DC3" s="43" t="s">
        <v>59</v>
      </c>
      <c r="DD3" s="43" t="s">
        <v>60</v>
      </c>
      <c r="DE3" s="43" t="s">
        <v>62</v>
      </c>
      <c r="DF3">
        <v>3</v>
      </c>
      <c r="DG3" t="s">
        <v>317</v>
      </c>
      <c r="DH3" s="43" t="s">
        <v>309</v>
      </c>
      <c r="DI3">
        <v>0</v>
      </c>
    </row>
    <row r="4" spans="1:113" x14ac:dyDescent="0.25">
      <c r="A4" t="s">
        <v>77</v>
      </c>
      <c r="B4" s="2" t="s">
        <v>60</v>
      </c>
      <c r="C4" s="2" t="s">
        <v>78</v>
      </c>
      <c r="D4" t="s">
        <v>79</v>
      </c>
      <c r="E4" s="2">
        <f>SUM(COUNTIF(AA[[#This Row],[Bydgoszcz_all_around]],"Yes"),COUNTIF(AA[[#This Row],[Zabrze_all_around]],"Yes"),COUNTIF(AA[[#This Row],[Cracow_all_around]],"Yes"),COUNTIF(AA[[#This Row],[Gdansk_all_Around]],"Yes"))</f>
        <v>4</v>
      </c>
      <c r="F4" s="4">
        <v>4.2</v>
      </c>
      <c r="G4" s="7">
        <v>6.3</v>
      </c>
      <c r="H4" s="7">
        <v>10.5</v>
      </c>
      <c r="I4" s="4">
        <v>3.9</v>
      </c>
      <c r="J4" s="7">
        <v>7.8</v>
      </c>
      <c r="K4" s="7">
        <v>11.7</v>
      </c>
      <c r="L4" s="4">
        <v>4</v>
      </c>
      <c r="M4" s="7">
        <v>7.3</v>
      </c>
      <c r="N4" s="7">
        <v>11.3</v>
      </c>
      <c r="O4" s="4">
        <v>3.6</v>
      </c>
      <c r="P4" s="7">
        <v>7.8</v>
      </c>
      <c r="Q4" s="7">
        <v>11.4</v>
      </c>
      <c r="R4" s="4">
        <v>4</v>
      </c>
      <c r="S4" s="7">
        <v>8.15</v>
      </c>
      <c r="T4" s="7">
        <v>12.15</v>
      </c>
      <c r="U4" s="4">
        <v>3</v>
      </c>
      <c r="V4" s="7">
        <v>7.2</v>
      </c>
      <c r="W4" s="7">
        <v>10.199999999999999</v>
      </c>
      <c r="X4" s="4">
        <f t="shared" si="0"/>
        <v>22.7</v>
      </c>
      <c r="Y4" s="7">
        <f t="shared" si="1"/>
        <v>44.550000000000004</v>
      </c>
      <c r="Z4" s="7">
        <f t="shared" si="2"/>
        <v>67.25</v>
      </c>
      <c r="AA4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4" s="4">
        <v>3.9</v>
      </c>
      <c r="AC4" s="7">
        <v>7.85</v>
      </c>
      <c r="AD4" s="7">
        <v>11.75</v>
      </c>
      <c r="AE4" s="4">
        <v>3.8</v>
      </c>
      <c r="AF4" s="7">
        <v>6.2</v>
      </c>
      <c r="AG4" s="7">
        <v>10</v>
      </c>
      <c r="AH4" s="4">
        <v>3.8</v>
      </c>
      <c r="AI4" s="7">
        <v>8.4</v>
      </c>
      <c r="AJ4" s="7">
        <v>12.2</v>
      </c>
      <c r="AK4" s="4">
        <v>3.2</v>
      </c>
      <c r="AL4" s="7">
        <v>9.15</v>
      </c>
      <c r="AM4" s="7">
        <v>12.35</v>
      </c>
      <c r="AN4" s="4">
        <v>3.8</v>
      </c>
      <c r="AO4" s="7">
        <v>8.75</v>
      </c>
      <c r="AP4" s="7">
        <v>12.55</v>
      </c>
      <c r="AQ4" s="4">
        <v>2.6</v>
      </c>
      <c r="AR4" s="7">
        <v>7.5</v>
      </c>
      <c r="AS4" s="7">
        <v>10.1</v>
      </c>
      <c r="AT4" s="4">
        <f t="shared" si="3"/>
        <v>21.1</v>
      </c>
      <c r="AU4" s="7">
        <f t="shared" si="4"/>
        <v>47.85</v>
      </c>
      <c r="AV4" s="7">
        <f t="shared" si="5"/>
        <v>68.95</v>
      </c>
      <c r="AW4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4" s="4">
        <v>3.9</v>
      </c>
      <c r="AY4" s="7">
        <v>8</v>
      </c>
      <c r="AZ4" s="7">
        <v>11.9</v>
      </c>
      <c r="BA4" s="4">
        <v>3.7</v>
      </c>
      <c r="BB4" s="7">
        <v>7</v>
      </c>
      <c r="BC4" s="7">
        <v>10.7</v>
      </c>
      <c r="BD4" s="4">
        <v>3.8</v>
      </c>
      <c r="BE4" s="7">
        <v>8.0500000000000007</v>
      </c>
      <c r="BF4" s="7">
        <v>11.85</v>
      </c>
      <c r="BG4" s="4">
        <v>3.2</v>
      </c>
      <c r="BH4" s="7">
        <v>9.0500000000000007</v>
      </c>
      <c r="BI4" s="7">
        <v>12.25</v>
      </c>
      <c r="BJ4" s="4">
        <v>3.8</v>
      </c>
      <c r="BK4" s="7">
        <v>8.5</v>
      </c>
      <c r="BL4" s="7">
        <v>12.3</v>
      </c>
      <c r="BM4" s="4">
        <v>3</v>
      </c>
      <c r="BN4" s="7">
        <v>8.1</v>
      </c>
      <c r="BO4" s="7">
        <v>11.1</v>
      </c>
      <c r="BP4" s="4">
        <f t="shared" si="6"/>
        <v>21.4</v>
      </c>
      <c r="BQ4" s="7">
        <f t="shared" si="7"/>
        <v>48.7</v>
      </c>
      <c r="BR4" s="7">
        <f t="shared" si="8"/>
        <v>70.099999999999994</v>
      </c>
      <c r="BS4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4" s="4">
        <v>3.8</v>
      </c>
      <c r="BU4" s="7">
        <v>7.4</v>
      </c>
      <c r="BV4" s="7">
        <v>11.2</v>
      </c>
      <c r="BW4" s="4">
        <v>3.1</v>
      </c>
      <c r="BX4" s="7">
        <v>7.6</v>
      </c>
      <c r="BY4" s="7">
        <v>10.7</v>
      </c>
      <c r="BZ4" s="4">
        <v>3.4</v>
      </c>
      <c r="CA4" s="7">
        <v>6</v>
      </c>
      <c r="CB4" s="7">
        <v>9.4</v>
      </c>
      <c r="CC4" s="4">
        <v>3.2</v>
      </c>
      <c r="CD4" s="7">
        <v>8.3000000000000007</v>
      </c>
      <c r="CE4" s="7">
        <v>11.5</v>
      </c>
      <c r="CF4" s="4">
        <v>3.1</v>
      </c>
      <c r="CG4" s="7">
        <v>6.9</v>
      </c>
      <c r="CH4" s="7">
        <v>10</v>
      </c>
      <c r="CI4" s="4">
        <v>2.6</v>
      </c>
      <c r="CJ4" s="7">
        <v>7.3</v>
      </c>
      <c r="CK4" s="7">
        <v>9.9</v>
      </c>
      <c r="CL4" s="4">
        <f t="shared" si="9"/>
        <v>19.200000000000003</v>
      </c>
      <c r="CM4" s="7">
        <f t="shared" si="10"/>
        <v>43.5</v>
      </c>
      <c r="CN4" s="7">
        <f t="shared" si="11"/>
        <v>62.699999999999996</v>
      </c>
      <c r="CO4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65.199999999999989</v>
      </c>
      <c r="CQ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141.10000000000002</v>
      </c>
      <c r="CR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206.3</v>
      </c>
      <c r="CS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21.733333333333331</v>
      </c>
      <c r="CT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47.033333333333339</v>
      </c>
      <c r="CU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68.766666666666666</v>
      </c>
      <c r="CW4" s="40"/>
      <c r="CX4" s="20" t="s">
        <v>268</v>
      </c>
      <c r="CY4" s="22" cm="1">
        <f t="array" ref="CY4">SUM(_xlfn._xlws.FILTER(AA[bydgoszcz_Total_Score],(AA[Category]="senior")*(AA[Bydgoszcz_all_around]&gt;="yes")),_xlfn._xlws.FILTER(AA[zabrze_Total_Score],(AA[Category]="senior")*(AA[Zabrze_all_around]&gt;="yes")),_xlfn._xlws.FILTER(AA[cracow_Total_Score],(AA[Category]="senior")*(AA[Cracow_all_around]&gt;="yes")),_xlfn._xlws.FILTER(AA[gdansk_Total_Score],(AA[Category]="senior")*(AA[Gdansk_all_Around]&gt;="yes")))/(COUNTIFS(AA[bydgoszcz_Total_Score],"&gt;0",AA[Category],"senior",AA[Bydgoszcz_all_around],"Yes")+COUNTIFS(AA[zabrze_Total_Score],"&gt;0",AA[Category],"senior",AA[Zabrze_all_around],"Yes")+COUNTIFS(AA[cracow_Total_Score],"&gt;0",AA[Category],"senior",AA[Cracow_all_around],"Yes")+COUNTIFS(AA[gdansk_Total_Score],"&gt;0",AA[Category],"senior",AA[Gdansk_all_Around],"Yes"))</f>
        <v>68.979268292682931</v>
      </c>
      <c r="CZ4" s="22" cm="1">
        <f t="array" ref="CZ4">_xlfn.STDEV.S(_xlfn._xlws.FILTER(AA[bydgoszcz_Total_Score],(AA[Category]="senior")*(AA[Bydgoszcz_all_around]&gt;="yes")*(AA[bydgoszcz_Total_Score]&gt;0)),_xlfn._xlws.FILTER(AA[zabrze_Total_Score],(AA[Category]="senior")*(AA[zabrze_Total_Score]&gt;0)*(AA[Zabrze_all_around]&gt;="yes")),_xlfn._xlws.FILTER(AA[cracow_Total_Score],(AA[Category]="senior")*(AA[cracow_Total_Score]&gt;0)*(AA[Cracow_all_around]&gt;="yes")),_xlfn._xlws.FILTER(AA[gdansk_Total_Score],(AA[Category]="senior")*(AA[gdansk_Total_Score]&gt;0)*(AA[Gdansk_all_Around]&gt;="yes")))</f>
        <v>5.2201888807991903</v>
      </c>
      <c r="DA4" s="22" cm="1">
        <f t="array" ref="DA4">MAX(_xlfn._xlws.FILTER(AA[bydgoszcz_Total_Score],AA[Category]="senior"),_xlfn._xlws.FILTER(AA[zabrze_Total_Score],AA[Category]="senior"),_xlfn._xlws.FILTER(AA[cracow_Total_Score],AA[Category]="senior"),_xlfn._xlws.FILTER(AA[gdansk_Total_Score],AA[Category]="senior"))</f>
        <v>76.150000000000006</v>
      </c>
      <c r="DC4" s="43" t="s">
        <v>59</v>
      </c>
      <c r="DD4" s="43" t="s">
        <v>60</v>
      </c>
      <c r="DE4" s="43" t="s">
        <v>62</v>
      </c>
      <c r="DF4">
        <v>3</v>
      </c>
      <c r="DG4" t="s">
        <v>317</v>
      </c>
      <c r="DH4" s="43" t="s">
        <v>268</v>
      </c>
      <c r="DI4">
        <v>0</v>
      </c>
    </row>
    <row r="5" spans="1:113" x14ac:dyDescent="0.25">
      <c r="A5" t="s">
        <v>68</v>
      </c>
      <c r="B5" s="2" t="s">
        <v>60</v>
      </c>
      <c r="C5" s="2" t="s">
        <v>69</v>
      </c>
      <c r="D5" t="s">
        <v>31</v>
      </c>
      <c r="E5" s="2">
        <f>SUM(COUNTIF(AA[[#This Row],[Bydgoszcz_all_around]],"Yes"),COUNTIF(AA[[#This Row],[Zabrze_all_around]],"Yes"),COUNTIF(AA[[#This Row],[Cracow_all_around]],"Yes"),COUNTIF(AA[[#This Row],[Gdansk_all_Around]],"Yes"))</f>
        <v>3</v>
      </c>
      <c r="F5" s="4">
        <v>0</v>
      </c>
      <c r="G5" s="7">
        <v>0</v>
      </c>
      <c r="H5" s="7">
        <v>0</v>
      </c>
      <c r="I5" s="4">
        <v>0</v>
      </c>
      <c r="J5" s="7">
        <v>0</v>
      </c>
      <c r="K5" s="7">
        <v>0</v>
      </c>
      <c r="L5" s="4">
        <v>3.2</v>
      </c>
      <c r="M5" s="7">
        <v>7.4</v>
      </c>
      <c r="N5" s="7">
        <v>10.6</v>
      </c>
      <c r="O5" s="4">
        <v>0</v>
      </c>
      <c r="P5" s="7">
        <v>0</v>
      </c>
      <c r="Q5" s="7">
        <v>0</v>
      </c>
      <c r="R5" s="4">
        <v>2.7</v>
      </c>
      <c r="S5" s="7">
        <v>6.85</v>
      </c>
      <c r="T5" s="7">
        <v>9.5500000000000007</v>
      </c>
      <c r="U5" s="4">
        <v>2.1</v>
      </c>
      <c r="V5" s="7">
        <v>8.4</v>
      </c>
      <c r="W5" s="7">
        <v>10.5</v>
      </c>
      <c r="X5" s="4">
        <f t="shared" si="0"/>
        <v>8</v>
      </c>
      <c r="Y5" s="7">
        <f t="shared" si="1"/>
        <v>22.65</v>
      </c>
      <c r="Z5" s="7">
        <f t="shared" si="2"/>
        <v>30.65</v>
      </c>
      <c r="AA5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5" s="4">
        <v>4.2</v>
      </c>
      <c r="AC5" s="7">
        <v>8.35</v>
      </c>
      <c r="AD5" s="7">
        <v>12.55</v>
      </c>
      <c r="AE5" s="4">
        <v>3.8</v>
      </c>
      <c r="AF5" s="7">
        <v>7.75</v>
      </c>
      <c r="AG5" s="7">
        <v>11.55</v>
      </c>
      <c r="AH5" s="4">
        <v>3.8</v>
      </c>
      <c r="AI5" s="7">
        <v>7.7</v>
      </c>
      <c r="AJ5" s="7">
        <v>11.5</v>
      </c>
      <c r="AK5" s="4">
        <v>4</v>
      </c>
      <c r="AL5" s="7">
        <v>9.6</v>
      </c>
      <c r="AM5" s="7">
        <v>13.6</v>
      </c>
      <c r="AN5" s="4">
        <v>3.5</v>
      </c>
      <c r="AO5" s="7">
        <v>8.6999999999999993</v>
      </c>
      <c r="AP5" s="7">
        <v>12.2</v>
      </c>
      <c r="AQ5" s="4">
        <v>2.2000000000000002</v>
      </c>
      <c r="AR5" s="7">
        <v>7.85</v>
      </c>
      <c r="AS5" s="7">
        <v>10.050000000000001</v>
      </c>
      <c r="AT5" s="4">
        <f t="shared" si="3"/>
        <v>21.5</v>
      </c>
      <c r="AU5" s="7">
        <f t="shared" si="4"/>
        <v>49.949999999999996</v>
      </c>
      <c r="AV5" s="7">
        <f t="shared" si="5"/>
        <v>71.45</v>
      </c>
      <c r="AW5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5" s="4">
        <v>4.5</v>
      </c>
      <c r="AY5" s="7">
        <v>8</v>
      </c>
      <c r="AZ5" s="7">
        <v>12.5</v>
      </c>
      <c r="BA5" s="4">
        <v>3.8</v>
      </c>
      <c r="BB5" s="7">
        <v>8</v>
      </c>
      <c r="BC5" s="7">
        <v>11.8</v>
      </c>
      <c r="BD5" s="4">
        <v>3.8</v>
      </c>
      <c r="BE5" s="7">
        <v>8.5500000000000007</v>
      </c>
      <c r="BF5" s="7">
        <v>12.35</v>
      </c>
      <c r="BG5" s="4">
        <v>4</v>
      </c>
      <c r="BH5" s="7">
        <v>9.35</v>
      </c>
      <c r="BI5" s="7">
        <v>13.35</v>
      </c>
      <c r="BJ5" s="4">
        <v>3.4</v>
      </c>
      <c r="BK5" s="7">
        <v>8.75</v>
      </c>
      <c r="BL5" s="7">
        <v>12.15</v>
      </c>
      <c r="BM5" s="4">
        <v>2.6</v>
      </c>
      <c r="BN5" s="7">
        <v>8.9</v>
      </c>
      <c r="BO5" s="7">
        <v>11.5</v>
      </c>
      <c r="BP5" s="4">
        <f t="shared" si="6"/>
        <v>22.1</v>
      </c>
      <c r="BQ5" s="7">
        <f t="shared" si="7"/>
        <v>51.55</v>
      </c>
      <c r="BR5" s="7">
        <f t="shared" si="8"/>
        <v>73.650000000000006</v>
      </c>
      <c r="BS5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5" s="4">
        <v>4</v>
      </c>
      <c r="BU5" s="7">
        <v>6.3</v>
      </c>
      <c r="BV5" s="7">
        <v>10.3</v>
      </c>
      <c r="BW5" s="4">
        <v>3.2</v>
      </c>
      <c r="BX5" s="7">
        <v>7.4</v>
      </c>
      <c r="BY5" s="7">
        <v>10.6</v>
      </c>
      <c r="BZ5" s="4">
        <v>3.7</v>
      </c>
      <c r="CA5" s="7">
        <v>7.3</v>
      </c>
      <c r="CB5" s="7">
        <v>11</v>
      </c>
      <c r="CC5" s="4">
        <v>4</v>
      </c>
      <c r="CD5" s="7">
        <v>8.8000000000000007</v>
      </c>
      <c r="CE5" s="7">
        <v>12.8</v>
      </c>
      <c r="CF5" s="4">
        <v>3.2</v>
      </c>
      <c r="CG5" s="7">
        <v>5.8</v>
      </c>
      <c r="CH5" s="7">
        <v>9</v>
      </c>
      <c r="CI5" s="4">
        <v>2.6</v>
      </c>
      <c r="CJ5" s="7">
        <v>7.6</v>
      </c>
      <c r="CK5" s="7">
        <v>10.199999999999999</v>
      </c>
      <c r="CL5" s="4">
        <f t="shared" si="9"/>
        <v>20.700000000000003</v>
      </c>
      <c r="CM5" s="7">
        <f t="shared" si="10"/>
        <v>43.2</v>
      </c>
      <c r="CN5" s="7">
        <f t="shared" si="11"/>
        <v>63.900000000000006</v>
      </c>
      <c r="CO5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64.300000000000011</v>
      </c>
      <c r="CQ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144.69999999999999</v>
      </c>
      <c r="CR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209.00000000000003</v>
      </c>
      <c r="CS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21.433333333333337</v>
      </c>
      <c r="CT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48.233333333333327</v>
      </c>
      <c r="CU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69.666666666666671</v>
      </c>
      <c r="CW5" s="40"/>
      <c r="CX5" s="20" t="s">
        <v>275</v>
      </c>
      <c r="CY5" s="21" cm="1">
        <f t="array" ref="CY5">SUM(_xlfn._xlws.FILTER(AA[Year_AA_Dscore],(AA[Category]="senior")*(AA[All around competition]&gt;=3))/COUNTIFS(AA[All around competition],"&gt;=3",AA[Category],"senior"))</f>
        <v>69.771428571428558</v>
      </c>
      <c r="CZ5" s="21" cm="1">
        <f t="array" ref="CZ5">_xlfn.STDEV.S(_xlfn._xlws.FILTER(AA[Year_AA_Dscore],(AA[Category]="senior")*(AA[All around competition]&gt;=3)))</f>
        <v>10.268676364834702</v>
      </c>
      <c r="DA5" s="22" cm="1">
        <f t="array" ref="DA5">MAX(_xlfn._xlws.FILTER(AA[Year_AA_Dscore],AA[Category]="senior"))</f>
        <v>84.9</v>
      </c>
      <c r="DC5" s="43" t="s">
        <v>59</v>
      </c>
      <c r="DD5" s="43" t="s">
        <v>60</v>
      </c>
      <c r="DE5" s="43" t="s">
        <v>62</v>
      </c>
      <c r="DF5">
        <v>3</v>
      </c>
      <c r="DG5" t="s">
        <v>325</v>
      </c>
      <c r="DH5" s="43" t="s">
        <v>308</v>
      </c>
      <c r="DI5">
        <v>28.299999999999997</v>
      </c>
    </row>
    <row r="6" spans="1:113" x14ac:dyDescent="0.25">
      <c r="A6" t="s">
        <v>80</v>
      </c>
      <c r="B6" s="2" t="s">
        <v>60</v>
      </c>
      <c r="C6" s="2" t="s">
        <v>81</v>
      </c>
      <c r="D6" t="s">
        <v>62</v>
      </c>
      <c r="E6" s="2">
        <f>SUM(COUNTIF(AA[[#This Row],[Bydgoszcz_all_around]],"Yes"),COUNTIF(AA[[#This Row],[Zabrze_all_around]],"Yes"),COUNTIF(AA[[#This Row],[Cracow_all_around]],"Yes"),COUNTIF(AA[[#This Row],[Gdansk_all_Around]],"Yes"))</f>
        <v>4</v>
      </c>
      <c r="F6" s="4">
        <v>3.6</v>
      </c>
      <c r="G6" s="7">
        <v>9</v>
      </c>
      <c r="H6" s="7">
        <v>12.6</v>
      </c>
      <c r="I6" s="4">
        <v>3.6</v>
      </c>
      <c r="J6" s="7">
        <v>7.55</v>
      </c>
      <c r="K6" s="7">
        <v>11.15</v>
      </c>
      <c r="L6" s="4">
        <v>3.9</v>
      </c>
      <c r="M6" s="7">
        <v>6.4</v>
      </c>
      <c r="N6" s="7">
        <v>10.3</v>
      </c>
      <c r="O6" s="4">
        <v>3.6</v>
      </c>
      <c r="P6" s="7">
        <v>8.4</v>
      </c>
      <c r="Q6" s="7">
        <v>12</v>
      </c>
      <c r="R6" s="4">
        <v>3.7</v>
      </c>
      <c r="S6" s="7">
        <v>8.4499999999999993</v>
      </c>
      <c r="T6" s="7">
        <v>12.15</v>
      </c>
      <c r="U6" s="4">
        <v>3</v>
      </c>
      <c r="V6" s="7">
        <v>7.6</v>
      </c>
      <c r="W6" s="7">
        <v>10.6</v>
      </c>
      <c r="X6" s="4">
        <f t="shared" si="0"/>
        <v>21.4</v>
      </c>
      <c r="Y6" s="7">
        <f t="shared" si="1"/>
        <v>47.4</v>
      </c>
      <c r="Z6" s="7">
        <f t="shared" si="2"/>
        <v>68.8</v>
      </c>
      <c r="AA6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6" s="4">
        <v>3.4</v>
      </c>
      <c r="AC6" s="7">
        <v>8.6999999999999993</v>
      </c>
      <c r="AD6" s="7">
        <v>12.1</v>
      </c>
      <c r="AE6" s="4">
        <v>4.0999999999999996</v>
      </c>
      <c r="AF6" s="7">
        <v>6.7</v>
      </c>
      <c r="AG6" s="7">
        <v>10.8</v>
      </c>
      <c r="AH6" s="4">
        <v>3.7</v>
      </c>
      <c r="AI6" s="7">
        <v>7.9</v>
      </c>
      <c r="AJ6" s="7">
        <v>11.6</v>
      </c>
      <c r="AK6" s="4">
        <v>3.6</v>
      </c>
      <c r="AL6" s="7">
        <v>8.15</v>
      </c>
      <c r="AM6" s="7">
        <v>11.75</v>
      </c>
      <c r="AN6" s="4">
        <v>3.6</v>
      </c>
      <c r="AO6" s="7">
        <v>8.65</v>
      </c>
      <c r="AP6" s="7">
        <v>12.25</v>
      </c>
      <c r="AQ6" s="4">
        <v>2.5</v>
      </c>
      <c r="AR6" s="7">
        <v>7.9</v>
      </c>
      <c r="AS6" s="7">
        <v>10.4</v>
      </c>
      <c r="AT6" s="4">
        <f t="shared" si="3"/>
        <v>20.9</v>
      </c>
      <c r="AU6" s="7">
        <f t="shared" si="4"/>
        <v>47.999999999999993</v>
      </c>
      <c r="AV6" s="7">
        <f t="shared" si="5"/>
        <v>68.900000000000006</v>
      </c>
      <c r="AW6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6" s="4">
        <v>3.6</v>
      </c>
      <c r="AY6" s="7">
        <v>8.4</v>
      </c>
      <c r="AZ6" s="7">
        <v>12</v>
      </c>
      <c r="BA6" s="4">
        <v>3.6</v>
      </c>
      <c r="BB6" s="7">
        <v>8</v>
      </c>
      <c r="BC6" s="7">
        <v>11.6</v>
      </c>
      <c r="BD6" s="4">
        <v>3.9</v>
      </c>
      <c r="BE6" s="7">
        <v>8.1999999999999993</v>
      </c>
      <c r="BF6" s="7">
        <v>12.1</v>
      </c>
      <c r="BG6" s="4">
        <v>4</v>
      </c>
      <c r="BH6" s="7">
        <v>8.65</v>
      </c>
      <c r="BI6" s="7">
        <v>12.65</v>
      </c>
      <c r="BJ6" s="4">
        <v>4</v>
      </c>
      <c r="BK6" s="7">
        <v>8.85</v>
      </c>
      <c r="BL6" s="7">
        <v>12.85</v>
      </c>
      <c r="BM6" s="4">
        <v>2.5</v>
      </c>
      <c r="BN6" s="7">
        <v>7.2</v>
      </c>
      <c r="BO6" s="7">
        <v>9.6999999999999993</v>
      </c>
      <c r="BP6" s="4">
        <f t="shared" si="6"/>
        <v>21.6</v>
      </c>
      <c r="BQ6" s="7">
        <f t="shared" si="7"/>
        <v>49.300000000000004</v>
      </c>
      <c r="BR6" s="7">
        <f t="shared" si="8"/>
        <v>70.900000000000006</v>
      </c>
      <c r="BS6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6" s="4">
        <v>3.6</v>
      </c>
      <c r="BU6" s="7">
        <v>7.45</v>
      </c>
      <c r="BV6" s="7">
        <v>11.05</v>
      </c>
      <c r="BW6" s="4">
        <v>4.0999999999999996</v>
      </c>
      <c r="BX6" s="7">
        <v>6.7</v>
      </c>
      <c r="BY6" s="7">
        <v>10.8</v>
      </c>
      <c r="BZ6" s="4">
        <v>3.5</v>
      </c>
      <c r="CA6" s="7">
        <v>8.3000000000000007</v>
      </c>
      <c r="CB6" s="7">
        <v>11.8</v>
      </c>
      <c r="CC6" s="4">
        <v>2.4</v>
      </c>
      <c r="CD6" s="7">
        <v>8.3000000000000007</v>
      </c>
      <c r="CE6" s="7">
        <v>10.7</v>
      </c>
      <c r="CF6" s="4">
        <v>2.7</v>
      </c>
      <c r="CG6" s="7">
        <v>6</v>
      </c>
      <c r="CH6" s="7">
        <v>8.6999999999999993</v>
      </c>
      <c r="CI6" s="4">
        <v>2.2000000000000002</v>
      </c>
      <c r="CJ6" s="7">
        <v>1</v>
      </c>
      <c r="CK6" s="7">
        <v>3.2</v>
      </c>
      <c r="CL6" s="4">
        <f t="shared" si="9"/>
        <v>18.5</v>
      </c>
      <c r="CM6" s="7">
        <f t="shared" si="10"/>
        <v>37.75</v>
      </c>
      <c r="CN6" s="7">
        <f t="shared" si="11"/>
        <v>56.250000000000014</v>
      </c>
      <c r="CO6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63.9</v>
      </c>
      <c r="CQ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144.69999999999999</v>
      </c>
      <c r="CR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208.60000000000002</v>
      </c>
      <c r="CS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21.3</v>
      </c>
      <c r="CT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48.233333333333327</v>
      </c>
      <c r="CU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69.533333333333346</v>
      </c>
      <c r="CW6" s="40"/>
      <c r="CX6" s="20" t="s">
        <v>276</v>
      </c>
      <c r="CY6" s="22" cm="1">
        <f t="array" ref="CY6">SUM(_xlfn._xlws.FILTER(AA[Year_AA_Escore],(AA[Category]="senior")*(AA[All around competition]&gt;=3))/COUNTIFS(AA[All around competition],"&gt;=3",AA[Category],"senior"))</f>
        <v>140.37857142857143</v>
      </c>
      <c r="CZ6" s="22" cm="1">
        <f t="array" ref="CZ6">_xlfn.STDEV.S(_xlfn._xlws.FILTER(AA[Year_AA_Escore],(AA[Category]="senior")*(AA[All around competition]&gt;=3)))</f>
        <v>3.8505256289301104</v>
      </c>
      <c r="DA6" s="22" cm="1">
        <f t="array" ref="DA6">MAX(_xlfn._xlws.FILTER(AA[Year_AA_Escore],AA[Category]="senior"))</f>
        <v>144.69999999999999</v>
      </c>
      <c r="DC6" s="43" t="s">
        <v>59</v>
      </c>
      <c r="DD6" s="43" t="s">
        <v>60</v>
      </c>
      <c r="DE6" s="43" t="s">
        <v>62</v>
      </c>
      <c r="DF6">
        <v>3</v>
      </c>
      <c r="DG6" t="s">
        <v>325</v>
      </c>
      <c r="DH6" s="43" t="s">
        <v>309</v>
      </c>
      <c r="DI6">
        <v>47.85</v>
      </c>
    </row>
    <row r="7" spans="1:113" x14ac:dyDescent="0.25">
      <c r="A7" t="s">
        <v>73</v>
      </c>
      <c r="B7" s="2" t="s">
        <v>60</v>
      </c>
      <c r="C7" s="2" t="s">
        <v>74</v>
      </c>
      <c r="D7" t="s">
        <v>62</v>
      </c>
      <c r="E7" s="2">
        <f>SUM(COUNTIF(AA[[#This Row],[Bydgoszcz_all_around]],"Yes"),COUNTIF(AA[[#This Row],[Zabrze_all_around]],"Yes"),COUNTIF(AA[[#This Row],[Cracow_all_around]],"Yes"),COUNTIF(AA[[#This Row],[Gdansk_all_Around]],"Yes"))</f>
        <v>4</v>
      </c>
      <c r="F7" s="4">
        <v>4.7</v>
      </c>
      <c r="G7" s="7">
        <v>8.1</v>
      </c>
      <c r="H7" s="7">
        <v>12.8</v>
      </c>
      <c r="I7" s="4">
        <v>3</v>
      </c>
      <c r="J7" s="7">
        <v>6.3</v>
      </c>
      <c r="K7" s="7">
        <v>9.3000000000000007</v>
      </c>
      <c r="L7" s="4">
        <v>2.7</v>
      </c>
      <c r="M7" s="7">
        <v>7.7</v>
      </c>
      <c r="N7" s="7">
        <v>10.4</v>
      </c>
      <c r="O7" s="4">
        <v>4</v>
      </c>
      <c r="P7" s="7">
        <v>8.6</v>
      </c>
      <c r="Q7" s="7">
        <v>12.6</v>
      </c>
      <c r="R7" s="4">
        <v>3.5</v>
      </c>
      <c r="S7" s="7">
        <v>8</v>
      </c>
      <c r="T7" s="7">
        <v>11.5</v>
      </c>
      <c r="U7" s="4">
        <v>3.1</v>
      </c>
      <c r="V7" s="7">
        <v>7.3</v>
      </c>
      <c r="W7" s="7">
        <v>10.4</v>
      </c>
      <c r="X7" s="4">
        <f t="shared" si="0"/>
        <v>21</v>
      </c>
      <c r="Y7" s="7">
        <f t="shared" si="1"/>
        <v>45.999999999999993</v>
      </c>
      <c r="Z7" s="7">
        <f t="shared" si="2"/>
        <v>67</v>
      </c>
      <c r="AA7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7" s="4">
        <v>4.7</v>
      </c>
      <c r="AC7" s="7">
        <v>8.6999999999999993</v>
      </c>
      <c r="AD7" s="7">
        <v>13.4</v>
      </c>
      <c r="AE7" s="4">
        <v>3</v>
      </c>
      <c r="AF7" s="7">
        <v>7.5</v>
      </c>
      <c r="AG7" s="7">
        <v>10.5</v>
      </c>
      <c r="AH7" s="4">
        <v>2.5</v>
      </c>
      <c r="AI7" s="7">
        <v>8.15</v>
      </c>
      <c r="AJ7" s="7">
        <v>10.65</v>
      </c>
      <c r="AK7" s="4">
        <v>4</v>
      </c>
      <c r="AL7" s="7">
        <v>9.1</v>
      </c>
      <c r="AM7" s="7">
        <v>13.1</v>
      </c>
      <c r="AN7" s="4">
        <v>4.0999999999999996</v>
      </c>
      <c r="AO7" s="7">
        <v>7.9</v>
      </c>
      <c r="AP7" s="7">
        <v>12</v>
      </c>
      <c r="AQ7" s="4">
        <v>2.7</v>
      </c>
      <c r="AR7" s="7">
        <v>7.55</v>
      </c>
      <c r="AS7" s="7">
        <v>10.25</v>
      </c>
      <c r="AT7" s="4">
        <f t="shared" si="3"/>
        <v>20.999999999999996</v>
      </c>
      <c r="AU7" s="7">
        <f t="shared" si="4"/>
        <v>48.9</v>
      </c>
      <c r="AV7" s="7">
        <f t="shared" si="5"/>
        <v>69.900000000000006</v>
      </c>
      <c r="AW7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7" s="4">
        <v>4.5</v>
      </c>
      <c r="AY7" s="7">
        <v>8.15</v>
      </c>
      <c r="AZ7" s="7">
        <v>12.65</v>
      </c>
      <c r="BA7" s="4">
        <v>3.1</v>
      </c>
      <c r="BB7" s="7">
        <v>3.05</v>
      </c>
      <c r="BC7" s="7">
        <v>6.15</v>
      </c>
      <c r="BD7" s="4">
        <v>2.8</v>
      </c>
      <c r="BE7" s="7">
        <v>7.1</v>
      </c>
      <c r="BF7" s="7">
        <v>9.9</v>
      </c>
      <c r="BG7" s="4">
        <v>4</v>
      </c>
      <c r="BH7" s="7">
        <v>9.35</v>
      </c>
      <c r="BI7" s="7">
        <v>13.35</v>
      </c>
      <c r="BJ7" s="4">
        <v>3.7</v>
      </c>
      <c r="BK7" s="7">
        <v>6.85</v>
      </c>
      <c r="BL7" s="7">
        <v>10.55</v>
      </c>
      <c r="BM7" s="4">
        <v>2.7</v>
      </c>
      <c r="BN7" s="7">
        <v>8.1999999999999993</v>
      </c>
      <c r="BO7" s="7">
        <v>10.9</v>
      </c>
      <c r="BP7" s="4">
        <f t="shared" si="6"/>
        <v>20.799999999999997</v>
      </c>
      <c r="BQ7" s="7">
        <f t="shared" si="7"/>
        <v>42.7</v>
      </c>
      <c r="BR7" s="7">
        <f t="shared" si="8"/>
        <v>63.500000000000007</v>
      </c>
      <c r="BS7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7" s="4">
        <v>4.7</v>
      </c>
      <c r="BU7" s="7">
        <v>6.7</v>
      </c>
      <c r="BV7" s="7">
        <v>11.4</v>
      </c>
      <c r="BW7" s="4">
        <v>2.9</v>
      </c>
      <c r="BX7" s="7">
        <v>7.1</v>
      </c>
      <c r="BY7" s="7">
        <v>10</v>
      </c>
      <c r="BZ7" s="4">
        <v>2.7</v>
      </c>
      <c r="CA7" s="7">
        <v>7.4</v>
      </c>
      <c r="CB7" s="7">
        <v>10.1</v>
      </c>
      <c r="CC7" s="4">
        <v>4</v>
      </c>
      <c r="CD7" s="7">
        <v>8.6999999999999993</v>
      </c>
      <c r="CE7" s="7">
        <v>12.7</v>
      </c>
      <c r="CF7" s="4">
        <v>3.6</v>
      </c>
      <c r="CG7" s="7">
        <v>7.4</v>
      </c>
      <c r="CH7" s="7">
        <v>11</v>
      </c>
      <c r="CI7" s="4">
        <v>2.6</v>
      </c>
      <c r="CJ7" s="7">
        <v>5.8</v>
      </c>
      <c r="CK7" s="7">
        <v>8.4</v>
      </c>
      <c r="CL7" s="4">
        <f t="shared" si="9"/>
        <v>20.500000000000004</v>
      </c>
      <c r="CM7" s="7">
        <f t="shared" si="10"/>
        <v>43.1</v>
      </c>
      <c r="CN7" s="7">
        <f t="shared" si="11"/>
        <v>63.6</v>
      </c>
      <c r="CO7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62.8</v>
      </c>
      <c r="CQ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138</v>
      </c>
      <c r="CR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200.5</v>
      </c>
      <c r="CS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20.933333333333334</v>
      </c>
      <c r="CT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46</v>
      </c>
      <c r="CU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66.833333333333329</v>
      </c>
      <c r="CW7" s="41"/>
      <c r="CX7" s="20" t="s">
        <v>277</v>
      </c>
      <c r="CY7" s="22" cm="1">
        <f t="array" ref="CY7">SUM(_xlfn._xlws.FILTER(AA[Year_AA_Total_Score],(AA[Category]="senior")*(AA[All around competition]&gt;=3))/COUNTIFS(AA[All around competition],"&gt;=3",AA[Category],"senior"))</f>
        <v>210.02857142857144</v>
      </c>
      <c r="CZ7" s="22" cm="1">
        <f t="array" ref="CZ7">_xlfn.STDEV.S(_xlfn._xlws.FILTER(AA[Year_AA_Total_Score],(AA[Category]="senior")*(AA[All around competition]&gt;=3)))</f>
        <v>11.225486520371742</v>
      </c>
      <c r="DA7" s="22" cm="1">
        <f t="array" ref="DA7">MAX(_xlfn._xlws.FILTER(AA[Year_AA_Total_Score],AA[Category]="senior"))</f>
        <v>225.45</v>
      </c>
      <c r="DC7" s="43" t="s">
        <v>59</v>
      </c>
      <c r="DD7" s="43" t="s">
        <v>60</v>
      </c>
      <c r="DE7" s="43" t="s">
        <v>62</v>
      </c>
      <c r="DF7">
        <v>3</v>
      </c>
      <c r="DG7" t="s">
        <v>325</v>
      </c>
      <c r="DH7" s="43" t="s">
        <v>268</v>
      </c>
      <c r="DI7">
        <v>76.150000000000006</v>
      </c>
    </row>
    <row r="8" spans="1:113" x14ac:dyDescent="0.25">
      <c r="A8" t="s">
        <v>84</v>
      </c>
      <c r="B8" s="2" t="s">
        <v>60</v>
      </c>
      <c r="C8" s="2" t="s">
        <v>85</v>
      </c>
      <c r="D8" t="s">
        <v>39</v>
      </c>
      <c r="E8" s="2">
        <f>SUM(COUNTIF(AA[[#This Row],[Bydgoszcz_all_around]],"Yes"),COUNTIF(AA[[#This Row],[Zabrze_all_around]],"Yes"),COUNTIF(AA[[#This Row],[Cracow_all_around]],"Yes"),COUNTIF(AA[[#This Row],[Gdansk_all_Around]],"Yes"))</f>
        <v>4</v>
      </c>
      <c r="F8" s="4">
        <v>4.5</v>
      </c>
      <c r="G8" s="7">
        <v>7.35</v>
      </c>
      <c r="H8" s="7">
        <v>11.85</v>
      </c>
      <c r="I8" s="4">
        <v>3.2</v>
      </c>
      <c r="J8" s="7">
        <v>6.1</v>
      </c>
      <c r="K8" s="7">
        <v>9.3000000000000007</v>
      </c>
      <c r="L8" s="4">
        <v>3.6</v>
      </c>
      <c r="M8" s="7">
        <v>7.5</v>
      </c>
      <c r="N8" s="7">
        <v>11.1</v>
      </c>
      <c r="O8" s="4">
        <v>3</v>
      </c>
      <c r="P8" s="7">
        <v>9.3000000000000007</v>
      </c>
      <c r="Q8" s="7">
        <v>12.3</v>
      </c>
      <c r="R8" s="4">
        <v>3.7</v>
      </c>
      <c r="S8" s="7">
        <v>7.85</v>
      </c>
      <c r="T8" s="7">
        <v>11.55</v>
      </c>
      <c r="U8" s="4">
        <v>3.2</v>
      </c>
      <c r="V8" s="7">
        <v>7.2</v>
      </c>
      <c r="W8" s="7">
        <v>10.4</v>
      </c>
      <c r="X8" s="4">
        <f t="shared" si="0"/>
        <v>21.2</v>
      </c>
      <c r="Y8" s="7">
        <f t="shared" si="1"/>
        <v>45.300000000000004</v>
      </c>
      <c r="Z8" s="7">
        <f t="shared" si="2"/>
        <v>66.5</v>
      </c>
      <c r="AA8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8" s="4">
        <v>4.0999999999999996</v>
      </c>
      <c r="AC8" s="7">
        <v>6.25</v>
      </c>
      <c r="AD8" s="7">
        <v>10.35</v>
      </c>
      <c r="AE8" s="4">
        <v>3.2</v>
      </c>
      <c r="AF8" s="7">
        <v>4.75</v>
      </c>
      <c r="AG8" s="7">
        <v>7.95</v>
      </c>
      <c r="AH8" s="4">
        <v>3.4</v>
      </c>
      <c r="AI8" s="7">
        <v>7.3</v>
      </c>
      <c r="AJ8" s="7">
        <v>10.7</v>
      </c>
      <c r="AK8" s="4">
        <v>3.2</v>
      </c>
      <c r="AL8" s="7">
        <v>9.25</v>
      </c>
      <c r="AM8" s="7">
        <v>12.45</v>
      </c>
      <c r="AN8" s="4">
        <v>4.2</v>
      </c>
      <c r="AO8" s="7">
        <v>7.5</v>
      </c>
      <c r="AP8" s="7">
        <v>11.7</v>
      </c>
      <c r="AQ8" s="4">
        <v>2.8</v>
      </c>
      <c r="AR8" s="7">
        <v>8</v>
      </c>
      <c r="AS8" s="7">
        <v>10.8</v>
      </c>
      <c r="AT8" s="4">
        <f t="shared" si="3"/>
        <v>20.9</v>
      </c>
      <c r="AU8" s="7">
        <f t="shared" si="4"/>
        <v>43.05</v>
      </c>
      <c r="AV8" s="7">
        <f t="shared" si="5"/>
        <v>63.95</v>
      </c>
      <c r="AW8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8" s="4">
        <v>4.0999999999999996</v>
      </c>
      <c r="AY8" s="7">
        <v>8.4</v>
      </c>
      <c r="AZ8" s="7">
        <v>12.5</v>
      </c>
      <c r="BA8" s="4">
        <v>3.2</v>
      </c>
      <c r="BB8" s="7">
        <v>4.5999999999999996</v>
      </c>
      <c r="BC8" s="7">
        <v>7.8</v>
      </c>
      <c r="BD8" s="4">
        <v>2.9</v>
      </c>
      <c r="BE8" s="7">
        <v>6.15</v>
      </c>
      <c r="BF8" s="7">
        <v>9.0500000000000007</v>
      </c>
      <c r="BG8" s="4">
        <v>3.2</v>
      </c>
      <c r="BH8" s="7">
        <v>9.3000000000000007</v>
      </c>
      <c r="BI8" s="7">
        <v>12.5</v>
      </c>
      <c r="BJ8" s="4">
        <v>3.6</v>
      </c>
      <c r="BK8" s="7">
        <v>7.9</v>
      </c>
      <c r="BL8" s="7">
        <v>11.5</v>
      </c>
      <c r="BM8" s="4">
        <v>2.9</v>
      </c>
      <c r="BN8" s="7">
        <v>7.25</v>
      </c>
      <c r="BO8" s="7">
        <v>10.15</v>
      </c>
      <c r="BP8" s="4">
        <f t="shared" si="6"/>
        <v>19.899999999999999</v>
      </c>
      <c r="BQ8" s="7">
        <f t="shared" si="7"/>
        <v>43.6</v>
      </c>
      <c r="BR8" s="7">
        <f t="shared" si="8"/>
        <v>63.5</v>
      </c>
      <c r="BS8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8" s="4">
        <v>4.0999999999999996</v>
      </c>
      <c r="BU8" s="7">
        <v>7.3</v>
      </c>
      <c r="BV8" s="7">
        <v>11.4</v>
      </c>
      <c r="BW8" s="4">
        <v>3.5</v>
      </c>
      <c r="BX8" s="7">
        <v>5.5</v>
      </c>
      <c r="BY8" s="7">
        <v>9</v>
      </c>
      <c r="BZ8" s="4">
        <v>3.1</v>
      </c>
      <c r="CA8" s="7">
        <v>7.3</v>
      </c>
      <c r="CB8" s="7">
        <v>10.4</v>
      </c>
      <c r="CC8" s="4">
        <v>3.2</v>
      </c>
      <c r="CD8" s="7">
        <v>8.3000000000000007</v>
      </c>
      <c r="CE8" s="7">
        <v>11.5</v>
      </c>
      <c r="CF8" s="4">
        <v>4.2</v>
      </c>
      <c r="CG8" s="7">
        <v>7.7</v>
      </c>
      <c r="CH8" s="7">
        <v>11.9</v>
      </c>
      <c r="CI8" s="4">
        <v>2.5</v>
      </c>
      <c r="CJ8" s="7">
        <v>8.6999999999999993</v>
      </c>
      <c r="CK8" s="7">
        <v>11.2</v>
      </c>
      <c r="CL8" s="4">
        <f t="shared" si="9"/>
        <v>20.599999999999998</v>
      </c>
      <c r="CM8" s="7">
        <f t="shared" si="10"/>
        <v>44.8</v>
      </c>
      <c r="CN8" s="7">
        <f t="shared" si="11"/>
        <v>65.399999999999991</v>
      </c>
      <c r="CO8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62.699999999999989</v>
      </c>
      <c r="CQ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133.69999999999999</v>
      </c>
      <c r="CR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195.84999999999997</v>
      </c>
      <c r="CS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20.899999999999995</v>
      </c>
      <c r="CT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44.566666666666663</v>
      </c>
      <c r="CU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65.283333333333317</v>
      </c>
      <c r="CW8" s="39" t="s">
        <v>26</v>
      </c>
      <c r="CX8" s="20" t="s">
        <v>269</v>
      </c>
      <c r="CY8" s="21" cm="1">
        <f t="array" ref="CY8">SUM(_xlfn._xlws.FILTER(AA[bydgoszcz_DScore],(AA[Category]="junior")*(AA[Bydgoszcz_all_around]&gt;="yes")),_xlfn._xlws.FILTER(AA[zabrze_Dscore],(AA[Category]="junior")*(AA[Zabrze_all_around]&gt;="yes")),_xlfn._xlws.FILTER(AA[cracow_Dscore],(AA[Category]="junior")*(AA[Cracow_all_around]&gt;="yes")),_xlfn._xlws.FILTER(AA[gdansk_Dscore],(AA[Category]="junior")*(AA[Gdansk_all_Around]&gt;="yes")))/(COUNTIFS(AA[bydgoszcz_DScore],"&gt;0",AA[Category],"junior",AA[Bydgoszcz_all_around],"Yes")+COUNTIFS(AA[zabrze_Dscore],"&gt;0",AA[Category],"junior",AA[Zabrze_all_around],"Yes")+COUNTIFS(AA[cracow_Dscore],"&gt;0",AA[Category],"junior",AA[Cracow_all_around],"Yes")+COUNTIFS(AA[gdansk_Dscore],"&gt;0",AA[Category],"junior",AA[Gdansk_all_Around],"Yes"))</f>
        <v>17.661904761904765</v>
      </c>
      <c r="CZ8" s="21" cm="1">
        <f t="array" ref="CZ8">_xlfn.STDEV.S(_xlfn._xlws.FILTER(AA[bydgoszcz_DScore],(AA[Category]="junior")*(AA[Bydgoszcz_all_around]&gt;="yes")*(AA[bydgoszcz_DScore]&gt;0)),_xlfn._xlws.FILTER(AA[zabrze_Dscore],(AA[Category]="junior")*(AA[zabrze_Dscore]&gt;0)*(AA[Zabrze_all_around]&gt;="yes")),_xlfn._xlws.FILTER(AA[cracow_Dscore],(AA[Category]="junior")*(AA[cracow_Dscore]&gt;0)*(AA[Cracow_all_around]&gt;="yes")),_xlfn._xlws.FILTER(AA[gdansk_Dscore],(AA[Category]="junior")*(AA[gdansk_Dscore]&gt;0)*(AA[Gdansk_all_Around]&gt;="yes")))</f>
        <v>3.2183128727340868</v>
      </c>
      <c r="DA8" s="21" cm="1">
        <f t="array" ref="DA8">MAX(_xlfn._xlws.FILTER(AA[bydgoszcz_DScore],AA[Category]="junior"),_xlfn._xlws.FILTER(AA[zabrze_Dscore],AA[Category]="junior"),_xlfn._xlws.FILTER(AA[cracow_Dscore],AA[Category]="junior"),_xlfn._xlws.FILTER(AA[gdansk_Dscore],AA[Category]="junior"))</f>
        <v>25.6</v>
      </c>
      <c r="DC8" s="43" t="s">
        <v>59</v>
      </c>
      <c r="DD8" s="43" t="s">
        <v>60</v>
      </c>
      <c r="DE8" s="43" t="s">
        <v>62</v>
      </c>
      <c r="DF8">
        <v>3</v>
      </c>
      <c r="DG8" t="s">
        <v>330</v>
      </c>
      <c r="DH8" s="43" t="s">
        <v>308</v>
      </c>
      <c r="DI8">
        <v>28.9</v>
      </c>
    </row>
    <row r="9" spans="1:113" x14ac:dyDescent="0.25">
      <c r="A9" t="s">
        <v>34</v>
      </c>
      <c r="B9" s="2" t="s">
        <v>26</v>
      </c>
      <c r="C9" s="2" t="s">
        <v>35</v>
      </c>
      <c r="D9" t="s">
        <v>36</v>
      </c>
      <c r="E9" s="2">
        <f>SUM(COUNTIF(AA[[#This Row],[Bydgoszcz_all_around]],"Yes"),COUNTIF(AA[[#This Row],[Zabrze_all_around]],"Yes"),COUNTIF(AA[[#This Row],[Cracow_all_around]],"Yes"),COUNTIF(AA[[#This Row],[Gdansk_all_Around]],"Yes"))</f>
        <v>4</v>
      </c>
      <c r="F9" s="4">
        <v>3.8</v>
      </c>
      <c r="G9" s="7">
        <v>8.6999999999999993</v>
      </c>
      <c r="H9" s="7">
        <v>12.5</v>
      </c>
      <c r="I9" s="4">
        <v>4.4000000000000004</v>
      </c>
      <c r="J9" s="7">
        <v>7</v>
      </c>
      <c r="K9" s="7">
        <v>11.4</v>
      </c>
      <c r="L9" s="4">
        <v>3.6</v>
      </c>
      <c r="M9" s="7">
        <v>7.8</v>
      </c>
      <c r="N9" s="7">
        <v>11.4</v>
      </c>
      <c r="O9" s="4">
        <v>1.6</v>
      </c>
      <c r="P9" s="7">
        <v>8.8000000000000007</v>
      </c>
      <c r="Q9" s="7">
        <v>10.4</v>
      </c>
      <c r="R9" s="4">
        <v>3.2</v>
      </c>
      <c r="S9" s="7">
        <v>8.6</v>
      </c>
      <c r="T9" s="7">
        <v>11.8</v>
      </c>
      <c r="U9" s="4">
        <v>3.4</v>
      </c>
      <c r="V9" s="7">
        <v>7.4</v>
      </c>
      <c r="W9" s="7">
        <v>10.8</v>
      </c>
      <c r="X9" s="4">
        <f t="shared" si="0"/>
        <v>19.999999999999996</v>
      </c>
      <c r="Y9" s="7">
        <f t="shared" si="1"/>
        <v>48.3</v>
      </c>
      <c r="Z9" s="7">
        <f t="shared" si="2"/>
        <v>68.3</v>
      </c>
      <c r="AA9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9" s="4">
        <v>3.7</v>
      </c>
      <c r="AC9" s="7">
        <v>8.1</v>
      </c>
      <c r="AD9" s="7">
        <v>11.8</v>
      </c>
      <c r="AE9" s="4">
        <v>3.9</v>
      </c>
      <c r="AF9" s="7">
        <v>7</v>
      </c>
      <c r="AG9" s="7">
        <v>10.9</v>
      </c>
      <c r="AH9" s="4">
        <v>3.9</v>
      </c>
      <c r="AI9" s="7">
        <v>8.1</v>
      </c>
      <c r="AJ9" s="7">
        <v>12</v>
      </c>
      <c r="AK9" s="4">
        <v>2.4</v>
      </c>
      <c r="AL9" s="7">
        <v>8.9</v>
      </c>
      <c r="AM9" s="7">
        <v>11.3</v>
      </c>
      <c r="AN9" s="4">
        <v>3.7</v>
      </c>
      <c r="AO9" s="7">
        <v>7.45</v>
      </c>
      <c r="AP9" s="7">
        <v>11.15</v>
      </c>
      <c r="AQ9" s="4">
        <v>3.4</v>
      </c>
      <c r="AR9" s="7">
        <v>7.5</v>
      </c>
      <c r="AS9" s="7">
        <v>10.9</v>
      </c>
      <c r="AT9" s="4">
        <f t="shared" si="3"/>
        <v>21</v>
      </c>
      <c r="AU9" s="7">
        <f t="shared" si="4"/>
        <v>47.050000000000004</v>
      </c>
      <c r="AV9" s="7">
        <f t="shared" si="5"/>
        <v>68.05</v>
      </c>
      <c r="AW9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9" s="4">
        <v>3.6</v>
      </c>
      <c r="AY9" s="7">
        <v>8.25</v>
      </c>
      <c r="AZ9" s="7">
        <v>11.85</v>
      </c>
      <c r="BA9" s="4">
        <v>3.6</v>
      </c>
      <c r="BB9" s="7">
        <v>8.4</v>
      </c>
      <c r="BC9" s="7">
        <v>12</v>
      </c>
      <c r="BD9" s="4">
        <v>3.7</v>
      </c>
      <c r="BE9" s="7">
        <v>7.45</v>
      </c>
      <c r="BF9" s="7">
        <v>11.15</v>
      </c>
      <c r="BG9" s="4">
        <v>3.2</v>
      </c>
      <c r="BH9" s="7">
        <v>8.6999999999999993</v>
      </c>
      <c r="BI9" s="7">
        <v>11.9</v>
      </c>
      <c r="BJ9" s="4">
        <v>3.7</v>
      </c>
      <c r="BK9" s="7">
        <v>8</v>
      </c>
      <c r="BL9" s="7">
        <v>11.7</v>
      </c>
      <c r="BM9" s="4">
        <v>3.4</v>
      </c>
      <c r="BN9" s="7">
        <v>8.6</v>
      </c>
      <c r="BO9" s="7">
        <v>12</v>
      </c>
      <c r="BP9" s="4">
        <f t="shared" si="6"/>
        <v>21.2</v>
      </c>
      <c r="BQ9" s="7">
        <f t="shared" si="7"/>
        <v>49.4</v>
      </c>
      <c r="BR9" s="7">
        <f t="shared" si="8"/>
        <v>70.599999999999994</v>
      </c>
      <c r="BS9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9" s="4">
        <v>3.6</v>
      </c>
      <c r="BU9" s="7">
        <v>7.4</v>
      </c>
      <c r="BV9" s="7">
        <v>11</v>
      </c>
      <c r="BW9" s="4">
        <v>3.6</v>
      </c>
      <c r="BX9" s="7">
        <v>8.3000000000000007</v>
      </c>
      <c r="BY9" s="7">
        <v>11.9</v>
      </c>
      <c r="BZ9" s="4">
        <v>3.4</v>
      </c>
      <c r="CA9" s="7">
        <v>7.7</v>
      </c>
      <c r="CB9" s="7">
        <v>11.1</v>
      </c>
      <c r="CC9" s="4">
        <v>2.4</v>
      </c>
      <c r="CD9" s="7">
        <v>7.2</v>
      </c>
      <c r="CE9" s="7">
        <v>9.6</v>
      </c>
      <c r="CF9" s="4">
        <v>3.4</v>
      </c>
      <c r="CG9" s="7">
        <v>7.3</v>
      </c>
      <c r="CH9" s="7">
        <v>10.7</v>
      </c>
      <c r="CI9" s="4">
        <v>2.7</v>
      </c>
      <c r="CJ9" s="7">
        <v>7.5</v>
      </c>
      <c r="CK9" s="7">
        <v>10.199999999999999</v>
      </c>
      <c r="CL9" s="4">
        <f t="shared" si="9"/>
        <v>19.099999999999998</v>
      </c>
      <c r="CM9" s="7">
        <f t="shared" si="10"/>
        <v>45.4</v>
      </c>
      <c r="CN9" s="7">
        <f t="shared" si="11"/>
        <v>64.5</v>
      </c>
      <c r="CO9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62.2</v>
      </c>
      <c r="CQ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144.75</v>
      </c>
      <c r="CR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206.95</v>
      </c>
      <c r="CS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20.733333333333334</v>
      </c>
      <c r="CT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48.25</v>
      </c>
      <c r="CU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68.983333333333334</v>
      </c>
      <c r="CW9" s="40"/>
      <c r="CX9" s="20" t="s">
        <v>267</v>
      </c>
      <c r="CY9" s="22" cm="1">
        <f t="array" ref="CY9">SUM(_xlfn._xlws.FILTER(AA[bydgoszcz_Escore],(AA[Category]="junior")*(AA[Bydgoszcz_all_around]&gt;="yes")),_xlfn._xlws.FILTER(AA[zabrze_Escore],(AA[Category]="junior")*(AA[Zabrze_all_around]&gt;="yes")),_xlfn._xlws.FILTER(AA[cracow_Escore],(AA[Category]="junior")*(AA[Cracow_all_around]&gt;="yes")),_xlfn._xlws.FILTER(AA[gdansk_Escore],(AA[Category]="junior")*(AA[Gdansk_all_Around]&gt;="yes")))/(COUNTIFS(AA[bydgoszcz_Escore],"&gt;0",AA[Category],"junior",AA[Bydgoszcz_all_around],"Yes")+COUNTIFS(AA[zabrze_Escore],"&gt;0",AA[Category],"junior",AA[Zabrze_all_around],"Yes")+COUNTIFS(AA[cracow_Escore],"&gt;0",AA[Category],"junior",AA[Cracow_all_around],"Yes")+COUNTIFS(AA[gdansk_Escore],"&gt;0",AA[Category],"junior",AA[Gdansk_all_Around],"Yes"))</f>
        <v>46.188095238095251</v>
      </c>
      <c r="CZ9" s="22" cm="1">
        <f t="array" ref="CZ9">_xlfn.STDEV.S(_xlfn._xlws.FILTER(AA[bydgoszcz_Escore],(AA[Category]="junior")*(AA[Bydgoszcz_all_around]&gt;="yes")*(AA[bydgoszcz_Escore]&gt;0)),_xlfn._xlws.FILTER(AA[zabrze_Escore],(AA[Category]="junior")*(AA[zabrze_Escore]&gt;0)*(AA[Zabrze_all_around]&gt;="yes")),_xlfn._xlws.FILTER(AA[cracow_Escore],(AA[Category]="junior")*(AA[cracow_Escore]&gt;0)*(AA[Cracow_all_around]&gt;="yes")),_xlfn._xlws.FILTER(AA[gdansk_Escore],(AA[Category]="junior")*(AA[gdansk_Escore]&gt;0)*(AA[Gdansk_all_Around]&gt;="yes")))</f>
        <v>5.4465564140285094</v>
      </c>
      <c r="DA9" s="22" cm="1">
        <f t="array" ref="DA9">MAX(_xlfn._xlws.FILTER(AA[bydgoszcz_Escore],AA[Category]="junior"),_xlfn._xlws.FILTER(AA[zabrze_Escore],AA[Category]="junior"),_xlfn._xlws.FILTER(AA[cracow_Escore],AA[Category]="junior"),_xlfn._xlws.FILTER(AA[gdansk_Escore],AA[Category]="junior"))</f>
        <v>53.7</v>
      </c>
      <c r="DC9" s="43" t="s">
        <v>59</v>
      </c>
      <c r="DD9" s="43" t="s">
        <v>60</v>
      </c>
      <c r="DE9" s="43" t="s">
        <v>62</v>
      </c>
      <c r="DF9">
        <v>3</v>
      </c>
      <c r="DG9" t="s">
        <v>330</v>
      </c>
      <c r="DH9" s="43" t="s">
        <v>309</v>
      </c>
      <c r="DI9">
        <v>46.949999999999996</v>
      </c>
    </row>
    <row r="10" spans="1:113" x14ac:dyDescent="0.25">
      <c r="A10" t="s">
        <v>32</v>
      </c>
      <c r="B10" s="2" t="s">
        <v>26</v>
      </c>
      <c r="C10" s="2" t="s">
        <v>33</v>
      </c>
      <c r="D10" t="s">
        <v>31</v>
      </c>
      <c r="E10" s="2">
        <f>SUM(COUNTIF(AA[[#This Row],[Bydgoszcz_all_around]],"Yes"),COUNTIF(AA[[#This Row],[Zabrze_all_around]],"Yes"),COUNTIF(AA[[#This Row],[Cracow_all_around]],"Yes"),COUNTIF(AA[[#This Row],[Gdansk_all_Around]],"Yes"))</f>
        <v>4</v>
      </c>
      <c r="F10" s="4">
        <v>4.2</v>
      </c>
      <c r="G10" s="7">
        <v>8.6</v>
      </c>
      <c r="H10" s="7">
        <v>12.8</v>
      </c>
      <c r="I10" s="4">
        <v>3.6</v>
      </c>
      <c r="J10" s="7">
        <v>7</v>
      </c>
      <c r="K10" s="7">
        <v>10.6</v>
      </c>
      <c r="L10" s="4">
        <v>3.3</v>
      </c>
      <c r="M10" s="7">
        <v>7.1</v>
      </c>
      <c r="N10" s="7">
        <v>10.4</v>
      </c>
      <c r="O10" s="4">
        <v>3.2</v>
      </c>
      <c r="P10" s="7">
        <v>9</v>
      </c>
      <c r="Q10" s="7">
        <v>12.2</v>
      </c>
      <c r="R10" s="4">
        <v>3.5</v>
      </c>
      <c r="S10" s="7">
        <v>7.95</v>
      </c>
      <c r="T10" s="7">
        <v>11.45</v>
      </c>
      <c r="U10" s="4">
        <v>3.1</v>
      </c>
      <c r="V10" s="7">
        <v>7.7</v>
      </c>
      <c r="W10" s="7">
        <v>10.8</v>
      </c>
      <c r="X10" s="4">
        <f t="shared" si="0"/>
        <v>20.900000000000002</v>
      </c>
      <c r="Y10" s="7">
        <f t="shared" si="1"/>
        <v>47.35</v>
      </c>
      <c r="Z10" s="7">
        <f t="shared" si="2"/>
        <v>68.25</v>
      </c>
      <c r="AA10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10" s="4">
        <v>4.2</v>
      </c>
      <c r="AC10" s="7">
        <v>8.5500000000000007</v>
      </c>
      <c r="AD10" s="7">
        <v>12.75</v>
      </c>
      <c r="AE10" s="4">
        <v>3.6</v>
      </c>
      <c r="AF10" s="7">
        <v>6.2</v>
      </c>
      <c r="AG10" s="7">
        <v>9.8000000000000007</v>
      </c>
      <c r="AH10" s="4">
        <v>3.2</v>
      </c>
      <c r="AI10" s="7">
        <v>9</v>
      </c>
      <c r="AJ10" s="7">
        <v>12.2</v>
      </c>
      <c r="AK10" s="4">
        <v>3.2</v>
      </c>
      <c r="AL10" s="7">
        <v>9.4499999999999993</v>
      </c>
      <c r="AM10" s="7">
        <v>12.65</v>
      </c>
      <c r="AN10" s="4">
        <v>3.4</v>
      </c>
      <c r="AO10" s="7">
        <v>7.95</v>
      </c>
      <c r="AP10" s="7">
        <v>11.35</v>
      </c>
      <c r="AQ10" s="4">
        <v>3.2</v>
      </c>
      <c r="AR10" s="7">
        <v>7.8</v>
      </c>
      <c r="AS10" s="7">
        <v>11</v>
      </c>
      <c r="AT10" s="4">
        <f t="shared" si="3"/>
        <v>20.799999999999997</v>
      </c>
      <c r="AU10" s="7">
        <f t="shared" si="4"/>
        <v>48.95</v>
      </c>
      <c r="AV10" s="7">
        <f t="shared" si="5"/>
        <v>69.75</v>
      </c>
      <c r="AW10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0" s="4">
        <v>4.2</v>
      </c>
      <c r="AY10" s="7">
        <v>8.3000000000000007</v>
      </c>
      <c r="AZ10" s="7">
        <v>12.5</v>
      </c>
      <c r="BA10" s="4">
        <v>3.4</v>
      </c>
      <c r="BB10" s="7">
        <v>7.95</v>
      </c>
      <c r="BC10" s="7">
        <v>11.35</v>
      </c>
      <c r="BD10" s="4">
        <v>3.3</v>
      </c>
      <c r="BE10" s="7">
        <v>6.95</v>
      </c>
      <c r="BF10" s="7">
        <v>10.25</v>
      </c>
      <c r="BG10" s="4">
        <v>3.2</v>
      </c>
      <c r="BH10" s="7">
        <v>9.1999999999999993</v>
      </c>
      <c r="BI10" s="7">
        <v>12.4</v>
      </c>
      <c r="BJ10" s="4">
        <v>3.2</v>
      </c>
      <c r="BK10" s="7">
        <v>8.8000000000000007</v>
      </c>
      <c r="BL10" s="7">
        <v>12</v>
      </c>
      <c r="BM10" s="4">
        <v>3.1</v>
      </c>
      <c r="BN10" s="7">
        <v>4.7</v>
      </c>
      <c r="BO10" s="7">
        <v>7.8</v>
      </c>
      <c r="BP10" s="4">
        <f t="shared" si="6"/>
        <v>20.399999999999999</v>
      </c>
      <c r="BQ10" s="7">
        <f t="shared" si="7"/>
        <v>45.900000000000006</v>
      </c>
      <c r="BR10" s="7">
        <f t="shared" si="8"/>
        <v>66.3</v>
      </c>
      <c r="BS10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10" s="4">
        <v>4.0999999999999996</v>
      </c>
      <c r="BU10" s="7">
        <v>7.8</v>
      </c>
      <c r="BV10" s="7">
        <v>11.9</v>
      </c>
      <c r="BW10" s="4">
        <v>3.6</v>
      </c>
      <c r="BX10" s="7">
        <v>8.3000000000000007</v>
      </c>
      <c r="BY10" s="7">
        <v>11.9</v>
      </c>
      <c r="BZ10" s="4">
        <v>3.3</v>
      </c>
      <c r="CA10" s="7">
        <v>7.9</v>
      </c>
      <c r="CB10" s="7">
        <v>11.2</v>
      </c>
      <c r="CC10" s="4">
        <v>2.8</v>
      </c>
      <c r="CD10" s="7">
        <v>8.8000000000000007</v>
      </c>
      <c r="CE10" s="7">
        <v>11.6</v>
      </c>
      <c r="CF10" s="4">
        <v>3.4</v>
      </c>
      <c r="CG10" s="7">
        <v>7.3</v>
      </c>
      <c r="CH10" s="7">
        <v>10.7</v>
      </c>
      <c r="CI10" s="4">
        <v>2.9</v>
      </c>
      <c r="CJ10" s="7">
        <v>6.2</v>
      </c>
      <c r="CK10" s="7">
        <v>9.1</v>
      </c>
      <c r="CL10" s="4">
        <f t="shared" si="9"/>
        <v>20.099999999999998</v>
      </c>
      <c r="CM10" s="7">
        <f t="shared" si="10"/>
        <v>46.3</v>
      </c>
      <c r="CN10" s="7">
        <f t="shared" si="11"/>
        <v>66.399999999999991</v>
      </c>
      <c r="CO10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62.1</v>
      </c>
      <c r="CQ1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142.60000000000002</v>
      </c>
      <c r="CR1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204.39999999999998</v>
      </c>
      <c r="CS1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20.7</v>
      </c>
      <c r="CT1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47.533333333333339</v>
      </c>
      <c r="CU1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68.133333333333326</v>
      </c>
      <c r="CW10" s="40"/>
      <c r="CX10" s="20" t="s">
        <v>268</v>
      </c>
      <c r="CY10" s="22" cm="1">
        <f t="array" ref="CY10">SUM(_xlfn._xlws.FILTER(AA[bydgoszcz_Total_Score],(AA[Category]="junior")*(AA[Bydgoszcz_all_around]&gt;="yes")),_xlfn._xlws.FILTER(AA[zabrze_Total_Score],(AA[Category]="junior")*(AA[Zabrze_all_around]&gt;="yes")),_xlfn._xlws.FILTER(AA[cracow_Total_Score],(AA[Category]="junior")*(AA[Cracow_all_around]&gt;="yes")),_xlfn._xlws.FILTER(AA[gdansk_Total_Score],(AA[Category]="junior")*(AA[Gdansk_all_Around]&gt;="yes")))/(COUNTIFS(AA[bydgoszcz_Total_Score],"&gt;0",AA[Category],"junior",AA[Bydgoszcz_all_around],"Yes")+COUNTIFS(AA[zabrze_Total_Score],"&gt;0",AA[Category],"junior",AA[Zabrze_all_around],"Yes")+COUNTIFS(AA[cracow_Total_Score],"&gt;0",AA[Category],"junior",AA[Cracow_all_around],"Yes")+COUNTIFS(AA[gdansk_Total_Score],"&gt;0",AA[Category],"junior",AA[Gdansk_all_Around],"Yes"))</f>
        <v>63.850000000000009</v>
      </c>
      <c r="CZ10" s="22" cm="1">
        <f t="array" ref="CZ10">_xlfn.STDEV.S(_xlfn._xlws.FILTER(AA[bydgoszcz_Total_Score],(AA[Category]="junior")*(AA[Bydgoszcz_all_around]&gt;="yes")*(AA[bydgoszcz_Total_Score]&gt;0)),_xlfn._xlws.FILTER(AA[zabrze_Total_Score],(AA[Category]="junior")*(AA[zabrze_Total_Score]&gt;0)*(AA[Zabrze_all_around]&gt;="yes")),_xlfn._xlws.FILTER(AA[cracow_Total_Score],(AA[Category]="junior")*(AA[cracow_Total_Score]&gt;0)*(AA[Cracow_all_around]&gt;="yes")),_xlfn._xlws.FILTER(AA[gdansk_Total_Score],(AA[Category]="junior")*(AA[gdansk_Total_Score]&gt;0)*(AA[Gdansk_all_Around]&gt;="yes")))</f>
        <v>7.8148311156322245</v>
      </c>
      <c r="DA10" s="22" cm="1">
        <f t="array" ref="DA10">MAX(_xlfn._xlws.FILTER(AA[bydgoszcz_Total_Score],AA[Category]="junior"),_xlfn._xlws.FILTER(AA[zabrze_Total_Score],AA[Category]="junior"),_xlfn._xlws.FILTER(AA[cracow_Total_Score],AA[Category]="junior"),_xlfn._xlws.FILTER(AA[gdansk_Total_Score],AA[Category]="junior"))</f>
        <v>73.2</v>
      </c>
      <c r="DC10" s="43" t="s">
        <v>59</v>
      </c>
      <c r="DD10" s="43" t="s">
        <v>60</v>
      </c>
      <c r="DE10" s="43" t="s">
        <v>62</v>
      </c>
      <c r="DF10">
        <v>3</v>
      </c>
      <c r="DG10" t="s">
        <v>330</v>
      </c>
      <c r="DH10" s="43" t="s">
        <v>268</v>
      </c>
      <c r="DI10">
        <v>75.849999999999994</v>
      </c>
    </row>
    <row r="11" spans="1:113" x14ac:dyDescent="0.25">
      <c r="A11" t="s">
        <v>29</v>
      </c>
      <c r="B11" s="2" t="s">
        <v>26</v>
      </c>
      <c r="C11" s="2" t="s">
        <v>30</v>
      </c>
      <c r="D11" t="s">
        <v>31</v>
      </c>
      <c r="E11" s="2">
        <f>SUM(COUNTIF(AA[[#This Row],[Bydgoszcz_all_around]],"Yes"),COUNTIF(AA[[#This Row],[Zabrze_all_around]],"Yes"),COUNTIF(AA[[#This Row],[Cracow_all_around]],"Yes"),COUNTIF(AA[[#This Row],[Gdansk_all_Around]],"Yes"))</f>
        <v>3</v>
      </c>
      <c r="F11" s="4">
        <v>4</v>
      </c>
      <c r="G11" s="7">
        <v>8.9499999999999993</v>
      </c>
      <c r="H11" s="7">
        <v>12.95</v>
      </c>
      <c r="I11" s="4">
        <v>3.3</v>
      </c>
      <c r="J11" s="7">
        <v>6.65</v>
      </c>
      <c r="K11" s="7">
        <v>9.9499999999999993</v>
      </c>
      <c r="L11" s="4">
        <v>2.6</v>
      </c>
      <c r="M11" s="7">
        <v>6.9</v>
      </c>
      <c r="N11" s="7">
        <v>9.5</v>
      </c>
      <c r="O11" s="4">
        <v>2.8</v>
      </c>
      <c r="P11" s="7">
        <v>8.6</v>
      </c>
      <c r="Q11" s="7">
        <v>11.4</v>
      </c>
      <c r="R11" s="4">
        <v>3.2</v>
      </c>
      <c r="S11" s="7">
        <v>8.4499999999999993</v>
      </c>
      <c r="T11" s="7">
        <v>11.65</v>
      </c>
      <c r="U11" s="4">
        <v>2.4</v>
      </c>
      <c r="V11" s="7">
        <v>7.9</v>
      </c>
      <c r="W11" s="7">
        <v>10.3</v>
      </c>
      <c r="X11" s="4">
        <f t="shared" si="0"/>
        <v>18.299999999999997</v>
      </c>
      <c r="Y11" s="7">
        <f t="shared" si="1"/>
        <v>47.449999999999996</v>
      </c>
      <c r="Z11" s="7">
        <f t="shared" si="2"/>
        <v>65.75</v>
      </c>
      <c r="AA11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11" s="4">
        <v>4.3</v>
      </c>
      <c r="AC11" s="7">
        <v>8.15</v>
      </c>
      <c r="AD11" s="7">
        <v>12.45</v>
      </c>
      <c r="AE11" s="4">
        <v>3.6</v>
      </c>
      <c r="AF11" s="7">
        <v>8.35</v>
      </c>
      <c r="AG11" s="7">
        <v>11.95</v>
      </c>
      <c r="AH11" s="4">
        <v>2.9</v>
      </c>
      <c r="AI11" s="7">
        <v>8.1</v>
      </c>
      <c r="AJ11" s="7">
        <v>11</v>
      </c>
      <c r="AK11" s="4">
        <v>4</v>
      </c>
      <c r="AL11" s="7">
        <v>8.9499999999999993</v>
      </c>
      <c r="AM11" s="7">
        <v>12.95</v>
      </c>
      <c r="AN11" s="4">
        <v>3.4</v>
      </c>
      <c r="AO11" s="7">
        <v>8.35</v>
      </c>
      <c r="AP11" s="7">
        <v>11.75</v>
      </c>
      <c r="AQ11" s="4">
        <v>3</v>
      </c>
      <c r="AR11" s="7">
        <v>7.9</v>
      </c>
      <c r="AS11" s="7">
        <v>10.9</v>
      </c>
      <c r="AT11" s="4">
        <f t="shared" si="3"/>
        <v>21.2</v>
      </c>
      <c r="AU11" s="7">
        <f t="shared" si="4"/>
        <v>49.8</v>
      </c>
      <c r="AV11" s="7">
        <f t="shared" si="5"/>
        <v>71</v>
      </c>
      <c r="AW11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1" s="4">
        <v>0</v>
      </c>
      <c r="AY11" s="7">
        <v>0</v>
      </c>
      <c r="AZ11" s="7">
        <v>0</v>
      </c>
      <c r="BA11" s="4">
        <v>0</v>
      </c>
      <c r="BB11" s="7">
        <v>0</v>
      </c>
      <c r="BC11" s="7">
        <v>0</v>
      </c>
      <c r="BD11" s="4">
        <v>0</v>
      </c>
      <c r="BE11" s="7">
        <v>0</v>
      </c>
      <c r="BF11" s="7">
        <v>0</v>
      </c>
      <c r="BG11" s="4">
        <v>0</v>
      </c>
      <c r="BH11" s="7">
        <v>0</v>
      </c>
      <c r="BI11" s="7">
        <v>0</v>
      </c>
      <c r="BJ11" s="4">
        <v>0</v>
      </c>
      <c r="BK11" s="7">
        <v>0</v>
      </c>
      <c r="BL11" s="7">
        <v>0</v>
      </c>
      <c r="BM11" s="4">
        <v>0</v>
      </c>
      <c r="BN11" s="7">
        <v>0</v>
      </c>
      <c r="BO11" s="7">
        <v>0</v>
      </c>
      <c r="BP11" s="4">
        <f t="shared" si="6"/>
        <v>0</v>
      </c>
      <c r="BQ11" s="7">
        <f t="shared" si="7"/>
        <v>0</v>
      </c>
      <c r="BR11" s="7">
        <f t="shared" si="8"/>
        <v>0</v>
      </c>
      <c r="BS11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11" s="4">
        <v>4.4000000000000004</v>
      </c>
      <c r="BU11" s="7">
        <v>7.5</v>
      </c>
      <c r="BV11" s="7">
        <v>11.9</v>
      </c>
      <c r="BW11" s="4">
        <v>3.6</v>
      </c>
      <c r="BX11" s="7">
        <v>6.3</v>
      </c>
      <c r="BY11" s="7">
        <v>9.9</v>
      </c>
      <c r="BZ11" s="4">
        <v>2.2999999999999998</v>
      </c>
      <c r="CA11" s="7">
        <v>8.6</v>
      </c>
      <c r="CB11" s="7">
        <v>10.9</v>
      </c>
      <c r="CC11" s="4">
        <v>4</v>
      </c>
      <c r="CD11" s="7">
        <v>8.6</v>
      </c>
      <c r="CE11" s="7">
        <v>12.6</v>
      </c>
      <c r="CF11" s="4">
        <v>3.4</v>
      </c>
      <c r="CG11" s="7">
        <v>8.1999999999999993</v>
      </c>
      <c r="CH11" s="7">
        <v>11.6</v>
      </c>
      <c r="CI11" s="4">
        <v>2.7</v>
      </c>
      <c r="CJ11" s="7">
        <v>6.7</v>
      </c>
      <c r="CK11" s="7">
        <v>9.4</v>
      </c>
      <c r="CL11" s="4">
        <f t="shared" si="9"/>
        <v>20.399999999999999</v>
      </c>
      <c r="CM11" s="7">
        <f t="shared" si="10"/>
        <v>45.900000000000006</v>
      </c>
      <c r="CN11" s="7">
        <f t="shared" si="11"/>
        <v>66.300000000000011</v>
      </c>
      <c r="CO11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59.899999999999991</v>
      </c>
      <c r="CQ1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143.15</v>
      </c>
      <c r="CR1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203.05</v>
      </c>
      <c r="CS1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19.966666666666665</v>
      </c>
      <c r="CT1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47.716666666666669</v>
      </c>
      <c r="CU1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67.683333333333337</v>
      </c>
      <c r="CW11" s="40"/>
      <c r="CX11" s="20" t="s">
        <v>275</v>
      </c>
      <c r="CY11" s="21" cm="1">
        <f t="array" ref="CY11">SUM(_xlfn._xlws.FILTER(AA[Year_AA_Dscore],(AA[Category]="junior")*(AA[All around competition]&gt;=3))/COUNTIFS(AA[All around competition],"&gt;=3",AA[Category],"junior"))</f>
        <v>53.95</v>
      </c>
      <c r="CZ11" s="21" cm="1">
        <f t="array" ref="CZ11">_xlfn.STDEV.S(_xlfn._xlws.FILTER(AA[Year_AA_Dscore],(AA[Category]="junior")*(AA[All around competition]&gt;=3)))</f>
        <v>7.6456596256379772</v>
      </c>
      <c r="DA11" s="22" cm="1">
        <f t="array" ref="DA11">MAX(_xlfn._xlws.FILTER(AA[Year_AA_Dscore],AA[Category]="junior"))</f>
        <v>62.2</v>
      </c>
      <c r="DC11" s="43" t="s">
        <v>59</v>
      </c>
      <c r="DD11" s="43" t="s">
        <v>60</v>
      </c>
      <c r="DE11" s="43" t="s">
        <v>62</v>
      </c>
      <c r="DF11">
        <v>3</v>
      </c>
      <c r="DG11" t="s">
        <v>331</v>
      </c>
      <c r="DH11" s="43" t="s">
        <v>308</v>
      </c>
      <c r="DI11">
        <v>27.700000000000003</v>
      </c>
    </row>
    <row r="12" spans="1:113" x14ac:dyDescent="0.25">
      <c r="A12" t="s">
        <v>25</v>
      </c>
      <c r="B12" s="2" t="s">
        <v>26</v>
      </c>
      <c r="C12" s="2" t="s">
        <v>27</v>
      </c>
      <c r="D12" t="s">
        <v>28</v>
      </c>
      <c r="E12" s="2">
        <f>SUM(COUNTIF(AA[[#This Row],[Bydgoszcz_all_around]],"Yes"),COUNTIF(AA[[#This Row],[Zabrze_all_around]],"Yes"),COUNTIF(AA[[#This Row],[Cracow_all_around]],"Yes"),COUNTIF(AA[[#This Row],[Gdansk_all_Around]],"Yes"))</f>
        <v>4</v>
      </c>
      <c r="F12" s="4">
        <v>4</v>
      </c>
      <c r="G12" s="7">
        <v>8.9499999999999993</v>
      </c>
      <c r="H12" s="7">
        <v>12.95</v>
      </c>
      <c r="I12" s="4">
        <v>3.8</v>
      </c>
      <c r="J12" s="7">
        <v>8.9499999999999993</v>
      </c>
      <c r="K12" s="7">
        <v>12.75</v>
      </c>
      <c r="L12" s="4">
        <v>2.8</v>
      </c>
      <c r="M12" s="7">
        <v>8.85</v>
      </c>
      <c r="N12" s="7">
        <v>11.65</v>
      </c>
      <c r="O12" s="4">
        <v>2.2000000000000002</v>
      </c>
      <c r="P12" s="7">
        <v>9.4</v>
      </c>
      <c r="Q12" s="7">
        <v>11.6</v>
      </c>
      <c r="R12" s="4">
        <v>4.0999999999999996</v>
      </c>
      <c r="S12" s="7">
        <v>8.5500000000000007</v>
      </c>
      <c r="T12" s="7">
        <v>12.65</v>
      </c>
      <c r="U12" s="4">
        <v>2.6</v>
      </c>
      <c r="V12" s="7">
        <v>9</v>
      </c>
      <c r="W12" s="7">
        <v>11.6</v>
      </c>
      <c r="X12" s="4">
        <f t="shared" si="0"/>
        <v>19.5</v>
      </c>
      <c r="Y12" s="7">
        <f t="shared" si="1"/>
        <v>53.7</v>
      </c>
      <c r="Z12" s="7">
        <f t="shared" si="2"/>
        <v>73.2</v>
      </c>
      <c r="AA12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12" s="4">
        <v>4</v>
      </c>
      <c r="AC12" s="7">
        <v>8.6999999999999993</v>
      </c>
      <c r="AD12" s="7">
        <v>12.7</v>
      </c>
      <c r="AE12" s="4">
        <v>3.8</v>
      </c>
      <c r="AF12" s="7">
        <v>8.9</v>
      </c>
      <c r="AG12" s="7">
        <v>12.7</v>
      </c>
      <c r="AH12" s="4">
        <v>2.6</v>
      </c>
      <c r="AI12" s="7">
        <v>8.1999999999999993</v>
      </c>
      <c r="AJ12" s="7">
        <v>10.8</v>
      </c>
      <c r="AK12" s="4">
        <v>2.2000000000000002</v>
      </c>
      <c r="AL12" s="7">
        <v>9.0500000000000007</v>
      </c>
      <c r="AM12" s="7">
        <v>11.25</v>
      </c>
      <c r="AN12" s="4">
        <v>4.2</v>
      </c>
      <c r="AO12" s="7">
        <v>9.1</v>
      </c>
      <c r="AP12" s="7">
        <v>13.3</v>
      </c>
      <c r="AQ12" s="4">
        <v>2.7</v>
      </c>
      <c r="AR12" s="7">
        <v>9.1</v>
      </c>
      <c r="AS12" s="7">
        <v>11.8</v>
      </c>
      <c r="AT12" s="4">
        <f t="shared" si="3"/>
        <v>19.5</v>
      </c>
      <c r="AU12" s="7">
        <f t="shared" si="4"/>
        <v>53.050000000000004</v>
      </c>
      <c r="AV12" s="7">
        <f t="shared" si="5"/>
        <v>72.55</v>
      </c>
      <c r="AW12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2" s="4">
        <v>4</v>
      </c>
      <c r="AY12" s="7">
        <v>8.4499999999999993</v>
      </c>
      <c r="AZ12" s="7">
        <v>12.45</v>
      </c>
      <c r="BA12" s="4">
        <v>3.8</v>
      </c>
      <c r="BB12" s="7">
        <v>8.5500000000000007</v>
      </c>
      <c r="BC12" s="7">
        <v>12.35</v>
      </c>
      <c r="BD12" s="4">
        <v>2.8</v>
      </c>
      <c r="BE12" s="7">
        <v>8.4</v>
      </c>
      <c r="BF12" s="7">
        <v>11.2</v>
      </c>
      <c r="BG12" s="4">
        <v>2.2000000000000002</v>
      </c>
      <c r="BH12" s="7">
        <v>9.0500000000000007</v>
      </c>
      <c r="BI12" s="7">
        <v>11.25</v>
      </c>
      <c r="BJ12" s="4">
        <v>4.2</v>
      </c>
      <c r="BK12" s="7">
        <v>8.6</v>
      </c>
      <c r="BL12" s="7">
        <v>12.8</v>
      </c>
      <c r="BM12" s="4">
        <v>2.7</v>
      </c>
      <c r="BN12" s="7">
        <v>9.4499999999999993</v>
      </c>
      <c r="BO12" s="7">
        <v>12.15</v>
      </c>
      <c r="BP12" s="4">
        <f t="shared" si="6"/>
        <v>19.7</v>
      </c>
      <c r="BQ12" s="7">
        <f t="shared" si="7"/>
        <v>52.5</v>
      </c>
      <c r="BR12" s="7">
        <f t="shared" si="8"/>
        <v>72.2</v>
      </c>
      <c r="BS12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12" s="4">
        <v>4</v>
      </c>
      <c r="BU12" s="7">
        <v>7.9</v>
      </c>
      <c r="BV12" s="7">
        <v>11.9</v>
      </c>
      <c r="BW12" s="4">
        <v>3.7</v>
      </c>
      <c r="BX12" s="7">
        <v>8.8000000000000007</v>
      </c>
      <c r="BY12" s="7">
        <v>12.5</v>
      </c>
      <c r="BZ12" s="4">
        <v>2.8</v>
      </c>
      <c r="CA12" s="7">
        <v>8.4</v>
      </c>
      <c r="CB12" s="7">
        <v>11.2</v>
      </c>
      <c r="CC12" s="4">
        <v>2.2000000000000002</v>
      </c>
      <c r="CD12" s="7">
        <v>8.3000000000000007</v>
      </c>
      <c r="CE12" s="7">
        <v>10.5</v>
      </c>
      <c r="CF12" s="4">
        <v>4.2</v>
      </c>
      <c r="CG12" s="7">
        <v>7.7</v>
      </c>
      <c r="CH12" s="7">
        <v>11.9</v>
      </c>
      <c r="CI12" s="4">
        <v>2.7</v>
      </c>
      <c r="CJ12" s="7">
        <v>9.3000000000000007</v>
      </c>
      <c r="CK12" s="7">
        <v>12</v>
      </c>
      <c r="CL12" s="4">
        <f t="shared" si="9"/>
        <v>19.599999999999998</v>
      </c>
      <c r="CM12" s="7">
        <f t="shared" si="10"/>
        <v>50.400000000000006</v>
      </c>
      <c r="CN12" s="7">
        <f t="shared" si="11"/>
        <v>70</v>
      </c>
      <c r="CO12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58.8</v>
      </c>
      <c r="CQ1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159.25</v>
      </c>
      <c r="CR1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217.95</v>
      </c>
      <c r="CS1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19.599999999999998</v>
      </c>
      <c r="CT1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53.083333333333336</v>
      </c>
      <c r="CU1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72.649999999999991</v>
      </c>
      <c r="CW12" s="40"/>
      <c r="CX12" s="20" t="s">
        <v>276</v>
      </c>
      <c r="CY12" s="22" cm="1">
        <f t="array" ref="CY12">SUM(_xlfn._xlws.FILTER(AA[Year_AA_Escore],(AA[Category]="junior")*(AA[All around competition]&gt;=3))/COUNTIFS(AA[All around competition],"&gt;=3",AA[Category],"junior"))</f>
        <v>143.19499999999999</v>
      </c>
      <c r="CZ12" s="22" cm="1">
        <f t="array" ref="CZ12">_xlfn.STDEV.S(_xlfn._xlws.FILTER(AA[Year_AA_Escore],(AA[Category]="junior")*(AA[All around competition]&gt;=3)))</f>
        <v>7.8714127632140372</v>
      </c>
      <c r="DA12" s="22" cm="1">
        <f t="array" ref="DA12">MAX(_xlfn._xlws.FILTER(AA[Year_AA_Escore],AA[Category]="junior"))</f>
        <v>159.25</v>
      </c>
      <c r="DC12" s="43" t="s">
        <v>59</v>
      </c>
      <c r="DD12" s="43" t="s">
        <v>60</v>
      </c>
      <c r="DE12" s="43" t="s">
        <v>62</v>
      </c>
      <c r="DF12">
        <v>3</v>
      </c>
      <c r="DG12" t="s">
        <v>331</v>
      </c>
      <c r="DH12" s="43" t="s">
        <v>309</v>
      </c>
      <c r="DI12">
        <v>44.800000000000004</v>
      </c>
    </row>
    <row r="13" spans="1:113" x14ac:dyDescent="0.25">
      <c r="A13" t="s">
        <v>37</v>
      </c>
      <c r="B13" s="2" t="s">
        <v>26</v>
      </c>
      <c r="C13" s="2" t="s">
        <v>38</v>
      </c>
      <c r="D13" t="s">
        <v>39</v>
      </c>
      <c r="E13" s="2">
        <f>SUM(COUNTIF(AA[[#This Row],[Bydgoszcz_all_around]],"Yes"),COUNTIF(AA[[#This Row],[Zabrze_all_around]],"Yes"),COUNTIF(AA[[#This Row],[Cracow_all_around]],"Yes"),COUNTIF(AA[[#This Row],[Gdansk_all_Around]],"Yes"))</f>
        <v>4</v>
      </c>
      <c r="F13" s="4">
        <v>3.3</v>
      </c>
      <c r="G13" s="7">
        <v>8.3000000000000007</v>
      </c>
      <c r="H13" s="7">
        <v>11.6</v>
      </c>
      <c r="I13" s="4">
        <v>4.4000000000000004</v>
      </c>
      <c r="J13" s="7">
        <v>7.85</v>
      </c>
      <c r="K13" s="7">
        <v>12.25</v>
      </c>
      <c r="L13" s="4">
        <v>2.2999999999999998</v>
      </c>
      <c r="M13" s="7">
        <v>7.3</v>
      </c>
      <c r="N13" s="7">
        <v>9.6</v>
      </c>
      <c r="O13" s="4">
        <v>2.4</v>
      </c>
      <c r="P13" s="7">
        <v>8.85</v>
      </c>
      <c r="Q13" s="7">
        <v>11.25</v>
      </c>
      <c r="R13" s="4">
        <v>3.1</v>
      </c>
      <c r="S13" s="7">
        <v>8.5</v>
      </c>
      <c r="T13" s="7">
        <v>11.6</v>
      </c>
      <c r="U13" s="4">
        <v>3</v>
      </c>
      <c r="V13" s="7">
        <v>7.8</v>
      </c>
      <c r="W13" s="7">
        <v>10.8</v>
      </c>
      <c r="X13" s="4">
        <f t="shared" si="0"/>
        <v>18.5</v>
      </c>
      <c r="Y13" s="7">
        <f t="shared" si="1"/>
        <v>48.599999999999994</v>
      </c>
      <c r="Z13" s="7">
        <f t="shared" si="2"/>
        <v>67.100000000000009</v>
      </c>
      <c r="AA13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13" s="4">
        <v>3.3</v>
      </c>
      <c r="AC13" s="7">
        <v>8.3000000000000007</v>
      </c>
      <c r="AD13" s="7">
        <v>11.6</v>
      </c>
      <c r="AE13" s="4">
        <v>4.3</v>
      </c>
      <c r="AF13" s="7">
        <v>7.9</v>
      </c>
      <c r="AG13" s="7">
        <v>12.2</v>
      </c>
      <c r="AH13" s="4">
        <v>3</v>
      </c>
      <c r="AI13" s="7">
        <v>8</v>
      </c>
      <c r="AJ13" s="7">
        <v>11</v>
      </c>
      <c r="AK13" s="4">
        <v>3.2</v>
      </c>
      <c r="AL13" s="7">
        <v>8.6</v>
      </c>
      <c r="AM13" s="7">
        <v>11.8</v>
      </c>
      <c r="AN13" s="4">
        <v>3.1</v>
      </c>
      <c r="AO13" s="7">
        <v>8</v>
      </c>
      <c r="AP13" s="7">
        <v>11.1</v>
      </c>
      <c r="AQ13" s="4">
        <v>3</v>
      </c>
      <c r="AR13" s="7">
        <v>7.2</v>
      </c>
      <c r="AS13" s="7">
        <v>10.199999999999999</v>
      </c>
      <c r="AT13" s="4">
        <f t="shared" si="3"/>
        <v>19.900000000000002</v>
      </c>
      <c r="AU13" s="7">
        <f t="shared" si="4"/>
        <v>48.000000000000007</v>
      </c>
      <c r="AV13" s="7">
        <f t="shared" si="5"/>
        <v>67.899999999999991</v>
      </c>
      <c r="AW13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3" s="4">
        <v>3.3</v>
      </c>
      <c r="AY13" s="7">
        <v>7.25</v>
      </c>
      <c r="AZ13" s="7">
        <v>10.55</v>
      </c>
      <c r="BA13" s="4">
        <v>3.6</v>
      </c>
      <c r="BB13" s="7">
        <v>7.45</v>
      </c>
      <c r="BC13" s="7">
        <v>11.05</v>
      </c>
      <c r="BD13" s="4">
        <v>2.2999999999999998</v>
      </c>
      <c r="BE13" s="7">
        <v>6.85</v>
      </c>
      <c r="BF13" s="7">
        <v>9.15</v>
      </c>
      <c r="BG13" s="4">
        <v>2.4</v>
      </c>
      <c r="BH13" s="7">
        <v>8.3000000000000007</v>
      </c>
      <c r="BI13" s="7">
        <v>10.7</v>
      </c>
      <c r="BJ13" s="4">
        <v>3.1</v>
      </c>
      <c r="BK13" s="7">
        <v>8.4</v>
      </c>
      <c r="BL13" s="7">
        <v>11.5</v>
      </c>
      <c r="BM13" s="4">
        <v>3.1</v>
      </c>
      <c r="BN13" s="7">
        <v>7.65</v>
      </c>
      <c r="BO13" s="7">
        <v>10.75</v>
      </c>
      <c r="BP13" s="4">
        <f t="shared" si="6"/>
        <v>17.8</v>
      </c>
      <c r="BQ13" s="7">
        <f t="shared" si="7"/>
        <v>45.9</v>
      </c>
      <c r="BR13" s="7">
        <f t="shared" si="8"/>
        <v>63.7</v>
      </c>
      <c r="BS13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13" s="4">
        <v>3.3</v>
      </c>
      <c r="BU13" s="7">
        <v>5.9</v>
      </c>
      <c r="BV13" s="7">
        <v>9.1999999999999993</v>
      </c>
      <c r="BW13" s="4">
        <v>3.9</v>
      </c>
      <c r="BX13" s="7">
        <v>8.1999999999999993</v>
      </c>
      <c r="BY13" s="7">
        <v>12.1</v>
      </c>
      <c r="BZ13" s="4">
        <v>2.2999999999999998</v>
      </c>
      <c r="CA13" s="7">
        <v>7.8</v>
      </c>
      <c r="CB13" s="7">
        <v>10.1</v>
      </c>
      <c r="CC13" s="4">
        <v>2.4</v>
      </c>
      <c r="CD13" s="7">
        <v>8.1999999999999993</v>
      </c>
      <c r="CE13" s="7">
        <v>10.6</v>
      </c>
      <c r="CF13" s="4">
        <v>3.2</v>
      </c>
      <c r="CG13" s="7">
        <v>8.6</v>
      </c>
      <c r="CH13" s="7">
        <v>11.8</v>
      </c>
      <c r="CI13" s="4">
        <v>2.8</v>
      </c>
      <c r="CJ13" s="7">
        <v>6.5</v>
      </c>
      <c r="CK13" s="7">
        <v>9.3000000000000007</v>
      </c>
      <c r="CL13" s="4">
        <f t="shared" si="9"/>
        <v>17.900000000000002</v>
      </c>
      <c r="CM13" s="7">
        <f t="shared" si="10"/>
        <v>45.199999999999996</v>
      </c>
      <c r="CN13" s="7">
        <f t="shared" si="11"/>
        <v>63.099999999999994</v>
      </c>
      <c r="CO13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56.300000000000011</v>
      </c>
      <c r="CQ1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142.5</v>
      </c>
      <c r="CR1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198.7</v>
      </c>
      <c r="CS1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18.766666666666669</v>
      </c>
      <c r="CT1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47.5</v>
      </c>
      <c r="CU1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66.233333333333334</v>
      </c>
      <c r="CW13" s="41"/>
      <c r="CX13" s="20" t="s">
        <v>277</v>
      </c>
      <c r="CY13" s="22" cm="1">
        <f t="array" ref="CY13">SUM(_xlfn._xlws.FILTER(AA[Year_AA_Total_Score],(AA[Category]="junior")*(AA[All around competition]&gt;=3))/COUNTIFS(AA[All around competition],"&gt;=3",AA[Category],"junior"))</f>
        <v>196.88499999999999</v>
      </c>
      <c r="CZ13" s="22" cm="1">
        <f t="array" ref="CZ13">_xlfn.STDEV.S(_xlfn._xlws.FILTER(AA[Year_AA_Total_Score],(AA[Category]="junior")*(AA[All around competition]&gt;=3)))</f>
        <v>13.926195340676024</v>
      </c>
      <c r="DA13" s="22" cm="1">
        <f t="array" ref="DA13">MAX(_xlfn._xlws.FILTER(AA[Year_AA_Total_Score],AA[Category]="junior"))</f>
        <v>217.95</v>
      </c>
      <c r="DC13" s="43" t="s">
        <v>59</v>
      </c>
      <c r="DD13" s="43" t="s">
        <v>60</v>
      </c>
      <c r="DE13" s="43" t="s">
        <v>62</v>
      </c>
      <c r="DF13">
        <v>3</v>
      </c>
      <c r="DG13" t="s">
        <v>331</v>
      </c>
      <c r="DH13" s="43" t="s">
        <v>268</v>
      </c>
      <c r="DI13">
        <v>72.5</v>
      </c>
    </row>
    <row r="14" spans="1:113" x14ac:dyDescent="0.25">
      <c r="A14" t="s">
        <v>40</v>
      </c>
      <c r="B14" s="2" t="s">
        <v>26</v>
      </c>
      <c r="C14" s="2" t="s">
        <v>41</v>
      </c>
      <c r="D14" t="s">
        <v>39</v>
      </c>
      <c r="E14" s="2">
        <f>SUM(COUNTIF(AA[[#This Row],[Bydgoszcz_all_around]],"Yes"),COUNTIF(AA[[#This Row],[Zabrze_all_around]],"Yes"),COUNTIF(AA[[#This Row],[Cracow_all_around]],"Yes"),COUNTIF(AA[[#This Row],[Gdansk_all_Around]],"Yes"))</f>
        <v>3</v>
      </c>
      <c r="F14" s="4">
        <v>0</v>
      </c>
      <c r="G14" s="7">
        <v>0</v>
      </c>
      <c r="H14" s="7">
        <v>0</v>
      </c>
      <c r="I14" s="4">
        <v>0</v>
      </c>
      <c r="J14" s="7">
        <v>0</v>
      </c>
      <c r="K14" s="7">
        <v>0</v>
      </c>
      <c r="L14" s="4">
        <v>0</v>
      </c>
      <c r="M14" s="7">
        <v>0</v>
      </c>
      <c r="N14" s="7">
        <v>0</v>
      </c>
      <c r="O14" s="4">
        <v>0</v>
      </c>
      <c r="P14" s="7">
        <v>0</v>
      </c>
      <c r="Q14" s="7">
        <v>0</v>
      </c>
      <c r="R14" s="4">
        <v>0</v>
      </c>
      <c r="S14" s="7">
        <v>0</v>
      </c>
      <c r="T14" s="7">
        <v>0</v>
      </c>
      <c r="U14" s="4">
        <v>0</v>
      </c>
      <c r="V14" s="7">
        <v>0</v>
      </c>
      <c r="W14" s="7">
        <v>0</v>
      </c>
      <c r="X14" s="4">
        <f t="shared" si="0"/>
        <v>0</v>
      </c>
      <c r="Y14" s="7">
        <f t="shared" si="1"/>
        <v>0</v>
      </c>
      <c r="Z14" s="7">
        <f t="shared" si="2"/>
        <v>0</v>
      </c>
      <c r="AA14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14" s="4">
        <v>3.4</v>
      </c>
      <c r="AC14" s="7">
        <v>8.1999999999999993</v>
      </c>
      <c r="AD14" s="7">
        <v>11.6</v>
      </c>
      <c r="AE14" s="4">
        <v>2.9</v>
      </c>
      <c r="AF14" s="7">
        <v>7.2</v>
      </c>
      <c r="AG14" s="7">
        <v>10.1</v>
      </c>
      <c r="AH14" s="4">
        <v>3.4</v>
      </c>
      <c r="AI14" s="7">
        <v>8.1999999999999993</v>
      </c>
      <c r="AJ14" s="7">
        <v>11.6</v>
      </c>
      <c r="AK14" s="4">
        <v>4</v>
      </c>
      <c r="AL14" s="7">
        <v>7.95</v>
      </c>
      <c r="AM14" s="7">
        <v>11.95</v>
      </c>
      <c r="AN14" s="4">
        <v>3</v>
      </c>
      <c r="AO14" s="7">
        <v>8.1999999999999993</v>
      </c>
      <c r="AP14" s="7">
        <v>11.2</v>
      </c>
      <c r="AQ14" s="4">
        <v>2.7</v>
      </c>
      <c r="AR14" s="7">
        <v>8</v>
      </c>
      <c r="AS14" s="7">
        <v>10.7</v>
      </c>
      <c r="AT14" s="4">
        <f t="shared" si="3"/>
        <v>19.399999999999999</v>
      </c>
      <c r="AU14" s="7">
        <f t="shared" si="4"/>
        <v>47.75</v>
      </c>
      <c r="AV14" s="7">
        <f t="shared" si="5"/>
        <v>67.150000000000006</v>
      </c>
      <c r="AW14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4" s="4">
        <v>3.4</v>
      </c>
      <c r="AY14" s="7">
        <v>7.95</v>
      </c>
      <c r="AZ14" s="7">
        <v>11.35</v>
      </c>
      <c r="BA14" s="4">
        <v>2.9</v>
      </c>
      <c r="BB14" s="7">
        <v>8.15</v>
      </c>
      <c r="BC14" s="7">
        <v>11.05</v>
      </c>
      <c r="BD14" s="4">
        <v>3.4</v>
      </c>
      <c r="BE14" s="7">
        <v>7.9</v>
      </c>
      <c r="BF14" s="7">
        <v>11.3</v>
      </c>
      <c r="BG14" s="4">
        <v>4</v>
      </c>
      <c r="BH14" s="7">
        <v>8.8000000000000007</v>
      </c>
      <c r="BI14" s="7">
        <v>12.8</v>
      </c>
      <c r="BJ14" s="4">
        <v>3</v>
      </c>
      <c r="BK14" s="7">
        <v>8.1</v>
      </c>
      <c r="BL14" s="7">
        <v>11.1</v>
      </c>
      <c r="BM14" s="4">
        <v>2.6</v>
      </c>
      <c r="BN14" s="7">
        <v>7.65</v>
      </c>
      <c r="BO14" s="7">
        <v>10.25</v>
      </c>
      <c r="BP14" s="4">
        <f t="shared" si="6"/>
        <v>19.3</v>
      </c>
      <c r="BQ14" s="7">
        <f t="shared" si="7"/>
        <v>48.55</v>
      </c>
      <c r="BR14" s="7">
        <f t="shared" si="8"/>
        <v>67.849999999999994</v>
      </c>
      <c r="BS14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14" s="4">
        <v>3.1</v>
      </c>
      <c r="BU14" s="7">
        <v>7.3</v>
      </c>
      <c r="BV14" s="7">
        <v>10.4</v>
      </c>
      <c r="BW14" s="4">
        <v>2.9</v>
      </c>
      <c r="BX14" s="7">
        <v>8.1</v>
      </c>
      <c r="BY14" s="7">
        <v>11</v>
      </c>
      <c r="BZ14" s="4">
        <v>3.4</v>
      </c>
      <c r="CA14" s="7">
        <v>6</v>
      </c>
      <c r="CB14" s="7">
        <v>9.4</v>
      </c>
      <c r="CC14" s="4">
        <v>2.8</v>
      </c>
      <c r="CD14" s="7">
        <v>8.6</v>
      </c>
      <c r="CE14" s="7">
        <v>11.4</v>
      </c>
      <c r="CF14" s="4">
        <v>3</v>
      </c>
      <c r="CG14" s="7">
        <v>9</v>
      </c>
      <c r="CH14" s="7">
        <v>12</v>
      </c>
      <c r="CI14" s="4">
        <v>2.4</v>
      </c>
      <c r="CJ14" s="7">
        <v>7.2</v>
      </c>
      <c r="CK14" s="7">
        <v>9.6</v>
      </c>
      <c r="CL14" s="4">
        <f t="shared" si="9"/>
        <v>17.599999999999998</v>
      </c>
      <c r="CM14" s="7">
        <f t="shared" si="10"/>
        <v>46.2</v>
      </c>
      <c r="CN14" s="7">
        <f t="shared" si="11"/>
        <v>63.8</v>
      </c>
      <c r="CO14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56.3</v>
      </c>
      <c r="CQ1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142.5</v>
      </c>
      <c r="CR1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198.8</v>
      </c>
      <c r="CS1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18.766666666666666</v>
      </c>
      <c r="CT1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47.5</v>
      </c>
      <c r="CU1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66.266666666666666</v>
      </c>
      <c r="DC14" s="43" t="s">
        <v>59</v>
      </c>
      <c r="DD14" s="43" t="s">
        <v>60</v>
      </c>
      <c r="DE14" s="43" t="s">
        <v>62</v>
      </c>
      <c r="DF14">
        <v>3</v>
      </c>
      <c r="DG14" t="s">
        <v>341</v>
      </c>
      <c r="DH14" s="43" t="s">
        <v>308</v>
      </c>
      <c r="DI14">
        <v>84.9</v>
      </c>
    </row>
    <row r="15" spans="1:113" x14ac:dyDescent="0.25">
      <c r="A15" t="s">
        <v>44</v>
      </c>
      <c r="B15" s="2" t="s">
        <v>26</v>
      </c>
      <c r="C15" s="2" t="s">
        <v>45</v>
      </c>
      <c r="D15" t="s">
        <v>39</v>
      </c>
      <c r="E15" s="2">
        <f>SUM(COUNTIF(AA[[#This Row],[Bydgoszcz_all_around]],"Yes"),COUNTIF(AA[[#This Row],[Zabrze_all_around]],"Yes"),COUNTIF(AA[[#This Row],[Cracow_all_around]],"Yes"),COUNTIF(AA[[#This Row],[Gdansk_all_Around]],"Yes"))</f>
        <v>4</v>
      </c>
      <c r="F15" s="4">
        <v>3.4</v>
      </c>
      <c r="G15" s="7">
        <v>8.4</v>
      </c>
      <c r="H15" s="7">
        <v>11.8</v>
      </c>
      <c r="I15" s="4">
        <v>3</v>
      </c>
      <c r="J15" s="7">
        <v>8.6</v>
      </c>
      <c r="K15" s="7">
        <v>11.6</v>
      </c>
      <c r="L15" s="4">
        <v>2.2999999999999998</v>
      </c>
      <c r="M15" s="7">
        <v>7.3</v>
      </c>
      <c r="N15" s="7">
        <v>9.6</v>
      </c>
      <c r="O15" s="4">
        <v>2.8</v>
      </c>
      <c r="P15" s="7">
        <v>8.5</v>
      </c>
      <c r="Q15" s="7">
        <v>11.3</v>
      </c>
      <c r="R15" s="4">
        <v>3.1</v>
      </c>
      <c r="S15" s="7">
        <v>8.6999999999999993</v>
      </c>
      <c r="T15" s="7">
        <v>11.8</v>
      </c>
      <c r="U15" s="4">
        <v>2.4</v>
      </c>
      <c r="V15" s="7">
        <v>7.8</v>
      </c>
      <c r="W15" s="7">
        <v>10.199999999999999</v>
      </c>
      <c r="X15" s="4">
        <f t="shared" si="0"/>
        <v>17</v>
      </c>
      <c r="Y15" s="7">
        <f t="shared" si="1"/>
        <v>49.3</v>
      </c>
      <c r="Z15" s="7">
        <f t="shared" si="2"/>
        <v>66.3</v>
      </c>
      <c r="AA15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15" s="4">
        <v>3.1</v>
      </c>
      <c r="AC15" s="7">
        <v>8.35</v>
      </c>
      <c r="AD15" s="7">
        <v>11.45</v>
      </c>
      <c r="AE15" s="4">
        <v>3</v>
      </c>
      <c r="AF15" s="7">
        <v>7.2</v>
      </c>
      <c r="AG15" s="7">
        <v>10.199999999999999</v>
      </c>
      <c r="AH15" s="4">
        <v>2.1</v>
      </c>
      <c r="AI15" s="7">
        <v>8.0500000000000007</v>
      </c>
      <c r="AJ15" s="7">
        <v>10.15</v>
      </c>
      <c r="AK15" s="4">
        <v>2.4</v>
      </c>
      <c r="AL15" s="7">
        <v>8.9</v>
      </c>
      <c r="AM15" s="7">
        <v>11.3</v>
      </c>
      <c r="AN15" s="4">
        <v>3</v>
      </c>
      <c r="AO15" s="7">
        <v>9</v>
      </c>
      <c r="AP15" s="7">
        <v>12</v>
      </c>
      <c r="AQ15" s="4">
        <v>2.4</v>
      </c>
      <c r="AR15" s="7">
        <v>7.9</v>
      </c>
      <c r="AS15" s="7">
        <v>10.3</v>
      </c>
      <c r="AT15" s="4">
        <f t="shared" si="3"/>
        <v>16</v>
      </c>
      <c r="AU15" s="7">
        <f t="shared" si="4"/>
        <v>49.4</v>
      </c>
      <c r="AV15" s="7">
        <f t="shared" si="5"/>
        <v>65.399999999999991</v>
      </c>
      <c r="AW15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5" s="4">
        <v>3.4</v>
      </c>
      <c r="AY15" s="7">
        <v>8.0500000000000007</v>
      </c>
      <c r="AZ15" s="7">
        <v>11.45</v>
      </c>
      <c r="BA15" s="4">
        <v>3</v>
      </c>
      <c r="BB15" s="7">
        <v>5.75</v>
      </c>
      <c r="BC15" s="7">
        <v>8.75</v>
      </c>
      <c r="BD15" s="4">
        <v>2.2999999999999998</v>
      </c>
      <c r="BE15" s="7">
        <v>7.9</v>
      </c>
      <c r="BF15" s="7">
        <v>10.199999999999999</v>
      </c>
      <c r="BG15" s="4">
        <v>2.8</v>
      </c>
      <c r="BH15" s="7">
        <v>8.75</v>
      </c>
      <c r="BI15" s="7">
        <v>11.55</v>
      </c>
      <c r="BJ15" s="4">
        <v>3</v>
      </c>
      <c r="BK15" s="7">
        <v>8.9</v>
      </c>
      <c r="BL15" s="7">
        <v>11.9</v>
      </c>
      <c r="BM15" s="4">
        <v>2.7</v>
      </c>
      <c r="BN15" s="7">
        <v>8.15</v>
      </c>
      <c r="BO15" s="7">
        <v>10.85</v>
      </c>
      <c r="BP15" s="4">
        <f t="shared" si="6"/>
        <v>17.2</v>
      </c>
      <c r="BQ15" s="7">
        <f t="shared" si="7"/>
        <v>47.5</v>
      </c>
      <c r="BR15" s="7">
        <f t="shared" si="8"/>
        <v>64.7</v>
      </c>
      <c r="BS15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15" s="4">
        <v>3.3</v>
      </c>
      <c r="BU15" s="7">
        <v>7.2</v>
      </c>
      <c r="BV15" s="7">
        <v>10.5</v>
      </c>
      <c r="BW15" s="4">
        <v>2.8</v>
      </c>
      <c r="BX15" s="7">
        <v>8.5</v>
      </c>
      <c r="BY15" s="7">
        <v>11.3</v>
      </c>
      <c r="BZ15" s="4">
        <v>2.2999999999999998</v>
      </c>
      <c r="CA15" s="7">
        <v>8</v>
      </c>
      <c r="CB15" s="7">
        <v>10.3</v>
      </c>
      <c r="CC15" s="4">
        <v>2.4</v>
      </c>
      <c r="CD15" s="7">
        <v>8.4</v>
      </c>
      <c r="CE15" s="7">
        <v>10.8</v>
      </c>
      <c r="CF15" s="4">
        <v>2.6</v>
      </c>
      <c r="CG15" s="7">
        <v>8.9</v>
      </c>
      <c r="CH15" s="7">
        <v>11.5</v>
      </c>
      <c r="CI15" s="4">
        <v>2.2999999999999998</v>
      </c>
      <c r="CJ15" s="7">
        <v>7.5</v>
      </c>
      <c r="CK15" s="7">
        <v>9.8000000000000007</v>
      </c>
      <c r="CL15" s="4">
        <f t="shared" si="9"/>
        <v>15.7</v>
      </c>
      <c r="CM15" s="7">
        <f t="shared" si="10"/>
        <v>48.5</v>
      </c>
      <c r="CN15" s="7">
        <f t="shared" si="11"/>
        <v>64.2</v>
      </c>
      <c r="CO15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50.2</v>
      </c>
      <c r="CQ1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147.19999999999999</v>
      </c>
      <c r="CR1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196.39999999999998</v>
      </c>
      <c r="CS1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16.733333333333334</v>
      </c>
      <c r="CT1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49.066666666666663</v>
      </c>
      <c r="CU1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65.466666666666654</v>
      </c>
      <c r="CW15" s="28" t="s">
        <v>296</v>
      </c>
      <c r="DC15" s="43" t="s">
        <v>59</v>
      </c>
      <c r="DD15" s="43" t="s">
        <v>60</v>
      </c>
      <c r="DE15" s="43" t="s">
        <v>62</v>
      </c>
      <c r="DF15">
        <v>3</v>
      </c>
      <c r="DG15" t="s">
        <v>341</v>
      </c>
      <c r="DH15" s="43" t="s">
        <v>309</v>
      </c>
      <c r="DI15">
        <v>139.6</v>
      </c>
    </row>
    <row r="16" spans="1:113" x14ac:dyDescent="0.25">
      <c r="A16" t="s">
        <v>42</v>
      </c>
      <c r="B16" s="2" t="s">
        <v>26</v>
      </c>
      <c r="C16" s="2" t="s">
        <v>43</v>
      </c>
      <c r="D16" t="s">
        <v>36</v>
      </c>
      <c r="E16" s="2">
        <f>SUM(COUNTIF(AA[[#This Row],[Bydgoszcz_all_around]],"Yes"),COUNTIF(AA[[#This Row],[Zabrze_all_around]],"Yes"),COUNTIF(AA[[#This Row],[Cracow_all_around]],"Yes"),COUNTIF(AA[[#This Row],[Gdansk_all_Around]],"Yes"))</f>
        <v>3</v>
      </c>
      <c r="F16" s="4">
        <v>4</v>
      </c>
      <c r="G16" s="7">
        <v>8.1999999999999993</v>
      </c>
      <c r="H16" s="7">
        <v>12.2</v>
      </c>
      <c r="I16" s="4">
        <v>2.6</v>
      </c>
      <c r="J16" s="7">
        <v>7.7</v>
      </c>
      <c r="K16" s="7">
        <v>10.3</v>
      </c>
      <c r="L16" s="4">
        <v>2.4</v>
      </c>
      <c r="M16" s="7">
        <v>7.8</v>
      </c>
      <c r="N16" s="7">
        <v>10.199999999999999</v>
      </c>
      <c r="O16" s="4">
        <v>4</v>
      </c>
      <c r="P16" s="7">
        <v>7.9</v>
      </c>
      <c r="Q16" s="7">
        <v>11.9</v>
      </c>
      <c r="R16" s="4">
        <v>0</v>
      </c>
      <c r="S16" s="7">
        <v>0</v>
      </c>
      <c r="T16" s="7">
        <v>0</v>
      </c>
      <c r="U16" s="4">
        <v>0</v>
      </c>
      <c r="V16" s="7">
        <v>0</v>
      </c>
      <c r="W16" s="7">
        <v>0</v>
      </c>
      <c r="X16" s="4">
        <f t="shared" si="0"/>
        <v>13</v>
      </c>
      <c r="Y16" s="7">
        <f t="shared" si="1"/>
        <v>31.6</v>
      </c>
      <c r="Z16" s="7">
        <f t="shared" si="2"/>
        <v>44.6</v>
      </c>
      <c r="AA16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16" s="4">
        <v>3.4</v>
      </c>
      <c r="AC16" s="7">
        <v>8.4</v>
      </c>
      <c r="AD16" s="7">
        <v>11.8</v>
      </c>
      <c r="AE16" s="4">
        <v>2.6</v>
      </c>
      <c r="AF16" s="7">
        <v>8.5500000000000007</v>
      </c>
      <c r="AG16" s="7">
        <v>11.15</v>
      </c>
      <c r="AH16" s="4">
        <v>2.4</v>
      </c>
      <c r="AI16" s="7">
        <v>7.9</v>
      </c>
      <c r="AJ16" s="7">
        <v>10.3</v>
      </c>
      <c r="AK16" s="4">
        <v>2.8</v>
      </c>
      <c r="AL16" s="7">
        <v>9.0500000000000007</v>
      </c>
      <c r="AM16" s="7">
        <v>11.85</v>
      </c>
      <c r="AN16" s="4">
        <v>3.1</v>
      </c>
      <c r="AO16" s="7">
        <v>8.5500000000000007</v>
      </c>
      <c r="AP16" s="7">
        <v>11.65</v>
      </c>
      <c r="AQ16" s="4">
        <v>1.8</v>
      </c>
      <c r="AR16" s="7">
        <v>8.4</v>
      </c>
      <c r="AS16" s="7">
        <v>10.199999999999999</v>
      </c>
      <c r="AT16" s="4">
        <f t="shared" si="3"/>
        <v>16.099999999999998</v>
      </c>
      <c r="AU16" s="7">
        <f t="shared" si="4"/>
        <v>50.85</v>
      </c>
      <c r="AV16" s="7">
        <f t="shared" si="5"/>
        <v>66.95</v>
      </c>
      <c r="AW16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6" s="4">
        <v>3.8</v>
      </c>
      <c r="AY16" s="7">
        <v>7.1</v>
      </c>
      <c r="AZ16" s="7">
        <v>10.9</v>
      </c>
      <c r="BA16" s="4">
        <v>2.6</v>
      </c>
      <c r="BB16" s="7">
        <v>7.65</v>
      </c>
      <c r="BC16" s="7">
        <v>10.25</v>
      </c>
      <c r="BD16" s="4">
        <v>2.4</v>
      </c>
      <c r="BE16" s="7">
        <v>8.0500000000000007</v>
      </c>
      <c r="BF16" s="7">
        <v>10.45</v>
      </c>
      <c r="BG16" s="4">
        <v>2.8</v>
      </c>
      <c r="BH16" s="7">
        <v>9.1999999999999993</v>
      </c>
      <c r="BI16" s="7">
        <v>12</v>
      </c>
      <c r="BJ16" s="4">
        <v>3.1</v>
      </c>
      <c r="BK16" s="7">
        <v>7.1</v>
      </c>
      <c r="BL16" s="7">
        <v>10.199999999999999</v>
      </c>
      <c r="BM16" s="4">
        <v>1.8</v>
      </c>
      <c r="BN16" s="7">
        <v>8.4</v>
      </c>
      <c r="BO16" s="7">
        <v>10.199999999999999</v>
      </c>
      <c r="BP16" s="4">
        <f t="shared" si="6"/>
        <v>16.5</v>
      </c>
      <c r="BQ16" s="7">
        <f t="shared" si="7"/>
        <v>47.5</v>
      </c>
      <c r="BR16" s="7">
        <f t="shared" si="8"/>
        <v>64</v>
      </c>
      <c r="BS16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16" s="4">
        <v>3.4</v>
      </c>
      <c r="BU16" s="7">
        <v>7.5</v>
      </c>
      <c r="BV16" s="7">
        <v>10.9</v>
      </c>
      <c r="BW16" s="4">
        <v>2.6</v>
      </c>
      <c r="BX16" s="7">
        <v>7.2</v>
      </c>
      <c r="BY16" s="7">
        <v>9.8000000000000007</v>
      </c>
      <c r="BZ16" s="4">
        <v>2</v>
      </c>
      <c r="CA16" s="7">
        <v>7.9</v>
      </c>
      <c r="CB16" s="7">
        <v>9.9</v>
      </c>
      <c r="CC16" s="4">
        <v>2.8</v>
      </c>
      <c r="CD16" s="7">
        <v>8.4</v>
      </c>
      <c r="CE16" s="7">
        <v>11.2</v>
      </c>
      <c r="CF16" s="4">
        <v>2.4</v>
      </c>
      <c r="CG16" s="7">
        <v>8.8000000000000007</v>
      </c>
      <c r="CH16" s="7">
        <v>11.2</v>
      </c>
      <c r="CI16" s="4">
        <v>1.8</v>
      </c>
      <c r="CJ16" s="7">
        <v>7.9</v>
      </c>
      <c r="CK16" s="7">
        <v>9.6999999999999993</v>
      </c>
      <c r="CL16" s="4">
        <f t="shared" si="9"/>
        <v>15.000000000000002</v>
      </c>
      <c r="CM16" s="7">
        <f t="shared" si="10"/>
        <v>47.699999999999996</v>
      </c>
      <c r="CN16" s="7">
        <f t="shared" si="11"/>
        <v>62.7</v>
      </c>
      <c r="CO16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47.599999999999994</v>
      </c>
      <c r="CQ1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146.05000000000001</v>
      </c>
      <c r="CR1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193.64999999999998</v>
      </c>
      <c r="CS1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15.866666666666665</v>
      </c>
      <c r="CT1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48.683333333333337</v>
      </c>
      <c r="CU1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64.55</v>
      </c>
      <c r="CW16" s="29" t="s">
        <v>297</v>
      </c>
      <c r="DC16" s="43" t="s">
        <v>59</v>
      </c>
      <c r="DD16" s="43" t="s">
        <v>60</v>
      </c>
      <c r="DE16" s="43" t="s">
        <v>62</v>
      </c>
      <c r="DF16">
        <v>3</v>
      </c>
      <c r="DG16" t="s">
        <v>341</v>
      </c>
      <c r="DH16" s="43" t="s">
        <v>268</v>
      </c>
      <c r="DI16">
        <v>224.5</v>
      </c>
    </row>
    <row r="17" spans="1:113" x14ac:dyDescent="0.25">
      <c r="A17" t="s">
        <v>48</v>
      </c>
      <c r="B17" s="2" t="s">
        <v>26</v>
      </c>
      <c r="C17" s="2" t="s">
        <v>49</v>
      </c>
      <c r="D17" t="s">
        <v>36</v>
      </c>
      <c r="E17" s="2">
        <f>SUM(COUNTIF(AA[[#This Row],[Bydgoszcz_all_around]],"Yes"),COUNTIF(AA[[#This Row],[Zabrze_all_around]],"Yes"),COUNTIF(AA[[#This Row],[Cracow_all_around]],"Yes"),COUNTIF(AA[[#This Row],[Gdansk_all_Around]],"Yes"))</f>
        <v>4</v>
      </c>
      <c r="F17" s="4">
        <v>3.7</v>
      </c>
      <c r="G17" s="7">
        <v>7.4</v>
      </c>
      <c r="H17" s="7">
        <v>11.1</v>
      </c>
      <c r="I17" s="4">
        <v>2.8</v>
      </c>
      <c r="J17" s="7">
        <v>4</v>
      </c>
      <c r="K17" s="7">
        <v>6.8</v>
      </c>
      <c r="L17" s="4">
        <v>2.4</v>
      </c>
      <c r="M17" s="7">
        <v>7.55</v>
      </c>
      <c r="N17" s="7">
        <v>9.9499999999999993</v>
      </c>
      <c r="O17" s="4">
        <v>2.4</v>
      </c>
      <c r="P17" s="7">
        <v>7.8</v>
      </c>
      <c r="Q17" s="7">
        <v>10.199999999999999</v>
      </c>
      <c r="R17" s="4">
        <v>3.1</v>
      </c>
      <c r="S17" s="7">
        <v>8.0500000000000007</v>
      </c>
      <c r="T17" s="7">
        <v>11.15</v>
      </c>
      <c r="U17" s="4">
        <v>1.9</v>
      </c>
      <c r="V17" s="7">
        <v>8</v>
      </c>
      <c r="W17" s="7">
        <v>9.9</v>
      </c>
      <c r="X17" s="4">
        <f t="shared" si="0"/>
        <v>16.3</v>
      </c>
      <c r="Y17" s="7">
        <f t="shared" si="1"/>
        <v>42.8</v>
      </c>
      <c r="Z17" s="7">
        <f t="shared" si="2"/>
        <v>59.099999999999994</v>
      </c>
      <c r="AA17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17" s="4">
        <v>3.2</v>
      </c>
      <c r="AC17" s="7">
        <v>8.15</v>
      </c>
      <c r="AD17" s="7">
        <v>11.35</v>
      </c>
      <c r="AE17" s="4">
        <v>2.7</v>
      </c>
      <c r="AF17" s="7">
        <v>1.95</v>
      </c>
      <c r="AG17" s="7">
        <v>4.6500000000000004</v>
      </c>
      <c r="AH17" s="4">
        <v>2.5</v>
      </c>
      <c r="AI17" s="7">
        <v>6.5</v>
      </c>
      <c r="AJ17" s="7">
        <v>9</v>
      </c>
      <c r="AK17" s="4">
        <v>1.6</v>
      </c>
      <c r="AL17" s="7">
        <v>9.5</v>
      </c>
      <c r="AM17" s="7">
        <v>11.1</v>
      </c>
      <c r="AN17" s="4">
        <v>3.1</v>
      </c>
      <c r="AO17" s="7">
        <v>7.8</v>
      </c>
      <c r="AP17" s="7">
        <v>10.9</v>
      </c>
      <c r="AQ17" s="4">
        <v>1.9</v>
      </c>
      <c r="AR17" s="7">
        <v>8.1999999999999993</v>
      </c>
      <c r="AS17" s="7">
        <v>10.1</v>
      </c>
      <c r="AT17" s="4">
        <f t="shared" si="3"/>
        <v>15</v>
      </c>
      <c r="AU17" s="7">
        <f t="shared" si="4"/>
        <v>42.099999999999994</v>
      </c>
      <c r="AV17" s="7">
        <f t="shared" si="5"/>
        <v>57.1</v>
      </c>
      <c r="AW17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7" s="4">
        <v>3.5</v>
      </c>
      <c r="AY17" s="7">
        <v>7.65</v>
      </c>
      <c r="AZ17" s="7">
        <v>11.15</v>
      </c>
      <c r="BA17" s="4">
        <v>2.2000000000000002</v>
      </c>
      <c r="BB17" s="7">
        <v>4.95</v>
      </c>
      <c r="BC17" s="7">
        <v>7.15</v>
      </c>
      <c r="BD17" s="4">
        <v>2.5</v>
      </c>
      <c r="BE17" s="7">
        <v>6.65</v>
      </c>
      <c r="BF17" s="7">
        <v>9.15</v>
      </c>
      <c r="BG17" s="4">
        <v>2.4</v>
      </c>
      <c r="BH17" s="7">
        <v>8.85</v>
      </c>
      <c r="BI17" s="7">
        <v>11.25</v>
      </c>
      <c r="BJ17" s="4">
        <v>3.1</v>
      </c>
      <c r="BK17" s="7">
        <v>7.45</v>
      </c>
      <c r="BL17" s="7">
        <v>10.55</v>
      </c>
      <c r="BM17" s="4">
        <v>1.9</v>
      </c>
      <c r="BN17" s="7">
        <v>8.6</v>
      </c>
      <c r="BO17" s="7">
        <v>10.5</v>
      </c>
      <c r="BP17" s="4">
        <f t="shared" si="6"/>
        <v>15.6</v>
      </c>
      <c r="BQ17" s="7">
        <f t="shared" si="7"/>
        <v>44.150000000000006</v>
      </c>
      <c r="BR17" s="7">
        <f t="shared" si="8"/>
        <v>59.75</v>
      </c>
      <c r="BS17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17" s="4">
        <v>3.2</v>
      </c>
      <c r="BU17" s="7">
        <v>7.9</v>
      </c>
      <c r="BV17" s="7">
        <v>11.1</v>
      </c>
      <c r="BW17" s="4">
        <v>2.6</v>
      </c>
      <c r="BX17" s="7">
        <v>7</v>
      </c>
      <c r="BY17" s="7">
        <v>9.6</v>
      </c>
      <c r="BZ17" s="4">
        <v>2.2000000000000002</v>
      </c>
      <c r="CA17" s="7">
        <v>7.6</v>
      </c>
      <c r="CB17" s="7">
        <v>9.8000000000000007</v>
      </c>
      <c r="CC17" s="4">
        <v>1.6</v>
      </c>
      <c r="CD17" s="7">
        <v>8.5</v>
      </c>
      <c r="CE17" s="7">
        <v>10.1</v>
      </c>
      <c r="CF17" s="4">
        <v>2.4</v>
      </c>
      <c r="CG17" s="7">
        <v>9</v>
      </c>
      <c r="CH17" s="7">
        <v>11.4</v>
      </c>
      <c r="CI17" s="4">
        <v>1.9</v>
      </c>
      <c r="CJ17" s="7">
        <v>8.1999999999999993</v>
      </c>
      <c r="CK17" s="7">
        <v>10.1</v>
      </c>
      <c r="CL17" s="4">
        <f t="shared" si="9"/>
        <v>13.9</v>
      </c>
      <c r="CM17" s="7">
        <f t="shared" si="10"/>
        <v>48.2</v>
      </c>
      <c r="CN17" s="7">
        <f t="shared" si="11"/>
        <v>62.1</v>
      </c>
      <c r="CO17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46.9</v>
      </c>
      <c r="CQ1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135.15</v>
      </c>
      <c r="CR1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180.95</v>
      </c>
      <c r="CS1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15.633333333333333</v>
      </c>
      <c r="CT1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45.050000000000004</v>
      </c>
      <c r="CU1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60.316666666666663</v>
      </c>
      <c r="CW17" s="30" t="s">
        <v>298</v>
      </c>
      <c r="DC17" s="43" t="s">
        <v>59</v>
      </c>
      <c r="DD17" s="43" t="s">
        <v>60</v>
      </c>
      <c r="DE17" s="43" t="s">
        <v>62</v>
      </c>
      <c r="DF17">
        <v>3</v>
      </c>
      <c r="DG17" t="s">
        <v>273</v>
      </c>
      <c r="DH17" s="43" t="s">
        <v>308</v>
      </c>
      <c r="DI17">
        <v>28.3</v>
      </c>
    </row>
    <row r="18" spans="1:113" x14ac:dyDescent="0.25">
      <c r="A18" t="s">
        <v>46</v>
      </c>
      <c r="B18" s="2" t="s">
        <v>26</v>
      </c>
      <c r="C18" s="2" t="s">
        <v>47</v>
      </c>
      <c r="D18" t="s">
        <v>36</v>
      </c>
      <c r="E18" s="2">
        <f>SUM(COUNTIF(AA[[#This Row],[Bydgoszcz_all_around]],"Yes"),COUNTIF(AA[[#This Row],[Zabrze_all_around]],"Yes"),COUNTIF(AA[[#This Row],[Cracow_all_around]],"Yes"),COUNTIF(AA[[#This Row],[Gdansk_all_Around]],"Yes"))</f>
        <v>3</v>
      </c>
      <c r="F18" s="4">
        <v>0</v>
      </c>
      <c r="G18" s="7">
        <v>0</v>
      </c>
      <c r="H18" s="7">
        <v>0</v>
      </c>
      <c r="I18" s="4">
        <v>0</v>
      </c>
      <c r="J18" s="7">
        <v>0</v>
      </c>
      <c r="K18" s="7">
        <v>0</v>
      </c>
      <c r="L18" s="4">
        <v>0</v>
      </c>
      <c r="M18" s="7">
        <v>0</v>
      </c>
      <c r="N18" s="7">
        <v>0</v>
      </c>
      <c r="O18" s="4">
        <v>0</v>
      </c>
      <c r="P18" s="7">
        <v>0</v>
      </c>
      <c r="Q18" s="7">
        <v>0</v>
      </c>
      <c r="R18" s="4">
        <v>0</v>
      </c>
      <c r="S18" s="7">
        <v>0</v>
      </c>
      <c r="T18" s="7">
        <v>0</v>
      </c>
      <c r="U18" s="4">
        <v>0</v>
      </c>
      <c r="V18" s="7">
        <v>0</v>
      </c>
      <c r="W18" s="7">
        <v>0</v>
      </c>
      <c r="X18" s="4">
        <f t="shared" si="0"/>
        <v>0</v>
      </c>
      <c r="Y18" s="7">
        <f t="shared" si="1"/>
        <v>0</v>
      </c>
      <c r="Z18" s="7">
        <f t="shared" si="2"/>
        <v>0</v>
      </c>
      <c r="AA18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18" s="4">
        <v>2.9</v>
      </c>
      <c r="AC18" s="7">
        <v>8.1999999999999993</v>
      </c>
      <c r="AD18" s="7">
        <v>11.1</v>
      </c>
      <c r="AE18" s="4">
        <v>2.2000000000000002</v>
      </c>
      <c r="AF18" s="7">
        <v>5.75</v>
      </c>
      <c r="AG18" s="7">
        <v>7.95</v>
      </c>
      <c r="AH18" s="4">
        <v>1.7</v>
      </c>
      <c r="AI18" s="7">
        <v>6.8</v>
      </c>
      <c r="AJ18" s="7">
        <v>8.5</v>
      </c>
      <c r="AK18" s="4">
        <v>1.6</v>
      </c>
      <c r="AL18" s="7">
        <v>9</v>
      </c>
      <c r="AM18" s="7">
        <v>10.6</v>
      </c>
      <c r="AN18" s="4">
        <v>2.4</v>
      </c>
      <c r="AO18" s="7">
        <v>8.6</v>
      </c>
      <c r="AP18" s="7">
        <v>11</v>
      </c>
      <c r="AQ18" s="4">
        <v>1.8</v>
      </c>
      <c r="AR18" s="7">
        <v>7.7</v>
      </c>
      <c r="AS18" s="7">
        <v>9.5</v>
      </c>
      <c r="AT18" s="4">
        <f t="shared" si="3"/>
        <v>12.600000000000001</v>
      </c>
      <c r="AU18" s="7">
        <f t="shared" si="4"/>
        <v>46.050000000000004</v>
      </c>
      <c r="AV18" s="7">
        <f t="shared" si="5"/>
        <v>58.65</v>
      </c>
      <c r="AW18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8" s="4">
        <v>3.1</v>
      </c>
      <c r="AY18" s="7">
        <v>7.7</v>
      </c>
      <c r="AZ18" s="7">
        <v>10.8</v>
      </c>
      <c r="BA18" s="4">
        <v>2.2000000000000002</v>
      </c>
      <c r="BB18" s="7">
        <v>2.75</v>
      </c>
      <c r="BC18" s="7">
        <v>4.95</v>
      </c>
      <c r="BD18" s="4">
        <v>2.1</v>
      </c>
      <c r="BE18" s="7">
        <v>6.65</v>
      </c>
      <c r="BF18" s="7">
        <v>8.75</v>
      </c>
      <c r="BG18" s="4">
        <v>1.6</v>
      </c>
      <c r="BH18" s="7">
        <v>9</v>
      </c>
      <c r="BI18" s="7">
        <v>10.6</v>
      </c>
      <c r="BJ18" s="4">
        <v>3.1</v>
      </c>
      <c r="BK18" s="7">
        <v>8.6</v>
      </c>
      <c r="BL18" s="7">
        <v>11.7</v>
      </c>
      <c r="BM18" s="4">
        <v>1.9</v>
      </c>
      <c r="BN18" s="7">
        <v>7.75</v>
      </c>
      <c r="BO18" s="7">
        <v>9.65</v>
      </c>
      <c r="BP18" s="4">
        <f t="shared" si="6"/>
        <v>14</v>
      </c>
      <c r="BQ18" s="7">
        <f t="shared" si="7"/>
        <v>42.45</v>
      </c>
      <c r="BR18" s="7">
        <f t="shared" si="8"/>
        <v>56.449999999999996</v>
      </c>
      <c r="BS18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18" s="4">
        <v>2.9</v>
      </c>
      <c r="BU18" s="7">
        <v>7.8</v>
      </c>
      <c r="BV18" s="7">
        <v>10.7</v>
      </c>
      <c r="BW18" s="4">
        <v>2.5</v>
      </c>
      <c r="BX18" s="7">
        <v>5.5</v>
      </c>
      <c r="BY18" s="7">
        <v>8</v>
      </c>
      <c r="BZ18" s="4">
        <v>1.7</v>
      </c>
      <c r="CA18" s="7">
        <v>7.7</v>
      </c>
      <c r="CB18" s="7">
        <v>9.4</v>
      </c>
      <c r="CC18" s="4">
        <v>1.6</v>
      </c>
      <c r="CD18" s="7">
        <v>8.8000000000000007</v>
      </c>
      <c r="CE18" s="7">
        <v>10.4</v>
      </c>
      <c r="CF18" s="4">
        <v>2.4</v>
      </c>
      <c r="CG18" s="7">
        <v>8</v>
      </c>
      <c r="CH18" s="7">
        <v>10.4</v>
      </c>
      <c r="CI18" s="4">
        <v>1.5</v>
      </c>
      <c r="CJ18" s="7">
        <v>2.5</v>
      </c>
      <c r="CK18" s="7">
        <v>4</v>
      </c>
      <c r="CL18" s="4">
        <f t="shared" si="9"/>
        <v>12.600000000000001</v>
      </c>
      <c r="CM18" s="7">
        <f t="shared" si="10"/>
        <v>40.299999999999997</v>
      </c>
      <c r="CN18" s="7">
        <f t="shared" si="11"/>
        <v>52.9</v>
      </c>
      <c r="CO18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39.200000000000003</v>
      </c>
      <c r="CQ1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128.80000000000001</v>
      </c>
      <c r="CR1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168</v>
      </c>
      <c r="CS1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13.066666666666668</v>
      </c>
      <c r="CT1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42.933333333333337</v>
      </c>
      <c r="CU1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56</v>
      </c>
      <c r="CW18" s="31" t="s">
        <v>300</v>
      </c>
      <c r="DC18" s="43" t="s">
        <v>59</v>
      </c>
      <c r="DD18" s="43" t="s">
        <v>60</v>
      </c>
      <c r="DE18" s="43" t="s">
        <v>62</v>
      </c>
      <c r="DF18">
        <v>3</v>
      </c>
      <c r="DG18" t="s">
        <v>273</v>
      </c>
      <c r="DH18" s="43" t="s">
        <v>309</v>
      </c>
      <c r="DI18">
        <v>46.533333333333331</v>
      </c>
    </row>
    <row r="19" spans="1:113" x14ac:dyDescent="0.25">
      <c r="A19" t="s">
        <v>82</v>
      </c>
      <c r="B19" s="2" t="s">
        <v>60</v>
      </c>
      <c r="C19" s="2" t="s">
        <v>83</v>
      </c>
      <c r="D19" t="s">
        <v>36</v>
      </c>
      <c r="E19" s="2">
        <f>SUM(COUNTIF(AA[[#This Row],[Bydgoszcz_all_around]],"Yes"),COUNTIF(AA[[#This Row],[Zabrze_all_around]],"Yes"),COUNTIF(AA[[#This Row],[Cracow_all_around]],"Yes"),COUNTIF(AA[[#This Row],[Gdansk_all_Around]],"Yes"))</f>
        <v>2</v>
      </c>
      <c r="F19" s="4">
        <v>0</v>
      </c>
      <c r="G19" s="7">
        <v>0</v>
      </c>
      <c r="H19" s="7">
        <v>0</v>
      </c>
      <c r="I19" s="4">
        <v>0</v>
      </c>
      <c r="J19" s="7">
        <v>0</v>
      </c>
      <c r="K19" s="7">
        <v>0</v>
      </c>
      <c r="L19" s="4">
        <v>0</v>
      </c>
      <c r="M19" s="7">
        <v>0</v>
      </c>
      <c r="N19" s="7">
        <v>0</v>
      </c>
      <c r="O19" s="4">
        <v>0</v>
      </c>
      <c r="P19" s="7">
        <v>0</v>
      </c>
      <c r="Q19" s="7">
        <v>0</v>
      </c>
      <c r="R19" s="4">
        <v>0</v>
      </c>
      <c r="S19" s="7">
        <v>0</v>
      </c>
      <c r="T19" s="7">
        <v>0</v>
      </c>
      <c r="U19" s="4">
        <v>0</v>
      </c>
      <c r="V19" s="7">
        <v>0</v>
      </c>
      <c r="W19" s="7">
        <v>0</v>
      </c>
      <c r="X19" s="4">
        <f t="shared" si="0"/>
        <v>0</v>
      </c>
      <c r="Y19" s="7">
        <f t="shared" si="1"/>
        <v>0</v>
      </c>
      <c r="Z19" s="7">
        <f t="shared" si="2"/>
        <v>0</v>
      </c>
      <c r="AA19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19" s="4">
        <v>4.4000000000000004</v>
      </c>
      <c r="AC19" s="7">
        <v>8.1</v>
      </c>
      <c r="AD19" s="7">
        <v>12.5</v>
      </c>
      <c r="AE19" s="4">
        <v>3.4</v>
      </c>
      <c r="AF19" s="7">
        <v>5.5</v>
      </c>
      <c r="AG19" s="7">
        <v>8.9</v>
      </c>
      <c r="AH19" s="4">
        <v>3.8</v>
      </c>
      <c r="AI19" s="7">
        <v>7.5</v>
      </c>
      <c r="AJ19" s="7">
        <v>11.3</v>
      </c>
      <c r="AK19" s="4">
        <v>4</v>
      </c>
      <c r="AL19" s="7">
        <v>9.3000000000000007</v>
      </c>
      <c r="AM19" s="7">
        <v>13.3</v>
      </c>
      <c r="AN19" s="4">
        <v>3</v>
      </c>
      <c r="AO19" s="7">
        <v>8.75</v>
      </c>
      <c r="AP19" s="7">
        <v>11.75</v>
      </c>
      <c r="AQ19" s="4">
        <v>3.3</v>
      </c>
      <c r="AR19" s="7">
        <v>7.8</v>
      </c>
      <c r="AS19" s="7">
        <v>11.1</v>
      </c>
      <c r="AT19" s="4">
        <f t="shared" si="3"/>
        <v>21.900000000000002</v>
      </c>
      <c r="AU19" s="7">
        <f t="shared" si="4"/>
        <v>46.95</v>
      </c>
      <c r="AV19" s="7">
        <f t="shared" si="5"/>
        <v>68.849999999999994</v>
      </c>
      <c r="AW19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9" s="4">
        <v>4.0999999999999996</v>
      </c>
      <c r="AY19" s="7">
        <v>6.7</v>
      </c>
      <c r="AZ19" s="7">
        <v>10.8</v>
      </c>
      <c r="BA19" s="4">
        <v>0</v>
      </c>
      <c r="BB19" s="7">
        <v>0</v>
      </c>
      <c r="BC19" s="7">
        <v>0</v>
      </c>
      <c r="BD19" s="4">
        <v>3.8</v>
      </c>
      <c r="BE19" s="7">
        <v>7.7</v>
      </c>
      <c r="BF19" s="7">
        <v>11.5</v>
      </c>
      <c r="BG19" s="4">
        <v>4</v>
      </c>
      <c r="BH19" s="7">
        <v>9.1</v>
      </c>
      <c r="BI19" s="7">
        <v>13.1</v>
      </c>
      <c r="BJ19" s="4">
        <v>2.5</v>
      </c>
      <c r="BK19" s="7">
        <v>7.15</v>
      </c>
      <c r="BL19" s="7">
        <v>9.65</v>
      </c>
      <c r="BM19" s="4">
        <v>4</v>
      </c>
      <c r="BN19" s="7">
        <v>8.25</v>
      </c>
      <c r="BO19" s="7">
        <v>12.25</v>
      </c>
      <c r="BP19" s="4">
        <f t="shared" si="6"/>
        <v>18.399999999999999</v>
      </c>
      <c r="BQ19" s="7">
        <f t="shared" si="7"/>
        <v>38.9</v>
      </c>
      <c r="BR19" s="7">
        <f t="shared" si="8"/>
        <v>57.3</v>
      </c>
      <c r="BS19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19" s="4">
        <v>3.9</v>
      </c>
      <c r="BU19" s="7">
        <v>7.9</v>
      </c>
      <c r="BV19" s="7">
        <v>11.8</v>
      </c>
      <c r="BW19" s="4">
        <v>3.4</v>
      </c>
      <c r="BX19" s="7">
        <v>6.4</v>
      </c>
      <c r="BY19" s="7">
        <v>9.8000000000000007</v>
      </c>
      <c r="BZ19" s="4">
        <v>3.8</v>
      </c>
      <c r="CA19" s="7">
        <v>7.9</v>
      </c>
      <c r="CB19" s="7">
        <v>11.7</v>
      </c>
      <c r="CC19" s="4">
        <v>4</v>
      </c>
      <c r="CD19" s="7">
        <v>9</v>
      </c>
      <c r="CE19" s="7">
        <v>13</v>
      </c>
      <c r="CF19" s="4">
        <v>3</v>
      </c>
      <c r="CG19" s="7">
        <v>8.8000000000000007</v>
      </c>
      <c r="CH19" s="7">
        <v>11.8</v>
      </c>
      <c r="CI19" s="4">
        <v>3.3</v>
      </c>
      <c r="CJ19" s="7">
        <v>8</v>
      </c>
      <c r="CK19" s="7">
        <v>11.3</v>
      </c>
      <c r="CL19" s="4">
        <f t="shared" si="9"/>
        <v>21.400000000000002</v>
      </c>
      <c r="CM19" s="7">
        <f t="shared" si="10"/>
        <v>48</v>
      </c>
      <c r="CN19" s="7">
        <f t="shared" si="11"/>
        <v>69.399999999999991</v>
      </c>
      <c r="CO19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1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1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1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1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1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CW19" s="32" t="s">
        <v>299</v>
      </c>
      <c r="DC19" s="43" t="s">
        <v>59</v>
      </c>
      <c r="DD19" s="43" t="s">
        <v>60</v>
      </c>
      <c r="DE19" s="43" t="s">
        <v>62</v>
      </c>
      <c r="DF19">
        <v>3</v>
      </c>
      <c r="DG19" t="s">
        <v>273</v>
      </c>
      <c r="DH19" s="43" t="s">
        <v>268</v>
      </c>
      <c r="DI19">
        <v>74.833333333333329</v>
      </c>
    </row>
    <row r="20" spans="1:113" x14ac:dyDescent="0.25">
      <c r="A20" t="s">
        <v>127</v>
      </c>
      <c r="B20" s="2" t="s">
        <v>60</v>
      </c>
      <c r="C20" s="2" t="s">
        <v>128</v>
      </c>
      <c r="D20" t="s">
        <v>72</v>
      </c>
      <c r="E20" s="2">
        <f>SUM(COUNTIF(AA[[#This Row],[Bydgoszcz_all_around]],"Yes"),COUNTIF(AA[[#This Row],[Zabrze_all_around]],"Yes"),COUNTIF(AA[[#This Row],[Cracow_all_around]],"Yes"),COUNTIF(AA[[#This Row],[Gdansk_all_Around]],"Yes"))</f>
        <v>2</v>
      </c>
      <c r="F20" s="4">
        <v>4.4000000000000004</v>
      </c>
      <c r="G20" s="7">
        <v>8.6999999999999993</v>
      </c>
      <c r="H20" s="7">
        <v>13.1</v>
      </c>
      <c r="I20" s="4">
        <v>4.2</v>
      </c>
      <c r="J20" s="7">
        <v>8</v>
      </c>
      <c r="K20" s="7">
        <v>12.2</v>
      </c>
      <c r="L20" s="4">
        <v>3.8</v>
      </c>
      <c r="M20" s="7">
        <v>8.1999999999999993</v>
      </c>
      <c r="N20" s="7">
        <v>12</v>
      </c>
      <c r="O20" s="4">
        <v>4</v>
      </c>
      <c r="P20" s="7">
        <v>9</v>
      </c>
      <c r="Q20" s="7">
        <v>13</v>
      </c>
      <c r="R20" s="4">
        <v>3.8</v>
      </c>
      <c r="S20" s="7">
        <v>7.55</v>
      </c>
      <c r="T20" s="7">
        <v>11.35</v>
      </c>
      <c r="U20" s="4">
        <v>4.0999999999999996</v>
      </c>
      <c r="V20" s="7">
        <v>8.4</v>
      </c>
      <c r="W20" s="7">
        <v>12.5</v>
      </c>
      <c r="X20" s="4">
        <f t="shared" si="0"/>
        <v>24.300000000000004</v>
      </c>
      <c r="Y20" s="7">
        <f t="shared" si="1"/>
        <v>49.849999999999994</v>
      </c>
      <c r="Z20" s="7">
        <f t="shared" si="2"/>
        <v>74.150000000000006</v>
      </c>
      <c r="AA20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20" s="4">
        <v>0</v>
      </c>
      <c r="AC20" s="7">
        <v>0</v>
      </c>
      <c r="AD20" s="7">
        <v>0</v>
      </c>
      <c r="AE20" s="4">
        <v>0</v>
      </c>
      <c r="AF20" s="7">
        <v>0</v>
      </c>
      <c r="AG20" s="7">
        <v>0</v>
      </c>
      <c r="AH20" s="4">
        <v>0</v>
      </c>
      <c r="AI20" s="7">
        <v>0</v>
      </c>
      <c r="AJ20" s="7">
        <v>0</v>
      </c>
      <c r="AK20" s="4">
        <v>0</v>
      </c>
      <c r="AL20" s="7">
        <v>0</v>
      </c>
      <c r="AM20" s="7">
        <v>0</v>
      </c>
      <c r="AN20" s="4">
        <v>0</v>
      </c>
      <c r="AO20" s="7">
        <v>0</v>
      </c>
      <c r="AP20" s="7">
        <v>0</v>
      </c>
      <c r="AQ20" s="4">
        <v>0</v>
      </c>
      <c r="AR20" s="7">
        <v>0</v>
      </c>
      <c r="AS20" s="7">
        <v>0</v>
      </c>
      <c r="AT20" s="4">
        <f t="shared" si="3"/>
        <v>0</v>
      </c>
      <c r="AU20" s="7">
        <f t="shared" si="4"/>
        <v>0</v>
      </c>
      <c r="AV20" s="7">
        <f t="shared" si="5"/>
        <v>0</v>
      </c>
      <c r="AW20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20" s="4">
        <v>3.7</v>
      </c>
      <c r="AY20" s="7">
        <v>7.1</v>
      </c>
      <c r="AZ20" s="7">
        <v>10.8</v>
      </c>
      <c r="BA20" s="4">
        <v>4.4000000000000004</v>
      </c>
      <c r="BB20" s="7">
        <v>7.2</v>
      </c>
      <c r="BC20" s="7">
        <v>11.6</v>
      </c>
      <c r="BD20" s="4">
        <v>3.8</v>
      </c>
      <c r="BE20" s="7">
        <v>8.35</v>
      </c>
      <c r="BF20" s="7">
        <v>12.15</v>
      </c>
      <c r="BG20" s="4">
        <v>4</v>
      </c>
      <c r="BH20" s="7">
        <v>9.15</v>
      </c>
      <c r="BI20" s="7">
        <v>13.15</v>
      </c>
      <c r="BJ20" s="4">
        <v>4</v>
      </c>
      <c r="BK20" s="7">
        <v>8.3000000000000007</v>
      </c>
      <c r="BL20" s="7">
        <v>12.3</v>
      </c>
      <c r="BM20" s="4">
        <v>4</v>
      </c>
      <c r="BN20" s="7">
        <v>8.0500000000000007</v>
      </c>
      <c r="BO20" s="7">
        <v>12.05</v>
      </c>
      <c r="BP20" s="4">
        <f t="shared" si="6"/>
        <v>23.900000000000002</v>
      </c>
      <c r="BQ20" s="7">
        <f t="shared" si="7"/>
        <v>48.149999999999991</v>
      </c>
      <c r="BR20" s="7">
        <f t="shared" si="8"/>
        <v>72.05</v>
      </c>
      <c r="BS20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20" s="4">
        <v>0</v>
      </c>
      <c r="BU20" s="7">
        <v>0</v>
      </c>
      <c r="BV20" s="7">
        <v>0</v>
      </c>
      <c r="BW20" s="4">
        <v>0</v>
      </c>
      <c r="BX20" s="7">
        <v>0</v>
      </c>
      <c r="BY20" s="7">
        <v>0</v>
      </c>
      <c r="BZ20" s="4">
        <v>0</v>
      </c>
      <c r="CA20" s="7">
        <v>0</v>
      </c>
      <c r="CB20" s="7">
        <v>0</v>
      </c>
      <c r="CC20" s="4">
        <v>0</v>
      </c>
      <c r="CD20" s="7">
        <v>0</v>
      </c>
      <c r="CE20" s="7">
        <v>0</v>
      </c>
      <c r="CF20" s="4">
        <v>0</v>
      </c>
      <c r="CG20" s="7">
        <v>0</v>
      </c>
      <c r="CH20" s="7">
        <v>0</v>
      </c>
      <c r="CI20" s="4">
        <v>0</v>
      </c>
      <c r="CJ20" s="7">
        <v>0</v>
      </c>
      <c r="CK20" s="7">
        <v>0</v>
      </c>
      <c r="CL20" s="4">
        <f t="shared" si="9"/>
        <v>0</v>
      </c>
      <c r="CM20" s="7">
        <f t="shared" si="10"/>
        <v>0</v>
      </c>
      <c r="CN20" s="7">
        <f t="shared" si="11"/>
        <v>0</v>
      </c>
      <c r="CO20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2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CW20" s="33" t="s">
        <v>252</v>
      </c>
      <c r="DC20" s="43" t="s">
        <v>63</v>
      </c>
      <c r="DD20" s="43" t="s">
        <v>60</v>
      </c>
      <c r="DE20" s="43" t="s">
        <v>39</v>
      </c>
      <c r="DF20">
        <v>4</v>
      </c>
      <c r="DG20" t="s">
        <v>317</v>
      </c>
      <c r="DH20" s="43" t="s">
        <v>308</v>
      </c>
      <c r="DI20">
        <v>28.199999999999996</v>
      </c>
    </row>
    <row r="21" spans="1:113" x14ac:dyDescent="0.25">
      <c r="A21" t="s">
        <v>116</v>
      </c>
      <c r="B21" s="2" t="s">
        <v>60</v>
      </c>
      <c r="C21" s="2" t="s">
        <v>117</v>
      </c>
      <c r="D21" t="s">
        <v>62</v>
      </c>
      <c r="E21" s="2">
        <f>SUM(COUNTIF(AA[[#This Row],[Bydgoszcz_all_around]],"Yes"),COUNTIF(AA[[#This Row],[Zabrze_all_around]],"Yes"),COUNTIF(AA[[#This Row],[Cracow_all_around]],"Yes"),COUNTIF(AA[[#This Row],[Gdansk_all_Around]],"Yes"))</f>
        <v>2</v>
      </c>
      <c r="F21" s="4">
        <v>0</v>
      </c>
      <c r="G21" s="7">
        <v>0</v>
      </c>
      <c r="H21" s="7">
        <v>0</v>
      </c>
      <c r="I21" s="4">
        <v>0</v>
      </c>
      <c r="J21" s="7">
        <v>0</v>
      </c>
      <c r="K21" s="7">
        <v>0</v>
      </c>
      <c r="L21" s="4">
        <v>0</v>
      </c>
      <c r="M21" s="7">
        <v>0</v>
      </c>
      <c r="N21" s="7">
        <v>0</v>
      </c>
      <c r="O21" s="4">
        <v>0</v>
      </c>
      <c r="P21" s="7">
        <v>0</v>
      </c>
      <c r="Q21" s="7">
        <v>0</v>
      </c>
      <c r="R21" s="4">
        <v>0</v>
      </c>
      <c r="S21" s="7">
        <v>0</v>
      </c>
      <c r="T21" s="7">
        <v>0</v>
      </c>
      <c r="U21" s="4">
        <v>0</v>
      </c>
      <c r="V21" s="7">
        <v>0</v>
      </c>
      <c r="W21" s="7">
        <v>0</v>
      </c>
      <c r="X21" s="4">
        <f t="shared" si="0"/>
        <v>0</v>
      </c>
      <c r="Y21" s="7">
        <f t="shared" si="1"/>
        <v>0</v>
      </c>
      <c r="Z21" s="7">
        <f t="shared" si="2"/>
        <v>0</v>
      </c>
      <c r="AA21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21" s="4">
        <v>0</v>
      </c>
      <c r="AC21" s="7">
        <v>0</v>
      </c>
      <c r="AD21" s="7">
        <v>0</v>
      </c>
      <c r="AE21" s="4">
        <v>0</v>
      </c>
      <c r="AF21" s="7">
        <v>0</v>
      </c>
      <c r="AG21" s="7">
        <v>0</v>
      </c>
      <c r="AH21" s="4">
        <v>0</v>
      </c>
      <c r="AI21" s="7">
        <v>0</v>
      </c>
      <c r="AJ21" s="7">
        <v>0</v>
      </c>
      <c r="AK21" s="4">
        <v>0</v>
      </c>
      <c r="AL21" s="7">
        <v>0</v>
      </c>
      <c r="AM21" s="7">
        <v>0</v>
      </c>
      <c r="AN21" s="4">
        <v>0</v>
      </c>
      <c r="AO21" s="7">
        <v>0</v>
      </c>
      <c r="AP21" s="7">
        <v>0</v>
      </c>
      <c r="AQ21" s="4">
        <v>0</v>
      </c>
      <c r="AR21" s="7">
        <v>0</v>
      </c>
      <c r="AS21" s="7">
        <v>0</v>
      </c>
      <c r="AT21" s="4">
        <f t="shared" si="3"/>
        <v>0</v>
      </c>
      <c r="AU21" s="7">
        <f t="shared" si="4"/>
        <v>0</v>
      </c>
      <c r="AV21" s="7">
        <f t="shared" si="5"/>
        <v>0</v>
      </c>
      <c r="AW21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21" s="4">
        <v>5.4</v>
      </c>
      <c r="AY21" s="7">
        <v>8.25</v>
      </c>
      <c r="AZ21" s="7">
        <v>13.65</v>
      </c>
      <c r="BA21" s="4">
        <v>4.2</v>
      </c>
      <c r="BB21" s="7">
        <v>6.5</v>
      </c>
      <c r="BC21" s="7">
        <v>10.7</v>
      </c>
      <c r="BD21" s="4">
        <v>5</v>
      </c>
      <c r="BE21" s="7">
        <v>8.1</v>
      </c>
      <c r="BF21" s="7">
        <v>13.1</v>
      </c>
      <c r="BG21" s="4">
        <v>5.2</v>
      </c>
      <c r="BH21" s="7">
        <v>8.1</v>
      </c>
      <c r="BI21" s="7">
        <v>13.3</v>
      </c>
      <c r="BJ21" s="4">
        <v>4.5</v>
      </c>
      <c r="BK21" s="7">
        <v>6.45</v>
      </c>
      <c r="BL21" s="7">
        <v>10.95</v>
      </c>
      <c r="BM21" s="4">
        <v>4.5999999999999996</v>
      </c>
      <c r="BN21" s="7">
        <v>6.65</v>
      </c>
      <c r="BO21" s="7">
        <v>11.25</v>
      </c>
      <c r="BP21" s="4">
        <f t="shared" si="6"/>
        <v>28.9</v>
      </c>
      <c r="BQ21" s="7">
        <f t="shared" si="7"/>
        <v>44.050000000000004</v>
      </c>
      <c r="BR21" s="7">
        <f t="shared" si="8"/>
        <v>72.95</v>
      </c>
      <c r="BS21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21" s="4">
        <v>5.8</v>
      </c>
      <c r="BU21" s="7">
        <v>5.4</v>
      </c>
      <c r="BV21" s="7">
        <v>11.2</v>
      </c>
      <c r="BW21" s="4">
        <v>4.0999999999999996</v>
      </c>
      <c r="BX21" s="7">
        <v>7.9</v>
      </c>
      <c r="BY21" s="7">
        <v>12</v>
      </c>
      <c r="BZ21" s="4">
        <v>5.3</v>
      </c>
      <c r="CA21" s="7">
        <v>6.6</v>
      </c>
      <c r="CB21" s="7">
        <v>11.9</v>
      </c>
      <c r="CC21" s="4">
        <v>5.2</v>
      </c>
      <c r="CD21" s="7">
        <v>8</v>
      </c>
      <c r="CE21" s="7">
        <v>13.2</v>
      </c>
      <c r="CF21" s="4">
        <v>4.9000000000000004</v>
      </c>
      <c r="CG21" s="7">
        <v>7.4</v>
      </c>
      <c r="CH21" s="7">
        <v>12.3</v>
      </c>
      <c r="CI21" s="4">
        <v>4.8</v>
      </c>
      <c r="CJ21" s="7">
        <v>6.3</v>
      </c>
      <c r="CK21" s="7">
        <v>11.1</v>
      </c>
      <c r="CL21" s="4">
        <f t="shared" si="9"/>
        <v>30.099999999999998</v>
      </c>
      <c r="CM21" s="7">
        <f t="shared" si="10"/>
        <v>41.599999999999994</v>
      </c>
      <c r="CN21" s="7">
        <f t="shared" si="11"/>
        <v>71.699999999999989</v>
      </c>
      <c r="CO21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2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CW21" s="34" t="s">
        <v>301</v>
      </c>
      <c r="DC21" s="43" t="s">
        <v>63</v>
      </c>
      <c r="DD21" s="43" t="s">
        <v>60</v>
      </c>
      <c r="DE21" s="43" t="s">
        <v>39</v>
      </c>
      <c r="DF21">
        <v>4</v>
      </c>
      <c r="DG21" t="s">
        <v>317</v>
      </c>
      <c r="DH21" s="43" t="s">
        <v>309</v>
      </c>
      <c r="DI21">
        <v>47.4</v>
      </c>
    </row>
    <row r="22" spans="1:113" x14ac:dyDescent="0.25">
      <c r="A22" t="s">
        <v>65</v>
      </c>
      <c r="B22" s="2" t="s">
        <v>60</v>
      </c>
      <c r="C22" s="2" t="s">
        <v>66</v>
      </c>
      <c r="D22" t="s">
        <v>67</v>
      </c>
      <c r="E22" s="2">
        <f>SUM(COUNTIF(AA[[#This Row],[Bydgoszcz_all_around]],"Yes"),COUNTIF(AA[[#This Row],[Zabrze_all_around]],"Yes"),COUNTIF(AA[[#This Row],[Cracow_all_around]],"Yes"),COUNTIF(AA[[#This Row],[Gdansk_all_Around]],"Yes"))</f>
        <v>2</v>
      </c>
      <c r="F22" s="4">
        <v>0</v>
      </c>
      <c r="G22" s="7">
        <v>0</v>
      </c>
      <c r="H22" s="7">
        <v>0</v>
      </c>
      <c r="I22" s="4">
        <v>0</v>
      </c>
      <c r="J22" s="7">
        <v>0</v>
      </c>
      <c r="K22" s="7">
        <v>0</v>
      </c>
      <c r="L22" s="4">
        <v>0</v>
      </c>
      <c r="M22" s="7">
        <v>0</v>
      </c>
      <c r="N22" s="7">
        <v>0</v>
      </c>
      <c r="O22" s="4">
        <v>0</v>
      </c>
      <c r="P22" s="7">
        <v>0</v>
      </c>
      <c r="Q22" s="7">
        <v>0</v>
      </c>
      <c r="R22" s="4">
        <v>0</v>
      </c>
      <c r="S22" s="7">
        <v>0</v>
      </c>
      <c r="T22" s="7">
        <v>0</v>
      </c>
      <c r="U22" s="4">
        <v>0</v>
      </c>
      <c r="V22" s="7">
        <v>0</v>
      </c>
      <c r="W22" s="7">
        <v>0</v>
      </c>
      <c r="X22" s="4">
        <f t="shared" si="0"/>
        <v>0</v>
      </c>
      <c r="Y22" s="7">
        <f t="shared" si="1"/>
        <v>0</v>
      </c>
      <c r="Z22" s="7">
        <f t="shared" si="2"/>
        <v>0</v>
      </c>
      <c r="AA22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22" s="4">
        <v>3.8</v>
      </c>
      <c r="AC22" s="7">
        <v>8.4</v>
      </c>
      <c r="AD22" s="7">
        <v>12.2</v>
      </c>
      <c r="AE22" s="4">
        <v>3</v>
      </c>
      <c r="AF22" s="7">
        <v>8.4</v>
      </c>
      <c r="AG22" s="7">
        <v>11.4</v>
      </c>
      <c r="AH22" s="4">
        <v>3.9</v>
      </c>
      <c r="AI22" s="7">
        <v>8.4</v>
      </c>
      <c r="AJ22" s="7">
        <v>12.3</v>
      </c>
      <c r="AK22" s="4">
        <v>4</v>
      </c>
      <c r="AL22" s="7">
        <v>9.1</v>
      </c>
      <c r="AM22" s="7">
        <v>13.1</v>
      </c>
      <c r="AN22" s="4">
        <v>3</v>
      </c>
      <c r="AO22" s="7">
        <v>9.35</v>
      </c>
      <c r="AP22" s="7">
        <v>12.35</v>
      </c>
      <c r="AQ22" s="4">
        <v>3.6</v>
      </c>
      <c r="AR22" s="7">
        <v>7.1</v>
      </c>
      <c r="AS22" s="7">
        <v>10.7</v>
      </c>
      <c r="AT22" s="4">
        <f t="shared" si="3"/>
        <v>21.3</v>
      </c>
      <c r="AU22" s="7">
        <f t="shared" si="4"/>
        <v>50.750000000000007</v>
      </c>
      <c r="AV22" s="7">
        <f t="shared" si="5"/>
        <v>72.050000000000011</v>
      </c>
      <c r="AW22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22" s="4">
        <v>0</v>
      </c>
      <c r="AY22" s="7">
        <v>0</v>
      </c>
      <c r="AZ22" s="7">
        <v>0</v>
      </c>
      <c r="BA22" s="4">
        <v>0</v>
      </c>
      <c r="BB22" s="7">
        <v>0</v>
      </c>
      <c r="BC22" s="7">
        <v>0</v>
      </c>
      <c r="BD22" s="4">
        <v>0</v>
      </c>
      <c r="BE22" s="7">
        <v>0</v>
      </c>
      <c r="BF22" s="7">
        <v>0</v>
      </c>
      <c r="BG22" s="4">
        <v>0</v>
      </c>
      <c r="BH22" s="7">
        <v>0</v>
      </c>
      <c r="BI22" s="7">
        <v>0</v>
      </c>
      <c r="BJ22" s="4">
        <v>0</v>
      </c>
      <c r="BK22" s="7">
        <v>0</v>
      </c>
      <c r="BL22" s="7">
        <v>0</v>
      </c>
      <c r="BM22" s="4">
        <v>0</v>
      </c>
      <c r="BN22" s="7">
        <v>0</v>
      </c>
      <c r="BO22" s="7">
        <v>0</v>
      </c>
      <c r="BP22" s="4">
        <f t="shared" si="6"/>
        <v>0</v>
      </c>
      <c r="BQ22" s="7">
        <f t="shared" si="7"/>
        <v>0</v>
      </c>
      <c r="BR22" s="7">
        <f t="shared" si="8"/>
        <v>0</v>
      </c>
      <c r="BS22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22" s="4">
        <v>3.9</v>
      </c>
      <c r="BU22" s="7">
        <v>7.3</v>
      </c>
      <c r="BV22" s="7">
        <v>11.2</v>
      </c>
      <c r="BW22" s="4">
        <v>3.2</v>
      </c>
      <c r="BX22" s="7">
        <v>7.8</v>
      </c>
      <c r="BY22" s="7">
        <v>11</v>
      </c>
      <c r="BZ22" s="4">
        <v>3.9</v>
      </c>
      <c r="CA22" s="7">
        <v>8.1999999999999993</v>
      </c>
      <c r="CB22" s="7">
        <v>12.1</v>
      </c>
      <c r="CC22" s="4">
        <v>4</v>
      </c>
      <c r="CD22" s="7">
        <v>8.6999999999999993</v>
      </c>
      <c r="CE22" s="7">
        <v>12.7</v>
      </c>
      <c r="CF22" s="4">
        <v>3.4</v>
      </c>
      <c r="CG22" s="7">
        <v>9</v>
      </c>
      <c r="CH22" s="7">
        <v>12.4</v>
      </c>
      <c r="CI22" s="4">
        <v>3.6</v>
      </c>
      <c r="CJ22" s="7">
        <v>8.3000000000000007</v>
      </c>
      <c r="CK22" s="7">
        <v>11.9</v>
      </c>
      <c r="CL22" s="4">
        <f t="shared" si="9"/>
        <v>22</v>
      </c>
      <c r="CM22" s="7">
        <f t="shared" si="10"/>
        <v>49.3</v>
      </c>
      <c r="CN22" s="7">
        <f t="shared" si="11"/>
        <v>71.3</v>
      </c>
      <c r="CO22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2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CW22" s="37" t="s">
        <v>304</v>
      </c>
      <c r="DC22" s="43" t="s">
        <v>63</v>
      </c>
      <c r="DD22" s="43" t="s">
        <v>60</v>
      </c>
      <c r="DE22" s="43" t="s">
        <v>39</v>
      </c>
      <c r="DF22">
        <v>4</v>
      </c>
      <c r="DG22" t="s">
        <v>317</v>
      </c>
      <c r="DH22" s="43" t="s">
        <v>268</v>
      </c>
      <c r="DI22">
        <v>75.600000000000009</v>
      </c>
    </row>
    <row r="23" spans="1:113" x14ac:dyDescent="0.25">
      <c r="A23" t="s">
        <v>75</v>
      </c>
      <c r="B23" s="2" t="s">
        <v>60</v>
      </c>
      <c r="C23" s="2" t="s">
        <v>76</v>
      </c>
      <c r="D23" t="s">
        <v>28</v>
      </c>
      <c r="E23" s="2">
        <f>SUM(COUNTIF(AA[[#This Row],[Bydgoszcz_all_around]],"Yes"),COUNTIF(AA[[#This Row],[Zabrze_all_around]],"Yes"),COUNTIF(AA[[#This Row],[Cracow_all_around]],"Yes"),COUNTIF(AA[[#This Row],[Gdansk_all_Around]],"Yes"))</f>
        <v>2</v>
      </c>
      <c r="F23" s="4">
        <v>0</v>
      </c>
      <c r="G23" s="7">
        <v>0</v>
      </c>
      <c r="H23" s="7">
        <v>0</v>
      </c>
      <c r="I23" s="4">
        <v>0</v>
      </c>
      <c r="J23" s="7">
        <v>0</v>
      </c>
      <c r="K23" s="7">
        <v>0</v>
      </c>
      <c r="L23" s="4">
        <v>0</v>
      </c>
      <c r="M23" s="7">
        <v>0</v>
      </c>
      <c r="N23" s="7">
        <v>0</v>
      </c>
      <c r="O23" s="4">
        <v>0</v>
      </c>
      <c r="P23" s="7">
        <v>0</v>
      </c>
      <c r="Q23" s="7">
        <v>0</v>
      </c>
      <c r="R23" s="4">
        <v>0</v>
      </c>
      <c r="S23" s="7">
        <v>0</v>
      </c>
      <c r="T23" s="7">
        <v>0</v>
      </c>
      <c r="U23" s="4">
        <v>0</v>
      </c>
      <c r="V23" s="7">
        <v>0</v>
      </c>
      <c r="W23" s="7">
        <v>0</v>
      </c>
      <c r="X23" s="4">
        <f t="shared" si="0"/>
        <v>0</v>
      </c>
      <c r="Y23" s="7">
        <f t="shared" si="1"/>
        <v>0</v>
      </c>
      <c r="Z23" s="7">
        <f t="shared" si="2"/>
        <v>0</v>
      </c>
      <c r="AA23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23" s="4">
        <v>3.8</v>
      </c>
      <c r="AC23" s="7">
        <v>7.3</v>
      </c>
      <c r="AD23" s="7">
        <v>11.1</v>
      </c>
      <c r="AE23" s="4">
        <v>4.2</v>
      </c>
      <c r="AF23" s="7">
        <v>8.25</v>
      </c>
      <c r="AG23" s="7">
        <v>12.45</v>
      </c>
      <c r="AH23" s="4">
        <v>3.8</v>
      </c>
      <c r="AI23" s="7">
        <v>7.8</v>
      </c>
      <c r="AJ23" s="7">
        <v>11.6</v>
      </c>
      <c r="AK23" s="4">
        <v>3.2</v>
      </c>
      <c r="AL23" s="7">
        <v>9.4499999999999993</v>
      </c>
      <c r="AM23" s="7">
        <v>12.65</v>
      </c>
      <c r="AN23" s="4">
        <v>3.5</v>
      </c>
      <c r="AO23" s="7">
        <v>8.0500000000000007</v>
      </c>
      <c r="AP23" s="7">
        <v>11.55</v>
      </c>
      <c r="AQ23" s="4">
        <v>2.2000000000000002</v>
      </c>
      <c r="AR23" s="7">
        <v>8.1</v>
      </c>
      <c r="AS23" s="7">
        <v>10.3</v>
      </c>
      <c r="AT23" s="4">
        <f t="shared" si="3"/>
        <v>20.7</v>
      </c>
      <c r="AU23" s="7">
        <f t="shared" si="4"/>
        <v>48.949999999999996</v>
      </c>
      <c r="AV23" s="7">
        <f t="shared" si="5"/>
        <v>69.649999999999991</v>
      </c>
      <c r="AW23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23" s="4">
        <v>3.9</v>
      </c>
      <c r="AY23" s="7">
        <v>7.9</v>
      </c>
      <c r="AZ23" s="7">
        <v>11.8</v>
      </c>
      <c r="BA23" s="4">
        <v>4.2</v>
      </c>
      <c r="BB23" s="7">
        <v>8.5</v>
      </c>
      <c r="BC23" s="7">
        <v>12.7</v>
      </c>
      <c r="BD23" s="4">
        <v>3.4</v>
      </c>
      <c r="BE23" s="7">
        <v>7.7</v>
      </c>
      <c r="BF23" s="7">
        <v>11.1</v>
      </c>
      <c r="BG23" s="4">
        <v>3.2</v>
      </c>
      <c r="BH23" s="7">
        <v>9.0500000000000007</v>
      </c>
      <c r="BI23" s="7">
        <v>12.25</v>
      </c>
      <c r="BJ23" s="4">
        <v>3.5</v>
      </c>
      <c r="BK23" s="7">
        <v>9.1</v>
      </c>
      <c r="BL23" s="7">
        <v>12.6</v>
      </c>
      <c r="BM23" s="4">
        <v>2.5</v>
      </c>
      <c r="BN23" s="7">
        <v>8.15</v>
      </c>
      <c r="BO23" s="7">
        <v>10.65</v>
      </c>
      <c r="BP23" s="4">
        <f t="shared" si="6"/>
        <v>20.7</v>
      </c>
      <c r="BQ23" s="7">
        <f t="shared" si="7"/>
        <v>50.4</v>
      </c>
      <c r="BR23" s="7">
        <f t="shared" si="8"/>
        <v>71.100000000000009</v>
      </c>
      <c r="BS23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23" s="4">
        <v>0</v>
      </c>
      <c r="BU23" s="7">
        <v>0</v>
      </c>
      <c r="BV23" s="7">
        <v>0</v>
      </c>
      <c r="BW23" s="4">
        <v>0</v>
      </c>
      <c r="BX23" s="7">
        <v>0</v>
      </c>
      <c r="BY23" s="7">
        <v>0</v>
      </c>
      <c r="BZ23" s="4">
        <v>0</v>
      </c>
      <c r="CA23" s="7">
        <v>0</v>
      </c>
      <c r="CB23" s="7">
        <v>0</v>
      </c>
      <c r="CC23" s="4">
        <v>0</v>
      </c>
      <c r="CD23" s="7">
        <v>0</v>
      </c>
      <c r="CE23" s="7">
        <v>0</v>
      </c>
      <c r="CF23" s="4">
        <v>0</v>
      </c>
      <c r="CG23" s="7">
        <v>0</v>
      </c>
      <c r="CH23" s="7">
        <v>0</v>
      </c>
      <c r="CI23" s="4">
        <v>0</v>
      </c>
      <c r="CJ23" s="7">
        <v>0</v>
      </c>
      <c r="CK23" s="7">
        <v>0</v>
      </c>
      <c r="CL23" s="4">
        <f t="shared" si="9"/>
        <v>0</v>
      </c>
      <c r="CM23" s="7">
        <f t="shared" si="10"/>
        <v>0</v>
      </c>
      <c r="CN23" s="7">
        <f t="shared" si="11"/>
        <v>0</v>
      </c>
      <c r="CO23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2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CW23" s="35" t="s">
        <v>302</v>
      </c>
      <c r="DC23" s="43" t="s">
        <v>63</v>
      </c>
      <c r="DD23" s="43" t="s">
        <v>60</v>
      </c>
      <c r="DE23" s="43" t="s">
        <v>39</v>
      </c>
      <c r="DF23">
        <v>4</v>
      </c>
      <c r="DG23" t="s">
        <v>325</v>
      </c>
      <c r="DH23" s="43" t="s">
        <v>308</v>
      </c>
      <c r="DI23">
        <v>28.299999999999997</v>
      </c>
    </row>
    <row r="24" spans="1:113" x14ac:dyDescent="0.25">
      <c r="A24" t="s">
        <v>112</v>
      </c>
      <c r="B24" s="2" t="s">
        <v>26</v>
      </c>
      <c r="C24" s="2" t="s">
        <v>113</v>
      </c>
      <c r="D24" t="s">
        <v>31</v>
      </c>
      <c r="E24" s="2">
        <f>SUM(COUNTIF(AA[[#This Row],[Bydgoszcz_all_around]],"Yes"),COUNTIF(AA[[#This Row],[Zabrze_all_around]],"Yes"),COUNTIF(AA[[#This Row],[Cracow_all_around]],"Yes"),COUNTIF(AA[[#This Row],[Gdansk_all_Around]],"Yes"))</f>
        <v>2</v>
      </c>
      <c r="F24" s="4">
        <v>4</v>
      </c>
      <c r="G24" s="7">
        <v>7.8</v>
      </c>
      <c r="H24" s="7">
        <v>11.8</v>
      </c>
      <c r="I24" s="4">
        <v>3.1</v>
      </c>
      <c r="J24" s="7">
        <v>7.65</v>
      </c>
      <c r="K24" s="7">
        <v>10.75</v>
      </c>
      <c r="L24" s="4">
        <v>8</v>
      </c>
      <c r="M24" s="7">
        <v>2.9</v>
      </c>
      <c r="N24" s="7">
        <v>10.9</v>
      </c>
      <c r="O24" s="4">
        <v>4</v>
      </c>
      <c r="P24" s="7">
        <v>8.5</v>
      </c>
      <c r="Q24" s="7">
        <v>12.5</v>
      </c>
      <c r="R24" s="4">
        <v>3.1</v>
      </c>
      <c r="S24" s="7">
        <v>8.65</v>
      </c>
      <c r="T24" s="7">
        <v>11.75</v>
      </c>
      <c r="U24" s="4">
        <v>3.4</v>
      </c>
      <c r="V24" s="7">
        <v>7.8</v>
      </c>
      <c r="W24" s="7">
        <v>11.2</v>
      </c>
      <c r="X24" s="4">
        <f t="shared" si="0"/>
        <v>25.6</v>
      </c>
      <c r="Y24" s="7">
        <f t="shared" si="1"/>
        <v>43.3</v>
      </c>
      <c r="Z24" s="7">
        <f t="shared" si="2"/>
        <v>68.900000000000006</v>
      </c>
      <c r="AA24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24" s="4">
        <v>0</v>
      </c>
      <c r="AC24" s="7">
        <v>0</v>
      </c>
      <c r="AD24" s="7">
        <v>0</v>
      </c>
      <c r="AE24" s="4">
        <v>0</v>
      </c>
      <c r="AF24" s="7">
        <v>0</v>
      </c>
      <c r="AG24" s="7">
        <v>0</v>
      </c>
      <c r="AH24" s="4">
        <v>0</v>
      </c>
      <c r="AI24" s="7">
        <v>0</v>
      </c>
      <c r="AJ24" s="7">
        <v>0</v>
      </c>
      <c r="AK24" s="4">
        <v>0</v>
      </c>
      <c r="AL24" s="7">
        <v>0</v>
      </c>
      <c r="AM24" s="7">
        <v>0</v>
      </c>
      <c r="AN24" s="4">
        <v>0</v>
      </c>
      <c r="AO24" s="7">
        <v>0</v>
      </c>
      <c r="AP24" s="7">
        <v>0</v>
      </c>
      <c r="AQ24" s="4">
        <v>0</v>
      </c>
      <c r="AR24" s="7">
        <v>0</v>
      </c>
      <c r="AS24" s="7">
        <v>0</v>
      </c>
      <c r="AT24" s="4">
        <f t="shared" si="3"/>
        <v>0</v>
      </c>
      <c r="AU24" s="7">
        <f t="shared" si="4"/>
        <v>0</v>
      </c>
      <c r="AV24" s="7">
        <f t="shared" si="5"/>
        <v>0</v>
      </c>
      <c r="AW24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24" s="4">
        <v>0</v>
      </c>
      <c r="AY24" s="7">
        <v>0</v>
      </c>
      <c r="AZ24" s="7">
        <v>0</v>
      </c>
      <c r="BA24" s="4">
        <v>0</v>
      </c>
      <c r="BB24" s="7">
        <v>0</v>
      </c>
      <c r="BC24" s="7">
        <v>0</v>
      </c>
      <c r="BD24" s="4">
        <v>0</v>
      </c>
      <c r="BE24" s="7">
        <v>0</v>
      </c>
      <c r="BF24" s="7">
        <v>0</v>
      </c>
      <c r="BG24" s="4">
        <v>0</v>
      </c>
      <c r="BH24" s="7">
        <v>0</v>
      </c>
      <c r="BI24" s="7">
        <v>0</v>
      </c>
      <c r="BJ24" s="4">
        <v>0</v>
      </c>
      <c r="BK24" s="7">
        <v>0</v>
      </c>
      <c r="BL24" s="7">
        <v>0</v>
      </c>
      <c r="BM24" s="4">
        <v>0</v>
      </c>
      <c r="BN24" s="7">
        <v>0</v>
      </c>
      <c r="BO24" s="7">
        <v>0</v>
      </c>
      <c r="BP24" s="4">
        <f t="shared" si="6"/>
        <v>0</v>
      </c>
      <c r="BQ24" s="7">
        <f t="shared" si="7"/>
        <v>0</v>
      </c>
      <c r="BR24" s="7">
        <f t="shared" si="8"/>
        <v>0</v>
      </c>
      <c r="BS24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24" s="4">
        <v>4.2</v>
      </c>
      <c r="BU24" s="7">
        <v>6.3</v>
      </c>
      <c r="BV24" s="7">
        <v>10.5</v>
      </c>
      <c r="BW24" s="4">
        <v>2.7</v>
      </c>
      <c r="BX24" s="7">
        <v>6</v>
      </c>
      <c r="BY24" s="7">
        <v>8.6999999999999993</v>
      </c>
      <c r="BZ24" s="4">
        <v>2.2000000000000002</v>
      </c>
      <c r="CA24" s="7">
        <v>7.7</v>
      </c>
      <c r="CB24" s="7">
        <v>9.9</v>
      </c>
      <c r="CC24" s="4">
        <v>4</v>
      </c>
      <c r="CD24" s="7">
        <v>8.9</v>
      </c>
      <c r="CE24" s="7">
        <v>12.9</v>
      </c>
      <c r="CF24" s="4">
        <v>3.2</v>
      </c>
      <c r="CG24" s="7">
        <v>7.4</v>
      </c>
      <c r="CH24" s="7">
        <v>10.6</v>
      </c>
      <c r="CI24" s="4">
        <v>3.2</v>
      </c>
      <c r="CJ24" s="7">
        <v>7.5</v>
      </c>
      <c r="CK24" s="7">
        <v>10.7</v>
      </c>
      <c r="CL24" s="4">
        <f t="shared" si="9"/>
        <v>19.5</v>
      </c>
      <c r="CM24" s="7">
        <f t="shared" si="10"/>
        <v>43.8</v>
      </c>
      <c r="CN24" s="7">
        <f t="shared" si="11"/>
        <v>63.3</v>
      </c>
      <c r="CO24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2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CW24" s="36" t="s">
        <v>303</v>
      </c>
      <c r="DC24" s="43" t="s">
        <v>63</v>
      </c>
      <c r="DD24" s="43" t="s">
        <v>60</v>
      </c>
      <c r="DE24" s="43" t="s">
        <v>39</v>
      </c>
      <c r="DF24">
        <v>4</v>
      </c>
      <c r="DG24" t="s">
        <v>325</v>
      </c>
      <c r="DH24" s="43" t="s">
        <v>309</v>
      </c>
      <c r="DI24">
        <v>45.7</v>
      </c>
    </row>
    <row r="25" spans="1:113" x14ac:dyDescent="0.25">
      <c r="A25" t="s">
        <v>100</v>
      </c>
      <c r="B25" s="2" t="s">
        <v>60</v>
      </c>
      <c r="C25" s="2" t="s">
        <v>101</v>
      </c>
      <c r="D25" t="s">
        <v>31</v>
      </c>
      <c r="E25" s="2">
        <f>SUM(COUNTIF(AA[[#This Row],[Bydgoszcz_all_around]],"Yes"),COUNTIF(AA[[#This Row],[Zabrze_all_around]],"Yes"),COUNTIF(AA[[#This Row],[Cracow_all_around]],"Yes"),COUNTIF(AA[[#This Row],[Gdansk_all_Around]],"Yes"))</f>
        <v>1</v>
      </c>
      <c r="F25" s="4">
        <v>4.3</v>
      </c>
      <c r="G25" s="7">
        <v>7.4</v>
      </c>
      <c r="H25" s="7">
        <v>11.7</v>
      </c>
      <c r="I25" s="4">
        <v>2.4</v>
      </c>
      <c r="J25" s="7">
        <v>1.1000000000000001</v>
      </c>
      <c r="K25" s="7">
        <v>3.5</v>
      </c>
      <c r="L25" s="4">
        <v>2.9</v>
      </c>
      <c r="M25" s="7">
        <v>7</v>
      </c>
      <c r="N25" s="7">
        <v>9.9</v>
      </c>
      <c r="O25" s="4">
        <v>3.2</v>
      </c>
      <c r="P25" s="7">
        <v>7.8</v>
      </c>
      <c r="Q25" s="7">
        <v>11</v>
      </c>
      <c r="R25" s="4">
        <v>2.9</v>
      </c>
      <c r="S25" s="7">
        <v>7.75</v>
      </c>
      <c r="T25" s="7">
        <v>10.65</v>
      </c>
      <c r="U25" s="4">
        <v>2.7</v>
      </c>
      <c r="V25" s="7">
        <v>6.8</v>
      </c>
      <c r="W25" s="7">
        <v>9.5</v>
      </c>
      <c r="X25" s="4">
        <f t="shared" si="0"/>
        <v>18.400000000000002</v>
      </c>
      <c r="Y25" s="7">
        <f t="shared" si="1"/>
        <v>37.85</v>
      </c>
      <c r="Z25" s="7">
        <f t="shared" si="2"/>
        <v>56.25</v>
      </c>
      <c r="AA25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25" s="4">
        <v>4.2</v>
      </c>
      <c r="AC25" s="7">
        <v>7.3</v>
      </c>
      <c r="AD25" s="7">
        <v>11.5</v>
      </c>
      <c r="AE25" s="4">
        <v>0</v>
      </c>
      <c r="AF25" s="7">
        <v>0</v>
      </c>
      <c r="AG25" s="7">
        <v>0</v>
      </c>
      <c r="AH25" s="4">
        <v>0</v>
      </c>
      <c r="AI25" s="7">
        <v>0</v>
      </c>
      <c r="AJ25" s="7">
        <v>0</v>
      </c>
      <c r="AK25" s="4">
        <v>0</v>
      </c>
      <c r="AL25" s="7">
        <v>0</v>
      </c>
      <c r="AM25" s="7">
        <v>0</v>
      </c>
      <c r="AN25" s="4">
        <v>2.4</v>
      </c>
      <c r="AO25" s="7">
        <v>8.0500000000000007</v>
      </c>
      <c r="AP25" s="7">
        <v>10.45</v>
      </c>
      <c r="AQ25" s="4">
        <v>2</v>
      </c>
      <c r="AR25" s="7">
        <v>5.2</v>
      </c>
      <c r="AS25" s="7">
        <v>7.2</v>
      </c>
      <c r="AT25" s="4">
        <f t="shared" si="3"/>
        <v>8.6</v>
      </c>
      <c r="AU25" s="7">
        <f t="shared" si="4"/>
        <v>20.55</v>
      </c>
      <c r="AV25" s="7">
        <f t="shared" si="5"/>
        <v>29.15</v>
      </c>
      <c r="AW25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25" s="4">
        <v>4.4000000000000004</v>
      </c>
      <c r="AY25" s="7">
        <v>7.55</v>
      </c>
      <c r="AZ25" s="7">
        <v>11.95</v>
      </c>
      <c r="BA25" s="4">
        <v>0</v>
      </c>
      <c r="BB25" s="7">
        <v>0</v>
      </c>
      <c r="BC25" s="7">
        <v>0</v>
      </c>
      <c r="BD25" s="4">
        <v>0</v>
      </c>
      <c r="BE25" s="7">
        <v>0</v>
      </c>
      <c r="BF25" s="7">
        <v>0</v>
      </c>
      <c r="BG25" s="4">
        <v>0</v>
      </c>
      <c r="BH25" s="7">
        <v>0</v>
      </c>
      <c r="BI25" s="7">
        <v>0</v>
      </c>
      <c r="BJ25" s="4">
        <v>0</v>
      </c>
      <c r="BK25" s="7">
        <v>0</v>
      </c>
      <c r="BL25" s="7">
        <v>0</v>
      </c>
      <c r="BM25" s="4">
        <v>2.1</v>
      </c>
      <c r="BN25" s="7">
        <v>8.5</v>
      </c>
      <c r="BO25" s="7">
        <v>10.6</v>
      </c>
      <c r="BP25" s="4">
        <f t="shared" si="6"/>
        <v>6.5</v>
      </c>
      <c r="BQ25" s="7">
        <f t="shared" si="7"/>
        <v>16.05</v>
      </c>
      <c r="BR25" s="7">
        <f t="shared" si="8"/>
        <v>22.549999999999997</v>
      </c>
      <c r="BS25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25" s="4">
        <v>0</v>
      </c>
      <c r="BU25" s="7">
        <v>0</v>
      </c>
      <c r="BV25" s="7">
        <v>0</v>
      </c>
      <c r="BW25" s="4">
        <v>0</v>
      </c>
      <c r="BX25" s="7">
        <v>0</v>
      </c>
      <c r="BY25" s="7">
        <v>0</v>
      </c>
      <c r="BZ25" s="4">
        <v>0</v>
      </c>
      <c r="CA25" s="7">
        <v>0</v>
      </c>
      <c r="CB25" s="7">
        <v>0</v>
      </c>
      <c r="CC25" s="4">
        <v>0</v>
      </c>
      <c r="CD25" s="7">
        <v>0</v>
      </c>
      <c r="CE25" s="7">
        <v>0</v>
      </c>
      <c r="CF25" s="4">
        <v>0</v>
      </c>
      <c r="CG25" s="7">
        <v>0</v>
      </c>
      <c r="CH25" s="7">
        <v>0</v>
      </c>
      <c r="CI25" s="4">
        <v>0</v>
      </c>
      <c r="CJ25" s="7">
        <v>0</v>
      </c>
      <c r="CK25" s="7">
        <v>0</v>
      </c>
      <c r="CL25" s="4">
        <f t="shared" si="9"/>
        <v>0</v>
      </c>
      <c r="CM25" s="7">
        <f t="shared" si="10"/>
        <v>0</v>
      </c>
      <c r="CN25" s="7">
        <f t="shared" si="11"/>
        <v>0</v>
      </c>
      <c r="CO25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2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C25" s="43" t="s">
        <v>63</v>
      </c>
      <c r="DD25" s="43" t="s">
        <v>60</v>
      </c>
      <c r="DE25" s="43" t="s">
        <v>39</v>
      </c>
      <c r="DF25">
        <v>4</v>
      </c>
      <c r="DG25" t="s">
        <v>325</v>
      </c>
      <c r="DH25" s="43" t="s">
        <v>268</v>
      </c>
      <c r="DI25">
        <v>74</v>
      </c>
    </row>
    <row r="26" spans="1:113" x14ac:dyDescent="0.25">
      <c r="A26" t="s">
        <v>70</v>
      </c>
      <c r="B26" s="2" t="s">
        <v>60</v>
      </c>
      <c r="C26" s="2" t="s">
        <v>71</v>
      </c>
      <c r="D26" t="s">
        <v>72</v>
      </c>
      <c r="E26" s="2">
        <f>SUM(COUNTIF(AA[[#This Row],[Bydgoszcz_all_around]],"Yes"),COUNTIF(AA[[#This Row],[Zabrze_all_around]],"Yes"),COUNTIF(AA[[#This Row],[Cracow_all_around]],"Yes"),COUNTIF(AA[[#This Row],[Gdansk_all_Around]],"Yes"))</f>
        <v>1</v>
      </c>
      <c r="F26" s="4">
        <v>0</v>
      </c>
      <c r="G26" s="7">
        <v>0</v>
      </c>
      <c r="H26" s="7">
        <v>0</v>
      </c>
      <c r="I26" s="4">
        <v>0</v>
      </c>
      <c r="J26" s="7">
        <v>0</v>
      </c>
      <c r="K26" s="7">
        <v>0</v>
      </c>
      <c r="L26" s="4">
        <v>0</v>
      </c>
      <c r="M26" s="7">
        <v>0</v>
      </c>
      <c r="N26" s="7">
        <v>0</v>
      </c>
      <c r="O26" s="4">
        <v>0</v>
      </c>
      <c r="P26" s="7">
        <v>0</v>
      </c>
      <c r="Q26" s="7">
        <v>0</v>
      </c>
      <c r="R26" s="4">
        <v>0</v>
      </c>
      <c r="S26" s="7">
        <v>0</v>
      </c>
      <c r="T26" s="7">
        <v>0</v>
      </c>
      <c r="U26" s="4">
        <v>0</v>
      </c>
      <c r="V26" s="7">
        <v>0</v>
      </c>
      <c r="W26" s="7">
        <v>0</v>
      </c>
      <c r="X26" s="4">
        <f t="shared" si="0"/>
        <v>0</v>
      </c>
      <c r="Y26" s="7">
        <f t="shared" si="1"/>
        <v>0</v>
      </c>
      <c r="Z26" s="7">
        <f t="shared" si="2"/>
        <v>0</v>
      </c>
      <c r="AA26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26" s="4">
        <v>5</v>
      </c>
      <c r="AC26" s="7">
        <v>6.8</v>
      </c>
      <c r="AD26" s="7">
        <v>11.8</v>
      </c>
      <c r="AE26" s="4">
        <v>3.3</v>
      </c>
      <c r="AF26" s="7">
        <v>6</v>
      </c>
      <c r="AG26" s="7">
        <v>9.3000000000000007</v>
      </c>
      <c r="AH26" s="4">
        <v>4.0999999999999996</v>
      </c>
      <c r="AI26" s="7">
        <v>7.6</v>
      </c>
      <c r="AJ26" s="7">
        <v>11.7</v>
      </c>
      <c r="AK26" s="4">
        <v>5.2</v>
      </c>
      <c r="AL26" s="7">
        <v>8.25</v>
      </c>
      <c r="AM26" s="7">
        <v>13.45</v>
      </c>
      <c r="AN26" s="4">
        <v>4.3</v>
      </c>
      <c r="AO26" s="7">
        <v>8.1999999999999993</v>
      </c>
      <c r="AP26" s="7">
        <v>12.5</v>
      </c>
      <c r="AQ26" s="4">
        <v>3.7</v>
      </c>
      <c r="AR26" s="7">
        <v>7.95</v>
      </c>
      <c r="AS26" s="7">
        <v>11.65</v>
      </c>
      <c r="AT26" s="4">
        <f t="shared" si="3"/>
        <v>25.6</v>
      </c>
      <c r="AU26" s="7">
        <f t="shared" si="4"/>
        <v>44.8</v>
      </c>
      <c r="AV26" s="7">
        <f t="shared" si="5"/>
        <v>70.400000000000006</v>
      </c>
      <c r="AW26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26" s="4">
        <v>4.9000000000000004</v>
      </c>
      <c r="AY26" s="7">
        <v>7.6</v>
      </c>
      <c r="AZ26" s="7">
        <v>12.5</v>
      </c>
      <c r="BA26" s="4">
        <v>3.6</v>
      </c>
      <c r="BB26" s="7">
        <v>6.7</v>
      </c>
      <c r="BC26" s="7">
        <v>10.3</v>
      </c>
      <c r="BD26" s="4">
        <v>4.0999999999999996</v>
      </c>
      <c r="BE26" s="7">
        <v>7.8</v>
      </c>
      <c r="BF26" s="7">
        <v>11.9</v>
      </c>
      <c r="BG26" s="4">
        <v>5.2</v>
      </c>
      <c r="BH26" s="7">
        <v>7.65</v>
      </c>
      <c r="BI26" s="7">
        <v>12.85</v>
      </c>
      <c r="BJ26" s="4">
        <v>0</v>
      </c>
      <c r="BK26" s="7">
        <v>0</v>
      </c>
      <c r="BL26" s="7">
        <v>0</v>
      </c>
      <c r="BM26" s="4">
        <v>3.7</v>
      </c>
      <c r="BN26" s="7">
        <v>7.4</v>
      </c>
      <c r="BO26" s="7">
        <v>11.1</v>
      </c>
      <c r="BP26" s="4">
        <f t="shared" si="6"/>
        <v>21.5</v>
      </c>
      <c r="BQ26" s="7">
        <f t="shared" si="7"/>
        <v>37.15</v>
      </c>
      <c r="BR26" s="7">
        <f t="shared" si="8"/>
        <v>58.650000000000006</v>
      </c>
      <c r="BS26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26" s="4">
        <v>0</v>
      </c>
      <c r="BU26" s="7">
        <v>0</v>
      </c>
      <c r="BV26" s="7">
        <v>0</v>
      </c>
      <c r="BW26" s="4">
        <v>0</v>
      </c>
      <c r="BX26" s="7">
        <v>0</v>
      </c>
      <c r="BY26" s="7">
        <v>0</v>
      </c>
      <c r="BZ26" s="4">
        <v>0</v>
      </c>
      <c r="CA26" s="7">
        <v>0</v>
      </c>
      <c r="CB26" s="7">
        <v>0</v>
      </c>
      <c r="CC26" s="4">
        <v>0</v>
      </c>
      <c r="CD26" s="7">
        <v>0</v>
      </c>
      <c r="CE26" s="7">
        <v>0</v>
      </c>
      <c r="CF26" s="4">
        <v>0</v>
      </c>
      <c r="CG26" s="7">
        <v>0</v>
      </c>
      <c r="CH26" s="7">
        <v>0</v>
      </c>
      <c r="CI26" s="4">
        <v>0</v>
      </c>
      <c r="CJ26" s="7">
        <v>0</v>
      </c>
      <c r="CK26" s="7">
        <v>0</v>
      </c>
      <c r="CL26" s="4">
        <f t="shared" si="9"/>
        <v>0</v>
      </c>
      <c r="CM26" s="7">
        <f t="shared" si="10"/>
        <v>0</v>
      </c>
      <c r="CN26" s="7">
        <f t="shared" si="11"/>
        <v>0</v>
      </c>
      <c r="CO26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2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C26" s="43" t="s">
        <v>63</v>
      </c>
      <c r="DD26" s="43" t="s">
        <v>60</v>
      </c>
      <c r="DE26" s="43" t="s">
        <v>39</v>
      </c>
      <c r="DF26">
        <v>4</v>
      </c>
      <c r="DG26" t="s">
        <v>330</v>
      </c>
      <c r="DH26" s="43" t="s">
        <v>308</v>
      </c>
      <c r="DI26">
        <v>28.1</v>
      </c>
    </row>
    <row r="27" spans="1:113" ht="21" x14ac:dyDescent="0.35">
      <c r="A27" t="s">
        <v>88</v>
      </c>
      <c r="B27" s="2" t="s">
        <v>60</v>
      </c>
      <c r="C27" s="2" t="s">
        <v>89</v>
      </c>
      <c r="D27" t="s">
        <v>36</v>
      </c>
      <c r="E27" s="2">
        <f>SUM(COUNTIF(AA[[#This Row],[Bydgoszcz_all_around]],"Yes"),COUNTIF(AA[[#This Row],[Zabrze_all_around]],"Yes"),COUNTIF(AA[[#This Row],[Cracow_all_around]],"Yes"),COUNTIF(AA[[#This Row],[Gdansk_all_Around]],"Yes"))</f>
        <v>1</v>
      </c>
      <c r="F27" s="4">
        <v>0</v>
      </c>
      <c r="G27" s="7">
        <v>0</v>
      </c>
      <c r="H27" s="7">
        <v>0</v>
      </c>
      <c r="I27" s="4">
        <v>0</v>
      </c>
      <c r="J27" s="7">
        <v>0</v>
      </c>
      <c r="K27" s="7">
        <v>0</v>
      </c>
      <c r="L27" s="4">
        <v>0</v>
      </c>
      <c r="M27" s="7">
        <v>0</v>
      </c>
      <c r="N27" s="7">
        <v>0</v>
      </c>
      <c r="O27" s="4">
        <v>0</v>
      </c>
      <c r="P27" s="7">
        <v>0</v>
      </c>
      <c r="Q27" s="7">
        <v>0</v>
      </c>
      <c r="R27" s="4">
        <v>0</v>
      </c>
      <c r="S27" s="7">
        <v>0</v>
      </c>
      <c r="T27" s="7">
        <v>0</v>
      </c>
      <c r="U27" s="4">
        <v>0</v>
      </c>
      <c r="V27" s="7">
        <v>0</v>
      </c>
      <c r="W27" s="7">
        <v>0</v>
      </c>
      <c r="X27" s="4">
        <f t="shared" si="0"/>
        <v>0</v>
      </c>
      <c r="Y27" s="7">
        <f t="shared" si="1"/>
        <v>0</v>
      </c>
      <c r="Z27" s="7">
        <f t="shared" si="2"/>
        <v>0</v>
      </c>
      <c r="AA27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27" s="4">
        <v>0</v>
      </c>
      <c r="AC27" s="7">
        <v>0</v>
      </c>
      <c r="AD27" s="7">
        <v>0</v>
      </c>
      <c r="AE27" s="4">
        <v>2.7</v>
      </c>
      <c r="AF27" s="7">
        <v>7</v>
      </c>
      <c r="AG27" s="7">
        <v>9.6999999999999993</v>
      </c>
      <c r="AH27" s="4">
        <v>2.5</v>
      </c>
      <c r="AI27" s="7">
        <v>7.2</v>
      </c>
      <c r="AJ27" s="7">
        <v>9.6999999999999993</v>
      </c>
      <c r="AK27" s="4">
        <v>0</v>
      </c>
      <c r="AL27" s="7">
        <v>0</v>
      </c>
      <c r="AM27" s="7">
        <v>0</v>
      </c>
      <c r="AN27" s="4">
        <v>2.8</v>
      </c>
      <c r="AO27" s="7">
        <v>7.4</v>
      </c>
      <c r="AP27" s="7">
        <v>10.199999999999999</v>
      </c>
      <c r="AQ27" s="4">
        <v>2.1</v>
      </c>
      <c r="AR27" s="7">
        <v>6.9</v>
      </c>
      <c r="AS27" s="7">
        <v>9</v>
      </c>
      <c r="AT27" s="4">
        <f t="shared" si="3"/>
        <v>10.1</v>
      </c>
      <c r="AU27" s="7">
        <f t="shared" si="4"/>
        <v>28.5</v>
      </c>
      <c r="AV27" s="7">
        <f t="shared" si="5"/>
        <v>38.599999999999994</v>
      </c>
      <c r="AW27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27" s="4">
        <v>0</v>
      </c>
      <c r="AY27" s="7">
        <v>0</v>
      </c>
      <c r="AZ27" s="7">
        <v>0</v>
      </c>
      <c r="BA27" s="4">
        <v>0</v>
      </c>
      <c r="BB27" s="7">
        <v>0</v>
      </c>
      <c r="BC27" s="7">
        <v>0</v>
      </c>
      <c r="BD27" s="4">
        <v>0</v>
      </c>
      <c r="BE27" s="7">
        <v>0</v>
      </c>
      <c r="BF27" s="7">
        <v>0</v>
      </c>
      <c r="BG27" s="4">
        <v>0</v>
      </c>
      <c r="BH27" s="7">
        <v>0</v>
      </c>
      <c r="BI27" s="7">
        <v>0</v>
      </c>
      <c r="BJ27" s="4">
        <v>0</v>
      </c>
      <c r="BK27" s="7">
        <v>0</v>
      </c>
      <c r="BL27" s="7">
        <v>0</v>
      </c>
      <c r="BM27" s="4">
        <v>0</v>
      </c>
      <c r="BN27" s="7">
        <v>0</v>
      </c>
      <c r="BO27" s="7">
        <v>0</v>
      </c>
      <c r="BP27" s="4">
        <f t="shared" si="6"/>
        <v>0</v>
      </c>
      <c r="BQ27" s="7">
        <f t="shared" si="7"/>
        <v>0</v>
      </c>
      <c r="BR27" s="7">
        <f t="shared" si="8"/>
        <v>0</v>
      </c>
      <c r="BS27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27" s="4">
        <v>3.2</v>
      </c>
      <c r="BU27" s="7">
        <v>7</v>
      </c>
      <c r="BV27" s="7">
        <v>10.199999999999999</v>
      </c>
      <c r="BW27" s="4">
        <v>2.4</v>
      </c>
      <c r="BX27" s="7">
        <v>5.8</v>
      </c>
      <c r="BY27" s="7">
        <v>8.1999999999999993</v>
      </c>
      <c r="BZ27" s="4">
        <v>2.2000000000000002</v>
      </c>
      <c r="CA27" s="7">
        <v>7.7</v>
      </c>
      <c r="CB27" s="7">
        <v>9.9</v>
      </c>
      <c r="CC27" s="4">
        <v>2.4</v>
      </c>
      <c r="CD27" s="7">
        <v>8</v>
      </c>
      <c r="CE27" s="7">
        <v>10.4</v>
      </c>
      <c r="CF27" s="4">
        <v>2.7</v>
      </c>
      <c r="CG27" s="7">
        <v>7.9</v>
      </c>
      <c r="CH27" s="7">
        <v>10.6</v>
      </c>
      <c r="CI27" s="4">
        <v>1.9</v>
      </c>
      <c r="CJ27" s="7">
        <v>4.2</v>
      </c>
      <c r="CK27" s="7">
        <v>6.1</v>
      </c>
      <c r="CL27" s="4">
        <f t="shared" si="9"/>
        <v>14.799999999999999</v>
      </c>
      <c r="CM27" s="7">
        <f t="shared" si="10"/>
        <v>40.6</v>
      </c>
      <c r="CN27" s="7">
        <f t="shared" si="11"/>
        <v>55.4</v>
      </c>
      <c r="CO27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2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CX27" s="44" t="s">
        <v>332</v>
      </c>
      <c r="CY27" s="44" t="s">
        <v>2</v>
      </c>
      <c r="CZ27" s="45"/>
      <c r="DC27" s="43" t="s">
        <v>63</v>
      </c>
      <c r="DD27" s="43" t="s">
        <v>60</v>
      </c>
      <c r="DE27" s="43" t="s">
        <v>39</v>
      </c>
      <c r="DF27">
        <v>4</v>
      </c>
      <c r="DG27" t="s">
        <v>330</v>
      </c>
      <c r="DH27" s="43" t="s">
        <v>309</v>
      </c>
      <c r="DI27">
        <v>47.75</v>
      </c>
    </row>
    <row r="28" spans="1:113" ht="21" x14ac:dyDescent="0.35">
      <c r="A28" t="s">
        <v>118</v>
      </c>
      <c r="B28" s="2" t="s">
        <v>60</v>
      </c>
      <c r="C28" s="2" t="s">
        <v>119</v>
      </c>
      <c r="D28" t="s">
        <v>31</v>
      </c>
      <c r="E28" s="2">
        <f>SUM(COUNTIF(AA[[#This Row],[Bydgoszcz_all_around]],"Yes"),COUNTIF(AA[[#This Row],[Zabrze_all_around]],"Yes"),COUNTIF(AA[[#This Row],[Cracow_all_around]],"Yes"),COUNTIF(AA[[#This Row],[Gdansk_all_Around]],"Yes"))</f>
        <v>1</v>
      </c>
      <c r="F28" s="4">
        <v>0</v>
      </c>
      <c r="G28" s="7">
        <v>0</v>
      </c>
      <c r="H28" s="7">
        <v>0</v>
      </c>
      <c r="I28" s="4">
        <v>0</v>
      </c>
      <c r="J28" s="7">
        <v>0</v>
      </c>
      <c r="K28" s="7">
        <v>0</v>
      </c>
      <c r="L28" s="4">
        <v>0</v>
      </c>
      <c r="M28" s="7">
        <v>0</v>
      </c>
      <c r="N28" s="7">
        <v>0</v>
      </c>
      <c r="O28" s="4">
        <v>0</v>
      </c>
      <c r="P28" s="7">
        <v>0</v>
      </c>
      <c r="Q28" s="7">
        <v>0</v>
      </c>
      <c r="R28" s="4">
        <v>0</v>
      </c>
      <c r="S28" s="7">
        <v>0</v>
      </c>
      <c r="T28" s="7">
        <v>0</v>
      </c>
      <c r="U28" s="4">
        <v>0</v>
      </c>
      <c r="V28" s="7">
        <v>0</v>
      </c>
      <c r="W28" s="7">
        <v>0</v>
      </c>
      <c r="X28" s="4">
        <f t="shared" si="0"/>
        <v>0</v>
      </c>
      <c r="Y28" s="7">
        <f t="shared" si="1"/>
        <v>0</v>
      </c>
      <c r="Z28" s="7">
        <f t="shared" si="2"/>
        <v>0</v>
      </c>
      <c r="AA28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28" s="4">
        <v>0</v>
      </c>
      <c r="AC28" s="7">
        <v>0</v>
      </c>
      <c r="AD28" s="7">
        <v>0</v>
      </c>
      <c r="AE28" s="4">
        <v>0</v>
      </c>
      <c r="AF28" s="7">
        <v>0</v>
      </c>
      <c r="AG28" s="7">
        <v>0</v>
      </c>
      <c r="AH28" s="4">
        <v>0</v>
      </c>
      <c r="AI28" s="7">
        <v>0</v>
      </c>
      <c r="AJ28" s="7">
        <v>0</v>
      </c>
      <c r="AK28" s="4">
        <v>0</v>
      </c>
      <c r="AL28" s="7">
        <v>0</v>
      </c>
      <c r="AM28" s="7">
        <v>0</v>
      </c>
      <c r="AN28" s="4">
        <v>0</v>
      </c>
      <c r="AO28" s="7">
        <v>0</v>
      </c>
      <c r="AP28" s="7">
        <v>0</v>
      </c>
      <c r="AQ28" s="4">
        <v>0</v>
      </c>
      <c r="AR28" s="7">
        <v>0</v>
      </c>
      <c r="AS28" s="7">
        <v>0</v>
      </c>
      <c r="AT28" s="4">
        <f t="shared" si="3"/>
        <v>0</v>
      </c>
      <c r="AU28" s="7">
        <f t="shared" si="4"/>
        <v>0</v>
      </c>
      <c r="AV28" s="7">
        <f t="shared" si="5"/>
        <v>0</v>
      </c>
      <c r="AW28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28" s="4">
        <v>4.8</v>
      </c>
      <c r="AY28" s="7">
        <v>7.7</v>
      </c>
      <c r="AZ28" s="7">
        <v>12.5</v>
      </c>
      <c r="BA28" s="4">
        <v>4.5999999999999996</v>
      </c>
      <c r="BB28" s="7">
        <v>7.7</v>
      </c>
      <c r="BC28" s="7">
        <v>12.3</v>
      </c>
      <c r="BD28" s="4">
        <v>4</v>
      </c>
      <c r="BE28" s="7">
        <v>7.65</v>
      </c>
      <c r="BF28" s="7">
        <v>11.65</v>
      </c>
      <c r="BG28" s="4">
        <v>4</v>
      </c>
      <c r="BH28" s="7">
        <v>9.3000000000000007</v>
      </c>
      <c r="BI28" s="7">
        <v>13.3</v>
      </c>
      <c r="BJ28" s="4">
        <v>4.3</v>
      </c>
      <c r="BK28" s="7">
        <v>7.1</v>
      </c>
      <c r="BL28" s="7">
        <v>11.4</v>
      </c>
      <c r="BM28" s="4">
        <v>3.7</v>
      </c>
      <c r="BN28" s="7">
        <v>8.15</v>
      </c>
      <c r="BO28" s="7">
        <v>11.85</v>
      </c>
      <c r="BP28" s="4">
        <f t="shared" si="6"/>
        <v>25.4</v>
      </c>
      <c r="BQ28" s="7">
        <f t="shared" si="7"/>
        <v>47.6</v>
      </c>
      <c r="BR28" s="7">
        <f t="shared" si="8"/>
        <v>73</v>
      </c>
      <c r="BS28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28" s="4">
        <v>0</v>
      </c>
      <c r="BU28" s="7">
        <v>0</v>
      </c>
      <c r="BV28" s="7">
        <v>0</v>
      </c>
      <c r="BW28" s="4">
        <v>0</v>
      </c>
      <c r="BX28" s="7">
        <v>0</v>
      </c>
      <c r="BY28" s="7">
        <v>0</v>
      </c>
      <c r="BZ28" s="4">
        <v>0</v>
      </c>
      <c r="CA28" s="7">
        <v>0</v>
      </c>
      <c r="CB28" s="7">
        <v>0</v>
      </c>
      <c r="CC28" s="4">
        <v>0</v>
      </c>
      <c r="CD28" s="7">
        <v>0</v>
      </c>
      <c r="CE28" s="7">
        <v>0</v>
      </c>
      <c r="CF28" s="4">
        <v>0</v>
      </c>
      <c r="CG28" s="7">
        <v>0</v>
      </c>
      <c r="CH28" s="7">
        <v>0</v>
      </c>
      <c r="CI28" s="4">
        <v>0</v>
      </c>
      <c r="CJ28" s="7">
        <v>0</v>
      </c>
      <c r="CK28" s="7">
        <v>0</v>
      </c>
      <c r="CL28" s="4">
        <f t="shared" si="9"/>
        <v>0</v>
      </c>
      <c r="CM28" s="7">
        <f t="shared" si="10"/>
        <v>0</v>
      </c>
      <c r="CN28" s="7">
        <f t="shared" si="11"/>
        <v>0</v>
      </c>
      <c r="CO28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2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CX28" s="44" t="s">
        <v>346</v>
      </c>
      <c r="CY28" s="45" t="s">
        <v>26</v>
      </c>
      <c r="CZ28" s="45" t="s">
        <v>60</v>
      </c>
      <c r="DC28" s="43" t="s">
        <v>63</v>
      </c>
      <c r="DD28" s="43" t="s">
        <v>60</v>
      </c>
      <c r="DE28" s="43" t="s">
        <v>39</v>
      </c>
      <c r="DF28">
        <v>4</v>
      </c>
      <c r="DG28" t="s">
        <v>330</v>
      </c>
      <c r="DH28" s="43" t="s">
        <v>268</v>
      </c>
      <c r="DI28">
        <v>75.849999999999994</v>
      </c>
    </row>
    <row r="29" spans="1:113" ht="21" x14ac:dyDescent="0.35">
      <c r="A29" t="s">
        <v>142</v>
      </c>
      <c r="B29" s="2" t="s">
        <v>60</v>
      </c>
      <c r="C29" s="2" t="s">
        <v>143</v>
      </c>
      <c r="D29" t="s">
        <v>62</v>
      </c>
      <c r="E29" s="2">
        <f>SUM(COUNTIF(AA[[#This Row],[Bydgoszcz_all_around]],"Yes"),COUNTIF(AA[[#This Row],[Zabrze_all_around]],"Yes"),COUNTIF(AA[[#This Row],[Cracow_all_around]],"Yes"),COUNTIF(AA[[#This Row],[Gdansk_all_Around]],"Yes"))</f>
        <v>1</v>
      </c>
      <c r="F29" s="4">
        <v>4.5</v>
      </c>
      <c r="G29" s="7">
        <v>8.6999999999999993</v>
      </c>
      <c r="H29" s="7">
        <v>13.2</v>
      </c>
      <c r="I29" s="4">
        <v>3.8</v>
      </c>
      <c r="J29" s="7">
        <v>7.9</v>
      </c>
      <c r="K29" s="7">
        <v>11.7</v>
      </c>
      <c r="L29" s="4">
        <v>2.7</v>
      </c>
      <c r="M29" s="7">
        <v>8</v>
      </c>
      <c r="N29" s="7">
        <v>10.7</v>
      </c>
      <c r="O29" s="4">
        <v>3.2</v>
      </c>
      <c r="P29" s="7">
        <v>9.5</v>
      </c>
      <c r="Q29" s="7">
        <v>12.7</v>
      </c>
      <c r="R29" s="4">
        <v>3.4</v>
      </c>
      <c r="S29" s="7">
        <v>7.9</v>
      </c>
      <c r="T29" s="7">
        <v>11.3</v>
      </c>
      <c r="U29" s="4">
        <v>3.6</v>
      </c>
      <c r="V29" s="7">
        <v>8</v>
      </c>
      <c r="W29" s="7">
        <v>11.6</v>
      </c>
      <c r="X29" s="4">
        <f t="shared" si="0"/>
        <v>21.2</v>
      </c>
      <c r="Y29" s="7">
        <f t="shared" si="1"/>
        <v>50</v>
      </c>
      <c r="Z29" s="7">
        <f t="shared" si="2"/>
        <v>71.199999999999989</v>
      </c>
      <c r="AA29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29" s="4">
        <v>0</v>
      </c>
      <c r="AC29" s="7">
        <v>0</v>
      </c>
      <c r="AD29" s="7">
        <v>0</v>
      </c>
      <c r="AE29" s="4">
        <v>0</v>
      </c>
      <c r="AF29" s="7">
        <v>0</v>
      </c>
      <c r="AG29" s="7">
        <v>0</v>
      </c>
      <c r="AH29" s="4">
        <v>0</v>
      </c>
      <c r="AI29" s="7">
        <v>0</v>
      </c>
      <c r="AJ29" s="7">
        <v>0</v>
      </c>
      <c r="AK29" s="4">
        <v>0</v>
      </c>
      <c r="AL29" s="7">
        <v>0</v>
      </c>
      <c r="AM29" s="7">
        <v>0</v>
      </c>
      <c r="AN29" s="4">
        <v>0</v>
      </c>
      <c r="AO29" s="7">
        <v>0</v>
      </c>
      <c r="AP29" s="7">
        <v>0</v>
      </c>
      <c r="AQ29" s="4">
        <v>0</v>
      </c>
      <c r="AR29" s="7">
        <v>0</v>
      </c>
      <c r="AS29" s="7">
        <v>0</v>
      </c>
      <c r="AT29" s="4">
        <f t="shared" si="3"/>
        <v>0</v>
      </c>
      <c r="AU29" s="7">
        <f t="shared" si="4"/>
        <v>0</v>
      </c>
      <c r="AV29" s="7">
        <f t="shared" si="5"/>
        <v>0</v>
      </c>
      <c r="AW29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29" s="4">
        <v>0</v>
      </c>
      <c r="AY29" s="7">
        <v>0</v>
      </c>
      <c r="AZ29" s="7">
        <v>0</v>
      </c>
      <c r="BA29" s="4">
        <v>0</v>
      </c>
      <c r="BB29" s="7">
        <v>0</v>
      </c>
      <c r="BC29" s="7">
        <v>0</v>
      </c>
      <c r="BD29" s="4">
        <v>0</v>
      </c>
      <c r="BE29" s="7">
        <v>0</v>
      </c>
      <c r="BF29" s="7">
        <v>0</v>
      </c>
      <c r="BG29" s="4">
        <v>0</v>
      </c>
      <c r="BH29" s="7">
        <v>0</v>
      </c>
      <c r="BI29" s="7">
        <v>0</v>
      </c>
      <c r="BJ29" s="4">
        <v>0</v>
      </c>
      <c r="BK29" s="7">
        <v>0</v>
      </c>
      <c r="BL29" s="7">
        <v>0</v>
      </c>
      <c r="BM29" s="4">
        <v>0</v>
      </c>
      <c r="BN29" s="7">
        <v>0</v>
      </c>
      <c r="BO29" s="7">
        <v>0</v>
      </c>
      <c r="BP29" s="4">
        <f t="shared" si="6"/>
        <v>0</v>
      </c>
      <c r="BQ29" s="7">
        <f t="shared" si="7"/>
        <v>0</v>
      </c>
      <c r="BR29" s="7">
        <f t="shared" si="8"/>
        <v>0</v>
      </c>
      <c r="BS29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29" s="4">
        <v>0</v>
      </c>
      <c r="BU29" s="7">
        <v>0</v>
      </c>
      <c r="BV29" s="7">
        <v>0</v>
      </c>
      <c r="BW29" s="4">
        <v>0</v>
      </c>
      <c r="BX29" s="7">
        <v>0</v>
      </c>
      <c r="BY29" s="7">
        <v>0</v>
      </c>
      <c r="BZ29" s="4">
        <v>0</v>
      </c>
      <c r="CA29" s="7">
        <v>0</v>
      </c>
      <c r="CB29" s="7">
        <v>0</v>
      </c>
      <c r="CC29" s="4">
        <v>0</v>
      </c>
      <c r="CD29" s="7">
        <v>0</v>
      </c>
      <c r="CE29" s="7">
        <v>0</v>
      </c>
      <c r="CF29" s="4">
        <v>0</v>
      </c>
      <c r="CG29" s="7">
        <v>0</v>
      </c>
      <c r="CH29" s="7">
        <v>0</v>
      </c>
      <c r="CI29" s="4">
        <v>0</v>
      </c>
      <c r="CJ29" s="7">
        <v>0</v>
      </c>
      <c r="CK29" s="7">
        <v>0</v>
      </c>
      <c r="CL29" s="4">
        <f t="shared" si="9"/>
        <v>0</v>
      </c>
      <c r="CM29" s="7">
        <f t="shared" si="10"/>
        <v>0</v>
      </c>
      <c r="CN29" s="7">
        <f t="shared" si="11"/>
        <v>0</v>
      </c>
      <c r="CO29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2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CX29" s="46" t="s">
        <v>268</v>
      </c>
      <c r="CY29" s="47">
        <v>10</v>
      </c>
      <c r="CZ29" s="47">
        <v>7</v>
      </c>
      <c r="DC29" s="43" t="s">
        <v>63</v>
      </c>
      <c r="DD29" s="43" t="s">
        <v>60</v>
      </c>
      <c r="DE29" s="43" t="s">
        <v>39</v>
      </c>
      <c r="DF29">
        <v>4</v>
      </c>
      <c r="DG29" t="s">
        <v>331</v>
      </c>
      <c r="DH29" s="43" t="s">
        <v>308</v>
      </c>
      <c r="DI29">
        <v>27.4</v>
      </c>
    </row>
    <row r="30" spans="1:113" ht="21" x14ac:dyDescent="0.35">
      <c r="A30" t="s">
        <v>132</v>
      </c>
      <c r="B30" s="2" t="s">
        <v>26</v>
      </c>
      <c r="C30" s="2" t="s">
        <v>133</v>
      </c>
      <c r="D30" t="s">
        <v>39</v>
      </c>
      <c r="E30" s="2">
        <f>SUM(COUNTIF(AA[[#This Row],[Bydgoszcz_all_around]],"Yes"),COUNTIF(AA[[#This Row],[Zabrze_all_around]],"Yes"),COUNTIF(AA[[#This Row],[Cracow_all_around]],"Yes"),COUNTIF(AA[[#This Row],[Gdansk_all_Around]],"Yes"))</f>
        <v>1</v>
      </c>
      <c r="F30" s="4">
        <v>3.8</v>
      </c>
      <c r="G30" s="7">
        <v>7.8</v>
      </c>
      <c r="H30" s="7">
        <v>11.6</v>
      </c>
      <c r="I30" s="4">
        <v>3</v>
      </c>
      <c r="J30" s="7">
        <v>7.6</v>
      </c>
      <c r="K30" s="7">
        <v>10.6</v>
      </c>
      <c r="L30" s="4">
        <v>2.2999999999999998</v>
      </c>
      <c r="M30" s="7">
        <v>7.15</v>
      </c>
      <c r="N30" s="7">
        <v>9.4499999999999993</v>
      </c>
      <c r="O30" s="4">
        <v>2.2000000000000002</v>
      </c>
      <c r="P30" s="7">
        <v>9.1</v>
      </c>
      <c r="Q30" s="7">
        <v>11.3</v>
      </c>
      <c r="R30" s="4">
        <v>3</v>
      </c>
      <c r="S30" s="7">
        <v>8.0500000000000007</v>
      </c>
      <c r="T30" s="7">
        <v>11.05</v>
      </c>
      <c r="U30" s="4">
        <v>2.4</v>
      </c>
      <c r="V30" s="7">
        <v>9.1</v>
      </c>
      <c r="W30" s="7">
        <v>11.5</v>
      </c>
      <c r="X30" s="4">
        <f t="shared" si="0"/>
        <v>16.7</v>
      </c>
      <c r="Y30" s="7">
        <f t="shared" si="1"/>
        <v>48.800000000000004</v>
      </c>
      <c r="Z30" s="7">
        <f t="shared" si="2"/>
        <v>65.5</v>
      </c>
      <c r="AA30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30" s="4">
        <v>0</v>
      </c>
      <c r="AC30" s="7">
        <v>0</v>
      </c>
      <c r="AD30" s="7">
        <v>0</v>
      </c>
      <c r="AE30" s="4">
        <v>0</v>
      </c>
      <c r="AF30" s="7">
        <v>0</v>
      </c>
      <c r="AG30" s="7">
        <v>0</v>
      </c>
      <c r="AH30" s="4">
        <v>0</v>
      </c>
      <c r="AI30" s="7">
        <v>0</v>
      </c>
      <c r="AJ30" s="7">
        <v>0</v>
      </c>
      <c r="AK30" s="4">
        <v>0</v>
      </c>
      <c r="AL30" s="7">
        <v>0</v>
      </c>
      <c r="AM30" s="7">
        <v>0</v>
      </c>
      <c r="AN30" s="4">
        <v>0</v>
      </c>
      <c r="AO30" s="7">
        <v>0</v>
      </c>
      <c r="AP30" s="7">
        <v>0</v>
      </c>
      <c r="AQ30" s="4">
        <v>0</v>
      </c>
      <c r="AR30" s="7">
        <v>0</v>
      </c>
      <c r="AS30" s="7">
        <v>0</v>
      </c>
      <c r="AT30" s="4">
        <f t="shared" si="3"/>
        <v>0</v>
      </c>
      <c r="AU30" s="7">
        <f t="shared" si="4"/>
        <v>0</v>
      </c>
      <c r="AV30" s="7">
        <f t="shared" si="5"/>
        <v>0</v>
      </c>
      <c r="AW30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0" s="4">
        <v>0</v>
      </c>
      <c r="AY30" s="7">
        <v>0</v>
      </c>
      <c r="AZ30" s="7">
        <v>0</v>
      </c>
      <c r="BA30" s="4">
        <v>0</v>
      </c>
      <c r="BB30" s="7">
        <v>0</v>
      </c>
      <c r="BC30" s="7">
        <v>0</v>
      </c>
      <c r="BD30" s="4">
        <v>0</v>
      </c>
      <c r="BE30" s="7">
        <v>0</v>
      </c>
      <c r="BF30" s="7">
        <v>0</v>
      </c>
      <c r="BG30" s="4">
        <v>0</v>
      </c>
      <c r="BH30" s="7">
        <v>0</v>
      </c>
      <c r="BI30" s="7">
        <v>0</v>
      </c>
      <c r="BJ30" s="4">
        <v>0</v>
      </c>
      <c r="BK30" s="7">
        <v>0</v>
      </c>
      <c r="BL30" s="7">
        <v>0</v>
      </c>
      <c r="BM30" s="4">
        <v>0</v>
      </c>
      <c r="BN30" s="7">
        <v>0</v>
      </c>
      <c r="BO30" s="7">
        <v>0</v>
      </c>
      <c r="BP30" s="4">
        <f t="shared" si="6"/>
        <v>0</v>
      </c>
      <c r="BQ30" s="7">
        <f t="shared" si="7"/>
        <v>0</v>
      </c>
      <c r="BR30" s="7">
        <f t="shared" si="8"/>
        <v>0</v>
      </c>
      <c r="BS30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0" s="4">
        <v>0</v>
      </c>
      <c r="BU30" s="7">
        <v>0</v>
      </c>
      <c r="BV30" s="7">
        <v>0</v>
      </c>
      <c r="BW30" s="4">
        <v>0</v>
      </c>
      <c r="BX30" s="7">
        <v>0</v>
      </c>
      <c r="BY30" s="7">
        <v>0</v>
      </c>
      <c r="BZ30" s="4">
        <v>0</v>
      </c>
      <c r="CA30" s="7">
        <v>0</v>
      </c>
      <c r="CB30" s="7">
        <v>0</v>
      </c>
      <c r="CC30" s="4">
        <v>0</v>
      </c>
      <c r="CD30" s="7">
        <v>0</v>
      </c>
      <c r="CE30" s="7">
        <v>0</v>
      </c>
      <c r="CF30" s="4">
        <v>0</v>
      </c>
      <c r="CG30" s="7">
        <v>0</v>
      </c>
      <c r="CH30" s="7">
        <v>0</v>
      </c>
      <c r="CI30" s="4">
        <v>0</v>
      </c>
      <c r="CJ30" s="7">
        <v>0</v>
      </c>
      <c r="CK30" s="7">
        <v>0</v>
      </c>
      <c r="CL30" s="4">
        <f t="shared" si="9"/>
        <v>0</v>
      </c>
      <c r="CM30" s="7">
        <f t="shared" si="10"/>
        <v>0</v>
      </c>
      <c r="CN30" s="7">
        <f t="shared" si="11"/>
        <v>0</v>
      </c>
      <c r="CO30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CX30" s="48" t="s">
        <v>348</v>
      </c>
      <c r="CY30" s="47">
        <v>1</v>
      </c>
      <c r="CZ30" s="47"/>
      <c r="DC30" s="43" t="s">
        <v>63</v>
      </c>
      <c r="DD30" s="43" t="s">
        <v>60</v>
      </c>
      <c r="DE30" s="43" t="s">
        <v>39</v>
      </c>
      <c r="DF30">
        <v>4</v>
      </c>
      <c r="DG30" t="s">
        <v>331</v>
      </c>
      <c r="DH30" s="43" t="s">
        <v>309</v>
      </c>
      <c r="DI30">
        <v>45.15</v>
      </c>
    </row>
    <row r="31" spans="1:113" ht="21" x14ac:dyDescent="0.35">
      <c r="A31" t="s">
        <v>57</v>
      </c>
      <c r="B31" s="2" t="s">
        <v>26</v>
      </c>
      <c r="C31" s="2" t="s">
        <v>58</v>
      </c>
      <c r="D31" t="s">
        <v>36</v>
      </c>
      <c r="E31" s="2">
        <f>SUM(COUNTIF(AA[[#This Row],[Bydgoszcz_all_around]],"Yes"),COUNTIF(AA[[#This Row],[Zabrze_all_around]],"Yes"),COUNTIF(AA[[#This Row],[Cracow_all_around]],"Yes"),COUNTIF(AA[[#This Row],[Gdansk_all_Around]],"Yes"))</f>
        <v>1</v>
      </c>
      <c r="F31" s="4">
        <v>3.2</v>
      </c>
      <c r="G31" s="7">
        <v>7.3</v>
      </c>
      <c r="H31" s="7">
        <v>10.5</v>
      </c>
      <c r="I31" s="4">
        <v>2.6</v>
      </c>
      <c r="J31" s="7">
        <v>6</v>
      </c>
      <c r="K31" s="7">
        <v>8.6</v>
      </c>
      <c r="L31" s="4">
        <v>2.8</v>
      </c>
      <c r="M31" s="7">
        <v>8.1</v>
      </c>
      <c r="N31" s="7">
        <v>10.9</v>
      </c>
      <c r="O31" s="4">
        <v>1.6</v>
      </c>
      <c r="P31" s="7">
        <v>8.6999999999999993</v>
      </c>
      <c r="Q31" s="7">
        <v>10.3</v>
      </c>
      <c r="R31" s="4">
        <v>2.5</v>
      </c>
      <c r="S31" s="7">
        <v>5.7</v>
      </c>
      <c r="T31" s="7">
        <v>8.1999999999999993</v>
      </c>
      <c r="U31" s="4">
        <v>1.9</v>
      </c>
      <c r="V31" s="7">
        <v>8.1</v>
      </c>
      <c r="W31" s="7">
        <v>10</v>
      </c>
      <c r="X31" s="4">
        <f t="shared" si="0"/>
        <v>14.600000000000001</v>
      </c>
      <c r="Y31" s="7">
        <f t="shared" si="1"/>
        <v>43.9</v>
      </c>
      <c r="Z31" s="7">
        <f t="shared" si="2"/>
        <v>58.5</v>
      </c>
      <c r="AA31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31" s="4">
        <v>0</v>
      </c>
      <c r="AC31" s="7">
        <v>0</v>
      </c>
      <c r="AD31" s="7">
        <v>0</v>
      </c>
      <c r="AE31" s="4">
        <v>0</v>
      </c>
      <c r="AF31" s="7">
        <v>0</v>
      </c>
      <c r="AG31" s="7">
        <v>0</v>
      </c>
      <c r="AH31" s="4">
        <v>0</v>
      </c>
      <c r="AI31" s="7">
        <v>0</v>
      </c>
      <c r="AJ31" s="7">
        <v>0</v>
      </c>
      <c r="AK31" s="4">
        <v>0</v>
      </c>
      <c r="AL31" s="7">
        <v>0</v>
      </c>
      <c r="AM31" s="7">
        <v>0</v>
      </c>
      <c r="AN31" s="4">
        <v>0</v>
      </c>
      <c r="AO31" s="7">
        <v>0</v>
      </c>
      <c r="AP31" s="7">
        <v>0</v>
      </c>
      <c r="AQ31" s="4">
        <v>0</v>
      </c>
      <c r="AR31" s="7">
        <v>0</v>
      </c>
      <c r="AS31" s="7">
        <v>0</v>
      </c>
      <c r="AT31" s="4">
        <f t="shared" si="3"/>
        <v>0</v>
      </c>
      <c r="AU31" s="7">
        <f t="shared" si="4"/>
        <v>0</v>
      </c>
      <c r="AV31" s="7">
        <f t="shared" si="5"/>
        <v>0</v>
      </c>
      <c r="AW31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1" s="4">
        <v>0</v>
      </c>
      <c r="AY31" s="7">
        <v>0</v>
      </c>
      <c r="AZ31" s="7">
        <v>0</v>
      </c>
      <c r="BA31" s="4">
        <v>0</v>
      </c>
      <c r="BB31" s="7">
        <v>0</v>
      </c>
      <c r="BC31" s="7">
        <v>0</v>
      </c>
      <c r="BD31" s="4">
        <v>0</v>
      </c>
      <c r="BE31" s="7">
        <v>0</v>
      </c>
      <c r="BF31" s="7">
        <v>0</v>
      </c>
      <c r="BG31" s="4">
        <v>0</v>
      </c>
      <c r="BH31" s="7">
        <v>0</v>
      </c>
      <c r="BI31" s="7">
        <v>0</v>
      </c>
      <c r="BJ31" s="4">
        <v>0</v>
      </c>
      <c r="BK31" s="7">
        <v>0</v>
      </c>
      <c r="BL31" s="7">
        <v>0</v>
      </c>
      <c r="BM31" s="4">
        <v>0</v>
      </c>
      <c r="BN31" s="7">
        <v>0</v>
      </c>
      <c r="BO31" s="7">
        <v>0</v>
      </c>
      <c r="BP31" s="4">
        <f t="shared" si="6"/>
        <v>0</v>
      </c>
      <c r="BQ31" s="7">
        <f t="shared" si="7"/>
        <v>0</v>
      </c>
      <c r="BR31" s="7">
        <f t="shared" si="8"/>
        <v>0</v>
      </c>
      <c r="BS31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1" s="4">
        <v>0</v>
      </c>
      <c r="BU31" s="7">
        <v>0</v>
      </c>
      <c r="BV31" s="7">
        <v>0</v>
      </c>
      <c r="BW31" s="4">
        <v>0</v>
      </c>
      <c r="BX31" s="7">
        <v>0</v>
      </c>
      <c r="BY31" s="7">
        <v>0</v>
      </c>
      <c r="BZ31" s="4">
        <v>0</v>
      </c>
      <c r="CA31" s="7">
        <v>0</v>
      </c>
      <c r="CB31" s="7">
        <v>0</v>
      </c>
      <c r="CC31" s="4">
        <v>0</v>
      </c>
      <c r="CD31" s="7">
        <v>0</v>
      </c>
      <c r="CE31" s="7">
        <v>0</v>
      </c>
      <c r="CF31" s="4">
        <v>0</v>
      </c>
      <c r="CG31" s="7">
        <v>0</v>
      </c>
      <c r="CH31" s="7">
        <v>0</v>
      </c>
      <c r="CI31" s="4">
        <v>0</v>
      </c>
      <c r="CJ31" s="7">
        <v>0</v>
      </c>
      <c r="CK31" s="7">
        <v>0</v>
      </c>
      <c r="CL31" s="4">
        <f t="shared" si="9"/>
        <v>0</v>
      </c>
      <c r="CM31" s="7">
        <f t="shared" si="10"/>
        <v>0</v>
      </c>
      <c r="CN31" s="7">
        <f t="shared" si="11"/>
        <v>0</v>
      </c>
      <c r="CO31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CX31" s="48" t="s">
        <v>349</v>
      </c>
      <c r="CY31" s="47">
        <v>1</v>
      </c>
      <c r="CZ31" s="47"/>
      <c r="DC31" s="43" t="s">
        <v>63</v>
      </c>
      <c r="DD31" s="43" t="s">
        <v>60</v>
      </c>
      <c r="DE31" s="43" t="s">
        <v>39</v>
      </c>
      <c r="DF31">
        <v>4</v>
      </c>
      <c r="DG31" t="s">
        <v>331</v>
      </c>
      <c r="DH31" s="43" t="s">
        <v>268</v>
      </c>
      <c r="DI31">
        <v>72.55</v>
      </c>
    </row>
    <row r="32" spans="1:113" ht="21" x14ac:dyDescent="0.35">
      <c r="A32" t="s">
        <v>135</v>
      </c>
      <c r="B32" s="2" t="s">
        <v>26</v>
      </c>
      <c r="C32" s="2" t="s">
        <v>136</v>
      </c>
      <c r="D32" t="s">
        <v>124</v>
      </c>
      <c r="E32" s="2">
        <f>SUM(COUNTIF(AA[[#This Row],[Bydgoszcz_all_around]],"Yes"),COUNTIF(AA[[#This Row],[Zabrze_all_around]],"Yes"),COUNTIF(AA[[#This Row],[Cracow_all_around]],"Yes"),COUNTIF(AA[[#This Row],[Gdansk_all_Around]],"Yes"))</f>
        <v>1</v>
      </c>
      <c r="F32" s="4">
        <v>2.9</v>
      </c>
      <c r="G32" s="7">
        <v>7.8</v>
      </c>
      <c r="H32" s="7">
        <v>10.7</v>
      </c>
      <c r="I32" s="4">
        <v>1.3</v>
      </c>
      <c r="J32" s="7">
        <v>0</v>
      </c>
      <c r="K32" s="7">
        <v>1.3</v>
      </c>
      <c r="L32" s="4">
        <v>2.1</v>
      </c>
      <c r="M32" s="7">
        <v>5.2</v>
      </c>
      <c r="N32" s="7">
        <v>7.3</v>
      </c>
      <c r="O32" s="4">
        <v>2.4</v>
      </c>
      <c r="P32" s="7">
        <v>7.5</v>
      </c>
      <c r="Q32" s="7">
        <v>9.9</v>
      </c>
      <c r="R32" s="4">
        <v>1.4</v>
      </c>
      <c r="S32" s="7">
        <v>1.7</v>
      </c>
      <c r="T32" s="7">
        <v>3.1</v>
      </c>
      <c r="U32" s="4">
        <v>1.5</v>
      </c>
      <c r="V32" s="7">
        <v>5</v>
      </c>
      <c r="W32" s="7">
        <v>6.5</v>
      </c>
      <c r="X32" s="4">
        <f t="shared" si="0"/>
        <v>11.600000000000001</v>
      </c>
      <c r="Y32" s="7">
        <f t="shared" si="1"/>
        <v>27.2</v>
      </c>
      <c r="Z32" s="7">
        <f t="shared" si="2"/>
        <v>38.800000000000004</v>
      </c>
      <c r="AA32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32" s="4">
        <v>0</v>
      </c>
      <c r="AC32" s="7">
        <v>0</v>
      </c>
      <c r="AD32" s="7">
        <v>0</v>
      </c>
      <c r="AE32" s="4">
        <v>0</v>
      </c>
      <c r="AF32" s="7">
        <v>0</v>
      </c>
      <c r="AG32" s="7">
        <v>0</v>
      </c>
      <c r="AH32" s="4">
        <v>0</v>
      </c>
      <c r="AI32" s="7">
        <v>0</v>
      </c>
      <c r="AJ32" s="7">
        <v>0</v>
      </c>
      <c r="AK32" s="4">
        <v>0</v>
      </c>
      <c r="AL32" s="7">
        <v>0</v>
      </c>
      <c r="AM32" s="7">
        <v>0</v>
      </c>
      <c r="AN32" s="4">
        <v>0</v>
      </c>
      <c r="AO32" s="7">
        <v>0</v>
      </c>
      <c r="AP32" s="7">
        <v>0</v>
      </c>
      <c r="AQ32" s="4">
        <v>0</v>
      </c>
      <c r="AR32" s="7">
        <v>0</v>
      </c>
      <c r="AS32" s="7">
        <v>0</v>
      </c>
      <c r="AT32" s="4">
        <f t="shared" si="3"/>
        <v>0</v>
      </c>
      <c r="AU32" s="7">
        <f t="shared" si="4"/>
        <v>0</v>
      </c>
      <c r="AV32" s="7">
        <f t="shared" si="5"/>
        <v>0</v>
      </c>
      <c r="AW32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2" s="4">
        <v>0</v>
      </c>
      <c r="AY32" s="7">
        <v>0</v>
      </c>
      <c r="AZ32" s="7">
        <v>0</v>
      </c>
      <c r="BA32" s="4">
        <v>0</v>
      </c>
      <c r="BB32" s="7">
        <v>0</v>
      </c>
      <c r="BC32" s="7">
        <v>0</v>
      </c>
      <c r="BD32" s="4">
        <v>0</v>
      </c>
      <c r="BE32" s="7">
        <v>0</v>
      </c>
      <c r="BF32" s="7">
        <v>0</v>
      </c>
      <c r="BG32" s="4">
        <v>0</v>
      </c>
      <c r="BH32" s="7">
        <v>0</v>
      </c>
      <c r="BI32" s="7">
        <v>0</v>
      </c>
      <c r="BJ32" s="4">
        <v>0</v>
      </c>
      <c r="BK32" s="7">
        <v>0</v>
      </c>
      <c r="BL32" s="7">
        <v>0</v>
      </c>
      <c r="BM32" s="4">
        <v>0</v>
      </c>
      <c r="BN32" s="7">
        <v>0</v>
      </c>
      <c r="BO32" s="7">
        <v>0</v>
      </c>
      <c r="BP32" s="4">
        <f t="shared" si="6"/>
        <v>0</v>
      </c>
      <c r="BQ32" s="7">
        <f t="shared" si="7"/>
        <v>0</v>
      </c>
      <c r="BR32" s="7">
        <f t="shared" si="8"/>
        <v>0</v>
      </c>
      <c r="BS32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2" s="4">
        <v>0</v>
      </c>
      <c r="BU32" s="7">
        <v>0</v>
      </c>
      <c r="BV32" s="7">
        <v>0</v>
      </c>
      <c r="BW32" s="4">
        <v>0</v>
      </c>
      <c r="BX32" s="7">
        <v>0</v>
      </c>
      <c r="BY32" s="7">
        <v>0</v>
      </c>
      <c r="BZ32" s="4">
        <v>0</v>
      </c>
      <c r="CA32" s="7">
        <v>0</v>
      </c>
      <c r="CB32" s="7">
        <v>0</v>
      </c>
      <c r="CC32" s="4">
        <v>0</v>
      </c>
      <c r="CD32" s="7">
        <v>0</v>
      </c>
      <c r="CE32" s="7">
        <v>0</v>
      </c>
      <c r="CF32" s="4">
        <v>0</v>
      </c>
      <c r="CG32" s="7">
        <v>0</v>
      </c>
      <c r="CH32" s="7">
        <v>0</v>
      </c>
      <c r="CI32" s="4">
        <v>0</v>
      </c>
      <c r="CJ32" s="7">
        <v>0</v>
      </c>
      <c r="CK32" s="7">
        <v>0</v>
      </c>
      <c r="CL32" s="4">
        <f t="shared" si="9"/>
        <v>0</v>
      </c>
      <c r="CM32" s="7">
        <f t="shared" si="10"/>
        <v>0</v>
      </c>
      <c r="CN32" s="7">
        <f t="shared" si="11"/>
        <v>0</v>
      </c>
      <c r="CO32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CX32" s="48" t="s">
        <v>350</v>
      </c>
      <c r="CY32" s="47">
        <v>2</v>
      </c>
      <c r="CZ32" s="47">
        <v>1</v>
      </c>
      <c r="DC32" s="43" t="s">
        <v>63</v>
      </c>
      <c r="DD32" s="43" t="s">
        <v>60</v>
      </c>
      <c r="DE32" s="43" t="s">
        <v>39</v>
      </c>
      <c r="DF32">
        <v>4</v>
      </c>
      <c r="DG32" t="s">
        <v>341</v>
      </c>
      <c r="DH32" s="43" t="s">
        <v>308</v>
      </c>
      <c r="DI32">
        <v>84.6</v>
      </c>
    </row>
    <row r="33" spans="1:113" ht="21" x14ac:dyDescent="0.35">
      <c r="A33" t="s">
        <v>137</v>
      </c>
      <c r="B33" s="2" t="s">
        <v>26</v>
      </c>
      <c r="C33" s="2" t="s">
        <v>138</v>
      </c>
      <c r="D33" t="s">
        <v>124</v>
      </c>
      <c r="E33" s="2">
        <f>SUM(COUNTIF(AA[[#This Row],[Bydgoszcz_all_around]],"Yes"),COUNTIF(AA[[#This Row],[Zabrze_all_around]],"Yes"),COUNTIF(AA[[#This Row],[Cracow_all_around]],"Yes"),COUNTIF(AA[[#This Row],[Gdansk_all_Around]],"Yes"))</f>
        <v>1</v>
      </c>
      <c r="F33" s="4">
        <v>2.5</v>
      </c>
      <c r="G33" s="7">
        <v>8.3000000000000007</v>
      </c>
      <c r="H33" s="7">
        <v>10.8</v>
      </c>
      <c r="I33" s="4">
        <v>0.6</v>
      </c>
      <c r="J33" s="7">
        <v>0</v>
      </c>
      <c r="K33" s="7">
        <v>0.6</v>
      </c>
      <c r="L33" s="4">
        <v>1.5</v>
      </c>
      <c r="M33" s="7">
        <v>3.3</v>
      </c>
      <c r="N33" s="7">
        <v>4.8</v>
      </c>
      <c r="O33" s="4">
        <v>1.6</v>
      </c>
      <c r="P33" s="7">
        <v>9</v>
      </c>
      <c r="Q33" s="7">
        <v>10.6</v>
      </c>
      <c r="R33" s="4">
        <v>1.9</v>
      </c>
      <c r="S33" s="7">
        <v>2.85</v>
      </c>
      <c r="T33" s="7">
        <v>4.75</v>
      </c>
      <c r="U33" s="4">
        <v>0.1</v>
      </c>
      <c r="V33" s="7">
        <v>1</v>
      </c>
      <c r="W33" s="7">
        <v>1.1000000000000001</v>
      </c>
      <c r="X33" s="4">
        <f t="shared" si="0"/>
        <v>8.1999999999999993</v>
      </c>
      <c r="Y33" s="7">
        <f t="shared" si="1"/>
        <v>24.450000000000003</v>
      </c>
      <c r="Z33" s="7">
        <f t="shared" si="2"/>
        <v>32.65</v>
      </c>
      <c r="AA33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33" s="4">
        <v>0</v>
      </c>
      <c r="AC33" s="7">
        <v>0</v>
      </c>
      <c r="AD33" s="7">
        <v>0</v>
      </c>
      <c r="AE33" s="4">
        <v>0</v>
      </c>
      <c r="AF33" s="7">
        <v>0</v>
      </c>
      <c r="AG33" s="7">
        <v>0</v>
      </c>
      <c r="AH33" s="4">
        <v>0</v>
      </c>
      <c r="AI33" s="7">
        <v>0</v>
      </c>
      <c r="AJ33" s="7">
        <v>0</v>
      </c>
      <c r="AK33" s="4">
        <v>0</v>
      </c>
      <c r="AL33" s="7">
        <v>0</v>
      </c>
      <c r="AM33" s="7">
        <v>0</v>
      </c>
      <c r="AN33" s="4">
        <v>0</v>
      </c>
      <c r="AO33" s="7">
        <v>0</v>
      </c>
      <c r="AP33" s="7">
        <v>0</v>
      </c>
      <c r="AQ33" s="4">
        <v>0</v>
      </c>
      <c r="AR33" s="7">
        <v>0</v>
      </c>
      <c r="AS33" s="7">
        <v>0</v>
      </c>
      <c r="AT33" s="4">
        <f t="shared" si="3"/>
        <v>0</v>
      </c>
      <c r="AU33" s="7">
        <f t="shared" si="4"/>
        <v>0</v>
      </c>
      <c r="AV33" s="7">
        <f t="shared" si="5"/>
        <v>0</v>
      </c>
      <c r="AW33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3" s="4">
        <v>0</v>
      </c>
      <c r="AY33" s="7">
        <v>0</v>
      </c>
      <c r="AZ33" s="7">
        <v>0</v>
      </c>
      <c r="BA33" s="4">
        <v>0</v>
      </c>
      <c r="BB33" s="7">
        <v>0</v>
      </c>
      <c r="BC33" s="7">
        <v>0</v>
      </c>
      <c r="BD33" s="4">
        <v>0</v>
      </c>
      <c r="BE33" s="7">
        <v>0</v>
      </c>
      <c r="BF33" s="7">
        <v>0</v>
      </c>
      <c r="BG33" s="4">
        <v>0</v>
      </c>
      <c r="BH33" s="7">
        <v>0</v>
      </c>
      <c r="BI33" s="7">
        <v>0</v>
      </c>
      <c r="BJ33" s="4">
        <v>0</v>
      </c>
      <c r="BK33" s="7">
        <v>0</v>
      </c>
      <c r="BL33" s="7">
        <v>0</v>
      </c>
      <c r="BM33" s="4">
        <v>0</v>
      </c>
      <c r="BN33" s="7">
        <v>0</v>
      </c>
      <c r="BO33" s="7">
        <v>0</v>
      </c>
      <c r="BP33" s="4">
        <f t="shared" si="6"/>
        <v>0</v>
      </c>
      <c r="BQ33" s="7">
        <f t="shared" si="7"/>
        <v>0</v>
      </c>
      <c r="BR33" s="7">
        <f t="shared" si="8"/>
        <v>0</v>
      </c>
      <c r="BS33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3" s="4">
        <v>0</v>
      </c>
      <c r="BU33" s="7">
        <v>0</v>
      </c>
      <c r="BV33" s="7">
        <v>0</v>
      </c>
      <c r="BW33" s="4">
        <v>0</v>
      </c>
      <c r="BX33" s="7">
        <v>0</v>
      </c>
      <c r="BY33" s="7">
        <v>0</v>
      </c>
      <c r="BZ33" s="4">
        <v>0</v>
      </c>
      <c r="CA33" s="7">
        <v>0</v>
      </c>
      <c r="CB33" s="7">
        <v>0</v>
      </c>
      <c r="CC33" s="4">
        <v>0</v>
      </c>
      <c r="CD33" s="7">
        <v>0</v>
      </c>
      <c r="CE33" s="7">
        <v>0</v>
      </c>
      <c r="CF33" s="4">
        <v>0</v>
      </c>
      <c r="CG33" s="7">
        <v>0</v>
      </c>
      <c r="CH33" s="7">
        <v>0</v>
      </c>
      <c r="CI33" s="4">
        <v>0</v>
      </c>
      <c r="CJ33" s="7">
        <v>0</v>
      </c>
      <c r="CK33" s="7">
        <v>0</v>
      </c>
      <c r="CL33" s="4">
        <f t="shared" si="9"/>
        <v>0</v>
      </c>
      <c r="CM33" s="7">
        <f t="shared" si="10"/>
        <v>0</v>
      </c>
      <c r="CN33" s="7">
        <f t="shared" si="11"/>
        <v>0</v>
      </c>
      <c r="CO33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CX33" s="48" t="s">
        <v>351</v>
      </c>
      <c r="CY33" s="47">
        <v>5</v>
      </c>
      <c r="CZ33" s="47">
        <v>2</v>
      </c>
      <c r="DC33" s="43" t="s">
        <v>63</v>
      </c>
      <c r="DD33" s="43" t="s">
        <v>60</v>
      </c>
      <c r="DE33" s="43" t="s">
        <v>39</v>
      </c>
      <c r="DF33">
        <v>4</v>
      </c>
      <c r="DG33" t="s">
        <v>341</v>
      </c>
      <c r="DH33" s="43" t="s">
        <v>309</v>
      </c>
      <c r="DI33">
        <v>140.85000000000002</v>
      </c>
    </row>
    <row r="34" spans="1:113" ht="21" x14ac:dyDescent="0.35">
      <c r="A34" t="s">
        <v>86</v>
      </c>
      <c r="B34" s="2" t="s">
        <v>60</v>
      </c>
      <c r="C34" s="2" t="s">
        <v>87</v>
      </c>
      <c r="D34" t="s">
        <v>72</v>
      </c>
      <c r="E34" s="2">
        <f>SUM(COUNTIF(AA[[#This Row],[Bydgoszcz_all_around]],"Yes"),COUNTIF(AA[[#This Row],[Zabrze_all_around]],"Yes"),COUNTIF(AA[[#This Row],[Cracow_all_around]],"Yes"),COUNTIF(AA[[#This Row],[Gdansk_all_Around]],"Yes"))</f>
        <v>0</v>
      </c>
      <c r="F34" s="4">
        <v>4.2</v>
      </c>
      <c r="G34" s="7">
        <v>8.6</v>
      </c>
      <c r="H34" s="7">
        <v>12.8</v>
      </c>
      <c r="I34" s="4">
        <v>3.8</v>
      </c>
      <c r="J34" s="7">
        <v>7.1</v>
      </c>
      <c r="K34" s="7">
        <v>10.9</v>
      </c>
      <c r="L34" s="4">
        <v>3.5</v>
      </c>
      <c r="M34" s="7">
        <v>6.7</v>
      </c>
      <c r="N34" s="7">
        <v>10.199999999999999</v>
      </c>
      <c r="O34" s="4">
        <v>2.8</v>
      </c>
      <c r="P34" s="7">
        <v>9.1999999999999993</v>
      </c>
      <c r="Q34" s="7">
        <v>12</v>
      </c>
      <c r="R34" s="4">
        <v>2.6</v>
      </c>
      <c r="S34" s="7">
        <v>5.65</v>
      </c>
      <c r="T34" s="7">
        <v>8.25</v>
      </c>
      <c r="U34" s="4">
        <v>0</v>
      </c>
      <c r="V34" s="7">
        <v>0</v>
      </c>
      <c r="W34" s="7">
        <v>0</v>
      </c>
      <c r="X34" s="4">
        <f t="shared" ref="X34:X53" si="12">SUM(F34,I34,L34,O34,R34,U34)</f>
        <v>16.900000000000002</v>
      </c>
      <c r="Y34" s="7">
        <f t="shared" ref="Y34:Y53" si="13">SUM(G34,J34,M34,P34,S34,V34)</f>
        <v>37.25</v>
      </c>
      <c r="Z34" s="7">
        <f t="shared" ref="Z34:Z53" si="14">SUM(H34,K34,N34,Q34,T34,W34)</f>
        <v>54.150000000000006</v>
      </c>
      <c r="AA34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34" s="4">
        <v>3.9</v>
      </c>
      <c r="AC34" s="7">
        <v>8</v>
      </c>
      <c r="AD34" s="7">
        <v>11.9</v>
      </c>
      <c r="AE34" s="4">
        <v>4</v>
      </c>
      <c r="AF34" s="7">
        <v>7.8</v>
      </c>
      <c r="AG34" s="7">
        <v>11.8</v>
      </c>
      <c r="AH34" s="4">
        <v>2.6</v>
      </c>
      <c r="AI34" s="7">
        <v>3</v>
      </c>
      <c r="AJ34" s="7">
        <v>5.6</v>
      </c>
      <c r="AK34" s="4">
        <v>0</v>
      </c>
      <c r="AL34" s="7">
        <v>0</v>
      </c>
      <c r="AM34" s="7">
        <v>0</v>
      </c>
      <c r="AN34" s="4">
        <v>2.8</v>
      </c>
      <c r="AO34" s="7">
        <v>7.5</v>
      </c>
      <c r="AP34" s="7">
        <v>10.3</v>
      </c>
      <c r="AQ34" s="4">
        <v>0</v>
      </c>
      <c r="AR34" s="7">
        <v>0</v>
      </c>
      <c r="AS34" s="7">
        <v>0</v>
      </c>
      <c r="AT34" s="4">
        <f t="shared" ref="AT34:AT53" si="15">SUM(AB34,AE34,AH34,AK34,AN34,AQ34)</f>
        <v>13.3</v>
      </c>
      <c r="AU34" s="7">
        <f t="shared" ref="AU34:AU53" si="16">SUM(AC34,AF34,AI34,AL34,AO34,AR34)</f>
        <v>26.3</v>
      </c>
      <c r="AV34" s="7">
        <f t="shared" ref="AV34:AV53" si="17">SUM(AD34,AG34,AJ34,AM34,AP34,AS34)</f>
        <v>39.600000000000009</v>
      </c>
      <c r="AW34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4" s="4">
        <v>4.2</v>
      </c>
      <c r="AY34" s="7">
        <v>7.55</v>
      </c>
      <c r="AZ34" s="7">
        <v>11.75</v>
      </c>
      <c r="BA34" s="4">
        <v>4.2</v>
      </c>
      <c r="BB34" s="7">
        <v>8</v>
      </c>
      <c r="BC34" s="7">
        <v>12.2</v>
      </c>
      <c r="BD34" s="4">
        <v>0</v>
      </c>
      <c r="BE34" s="7">
        <v>0</v>
      </c>
      <c r="BF34" s="7">
        <v>0</v>
      </c>
      <c r="BG34" s="4">
        <v>0</v>
      </c>
      <c r="BH34" s="7">
        <v>0</v>
      </c>
      <c r="BI34" s="7">
        <v>0</v>
      </c>
      <c r="BJ34" s="4">
        <v>2.9</v>
      </c>
      <c r="BK34" s="7">
        <v>7.2</v>
      </c>
      <c r="BL34" s="7">
        <v>10.1</v>
      </c>
      <c r="BM34" s="4">
        <v>0</v>
      </c>
      <c r="BN34" s="7">
        <v>0</v>
      </c>
      <c r="BO34" s="7">
        <v>0</v>
      </c>
      <c r="BP34" s="4">
        <f t="shared" ref="BP34:BP53" si="18">SUM(AX34,BA34,BD34,BG34,BJ34,BM34)</f>
        <v>11.3</v>
      </c>
      <c r="BQ34" s="7">
        <f t="shared" ref="BQ34:BQ53" si="19">SUM(AY34,BB34,BE34,BH34,BK34,BN34)</f>
        <v>22.75</v>
      </c>
      <c r="BR34" s="7">
        <f t="shared" ref="BR34:BR53" si="20">SUM(AZ34,BC34,BF34,BI34,BL34,BO34)</f>
        <v>34.049999999999997</v>
      </c>
      <c r="BS34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4" s="4">
        <v>3.9</v>
      </c>
      <c r="BU34" s="7">
        <v>7.2</v>
      </c>
      <c r="BV34" s="7">
        <v>11.1</v>
      </c>
      <c r="BW34" s="4">
        <v>3.8</v>
      </c>
      <c r="BX34" s="7">
        <v>7.6</v>
      </c>
      <c r="BY34" s="7">
        <v>11.4</v>
      </c>
      <c r="BZ34" s="4">
        <v>2.7</v>
      </c>
      <c r="CA34" s="7">
        <v>6</v>
      </c>
      <c r="CB34" s="7">
        <v>8.6999999999999993</v>
      </c>
      <c r="CC34" s="4">
        <v>2.8</v>
      </c>
      <c r="CD34" s="7">
        <v>8.3000000000000007</v>
      </c>
      <c r="CE34" s="7">
        <v>11.1</v>
      </c>
      <c r="CF34" s="4">
        <v>2.4</v>
      </c>
      <c r="CG34" s="7">
        <v>4</v>
      </c>
      <c r="CH34" s="7">
        <v>6.4</v>
      </c>
      <c r="CI34" s="4">
        <v>0</v>
      </c>
      <c r="CJ34" s="7">
        <v>0</v>
      </c>
      <c r="CK34" s="7">
        <v>0</v>
      </c>
      <c r="CL34" s="4">
        <f t="shared" ref="CL34:CL53" si="21">SUM(BT34,BW34,BZ34,CC34,CF34,CI34)</f>
        <v>15.6</v>
      </c>
      <c r="CM34" s="7">
        <f t="shared" ref="CM34:CM53" si="22">SUM(BU34,BX34,CA34,CD34,CG34,CJ34)</f>
        <v>33.1</v>
      </c>
      <c r="CN34" s="7">
        <f t="shared" ref="CN34:CN53" si="23">SUM(BV34,BY34,CB34,CE34,CH34,CK34)</f>
        <v>48.699999999999996</v>
      </c>
      <c r="CO34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CX34" s="48" t="s">
        <v>352</v>
      </c>
      <c r="CY34" s="47"/>
      <c r="CZ34" s="47">
        <v>2</v>
      </c>
      <c r="DC34" s="43" t="s">
        <v>63</v>
      </c>
      <c r="DD34" s="43" t="s">
        <v>60</v>
      </c>
      <c r="DE34" s="43" t="s">
        <v>39</v>
      </c>
      <c r="DF34">
        <v>4</v>
      </c>
      <c r="DG34" t="s">
        <v>341</v>
      </c>
      <c r="DH34" s="43" t="s">
        <v>268</v>
      </c>
      <c r="DI34">
        <v>225.45</v>
      </c>
    </row>
    <row r="35" spans="1:113" ht="21" x14ac:dyDescent="0.35">
      <c r="A35" t="s">
        <v>90</v>
      </c>
      <c r="B35" s="2" t="s">
        <v>60</v>
      </c>
      <c r="C35" s="2" t="s">
        <v>91</v>
      </c>
      <c r="D35" t="s">
        <v>36</v>
      </c>
      <c r="E35" s="2">
        <f>SUM(COUNTIF(AA[[#This Row],[Bydgoszcz_all_around]],"Yes"),COUNTIF(AA[[#This Row],[Zabrze_all_around]],"Yes"),COUNTIF(AA[[#This Row],[Cracow_all_around]],"Yes"),COUNTIF(AA[[#This Row],[Gdansk_all_Around]],"Yes"))</f>
        <v>0</v>
      </c>
      <c r="F35" s="4">
        <v>0</v>
      </c>
      <c r="G35" s="7">
        <v>0</v>
      </c>
      <c r="H35" s="7">
        <v>0</v>
      </c>
      <c r="I35" s="4">
        <v>0</v>
      </c>
      <c r="J35" s="7">
        <v>0</v>
      </c>
      <c r="K35" s="7">
        <v>0</v>
      </c>
      <c r="L35" s="4">
        <v>0</v>
      </c>
      <c r="M35" s="7">
        <v>0</v>
      </c>
      <c r="N35" s="7">
        <v>0</v>
      </c>
      <c r="O35" s="4">
        <v>0</v>
      </c>
      <c r="P35" s="7">
        <v>0</v>
      </c>
      <c r="Q35" s="7">
        <v>0</v>
      </c>
      <c r="R35" s="4">
        <v>0</v>
      </c>
      <c r="S35" s="7">
        <v>0</v>
      </c>
      <c r="T35" s="7">
        <v>0</v>
      </c>
      <c r="U35" s="4">
        <v>0</v>
      </c>
      <c r="V35" s="7">
        <v>0</v>
      </c>
      <c r="W35" s="7">
        <v>0</v>
      </c>
      <c r="X35" s="4">
        <f t="shared" si="12"/>
        <v>0</v>
      </c>
      <c r="Y35" s="7">
        <f t="shared" si="13"/>
        <v>0</v>
      </c>
      <c r="Z35" s="7">
        <f t="shared" si="14"/>
        <v>0</v>
      </c>
      <c r="AA35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35" s="4">
        <v>4</v>
      </c>
      <c r="AC35" s="7">
        <v>7.85</v>
      </c>
      <c r="AD35" s="7">
        <v>11.85</v>
      </c>
      <c r="AE35" s="4">
        <v>2.6</v>
      </c>
      <c r="AF35" s="7">
        <v>0</v>
      </c>
      <c r="AG35" s="7">
        <v>2.6</v>
      </c>
      <c r="AH35" s="4">
        <v>3.8</v>
      </c>
      <c r="AI35" s="7">
        <v>7</v>
      </c>
      <c r="AJ35" s="7">
        <v>10.8</v>
      </c>
      <c r="AK35" s="4">
        <v>4</v>
      </c>
      <c r="AL35" s="7">
        <v>8.4</v>
      </c>
      <c r="AM35" s="7">
        <v>12.4</v>
      </c>
      <c r="AN35" s="4">
        <v>0</v>
      </c>
      <c r="AO35" s="7">
        <v>0</v>
      </c>
      <c r="AP35" s="7">
        <v>0</v>
      </c>
      <c r="AQ35" s="4">
        <v>0</v>
      </c>
      <c r="AR35" s="7">
        <v>0</v>
      </c>
      <c r="AS35" s="7">
        <v>0</v>
      </c>
      <c r="AT35" s="4">
        <f t="shared" si="15"/>
        <v>14.399999999999999</v>
      </c>
      <c r="AU35" s="7">
        <f t="shared" si="16"/>
        <v>23.25</v>
      </c>
      <c r="AV35" s="7">
        <f t="shared" si="17"/>
        <v>37.65</v>
      </c>
      <c r="AW35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5" s="4">
        <v>4</v>
      </c>
      <c r="AY35" s="7">
        <v>7.9</v>
      </c>
      <c r="AZ35" s="7">
        <v>11.9</v>
      </c>
      <c r="BA35" s="4">
        <v>2.9</v>
      </c>
      <c r="BB35" s="7">
        <v>5</v>
      </c>
      <c r="BC35" s="7">
        <v>7.9</v>
      </c>
      <c r="BD35" s="4">
        <v>3</v>
      </c>
      <c r="BE35" s="7">
        <v>6.35</v>
      </c>
      <c r="BF35" s="7">
        <v>9.35</v>
      </c>
      <c r="BG35" s="4">
        <v>4</v>
      </c>
      <c r="BH35" s="7">
        <v>9.25</v>
      </c>
      <c r="BI35" s="7">
        <v>13.25</v>
      </c>
      <c r="BJ35" s="4">
        <v>2.9</v>
      </c>
      <c r="BK35" s="7">
        <v>8.5</v>
      </c>
      <c r="BL35" s="7">
        <v>11.4</v>
      </c>
      <c r="BM35" s="4">
        <v>0</v>
      </c>
      <c r="BN35" s="7">
        <v>0</v>
      </c>
      <c r="BO35" s="7">
        <v>0</v>
      </c>
      <c r="BP35" s="4">
        <f t="shared" si="18"/>
        <v>16.8</v>
      </c>
      <c r="BQ35" s="7">
        <f t="shared" si="19"/>
        <v>37</v>
      </c>
      <c r="BR35" s="7">
        <f t="shared" si="20"/>
        <v>53.8</v>
      </c>
      <c r="BS35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5" s="4">
        <v>3.6</v>
      </c>
      <c r="BU35" s="7">
        <v>5.7</v>
      </c>
      <c r="BV35" s="7">
        <v>9.3000000000000007</v>
      </c>
      <c r="BW35" s="4">
        <v>3.4</v>
      </c>
      <c r="BX35" s="7">
        <v>8.4</v>
      </c>
      <c r="BY35" s="7">
        <v>11.8</v>
      </c>
      <c r="BZ35" s="4">
        <v>0</v>
      </c>
      <c r="CA35" s="7">
        <v>0</v>
      </c>
      <c r="CB35" s="7">
        <v>0</v>
      </c>
      <c r="CC35" s="4">
        <v>4</v>
      </c>
      <c r="CD35" s="7">
        <v>8.9</v>
      </c>
      <c r="CE35" s="7">
        <v>12.9</v>
      </c>
      <c r="CF35" s="4">
        <v>0</v>
      </c>
      <c r="CG35" s="7">
        <v>0</v>
      </c>
      <c r="CH35" s="7">
        <v>0</v>
      </c>
      <c r="CI35" s="4">
        <v>0</v>
      </c>
      <c r="CJ35" s="7">
        <v>0</v>
      </c>
      <c r="CK35" s="7">
        <v>0</v>
      </c>
      <c r="CL35" s="4">
        <f t="shared" si="21"/>
        <v>11</v>
      </c>
      <c r="CM35" s="7">
        <f t="shared" si="22"/>
        <v>23</v>
      </c>
      <c r="CN35" s="7">
        <f t="shared" si="23"/>
        <v>34</v>
      </c>
      <c r="CO35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CX35" s="48" t="s">
        <v>353</v>
      </c>
      <c r="CY35" s="47">
        <v>1</v>
      </c>
      <c r="CZ35" s="47">
        <v>1</v>
      </c>
      <c r="DC35" s="43" t="s">
        <v>63</v>
      </c>
      <c r="DD35" s="43" t="s">
        <v>60</v>
      </c>
      <c r="DE35" s="43" t="s">
        <v>39</v>
      </c>
      <c r="DF35">
        <v>4</v>
      </c>
      <c r="DG35" t="s">
        <v>273</v>
      </c>
      <c r="DH35" s="43" t="s">
        <v>308</v>
      </c>
      <c r="DI35">
        <v>28.2</v>
      </c>
    </row>
    <row r="36" spans="1:113" ht="21" x14ac:dyDescent="0.35">
      <c r="A36" t="s">
        <v>92</v>
      </c>
      <c r="B36" s="2" t="s">
        <v>60</v>
      </c>
      <c r="C36" s="2" t="s">
        <v>93</v>
      </c>
      <c r="D36" t="s">
        <v>39</v>
      </c>
      <c r="E36" s="2">
        <f>SUM(COUNTIF(AA[[#This Row],[Bydgoszcz_all_around]],"Yes"),COUNTIF(AA[[#This Row],[Zabrze_all_around]],"Yes"),COUNTIF(AA[[#This Row],[Cracow_all_around]],"Yes"),COUNTIF(AA[[#This Row],[Gdansk_all_Around]],"Yes"))</f>
        <v>0</v>
      </c>
      <c r="F36" s="4">
        <v>0</v>
      </c>
      <c r="G36" s="7">
        <v>0</v>
      </c>
      <c r="H36" s="7">
        <v>0</v>
      </c>
      <c r="I36" s="4">
        <v>4</v>
      </c>
      <c r="J36" s="7">
        <v>8.65</v>
      </c>
      <c r="K36" s="7">
        <v>12.65</v>
      </c>
      <c r="L36" s="4">
        <v>0</v>
      </c>
      <c r="M36" s="7">
        <v>0</v>
      </c>
      <c r="N36" s="7">
        <v>0</v>
      </c>
      <c r="O36" s="4">
        <v>0</v>
      </c>
      <c r="P36" s="7">
        <v>0</v>
      </c>
      <c r="Q36" s="7">
        <v>0</v>
      </c>
      <c r="R36" s="4">
        <v>0</v>
      </c>
      <c r="S36" s="7">
        <v>0</v>
      </c>
      <c r="T36" s="7">
        <v>0</v>
      </c>
      <c r="U36" s="4">
        <v>0</v>
      </c>
      <c r="V36" s="7">
        <v>0</v>
      </c>
      <c r="W36" s="7">
        <v>0</v>
      </c>
      <c r="X36" s="4">
        <f t="shared" si="12"/>
        <v>4</v>
      </c>
      <c r="Y36" s="7">
        <f t="shared" si="13"/>
        <v>8.65</v>
      </c>
      <c r="Z36" s="7">
        <f t="shared" si="14"/>
        <v>12.65</v>
      </c>
      <c r="AA36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36" s="4">
        <v>3.7</v>
      </c>
      <c r="AC36" s="7">
        <v>7.95</v>
      </c>
      <c r="AD36" s="7">
        <v>11.65</v>
      </c>
      <c r="AE36" s="4">
        <v>3.7</v>
      </c>
      <c r="AF36" s="7">
        <v>8.6</v>
      </c>
      <c r="AG36" s="7">
        <v>12.3</v>
      </c>
      <c r="AH36" s="4">
        <v>0</v>
      </c>
      <c r="AI36" s="7">
        <v>0</v>
      </c>
      <c r="AJ36" s="7">
        <v>0</v>
      </c>
      <c r="AK36" s="4">
        <v>4</v>
      </c>
      <c r="AL36" s="7">
        <v>8.9</v>
      </c>
      <c r="AM36" s="7">
        <v>12.9</v>
      </c>
      <c r="AN36" s="4">
        <v>0</v>
      </c>
      <c r="AO36" s="7">
        <v>0</v>
      </c>
      <c r="AP36" s="7">
        <v>0</v>
      </c>
      <c r="AQ36" s="4">
        <v>0</v>
      </c>
      <c r="AR36" s="7">
        <v>0</v>
      </c>
      <c r="AS36" s="7">
        <v>0</v>
      </c>
      <c r="AT36" s="4">
        <f t="shared" si="15"/>
        <v>11.4</v>
      </c>
      <c r="AU36" s="7">
        <f t="shared" si="16"/>
        <v>25.450000000000003</v>
      </c>
      <c r="AV36" s="7">
        <f t="shared" si="17"/>
        <v>36.85</v>
      </c>
      <c r="AW36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6" s="4">
        <v>4.0999999999999996</v>
      </c>
      <c r="AY36" s="7">
        <v>7.95</v>
      </c>
      <c r="AZ36" s="7">
        <v>12.05</v>
      </c>
      <c r="BA36" s="4">
        <v>3.7</v>
      </c>
      <c r="BB36" s="7">
        <v>8.85</v>
      </c>
      <c r="BC36" s="7">
        <v>12.55</v>
      </c>
      <c r="BD36" s="4">
        <v>0</v>
      </c>
      <c r="BE36" s="7">
        <v>0</v>
      </c>
      <c r="BF36" s="7">
        <v>0</v>
      </c>
      <c r="BG36" s="4">
        <v>4.4000000000000004</v>
      </c>
      <c r="BH36" s="7">
        <v>9.35</v>
      </c>
      <c r="BI36" s="7">
        <v>13.75</v>
      </c>
      <c r="BJ36" s="4">
        <v>0</v>
      </c>
      <c r="BK36" s="7">
        <v>0</v>
      </c>
      <c r="BL36" s="7">
        <v>0</v>
      </c>
      <c r="BM36" s="4">
        <v>0</v>
      </c>
      <c r="BN36" s="7">
        <v>0</v>
      </c>
      <c r="BO36" s="7">
        <v>0</v>
      </c>
      <c r="BP36" s="4">
        <f t="shared" si="18"/>
        <v>12.2</v>
      </c>
      <c r="BQ36" s="7">
        <f t="shared" si="19"/>
        <v>26.15</v>
      </c>
      <c r="BR36" s="7">
        <f t="shared" si="20"/>
        <v>38.35</v>
      </c>
      <c r="BS36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6" s="4">
        <v>0</v>
      </c>
      <c r="BU36" s="7">
        <v>0</v>
      </c>
      <c r="BV36" s="7">
        <v>0</v>
      </c>
      <c r="BW36" s="4">
        <v>0</v>
      </c>
      <c r="BX36" s="7">
        <v>0</v>
      </c>
      <c r="BY36" s="7">
        <v>0</v>
      </c>
      <c r="BZ36" s="4">
        <v>0</v>
      </c>
      <c r="CA36" s="7">
        <v>0</v>
      </c>
      <c r="CB36" s="7">
        <v>0</v>
      </c>
      <c r="CC36" s="4">
        <v>0</v>
      </c>
      <c r="CD36" s="7">
        <v>0</v>
      </c>
      <c r="CE36" s="7">
        <v>0</v>
      </c>
      <c r="CF36" s="4">
        <v>0</v>
      </c>
      <c r="CG36" s="7">
        <v>0</v>
      </c>
      <c r="CH36" s="7">
        <v>0</v>
      </c>
      <c r="CI36" s="4">
        <v>0</v>
      </c>
      <c r="CJ36" s="7">
        <v>0</v>
      </c>
      <c r="CK36" s="7">
        <v>0</v>
      </c>
      <c r="CL36" s="4">
        <f t="shared" si="21"/>
        <v>0</v>
      </c>
      <c r="CM36" s="7">
        <f t="shared" si="22"/>
        <v>0</v>
      </c>
      <c r="CN36" s="7">
        <f t="shared" si="23"/>
        <v>0</v>
      </c>
      <c r="CO36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CX36" s="48" t="s">
        <v>354</v>
      </c>
      <c r="CY36" s="47"/>
      <c r="CZ36" s="47">
        <v>1</v>
      </c>
      <c r="DC36" s="43" t="s">
        <v>63</v>
      </c>
      <c r="DD36" s="43" t="s">
        <v>60</v>
      </c>
      <c r="DE36" s="43" t="s">
        <v>39</v>
      </c>
      <c r="DF36">
        <v>4</v>
      </c>
      <c r="DG36" t="s">
        <v>273</v>
      </c>
      <c r="DH36" s="43" t="s">
        <v>309</v>
      </c>
      <c r="DI36">
        <v>46.95000000000001</v>
      </c>
    </row>
    <row r="37" spans="1:113" ht="21" x14ac:dyDescent="0.35">
      <c r="A37" t="s">
        <v>94</v>
      </c>
      <c r="B37" s="2" t="s">
        <v>60</v>
      </c>
      <c r="C37" s="2" t="s">
        <v>95</v>
      </c>
      <c r="D37" t="s">
        <v>72</v>
      </c>
      <c r="E37" s="2">
        <f>SUM(COUNTIF(AA[[#This Row],[Bydgoszcz_all_around]],"Yes"),COUNTIF(AA[[#This Row],[Zabrze_all_around]],"Yes"),COUNTIF(AA[[#This Row],[Cracow_all_around]],"Yes"),COUNTIF(AA[[#This Row],[Gdansk_all_Around]],"Yes"))</f>
        <v>0</v>
      </c>
      <c r="F37" s="4">
        <v>0</v>
      </c>
      <c r="G37" s="7">
        <v>0</v>
      </c>
      <c r="H37" s="7">
        <v>0</v>
      </c>
      <c r="I37" s="4">
        <v>0</v>
      </c>
      <c r="J37" s="7">
        <v>0</v>
      </c>
      <c r="K37" s="7">
        <v>0</v>
      </c>
      <c r="L37" s="4">
        <v>0</v>
      </c>
      <c r="M37" s="7">
        <v>0</v>
      </c>
      <c r="N37" s="7">
        <v>0</v>
      </c>
      <c r="O37" s="4">
        <v>0</v>
      </c>
      <c r="P37" s="7">
        <v>0</v>
      </c>
      <c r="Q37" s="7">
        <v>0</v>
      </c>
      <c r="R37" s="4">
        <v>0</v>
      </c>
      <c r="S37" s="7">
        <v>0</v>
      </c>
      <c r="T37" s="7">
        <v>0</v>
      </c>
      <c r="U37" s="4">
        <v>0</v>
      </c>
      <c r="V37" s="7">
        <v>0</v>
      </c>
      <c r="W37" s="7">
        <v>0</v>
      </c>
      <c r="X37" s="4">
        <f t="shared" si="12"/>
        <v>0</v>
      </c>
      <c r="Y37" s="7">
        <f t="shared" si="13"/>
        <v>0</v>
      </c>
      <c r="Z37" s="7">
        <f t="shared" si="14"/>
        <v>0</v>
      </c>
      <c r="AA37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37" s="4">
        <v>0</v>
      </c>
      <c r="AC37" s="7">
        <v>0</v>
      </c>
      <c r="AD37" s="7">
        <v>0</v>
      </c>
      <c r="AE37" s="4">
        <v>0</v>
      </c>
      <c r="AF37" s="7">
        <v>0</v>
      </c>
      <c r="AG37" s="7">
        <v>0</v>
      </c>
      <c r="AH37" s="4">
        <v>4</v>
      </c>
      <c r="AI37" s="7">
        <v>8.4</v>
      </c>
      <c r="AJ37" s="7">
        <v>12.4</v>
      </c>
      <c r="AK37" s="4">
        <v>2.8</v>
      </c>
      <c r="AL37" s="7">
        <v>9.4</v>
      </c>
      <c r="AM37" s="7">
        <v>12.2</v>
      </c>
      <c r="AN37" s="4">
        <v>3.1</v>
      </c>
      <c r="AO37" s="7">
        <v>8.85</v>
      </c>
      <c r="AP37" s="7">
        <v>11.95</v>
      </c>
      <c r="AQ37" s="4">
        <v>0</v>
      </c>
      <c r="AR37" s="7">
        <v>0</v>
      </c>
      <c r="AS37" s="7">
        <v>0</v>
      </c>
      <c r="AT37" s="4">
        <f t="shared" si="15"/>
        <v>9.9</v>
      </c>
      <c r="AU37" s="7">
        <f t="shared" si="16"/>
        <v>26.65</v>
      </c>
      <c r="AV37" s="7">
        <f t="shared" si="17"/>
        <v>36.549999999999997</v>
      </c>
      <c r="AW37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7" s="4">
        <v>0</v>
      </c>
      <c r="AY37" s="7">
        <v>0</v>
      </c>
      <c r="AZ37" s="7">
        <v>0</v>
      </c>
      <c r="BA37" s="4">
        <v>0</v>
      </c>
      <c r="BB37" s="7">
        <v>0</v>
      </c>
      <c r="BC37" s="7">
        <v>0</v>
      </c>
      <c r="BD37" s="4">
        <v>4</v>
      </c>
      <c r="BE37" s="7">
        <v>7.65</v>
      </c>
      <c r="BF37" s="7">
        <v>11.65</v>
      </c>
      <c r="BG37" s="4">
        <v>2.8</v>
      </c>
      <c r="BH37" s="7">
        <v>9.1</v>
      </c>
      <c r="BI37" s="7">
        <v>11.9</v>
      </c>
      <c r="BJ37" s="4">
        <v>3.2</v>
      </c>
      <c r="BK37" s="7">
        <v>8.35</v>
      </c>
      <c r="BL37" s="7">
        <v>11.55</v>
      </c>
      <c r="BM37" s="4">
        <v>0</v>
      </c>
      <c r="BN37" s="7">
        <v>0</v>
      </c>
      <c r="BO37" s="7">
        <v>0</v>
      </c>
      <c r="BP37" s="4">
        <f t="shared" si="18"/>
        <v>10</v>
      </c>
      <c r="BQ37" s="7">
        <f t="shared" si="19"/>
        <v>25.1</v>
      </c>
      <c r="BR37" s="7">
        <f t="shared" si="20"/>
        <v>35.1</v>
      </c>
      <c r="BS37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7" s="4">
        <v>0</v>
      </c>
      <c r="BU37" s="7">
        <v>0</v>
      </c>
      <c r="BV37" s="7">
        <v>0</v>
      </c>
      <c r="BW37" s="4">
        <v>0</v>
      </c>
      <c r="BX37" s="7">
        <v>0</v>
      </c>
      <c r="BY37" s="7">
        <v>0</v>
      </c>
      <c r="BZ37" s="4">
        <v>4.3</v>
      </c>
      <c r="CA37" s="7">
        <v>7.2</v>
      </c>
      <c r="CB37" s="7">
        <v>11.5</v>
      </c>
      <c r="CC37" s="4">
        <v>0</v>
      </c>
      <c r="CD37" s="7">
        <v>0</v>
      </c>
      <c r="CE37" s="7">
        <v>0</v>
      </c>
      <c r="CF37" s="4">
        <v>0</v>
      </c>
      <c r="CG37" s="7">
        <v>0</v>
      </c>
      <c r="CH37" s="7">
        <v>0</v>
      </c>
      <c r="CI37" s="4">
        <v>0</v>
      </c>
      <c r="CJ37" s="7">
        <v>0</v>
      </c>
      <c r="CK37" s="7">
        <v>0</v>
      </c>
      <c r="CL37" s="4">
        <f t="shared" si="21"/>
        <v>4.3</v>
      </c>
      <c r="CM37" s="7">
        <f t="shared" si="22"/>
        <v>7.2</v>
      </c>
      <c r="CN37" s="7">
        <f t="shared" si="23"/>
        <v>11.5</v>
      </c>
      <c r="CO37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C37" s="43" t="s">
        <v>63</v>
      </c>
      <c r="DD37" s="43" t="s">
        <v>60</v>
      </c>
      <c r="DE37" s="43" t="s">
        <v>39</v>
      </c>
      <c r="DF37">
        <v>4</v>
      </c>
      <c r="DG37" t="s">
        <v>273</v>
      </c>
      <c r="DH37" s="43" t="s">
        <v>268</v>
      </c>
      <c r="DI37">
        <v>75.149999999999991</v>
      </c>
    </row>
    <row r="38" spans="1:113" ht="21" x14ac:dyDescent="0.35">
      <c r="A38" t="s">
        <v>106</v>
      </c>
      <c r="B38" s="2" t="s">
        <v>60</v>
      </c>
      <c r="C38" s="2" t="s">
        <v>107</v>
      </c>
      <c r="D38" t="s">
        <v>31</v>
      </c>
      <c r="E38" s="2">
        <f>SUM(COUNTIF(AA[[#This Row],[Bydgoszcz_all_around]],"Yes"),COUNTIF(AA[[#This Row],[Zabrze_all_around]],"Yes"),COUNTIF(AA[[#This Row],[Cracow_all_around]],"Yes"),COUNTIF(AA[[#This Row],[Gdansk_all_Around]],"Yes"))</f>
        <v>0</v>
      </c>
      <c r="F38" s="4">
        <v>3.9</v>
      </c>
      <c r="G38" s="7">
        <v>8.4</v>
      </c>
      <c r="H38" s="7">
        <v>12.3</v>
      </c>
      <c r="I38" s="4">
        <v>2.2999999999999998</v>
      </c>
      <c r="J38" s="7">
        <v>2</v>
      </c>
      <c r="K38" s="7">
        <v>4.3</v>
      </c>
      <c r="L38" s="4">
        <v>0</v>
      </c>
      <c r="M38" s="7">
        <v>0</v>
      </c>
      <c r="N38" s="7">
        <v>0</v>
      </c>
      <c r="O38" s="4">
        <v>0</v>
      </c>
      <c r="P38" s="7">
        <v>0</v>
      </c>
      <c r="Q38" s="7">
        <v>0</v>
      </c>
      <c r="R38" s="4">
        <v>2.5</v>
      </c>
      <c r="S38" s="7">
        <v>7.45</v>
      </c>
      <c r="T38" s="7">
        <v>9.9499999999999993</v>
      </c>
      <c r="U38" s="4">
        <v>0</v>
      </c>
      <c r="V38" s="7">
        <v>0</v>
      </c>
      <c r="W38" s="7">
        <v>0</v>
      </c>
      <c r="X38" s="4">
        <f t="shared" si="12"/>
        <v>8.6999999999999993</v>
      </c>
      <c r="Y38" s="7">
        <f t="shared" si="13"/>
        <v>17.850000000000001</v>
      </c>
      <c r="Z38" s="7">
        <f t="shared" si="14"/>
        <v>26.55</v>
      </c>
      <c r="AA38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38" s="4">
        <v>4</v>
      </c>
      <c r="AC38" s="7">
        <v>6</v>
      </c>
      <c r="AD38" s="7">
        <v>10</v>
      </c>
      <c r="AE38" s="4">
        <v>0</v>
      </c>
      <c r="AF38" s="7">
        <v>0</v>
      </c>
      <c r="AG38" s="7">
        <v>0</v>
      </c>
      <c r="AH38" s="4">
        <v>0</v>
      </c>
      <c r="AI38" s="7">
        <v>0</v>
      </c>
      <c r="AJ38" s="7">
        <v>0</v>
      </c>
      <c r="AK38" s="4">
        <v>3.2</v>
      </c>
      <c r="AL38" s="7">
        <v>9.0500000000000007</v>
      </c>
      <c r="AM38" s="7">
        <v>12.25</v>
      </c>
      <c r="AN38" s="4">
        <v>0</v>
      </c>
      <c r="AO38" s="7">
        <v>0</v>
      </c>
      <c r="AP38" s="7">
        <v>0</v>
      </c>
      <c r="AQ38" s="4">
        <v>0</v>
      </c>
      <c r="AR38" s="7">
        <v>0</v>
      </c>
      <c r="AS38" s="7">
        <v>0</v>
      </c>
      <c r="AT38" s="4">
        <f t="shared" si="15"/>
        <v>7.2</v>
      </c>
      <c r="AU38" s="7">
        <f t="shared" si="16"/>
        <v>15.05</v>
      </c>
      <c r="AV38" s="7">
        <f t="shared" si="17"/>
        <v>22.25</v>
      </c>
      <c r="AW38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8" s="4">
        <v>3.8</v>
      </c>
      <c r="AY38" s="7">
        <v>7.45</v>
      </c>
      <c r="AZ38" s="7">
        <v>11.25</v>
      </c>
      <c r="BA38" s="4">
        <v>0</v>
      </c>
      <c r="BB38" s="7">
        <v>0</v>
      </c>
      <c r="BC38" s="7">
        <v>0</v>
      </c>
      <c r="BD38" s="4">
        <v>0</v>
      </c>
      <c r="BE38" s="7">
        <v>0</v>
      </c>
      <c r="BF38" s="7">
        <v>0</v>
      </c>
      <c r="BG38" s="4">
        <v>3.2</v>
      </c>
      <c r="BH38" s="7">
        <v>7.4</v>
      </c>
      <c r="BI38" s="7">
        <v>10.6</v>
      </c>
      <c r="BJ38" s="4">
        <v>0</v>
      </c>
      <c r="BK38" s="7">
        <v>0</v>
      </c>
      <c r="BL38" s="7">
        <v>0</v>
      </c>
      <c r="BM38" s="4">
        <v>0</v>
      </c>
      <c r="BN38" s="7">
        <v>0</v>
      </c>
      <c r="BO38" s="7">
        <v>0</v>
      </c>
      <c r="BP38" s="4">
        <f t="shared" si="18"/>
        <v>7</v>
      </c>
      <c r="BQ38" s="7">
        <f t="shared" si="19"/>
        <v>14.850000000000001</v>
      </c>
      <c r="BR38" s="7">
        <f t="shared" si="20"/>
        <v>21.85</v>
      </c>
      <c r="BS38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8" s="4">
        <v>0</v>
      </c>
      <c r="BU38" s="7">
        <v>0</v>
      </c>
      <c r="BV38" s="7">
        <v>0</v>
      </c>
      <c r="BW38" s="4">
        <v>0</v>
      </c>
      <c r="BX38" s="7">
        <v>0</v>
      </c>
      <c r="BY38" s="7">
        <v>0</v>
      </c>
      <c r="BZ38" s="4">
        <v>0</v>
      </c>
      <c r="CA38" s="7">
        <v>0</v>
      </c>
      <c r="CB38" s="7">
        <v>0</v>
      </c>
      <c r="CC38" s="4">
        <v>0</v>
      </c>
      <c r="CD38" s="7">
        <v>0</v>
      </c>
      <c r="CE38" s="7">
        <v>0</v>
      </c>
      <c r="CF38" s="4">
        <v>0</v>
      </c>
      <c r="CG38" s="7">
        <v>0</v>
      </c>
      <c r="CH38" s="7">
        <v>0</v>
      </c>
      <c r="CI38" s="4">
        <v>0</v>
      </c>
      <c r="CJ38" s="7">
        <v>0</v>
      </c>
      <c r="CK38" s="7">
        <v>0</v>
      </c>
      <c r="CL38" s="4">
        <f t="shared" si="21"/>
        <v>0</v>
      </c>
      <c r="CM38" s="7">
        <f t="shared" si="22"/>
        <v>0</v>
      </c>
      <c r="CN38" s="7">
        <f t="shared" si="23"/>
        <v>0</v>
      </c>
      <c r="CO38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C38" s="43" t="s">
        <v>77</v>
      </c>
      <c r="DD38" s="43" t="s">
        <v>60</v>
      </c>
      <c r="DE38" s="43" t="s">
        <v>79</v>
      </c>
      <c r="DF38">
        <v>4</v>
      </c>
      <c r="DG38" t="s">
        <v>317</v>
      </c>
      <c r="DH38" s="43" t="s">
        <v>308</v>
      </c>
      <c r="DI38">
        <v>22.7</v>
      </c>
    </row>
    <row r="39" spans="1:113" ht="21" x14ac:dyDescent="0.35">
      <c r="A39" t="s">
        <v>98</v>
      </c>
      <c r="B39" s="2" t="s">
        <v>60</v>
      </c>
      <c r="C39" s="2" t="s">
        <v>99</v>
      </c>
      <c r="D39" t="s">
        <v>72</v>
      </c>
      <c r="E39" s="2">
        <f>SUM(COUNTIF(AA[[#This Row],[Bydgoszcz_all_around]],"Yes"),COUNTIF(AA[[#This Row],[Zabrze_all_around]],"Yes"),COUNTIF(AA[[#This Row],[Cracow_all_around]],"Yes"),COUNTIF(AA[[#This Row],[Gdansk_all_Around]],"Yes"))</f>
        <v>0</v>
      </c>
      <c r="F39" s="4">
        <v>0</v>
      </c>
      <c r="G39" s="7">
        <v>0</v>
      </c>
      <c r="H39" s="7">
        <v>0</v>
      </c>
      <c r="I39" s="4">
        <v>0</v>
      </c>
      <c r="J39" s="7">
        <v>0</v>
      </c>
      <c r="K39" s="7">
        <v>0</v>
      </c>
      <c r="L39" s="4">
        <v>0</v>
      </c>
      <c r="M39" s="7">
        <v>0</v>
      </c>
      <c r="N39" s="7">
        <v>0</v>
      </c>
      <c r="O39" s="4">
        <v>0</v>
      </c>
      <c r="P39" s="7">
        <v>0</v>
      </c>
      <c r="Q39" s="7">
        <v>0</v>
      </c>
      <c r="R39" s="4">
        <v>0</v>
      </c>
      <c r="S39" s="7">
        <v>0</v>
      </c>
      <c r="T39" s="7">
        <v>0</v>
      </c>
      <c r="U39" s="4">
        <v>0</v>
      </c>
      <c r="V39" s="7">
        <v>0</v>
      </c>
      <c r="W39" s="7">
        <v>0</v>
      </c>
      <c r="X39" s="4">
        <f t="shared" si="12"/>
        <v>0</v>
      </c>
      <c r="Y39" s="7">
        <f t="shared" si="13"/>
        <v>0</v>
      </c>
      <c r="Z39" s="7">
        <f t="shared" si="14"/>
        <v>0</v>
      </c>
      <c r="AA39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39" s="4">
        <v>0</v>
      </c>
      <c r="AC39" s="7">
        <v>0</v>
      </c>
      <c r="AD39" s="7">
        <v>0</v>
      </c>
      <c r="AE39" s="4">
        <v>3.4</v>
      </c>
      <c r="AF39" s="7">
        <v>7</v>
      </c>
      <c r="AG39" s="7">
        <v>10.4</v>
      </c>
      <c r="AH39" s="4">
        <v>2.9</v>
      </c>
      <c r="AI39" s="7">
        <v>6.7</v>
      </c>
      <c r="AJ39" s="7">
        <v>9.6</v>
      </c>
      <c r="AK39" s="4">
        <v>0</v>
      </c>
      <c r="AL39" s="7">
        <v>0</v>
      </c>
      <c r="AM39" s="7">
        <v>0</v>
      </c>
      <c r="AN39" s="4">
        <v>2.4</v>
      </c>
      <c r="AO39" s="7">
        <v>8.6</v>
      </c>
      <c r="AP39" s="7">
        <v>11</v>
      </c>
      <c r="AQ39" s="4">
        <v>0</v>
      </c>
      <c r="AR39" s="7">
        <v>0</v>
      </c>
      <c r="AS39" s="7">
        <v>0</v>
      </c>
      <c r="AT39" s="4">
        <f t="shared" si="15"/>
        <v>8.6999999999999993</v>
      </c>
      <c r="AU39" s="7">
        <f t="shared" si="16"/>
        <v>22.299999999999997</v>
      </c>
      <c r="AV39" s="7">
        <f t="shared" si="17"/>
        <v>31</v>
      </c>
      <c r="AW39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9" s="4">
        <v>0</v>
      </c>
      <c r="AY39" s="7">
        <v>0</v>
      </c>
      <c r="AZ39" s="7">
        <v>0</v>
      </c>
      <c r="BA39" s="4">
        <v>3.3</v>
      </c>
      <c r="BB39" s="7">
        <v>4.1500000000000004</v>
      </c>
      <c r="BC39" s="7">
        <v>7.45</v>
      </c>
      <c r="BD39" s="4">
        <v>2.5</v>
      </c>
      <c r="BE39" s="7">
        <v>6.55</v>
      </c>
      <c r="BF39" s="7">
        <v>9.0500000000000007</v>
      </c>
      <c r="BG39" s="4">
        <v>0</v>
      </c>
      <c r="BH39" s="7">
        <v>0</v>
      </c>
      <c r="BI39" s="7">
        <v>0</v>
      </c>
      <c r="BJ39" s="4">
        <v>2.5</v>
      </c>
      <c r="BK39" s="7">
        <v>8.6999999999999993</v>
      </c>
      <c r="BL39" s="7">
        <v>11.2</v>
      </c>
      <c r="BM39" s="4">
        <v>2.6</v>
      </c>
      <c r="BN39" s="7">
        <v>6.95</v>
      </c>
      <c r="BO39" s="7">
        <v>9.5500000000000007</v>
      </c>
      <c r="BP39" s="4">
        <f t="shared" si="18"/>
        <v>10.9</v>
      </c>
      <c r="BQ39" s="7">
        <f t="shared" si="19"/>
        <v>26.349999999999998</v>
      </c>
      <c r="BR39" s="7">
        <f t="shared" si="20"/>
        <v>37.25</v>
      </c>
      <c r="BS39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9" s="4">
        <v>0</v>
      </c>
      <c r="BU39" s="7">
        <v>0</v>
      </c>
      <c r="BV39" s="7">
        <v>0</v>
      </c>
      <c r="BW39" s="4">
        <v>0</v>
      </c>
      <c r="BX39" s="7">
        <v>0</v>
      </c>
      <c r="BY39" s="7">
        <v>0</v>
      </c>
      <c r="BZ39" s="4">
        <v>0</v>
      </c>
      <c r="CA39" s="7">
        <v>0</v>
      </c>
      <c r="CB39" s="7">
        <v>0</v>
      </c>
      <c r="CC39" s="4">
        <v>0</v>
      </c>
      <c r="CD39" s="7">
        <v>0</v>
      </c>
      <c r="CE39" s="7">
        <v>0</v>
      </c>
      <c r="CF39" s="4">
        <v>0</v>
      </c>
      <c r="CG39" s="7">
        <v>0</v>
      </c>
      <c r="CH39" s="7">
        <v>0</v>
      </c>
      <c r="CI39" s="4">
        <v>0</v>
      </c>
      <c r="CJ39" s="7">
        <v>0</v>
      </c>
      <c r="CK39" s="7">
        <v>0</v>
      </c>
      <c r="CL39" s="4">
        <f t="shared" si="21"/>
        <v>0</v>
      </c>
      <c r="CM39" s="7">
        <f t="shared" si="22"/>
        <v>0</v>
      </c>
      <c r="CN39" s="7">
        <f t="shared" si="23"/>
        <v>0</v>
      </c>
      <c r="CO39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C39" s="43" t="s">
        <v>77</v>
      </c>
      <c r="DD39" s="43" t="s">
        <v>60</v>
      </c>
      <c r="DE39" s="43" t="s">
        <v>79</v>
      </c>
      <c r="DF39">
        <v>4</v>
      </c>
      <c r="DG39" t="s">
        <v>317</v>
      </c>
      <c r="DH39" s="43" t="s">
        <v>309</v>
      </c>
      <c r="DI39">
        <v>44.550000000000004</v>
      </c>
    </row>
    <row r="40" spans="1:113" ht="21" x14ac:dyDescent="0.35">
      <c r="A40" t="s">
        <v>96</v>
      </c>
      <c r="B40" s="2" t="s">
        <v>60</v>
      </c>
      <c r="C40" s="2" t="s">
        <v>97</v>
      </c>
      <c r="D40" t="s">
        <v>62</v>
      </c>
      <c r="E40" s="2">
        <f>SUM(COUNTIF(AA[[#This Row],[Bydgoszcz_all_around]],"Yes"),COUNTIF(AA[[#This Row],[Zabrze_all_around]],"Yes"),COUNTIF(AA[[#This Row],[Cracow_all_around]],"Yes"),COUNTIF(AA[[#This Row],[Gdansk_all_Around]],"Yes"))</f>
        <v>0</v>
      </c>
      <c r="F40" s="4">
        <v>0</v>
      </c>
      <c r="G40" s="7">
        <v>0</v>
      </c>
      <c r="H40" s="7">
        <v>0</v>
      </c>
      <c r="I40" s="4">
        <v>0</v>
      </c>
      <c r="J40" s="7">
        <v>0</v>
      </c>
      <c r="K40" s="7">
        <v>0</v>
      </c>
      <c r="L40" s="4">
        <v>0</v>
      </c>
      <c r="M40" s="7">
        <v>0</v>
      </c>
      <c r="N40" s="7">
        <v>0</v>
      </c>
      <c r="O40" s="4">
        <v>0</v>
      </c>
      <c r="P40" s="7">
        <v>0</v>
      </c>
      <c r="Q40" s="7">
        <v>0</v>
      </c>
      <c r="R40" s="4">
        <v>0</v>
      </c>
      <c r="S40" s="7">
        <v>0</v>
      </c>
      <c r="T40" s="7">
        <v>0</v>
      </c>
      <c r="U40" s="4">
        <v>0</v>
      </c>
      <c r="V40" s="7">
        <v>0</v>
      </c>
      <c r="W40" s="7">
        <v>0</v>
      </c>
      <c r="X40" s="4">
        <f t="shared" si="12"/>
        <v>0</v>
      </c>
      <c r="Y40" s="7">
        <f t="shared" si="13"/>
        <v>0</v>
      </c>
      <c r="Z40" s="7">
        <f t="shared" si="14"/>
        <v>0</v>
      </c>
      <c r="AA40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0" s="4">
        <v>0</v>
      </c>
      <c r="AC40" s="7">
        <v>0</v>
      </c>
      <c r="AD40" s="7">
        <v>0</v>
      </c>
      <c r="AE40" s="4">
        <v>4.5</v>
      </c>
      <c r="AF40" s="7">
        <v>7.3</v>
      </c>
      <c r="AG40" s="7">
        <v>11.8</v>
      </c>
      <c r="AH40" s="4">
        <v>4.5999999999999996</v>
      </c>
      <c r="AI40" s="7">
        <v>8.1</v>
      </c>
      <c r="AJ40" s="7">
        <v>12.7</v>
      </c>
      <c r="AK40" s="4">
        <v>0</v>
      </c>
      <c r="AL40" s="7">
        <v>0</v>
      </c>
      <c r="AM40" s="7">
        <v>0</v>
      </c>
      <c r="AN40" s="4">
        <v>4</v>
      </c>
      <c r="AO40" s="7">
        <v>6.6</v>
      </c>
      <c r="AP40" s="7">
        <v>10.6</v>
      </c>
      <c r="AQ40" s="4">
        <v>0</v>
      </c>
      <c r="AR40" s="7">
        <v>0</v>
      </c>
      <c r="AS40" s="7">
        <v>0</v>
      </c>
      <c r="AT40" s="4">
        <f t="shared" si="15"/>
        <v>13.1</v>
      </c>
      <c r="AU40" s="7">
        <f t="shared" si="16"/>
        <v>22</v>
      </c>
      <c r="AV40" s="7">
        <f t="shared" si="17"/>
        <v>35.1</v>
      </c>
      <c r="AW40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0" s="4">
        <v>0</v>
      </c>
      <c r="AY40" s="7">
        <v>0</v>
      </c>
      <c r="AZ40" s="7">
        <v>0</v>
      </c>
      <c r="BA40" s="4">
        <v>4.7</v>
      </c>
      <c r="BB40" s="7">
        <v>6.8</v>
      </c>
      <c r="BC40" s="7">
        <v>11.5</v>
      </c>
      <c r="BD40" s="4">
        <v>4.2</v>
      </c>
      <c r="BE40" s="7">
        <v>8.5</v>
      </c>
      <c r="BF40" s="7">
        <v>12.7</v>
      </c>
      <c r="BG40" s="4">
        <v>0</v>
      </c>
      <c r="BH40" s="7">
        <v>0</v>
      </c>
      <c r="BI40" s="7">
        <v>0</v>
      </c>
      <c r="BJ40" s="4">
        <v>3.8</v>
      </c>
      <c r="BK40" s="7">
        <v>7.2</v>
      </c>
      <c r="BL40" s="7">
        <v>11</v>
      </c>
      <c r="BM40" s="4">
        <v>0</v>
      </c>
      <c r="BN40" s="7">
        <v>0</v>
      </c>
      <c r="BO40" s="7">
        <v>0</v>
      </c>
      <c r="BP40" s="4">
        <f t="shared" si="18"/>
        <v>12.7</v>
      </c>
      <c r="BQ40" s="7">
        <f t="shared" si="19"/>
        <v>22.5</v>
      </c>
      <c r="BR40" s="7">
        <f t="shared" si="20"/>
        <v>35.200000000000003</v>
      </c>
      <c r="BS40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0" s="4">
        <v>0</v>
      </c>
      <c r="BU40" s="7">
        <v>0</v>
      </c>
      <c r="BV40" s="7">
        <v>0</v>
      </c>
      <c r="BW40" s="4">
        <v>0</v>
      </c>
      <c r="BX40" s="7">
        <v>0</v>
      </c>
      <c r="BY40" s="7">
        <v>0</v>
      </c>
      <c r="BZ40" s="4">
        <v>0</v>
      </c>
      <c r="CA40" s="7">
        <v>0</v>
      </c>
      <c r="CB40" s="7">
        <v>0</v>
      </c>
      <c r="CC40" s="4">
        <v>0</v>
      </c>
      <c r="CD40" s="7">
        <v>0</v>
      </c>
      <c r="CE40" s="7">
        <v>0</v>
      </c>
      <c r="CF40" s="4">
        <v>0</v>
      </c>
      <c r="CG40" s="7">
        <v>0</v>
      </c>
      <c r="CH40" s="7">
        <v>0</v>
      </c>
      <c r="CI40" s="4">
        <v>0</v>
      </c>
      <c r="CJ40" s="7">
        <v>0</v>
      </c>
      <c r="CK40" s="7">
        <v>0</v>
      </c>
      <c r="CL40" s="4">
        <f t="shared" si="21"/>
        <v>0</v>
      </c>
      <c r="CM40" s="7">
        <f t="shared" si="22"/>
        <v>0</v>
      </c>
      <c r="CN40" s="7">
        <f t="shared" si="23"/>
        <v>0</v>
      </c>
      <c r="CO40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C40" s="43" t="s">
        <v>77</v>
      </c>
      <c r="DD40" s="43" t="s">
        <v>60</v>
      </c>
      <c r="DE40" s="43" t="s">
        <v>79</v>
      </c>
      <c r="DF40">
        <v>4</v>
      </c>
      <c r="DG40" t="s">
        <v>317</v>
      </c>
      <c r="DH40" s="43" t="s">
        <v>268</v>
      </c>
      <c r="DI40">
        <v>67.25</v>
      </c>
    </row>
    <row r="41" spans="1:113" ht="21" x14ac:dyDescent="0.35">
      <c r="A41" t="s">
        <v>108</v>
      </c>
      <c r="B41" s="2" t="s">
        <v>60</v>
      </c>
      <c r="C41" s="2" t="s">
        <v>109</v>
      </c>
      <c r="D41" t="s">
        <v>62</v>
      </c>
      <c r="E41" s="2">
        <f>SUM(COUNTIF(AA[[#This Row],[Bydgoszcz_all_around]],"Yes"),COUNTIF(AA[[#This Row],[Zabrze_all_around]],"Yes"),COUNTIF(AA[[#This Row],[Cracow_all_around]],"Yes"),COUNTIF(AA[[#This Row],[Gdansk_all_Around]],"Yes"))</f>
        <v>0</v>
      </c>
      <c r="F41" s="4">
        <v>0</v>
      </c>
      <c r="G41" s="7">
        <v>0</v>
      </c>
      <c r="H41" s="7">
        <v>0</v>
      </c>
      <c r="I41" s="4">
        <v>0</v>
      </c>
      <c r="J41" s="7">
        <v>0</v>
      </c>
      <c r="K41" s="7">
        <v>0</v>
      </c>
      <c r="L41" s="4">
        <v>0</v>
      </c>
      <c r="M41" s="7">
        <v>0</v>
      </c>
      <c r="N41" s="7">
        <v>0</v>
      </c>
      <c r="O41" s="4">
        <v>0</v>
      </c>
      <c r="P41" s="7">
        <v>0</v>
      </c>
      <c r="Q41" s="7">
        <v>0</v>
      </c>
      <c r="R41" s="4">
        <v>0</v>
      </c>
      <c r="S41" s="7">
        <v>0</v>
      </c>
      <c r="T41" s="7">
        <v>0</v>
      </c>
      <c r="U41" s="4">
        <v>0</v>
      </c>
      <c r="V41" s="7">
        <v>0</v>
      </c>
      <c r="W41" s="7">
        <v>0</v>
      </c>
      <c r="X41" s="4">
        <f t="shared" si="12"/>
        <v>0</v>
      </c>
      <c r="Y41" s="7">
        <f t="shared" si="13"/>
        <v>0</v>
      </c>
      <c r="Z41" s="7">
        <f t="shared" si="14"/>
        <v>0</v>
      </c>
      <c r="AA41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1" s="4">
        <v>3.3</v>
      </c>
      <c r="AC41" s="7">
        <v>8.4</v>
      </c>
      <c r="AD41" s="7">
        <v>11.7</v>
      </c>
      <c r="AE41" s="4">
        <v>0</v>
      </c>
      <c r="AF41" s="7">
        <v>0</v>
      </c>
      <c r="AG41" s="7">
        <v>0</v>
      </c>
      <c r="AH41" s="4">
        <v>2.6</v>
      </c>
      <c r="AI41" s="7">
        <v>1.7</v>
      </c>
      <c r="AJ41" s="7">
        <v>4.3</v>
      </c>
      <c r="AK41" s="4">
        <v>0</v>
      </c>
      <c r="AL41" s="7">
        <v>0</v>
      </c>
      <c r="AM41" s="7">
        <v>0</v>
      </c>
      <c r="AN41" s="4">
        <v>0</v>
      </c>
      <c r="AO41" s="7">
        <v>0</v>
      </c>
      <c r="AP41" s="7">
        <v>0</v>
      </c>
      <c r="AQ41" s="4">
        <v>0</v>
      </c>
      <c r="AR41" s="7">
        <v>0</v>
      </c>
      <c r="AS41" s="7">
        <v>0</v>
      </c>
      <c r="AT41" s="4">
        <f t="shared" si="15"/>
        <v>5.9</v>
      </c>
      <c r="AU41" s="7">
        <f t="shared" si="16"/>
        <v>10.1</v>
      </c>
      <c r="AV41" s="7">
        <f t="shared" si="17"/>
        <v>16</v>
      </c>
      <c r="AW41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1" s="4">
        <v>3.5</v>
      </c>
      <c r="AY41" s="7">
        <v>7.45</v>
      </c>
      <c r="AZ41" s="7">
        <v>10.95</v>
      </c>
      <c r="BA41" s="4">
        <v>0</v>
      </c>
      <c r="BB41" s="7">
        <v>0</v>
      </c>
      <c r="BC41" s="7">
        <v>0</v>
      </c>
      <c r="BD41" s="4">
        <v>2.9</v>
      </c>
      <c r="BE41" s="7">
        <v>5.75</v>
      </c>
      <c r="BF41" s="7">
        <v>8.65</v>
      </c>
      <c r="BG41" s="4">
        <v>0</v>
      </c>
      <c r="BH41" s="7">
        <v>0</v>
      </c>
      <c r="BI41" s="7">
        <v>0</v>
      </c>
      <c r="BJ41" s="4">
        <v>0</v>
      </c>
      <c r="BK41" s="7">
        <v>0</v>
      </c>
      <c r="BL41" s="7">
        <v>0</v>
      </c>
      <c r="BM41" s="4">
        <v>0</v>
      </c>
      <c r="BN41" s="7">
        <v>0</v>
      </c>
      <c r="BO41" s="7">
        <v>0</v>
      </c>
      <c r="BP41" s="4">
        <f t="shared" si="18"/>
        <v>6.4</v>
      </c>
      <c r="BQ41" s="7">
        <f t="shared" si="19"/>
        <v>13.2</v>
      </c>
      <c r="BR41" s="7">
        <f t="shared" si="20"/>
        <v>19.600000000000001</v>
      </c>
      <c r="BS41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1" s="4">
        <v>0</v>
      </c>
      <c r="BU41" s="7">
        <v>0</v>
      </c>
      <c r="BV41" s="7">
        <v>0</v>
      </c>
      <c r="BW41" s="4">
        <v>0</v>
      </c>
      <c r="BX41" s="7">
        <v>0</v>
      </c>
      <c r="BY41" s="7">
        <v>0</v>
      </c>
      <c r="BZ41" s="4">
        <v>0</v>
      </c>
      <c r="CA41" s="7">
        <v>0</v>
      </c>
      <c r="CB41" s="7">
        <v>0</v>
      </c>
      <c r="CC41" s="4">
        <v>0</v>
      </c>
      <c r="CD41" s="7">
        <v>0</v>
      </c>
      <c r="CE41" s="7">
        <v>0</v>
      </c>
      <c r="CF41" s="4">
        <v>0</v>
      </c>
      <c r="CG41" s="7">
        <v>0</v>
      </c>
      <c r="CH41" s="7">
        <v>0</v>
      </c>
      <c r="CI41" s="4">
        <v>0</v>
      </c>
      <c r="CJ41" s="7">
        <v>0</v>
      </c>
      <c r="CK41" s="7">
        <v>0</v>
      </c>
      <c r="CL41" s="4">
        <f t="shared" si="21"/>
        <v>0</v>
      </c>
      <c r="CM41" s="7">
        <f t="shared" si="22"/>
        <v>0</v>
      </c>
      <c r="CN41" s="7">
        <f t="shared" si="23"/>
        <v>0</v>
      </c>
      <c r="CO41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C41" s="43" t="s">
        <v>77</v>
      </c>
      <c r="DD41" s="43" t="s">
        <v>60</v>
      </c>
      <c r="DE41" s="43" t="s">
        <v>79</v>
      </c>
      <c r="DF41">
        <v>4</v>
      </c>
      <c r="DG41" t="s">
        <v>325</v>
      </c>
      <c r="DH41" s="43" t="s">
        <v>308</v>
      </c>
      <c r="DI41">
        <v>21.1</v>
      </c>
    </row>
    <row r="42" spans="1:113" ht="21" x14ac:dyDescent="0.35">
      <c r="A42" t="s">
        <v>104</v>
      </c>
      <c r="B42" s="2" t="s">
        <v>60</v>
      </c>
      <c r="C42" s="2" t="s">
        <v>105</v>
      </c>
      <c r="D42" t="s">
        <v>28</v>
      </c>
      <c r="E42" s="2">
        <f>SUM(COUNTIF(AA[[#This Row],[Bydgoszcz_all_around]],"Yes"),COUNTIF(AA[[#This Row],[Zabrze_all_around]],"Yes"),COUNTIF(AA[[#This Row],[Cracow_all_around]],"Yes"),COUNTIF(AA[[#This Row],[Gdansk_all_Around]],"Yes"))</f>
        <v>0</v>
      </c>
      <c r="F42" s="4">
        <v>0</v>
      </c>
      <c r="G42" s="7">
        <v>0</v>
      </c>
      <c r="H42" s="7">
        <v>0</v>
      </c>
      <c r="I42" s="4">
        <v>0</v>
      </c>
      <c r="J42" s="7">
        <v>0</v>
      </c>
      <c r="K42" s="7">
        <v>0</v>
      </c>
      <c r="L42" s="4">
        <v>0</v>
      </c>
      <c r="M42" s="7">
        <v>0</v>
      </c>
      <c r="N42" s="7">
        <v>0</v>
      </c>
      <c r="O42" s="4">
        <v>0</v>
      </c>
      <c r="P42" s="7">
        <v>0</v>
      </c>
      <c r="Q42" s="7">
        <v>0</v>
      </c>
      <c r="R42" s="4">
        <v>0</v>
      </c>
      <c r="S42" s="7">
        <v>0</v>
      </c>
      <c r="T42" s="7">
        <v>0</v>
      </c>
      <c r="U42" s="4">
        <v>0</v>
      </c>
      <c r="V42" s="7">
        <v>0</v>
      </c>
      <c r="W42" s="7">
        <v>0</v>
      </c>
      <c r="X42" s="4">
        <f t="shared" si="12"/>
        <v>0</v>
      </c>
      <c r="Y42" s="7">
        <f t="shared" si="13"/>
        <v>0</v>
      </c>
      <c r="Z42" s="7">
        <f t="shared" si="14"/>
        <v>0</v>
      </c>
      <c r="AA42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2" s="4">
        <v>4.5</v>
      </c>
      <c r="AC42" s="7">
        <v>6.2</v>
      </c>
      <c r="AD42" s="7">
        <v>10.7</v>
      </c>
      <c r="AE42" s="4">
        <v>0</v>
      </c>
      <c r="AF42" s="7">
        <v>0</v>
      </c>
      <c r="AG42" s="7">
        <v>0</v>
      </c>
      <c r="AH42" s="4">
        <v>0</v>
      </c>
      <c r="AI42" s="7">
        <v>0</v>
      </c>
      <c r="AJ42" s="7">
        <v>0</v>
      </c>
      <c r="AK42" s="4">
        <v>3.2</v>
      </c>
      <c r="AL42" s="7">
        <v>8.8000000000000007</v>
      </c>
      <c r="AM42" s="7">
        <v>12</v>
      </c>
      <c r="AN42" s="4">
        <v>0</v>
      </c>
      <c r="AO42" s="7">
        <v>0</v>
      </c>
      <c r="AP42" s="7">
        <v>0</v>
      </c>
      <c r="AQ42" s="4">
        <v>0</v>
      </c>
      <c r="AR42" s="7">
        <v>0</v>
      </c>
      <c r="AS42" s="7">
        <v>0</v>
      </c>
      <c r="AT42" s="4">
        <f t="shared" si="15"/>
        <v>7.7</v>
      </c>
      <c r="AU42" s="7">
        <f t="shared" si="16"/>
        <v>15</v>
      </c>
      <c r="AV42" s="7">
        <f t="shared" si="17"/>
        <v>22.7</v>
      </c>
      <c r="AW42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2" s="4">
        <v>0</v>
      </c>
      <c r="AY42" s="7">
        <v>0</v>
      </c>
      <c r="AZ42" s="7">
        <v>0</v>
      </c>
      <c r="BA42" s="4">
        <v>0</v>
      </c>
      <c r="BB42" s="7">
        <v>0</v>
      </c>
      <c r="BC42" s="7">
        <v>0</v>
      </c>
      <c r="BD42" s="4">
        <v>0</v>
      </c>
      <c r="BE42" s="7">
        <v>0</v>
      </c>
      <c r="BF42" s="7">
        <v>0</v>
      </c>
      <c r="BG42" s="4">
        <v>0</v>
      </c>
      <c r="BH42" s="7">
        <v>0</v>
      </c>
      <c r="BI42" s="7">
        <v>0</v>
      </c>
      <c r="BJ42" s="4">
        <v>0</v>
      </c>
      <c r="BK42" s="7">
        <v>0</v>
      </c>
      <c r="BL42" s="7">
        <v>0</v>
      </c>
      <c r="BM42" s="4">
        <v>0</v>
      </c>
      <c r="BN42" s="7">
        <v>0</v>
      </c>
      <c r="BO42" s="7">
        <v>0</v>
      </c>
      <c r="BP42" s="4">
        <f t="shared" si="18"/>
        <v>0</v>
      </c>
      <c r="BQ42" s="7">
        <f t="shared" si="19"/>
        <v>0</v>
      </c>
      <c r="BR42" s="7">
        <f t="shared" si="20"/>
        <v>0</v>
      </c>
      <c r="BS42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2" s="4">
        <v>4.4000000000000004</v>
      </c>
      <c r="BU42" s="7">
        <v>4.5</v>
      </c>
      <c r="BV42" s="7">
        <v>8.9</v>
      </c>
      <c r="BW42" s="4">
        <v>0</v>
      </c>
      <c r="BX42" s="7">
        <v>0</v>
      </c>
      <c r="BY42" s="7">
        <v>0</v>
      </c>
      <c r="BZ42" s="4">
        <v>0</v>
      </c>
      <c r="CA42" s="7">
        <v>0</v>
      </c>
      <c r="CB42" s="7">
        <v>0</v>
      </c>
      <c r="CC42" s="4">
        <v>0</v>
      </c>
      <c r="CD42" s="7">
        <v>0</v>
      </c>
      <c r="CE42" s="7">
        <v>0</v>
      </c>
      <c r="CF42" s="4">
        <v>0</v>
      </c>
      <c r="CG42" s="7">
        <v>0</v>
      </c>
      <c r="CH42" s="7">
        <v>0</v>
      </c>
      <c r="CI42" s="4">
        <v>0</v>
      </c>
      <c r="CJ42" s="7">
        <v>0</v>
      </c>
      <c r="CK42" s="7">
        <v>0</v>
      </c>
      <c r="CL42" s="4">
        <f t="shared" si="21"/>
        <v>4.4000000000000004</v>
      </c>
      <c r="CM42" s="7">
        <f t="shared" si="22"/>
        <v>4.5</v>
      </c>
      <c r="CN42" s="7">
        <f t="shared" si="23"/>
        <v>8.9</v>
      </c>
      <c r="CO42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C42" s="43" t="s">
        <v>77</v>
      </c>
      <c r="DD42" s="43" t="s">
        <v>60</v>
      </c>
      <c r="DE42" s="43" t="s">
        <v>79</v>
      </c>
      <c r="DF42">
        <v>4</v>
      </c>
      <c r="DG42" t="s">
        <v>325</v>
      </c>
      <c r="DH42" s="43" t="s">
        <v>309</v>
      </c>
      <c r="DI42">
        <v>47.85</v>
      </c>
    </row>
    <row r="43" spans="1:113" ht="21" x14ac:dyDescent="0.35">
      <c r="A43" t="s">
        <v>129</v>
      </c>
      <c r="B43" s="2" t="s">
        <v>60</v>
      </c>
      <c r="C43" s="2" t="s">
        <v>130</v>
      </c>
      <c r="D43" t="s">
        <v>72</v>
      </c>
      <c r="E43" s="2">
        <f>SUM(COUNTIF(AA[[#This Row],[Bydgoszcz_all_around]],"Yes"),COUNTIF(AA[[#This Row],[Zabrze_all_around]],"Yes"),COUNTIF(AA[[#This Row],[Cracow_all_around]],"Yes"),COUNTIF(AA[[#This Row],[Gdansk_all_Around]],"Yes"))</f>
        <v>0</v>
      </c>
      <c r="F43" s="4">
        <v>0</v>
      </c>
      <c r="G43" s="7">
        <v>0</v>
      </c>
      <c r="H43" s="7">
        <v>0</v>
      </c>
      <c r="I43" s="4">
        <v>0</v>
      </c>
      <c r="J43" s="7">
        <v>0</v>
      </c>
      <c r="K43" s="7">
        <v>0</v>
      </c>
      <c r="L43" s="4">
        <v>0</v>
      </c>
      <c r="M43" s="7">
        <v>0</v>
      </c>
      <c r="N43" s="7">
        <v>0</v>
      </c>
      <c r="O43" s="4">
        <v>0</v>
      </c>
      <c r="P43" s="7">
        <v>0</v>
      </c>
      <c r="Q43" s="7">
        <v>0</v>
      </c>
      <c r="R43" s="4">
        <v>0</v>
      </c>
      <c r="S43" s="7">
        <v>0</v>
      </c>
      <c r="T43" s="7">
        <v>0</v>
      </c>
      <c r="U43" s="4">
        <v>0</v>
      </c>
      <c r="V43" s="7">
        <v>0</v>
      </c>
      <c r="W43" s="7">
        <v>0</v>
      </c>
      <c r="X43" s="4">
        <f t="shared" si="12"/>
        <v>0</v>
      </c>
      <c r="Y43" s="7">
        <f t="shared" si="13"/>
        <v>0</v>
      </c>
      <c r="Z43" s="7">
        <f t="shared" si="14"/>
        <v>0</v>
      </c>
      <c r="AA43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3" s="4">
        <v>0</v>
      </c>
      <c r="AC43" s="7">
        <v>0</v>
      </c>
      <c r="AD43" s="7">
        <v>0</v>
      </c>
      <c r="AE43" s="4">
        <v>0</v>
      </c>
      <c r="AF43" s="7">
        <v>0</v>
      </c>
      <c r="AG43" s="7">
        <v>0</v>
      </c>
      <c r="AH43" s="4">
        <v>0</v>
      </c>
      <c r="AI43" s="7">
        <v>0</v>
      </c>
      <c r="AJ43" s="7">
        <v>0</v>
      </c>
      <c r="AK43" s="4">
        <v>0</v>
      </c>
      <c r="AL43" s="7">
        <v>0</v>
      </c>
      <c r="AM43" s="7">
        <v>0</v>
      </c>
      <c r="AN43" s="4">
        <v>0</v>
      </c>
      <c r="AO43" s="7">
        <v>0</v>
      </c>
      <c r="AP43" s="7">
        <v>0</v>
      </c>
      <c r="AQ43" s="4">
        <v>0</v>
      </c>
      <c r="AR43" s="7">
        <v>0</v>
      </c>
      <c r="AS43" s="7">
        <v>0</v>
      </c>
      <c r="AT43" s="4">
        <f t="shared" si="15"/>
        <v>0</v>
      </c>
      <c r="AU43" s="7">
        <f t="shared" si="16"/>
        <v>0</v>
      </c>
      <c r="AV43" s="7">
        <f t="shared" si="17"/>
        <v>0</v>
      </c>
      <c r="AW43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3" s="4">
        <v>4.4000000000000004</v>
      </c>
      <c r="AY43" s="7">
        <v>7.05</v>
      </c>
      <c r="AZ43" s="7">
        <v>11.45</v>
      </c>
      <c r="BA43" s="4">
        <v>0</v>
      </c>
      <c r="BB43" s="7">
        <v>0</v>
      </c>
      <c r="BC43" s="7">
        <v>0</v>
      </c>
      <c r="BD43" s="4">
        <v>0</v>
      </c>
      <c r="BE43" s="7">
        <v>0</v>
      </c>
      <c r="BF43" s="7">
        <v>0</v>
      </c>
      <c r="BG43" s="4">
        <v>2.8</v>
      </c>
      <c r="BH43" s="7">
        <v>8.5500000000000007</v>
      </c>
      <c r="BI43" s="7">
        <v>11.35</v>
      </c>
      <c r="BJ43" s="4">
        <v>2.7</v>
      </c>
      <c r="BK43" s="7">
        <v>8.5500000000000007</v>
      </c>
      <c r="BL43" s="7">
        <v>11.25</v>
      </c>
      <c r="BM43" s="4">
        <v>0</v>
      </c>
      <c r="BN43" s="7">
        <v>0</v>
      </c>
      <c r="BO43" s="7">
        <v>0</v>
      </c>
      <c r="BP43" s="4">
        <f t="shared" si="18"/>
        <v>9.9</v>
      </c>
      <c r="BQ43" s="7">
        <f t="shared" si="19"/>
        <v>24.150000000000002</v>
      </c>
      <c r="BR43" s="7">
        <f t="shared" si="20"/>
        <v>34.049999999999997</v>
      </c>
      <c r="BS43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3" s="4">
        <v>0</v>
      </c>
      <c r="BU43" s="7">
        <v>0</v>
      </c>
      <c r="BV43" s="7">
        <v>0</v>
      </c>
      <c r="BW43" s="4">
        <v>0</v>
      </c>
      <c r="BX43" s="7">
        <v>0</v>
      </c>
      <c r="BY43" s="7">
        <v>0</v>
      </c>
      <c r="BZ43" s="4">
        <v>0</v>
      </c>
      <c r="CA43" s="7">
        <v>0</v>
      </c>
      <c r="CB43" s="7">
        <v>0</v>
      </c>
      <c r="CC43" s="4">
        <v>0</v>
      </c>
      <c r="CD43" s="7">
        <v>0</v>
      </c>
      <c r="CE43" s="7">
        <v>0</v>
      </c>
      <c r="CF43" s="4">
        <v>0</v>
      </c>
      <c r="CG43" s="7">
        <v>0</v>
      </c>
      <c r="CH43" s="7">
        <v>0</v>
      </c>
      <c r="CI43" s="4">
        <v>0</v>
      </c>
      <c r="CJ43" s="7">
        <v>0</v>
      </c>
      <c r="CK43" s="7">
        <v>0</v>
      </c>
      <c r="CL43" s="4">
        <f t="shared" si="21"/>
        <v>0</v>
      </c>
      <c r="CM43" s="7">
        <f t="shared" si="22"/>
        <v>0</v>
      </c>
      <c r="CN43" s="7">
        <f t="shared" si="23"/>
        <v>0</v>
      </c>
      <c r="CO43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C43" s="43" t="s">
        <v>77</v>
      </c>
      <c r="DD43" s="43" t="s">
        <v>60</v>
      </c>
      <c r="DE43" s="43" t="s">
        <v>79</v>
      </c>
      <c r="DF43">
        <v>4</v>
      </c>
      <c r="DG43" t="s">
        <v>325</v>
      </c>
      <c r="DH43" s="43" t="s">
        <v>268</v>
      </c>
      <c r="DI43">
        <v>68.95</v>
      </c>
    </row>
    <row r="44" spans="1:113" ht="21" x14ac:dyDescent="0.35">
      <c r="A44" t="s">
        <v>110</v>
      </c>
      <c r="B44" s="2" t="s">
        <v>60</v>
      </c>
      <c r="C44" s="2" t="s">
        <v>111</v>
      </c>
      <c r="D44" t="s">
        <v>36</v>
      </c>
      <c r="E44" s="2">
        <f>SUM(COUNTIF(AA[[#This Row],[Bydgoszcz_all_around]],"Yes"),COUNTIF(AA[[#This Row],[Zabrze_all_around]],"Yes"),COUNTIF(AA[[#This Row],[Cracow_all_around]],"Yes"),COUNTIF(AA[[#This Row],[Gdansk_all_Around]],"Yes"))</f>
        <v>0</v>
      </c>
      <c r="F44" s="4">
        <v>0</v>
      </c>
      <c r="G44" s="7">
        <v>0</v>
      </c>
      <c r="H44" s="7">
        <v>0</v>
      </c>
      <c r="I44" s="4">
        <v>0</v>
      </c>
      <c r="J44" s="7">
        <v>0</v>
      </c>
      <c r="K44" s="7">
        <v>0</v>
      </c>
      <c r="L44" s="4">
        <v>0</v>
      </c>
      <c r="M44" s="7">
        <v>0</v>
      </c>
      <c r="N44" s="7">
        <v>0</v>
      </c>
      <c r="O44" s="4">
        <v>0</v>
      </c>
      <c r="P44" s="7">
        <v>0</v>
      </c>
      <c r="Q44" s="7">
        <v>0</v>
      </c>
      <c r="R44" s="4">
        <v>0</v>
      </c>
      <c r="S44" s="7">
        <v>0</v>
      </c>
      <c r="T44" s="7">
        <v>0</v>
      </c>
      <c r="U44" s="4">
        <v>0</v>
      </c>
      <c r="V44" s="7">
        <v>0</v>
      </c>
      <c r="W44" s="7">
        <v>0</v>
      </c>
      <c r="X44" s="4">
        <f t="shared" si="12"/>
        <v>0</v>
      </c>
      <c r="Y44" s="7">
        <f t="shared" si="13"/>
        <v>0</v>
      </c>
      <c r="Z44" s="7">
        <f t="shared" si="14"/>
        <v>0</v>
      </c>
      <c r="AA44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4" s="4">
        <v>0</v>
      </c>
      <c r="AC44" s="7">
        <v>0</v>
      </c>
      <c r="AD44" s="7">
        <v>0</v>
      </c>
      <c r="AE44" s="4">
        <v>3.1</v>
      </c>
      <c r="AF44" s="7">
        <v>6</v>
      </c>
      <c r="AG44" s="7">
        <v>9.1</v>
      </c>
      <c r="AH44" s="4">
        <v>0</v>
      </c>
      <c r="AI44" s="7">
        <v>0</v>
      </c>
      <c r="AJ44" s="7">
        <v>0</v>
      </c>
      <c r="AK44" s="4">
        <v>0</v>
      </c>
      <c r="AL44" s="7">
        <v>0</v>
      </c>
      <c r="AM44" s="7">
        <v>0</v>
      </c>
      <c r="AN44" s="4">
        <v>0</v>
      </c>
      <c r="AO44" s="7">
        <v>0</v>
      </c>
      <c r="AP44" s="7">
        <v>0</v>
      </c>
      <c r="AQ44" s="4">
        <v>0</v>
      </c>
      <c r="AR44" s="7">
        <v>0</v>
      </c>
      <c r="AS44" s="7">
        <v>0</v>
      </c>
      <c r="AT44" s="4">
        <f t="shared" si="15"/>
        <v>3.1</v>
      </c>
      <c r="AU44" s="7">
        <f t="shared" si="16"/>
        <v>6</v>
      </c>
      <c r="AV44" s="7">
        <f t="shared" si="17"/>
        <v>9.1</v>
      </c>
      <c r="AW44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4" s="4">
        <v>0</v>
      </c>
      <c r="AY44" s="7">
        <v>0</v>
      </c>
      <c r="AZ44" s="7">
        <v>0</v>
      </c>
      <c r="BA44" s="4">
        <v>3.5</v>
      </c>
      <c r="BB44" s="7">
        <v>5.6</v>
      </c>
      <c r="BC44" s="7">
        <v>9.1</v>
      </c>
      <c r="BD44" s="4">
        <v>0</v>
      </c>
      <c r="BE44" s="7">
        <v>0</v>
      </c>
      <c r="BF44" s="7">
        <v>0</v>
      </c>
      <c r="BG44" s="4">
        <v>0</v>
      </c>
      <c r="BH44" s="7">
        <v>0</v>
      </c>
      <c r="BI44" s="7">
        <v>0</v>
      </c>
      <c r="BJ44" s="4">
        <v>0</v>
      </c>
      <c r="BK44" s="7">
        <v>0</v>
      </c>
      <c r="BL44" s="7">
        <v>0</v>
      </c>
      <c r="BM44" s="4">
        <v>0</v>
      </c>
      <c r="BN44" s="7">
        <v>0</v>
      </c>
      <c r="BO44" s="7">
        <v>0</v>
      </c>
      <c r="BP44" s="4">
        <f t="shared" si="18"/>
        <v>3.5</v>
      </c>
      <c r="BQ44" s="7">
        <f t="shared" si="19"/>
        <v>5.6</v>
      </c>
      <c r="BR44" s="7">
        <f t="shared" si="20"/>
        <v>9.1</v>
      </c>
      <c r="BS44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4" s="4">
        <v>0</v>
      </c>
      <c r="BU44" s="7">
        <v>0</v>
      </c>
      <c r="BV44" s="7">
        <v>0</v>
      </c>
      <c r="BW44" s="4">
        <v>0</v>
      </c>
      <c r="BX44" s="7">
        <v>0</v>
      </c>
      <c r="BY44" s="7">
        <v>0</v>
      </c>
      <c r="BZ44" s="4">
        <v>0</v>
      </c>
      <c r="CA44" s="7">
        <v>0</v>
      </c>
      <c r="CB44" s="7">
        <v>0</v>
      </c>
      <c r="CC44" s="4">
        <v>0</v>
      </c>
      <c r="CD44" s="7">
        <v>0</v>
      </c>
      <c r="CE44" s="7">
        <v>0</v>
      </c>
      <c r="CF44" s="4">
        <v>0</v>
      </c>
      <c r="CG44" s="7">
        <v>0</v>
      </c>
      <c r="CH44" s="7">
        <v>0</v>
      </c>
      <c r="CI44" s="4">
        <v>0</v>
      </c>
      <c r="CJ44" s="7">
        <v>0</v>
      </c>
      <c r="CK44" s="7">
        <v>0</v>
      </c>
      <c r="CL44" s="4">
        <f t="shared" si="21"/>
        <v>0</v>
      </c>
      <c r="CM44" s="7">
        <f t="shared" si="22"/>
        <v>0</v>
      </c>
      <c r="CN44" s="7">
        <f t="shared" si="23"/>
        <v>0</v>
      </c>
      <c r="CO44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C44" s="43" t="s">
        <v>77</v>
      </c>
      <c r="DD44" s="43" t="s">
        <v>60</v>
      </c>
      <c r="DE44" s="43" t="s">
        <v>79</v>
      </c>
      <c r="DF44">
        <v>4</v>
      </c>
      <c r="DG44" t="s">
        <v>330</v>
      </c>
      <c r="DH44" s="43" t="s">
        <v>308</v>
      </c>
      <c r="DI44">
        <v>21.4</v>
      </c>
    </row>
    <row r="45" spans="1:113" ht="21" x14ac:dyDescent="0.35">
      <c r="A45" t="s">
        <v>102</v>
      </c>
      <c r="B45" s="2" t="s">
        <v>60</v>
      </c>
      <c r="C45" s="2" t="s">
        <v>103</v>
      </c>
      <c r="D45" t="s">
        <v>31</v>
      </c>
      <c r="E45" s="2">
        <f>SUM(COUNTIF(AA[[#This Row],[Bydgoszcz_all_around]],"Yes"),COUNTIF(AA[[#This Row],[Zabrze_all_around]],"Yes"),COUNTIF(AA[[#This Row],[Cracow_all_around]],"Yes"),COUNTIF(AA[[#This Row],[Gdansk_all_Around]],"Yes"))</f>
        <v>0</v>
      </c>
      <c r="F45" s="4">
        <v>0</v>
      </c>
      <c r="G45" s="7">
        <v>0</v>
      </c>
      <c r="H45" s="7">
        <v>0</v>
      </c>
      <c r="I45" s="4">
        <v>0</v>
      </c>
      <c r="J45" s="7">
        <v>0</v>
      </c>
      <c r="K45" s="7">
        <v>0</v>
      </c>
      <c r="L45" s="4">
        <v>0</v>
      </c>
      <c r="M45" s="7">
        <v>0</v>
      </c>
      <c r="N45" s="7">
        <v>0</v>
      </c>
      <c r="O45" s="4">
        <v>0</v>
      </c>
      <c r="P45" s="7">
        <v>0</v>
      </c>
      <c r="Q45" s="7">
        <v>0</v>
      </c>
      <c r="R45" s="4">
        <v>0</v>
      </c>
      <c r="S45" s="7">
        <v>0</v>
      </c>
      <c r="T45" s="7">
        <v>0</v>
      </c>
      <c r="U45" s="4">
        <v>0</v>
      </c>
      <c r="V45" s="7">
        <v>0</v>
      </c>
      <c r="W45" s="7">
        <v>0</v>
      </c>
      <c r="X45" s="4">
        <f t="shared" si="12"/>
        <v>0</v>
      </c>
      <c r="Y45" s="7">
        <f t="shared" si="13"/>
        <v>0</v>
      </c>
      <c r="Z45" s="7">
        <f t="shared" si="14"/>
        <v>0</v>
      </c>
      <c r="AA45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5" s="4">
        <v>0</v>
      </c>
      <c r="AC45" s="7">
        <v>0</v>
      </c>
      <c r="AD45" s="7">
        <v>0</v>
      </c>
      <c r="AE45" s="4">
        <v>0</v>
      </c>
      <c r="AF45" s="7">
        <v>0</v>
      </c>
      <c r="AG45" s="7">
        <v>0</v>
      </c>
      <c r="AH45" s="4">
        <v>3.2</v>
      </c>
      <c r="AI45" s="7">
        <v>6.9</v>
      </c>
      <c r="AJ45" s="7">
        <v>10.1</v>
      </c>
      <c r="AK45" s="4">
        <v>4</v>
      </c>
      <c r="AL45" s="7">
        <v>8.85</v>
      </c>
      <c r="AM45" s="7">
        <v>12.85</v>
      </c>
      <c r="AN45" s="4">
        <v>0</v>
      </c>
      <c r="AO45" s="7">
        <v>0</v>
      </c>
      <c r="AP45" s="7">
        <v>0</v>
      </c>
      <c r="AQ45" s="4">
        <v>0</v>
      </c>
      <c r="AR45" s="7">
        <v>0</v>
      </c>
      <c r="AS45" s="7">
        <v>0</v>
      </c>
      <c r="AT45" s="4">
        <f t="shared" si="15"/>
        <v>7.2</v>
      </c>
      <c r="AU45" s="7">
        <f t="shared" si="16"/>
        <v>15.75</v>
      </c>
      <c r="AV45" s="7">
        <f t="shared" si="17"/>
        <v>22.95</v>
      </c>
      <c r="AW45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5" s="4">
        <v>0</v>
      </c>
      <c r="AY45" s="7">
        <v>0</v>
      </c>
      <c r="AZ45" s="7">
        <v>0</v>
      </c>
      <c r="BA45" s="4">
        <v>0</v>
      </c>
      <c r="BB45" s="7">
        <v>0</v>
      </c>
      <c r="BC45" s="7">
        <v>0</v>
      </c>
      <c r="BD45" s="4">
        <v>0</v>
      </c>
      <c r="BE45" s="7">
        <v>0</v>
      </c>
      <c r="BF45" s="7">
        <v>0</v>
      </c>
      <c r="BG45" s="4">
        <v>0</v>
      </c>
      <c r="BH45" s="7">
        <v>0</v>
      </c>
      <c r="BI45" s="7">
        <v>0</v>
      </c>
      <c r="BJ45" s="4">
        <v>0</v>
      </c>
      <c r="BK45" s="7">
        <v>0</v>
      </c>
      <c r="BL45" s="7">
        <v>0</v>
      </c>
      <c r="BM45" s="4">
        <v>0</v>
      </c>
      <c r="BN45" s="7">
        <v>0</v>
      </c>
      <c r="BO45" s="7">
        <v>0</v>
      </c>
      <c r="BP45" s="4">
        <f t="shared" si="18"/>
        <v>0</v>
      </c>
      <c r="BQ45" s="7">
        <f t="shared" si="19"/>
        <v>0</v>
      </c>
      <c r="BR45" s="7">
        <f t="shared" si="20"/>
        <v>0</v>
      </c>
      <c r="BS45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5" s="4">
        <v>0</v>
      </c>
      <c r="BU45" s="7">
        <v>0</v>
      </c>
      <c r="BV45" s="7">
        <v>0</v>
      </c>
      <c r="BW45" s="4">
        <v>0</v>
      </c>
      <c r="BX45" s="7">
        <v>0</v>
      </c>
      <c r="BY45" s="7">
        <v>0</v>
      </c>
      <c r="BZ45" s="4">
        <v>0</v>
      </c>
      <c r="CA45" s="7">
        <v>0</v>
      </c>
      <c r="CB45" s="7">
        <v>0</v>
      </c>
      <c r="CC45" s="4">
        <v>0</v>
      </c>
      <c r="CD45" s="7">
        <v>0</v>
      </c>
      <c r="CE45" s="7">
        <v>0</v>
      </c>
      <c r="CF45" s="4">
        <v>0</v>
      </c>
      <c r="CG45" s="7">
        <v>0</v>
      </c>
      <c r="CH45" s="7">
        <v>0</v>
      </c>
      <c r="CI45" s="4">
        <v>0</v>
      </c>
      <c r="CJ45" s="7">
        <v>0</v>
      </c>
      <c r="CK45" s="7">
        <v>0</v>
      </c>
      <c r="CL45" s="4">
        <f t="shared" si="21"/>
        <v>0</v>
      </c>
      <c r="CM45" s="7">
        <f t="shared" si="22"/>
        <v>0</v>
      </c>
      <c r="CN45" s="7">
        <f t="shared" si="23"/>
        <v>0</v>
      </c>
      <c r="CO45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C45" s="43" t="s">
        <v>77</v>
      </c>
      <c r="DD45" s="43" t="s">
        <v>60</v>
      </c>
      <c r="DE45" s="43" t="s">
        <v>79</v>
      </c>
      <c r="DF45">
        <v>4</v>
      </c>
      <c r="DG45" t="s">
        <v>330</v>
      </c>
      <c r="DH45" s="43" t="s">
        <v>309</v>
      </c>
      <c r="DI45">
        <v>48.7</v>
      </c>
    </row>
    <row r="46" spans="1:113" ht="21" x14ac:dyDescent="0.35">
      <c r="A46" t="s">
        <v>114</v>
      </c>
      <c r="B46" s="2" t="s">
        <v>26</v>
      </c>
      <c r="C46" s="2" t="s">
        <v>115</v>
      </c>
      <c r="D46" t="s">
        <v>36</v>
      </c>
      <c r="E46" s="2">
        <f>SUM(COUNTIF(AA[[#This Row],[Bydgoszcz_all_around]],"Yes"),COUNTIF(AA[[#This Row],[Zabrze_all_around]],"Yes"),COUNTIF(AA[[#This Row],[Cracow_all_around]],"Yes"),COUNTIF(AA[[#This Row],[Gdansk_all_Around]],"Yes"))</f>
        <v>0</v>
      </c>
      <c r="F46" s="4">
        <v>0</v>
      </c>
      <c r="G46" s="7">
        <v>0</v>
      </c>
      <c r="H46" s="7">
        <v>0</v>
      </c>
      <c r="I46" s="4">
        <v>2.6</v>
      </c>
      <c r="J46" s="7">
        <v>4.9000000000000004</v>
      </c>
      <c r="K46" s="7">
        <v>7.5</v>
      </c>
      <c r="L46" s="4">
        <v>0</v>
      </c>
      <c r="M46" s="7">
        <v>0</v>
      </c>
      <c r="N46" s="7">
        <v>0</v>
      </c>
      <c r="O46" s="4">
        <v>2.4</v>
      </c>
      <c r="P46" s="7">
        <v>8.8000000000000007</v>
      </c>
      <c r="Q46" s="7">
        <v>11.2</v>
      </c>
      <c r="R46" s="4">
        <v>2.4</v>
      </c>
      <c r="S46" s="7">
        <v>8.1</v>
      </c>
      <c r="T46" s="7">
        <v>10.5</v>
      </c>
      <c r="U46" s="4">
        <v>1.8</v>
      </c>
      <c r="V46" s="7">
        <v>8</v>
      </c>
      <c r="W46" s="7">
        <v>9.8000000000000007</v>
      </c>
      <c r="X46" s="4">
        <f t="shared" si="12"/>
        <v>9.2000000000000011</v>
      </c>
      <c r="Y46" s="7">
        <f t="shared" si="13"/>
        <v>29.8</v>
      </c>
      <c r="Z46" s="7">
        <f t="shared" si="14"/>
        <v>39</v>
      </c>
      <c r="AA46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6" s="4">
        <v>0</v>
      </c>
      <c r="AC46" s="7">
        <v>0</v>
      </c>
      <c r="AD46" s="7">
        <v>0</v>
      </c>
      <c r="AE46" s="4">
        <v>0</v>
      </c>
      <c r="AF46" s="7">
        <v>0</v>
      </c>
      <c r="AG46" s="7">
        <v>0</v>
      </c>
      <c r="AH46" s="4">
        <v>0</v>
      </c>
      <c r="AI46" s="7">
        <v>0</v>
      </c>
      <c r="AJ46" s="7">
        <v>0</v>
      </c>
      <c r="AK46" s="4">
        <v>0</v>
      </c>
      <c r="AL46" s="7">
        <v>0</v>
      </c>
      <c r="AM46" s="7">
        <v>0</v>
      </c>
      <c r="AN46" s="4">
        <v>0</v>
      </c>
      <c r="AO46" s="7">
        <v>0</v>
      </c>
      <c r="AP46" s="7">
        <v>0</v>
      </c>
      <c r="AQ46" s="4">
        <v>0</v>
      </c>
      <c r="AR46" s="7">
        <v>0</v>
      </c>
      <c r="AS46" s="7">
        <v>0</v>
      </c>
      <c r="AT46" s="4">
        <f t="shared" si="15"/>
        <v>0</v>
      </c>
      <c r="AU46" s="7">
        <f t="shared" si="16"/>
        <v>0</v>
      </c>
      <c r="AV46" s="7">
        <f t="shared" si="17"/>
        <v>0</v>
      </c>
      <c r="AW46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6" s="4">
        <v>0</v>
      </c>
      <c r="AY46" s="7">
        <v>0</v>
      </c>
      <c r="AZ46" s="7">
        <v>0</v>
      </c>
      <c r="BA46" s="4">
        <v>2.6</v>
      </c>
      <c r="BB46" s="7">
        <v>7.65</v>
      </c>
      <c r="BC46" s="7">
        <v>10.25</v>
      </c>
      <c r="BD46" s="4">
        <v>1.7</v>
      </c>
      <c r="BE46" s="7">
        <v>7.85</v>
      </c>
      <c r="BF46" s="7">
        <v>9.5500000000000007</v>
      </c>
      <c r="BG46" s="4">
        <v>1.6</v>
      </c>
      <c r="BH46" s="7">
        <v>8.8000000000000007</v>
      </c>
      <c r="BI46" s="7">
        <v>10.4</v>
      </c>
      <c r="BJ46" s="4">
        <v>2.4</v>
      </c>
      <c r="BK46" s="7">
        <v>8</v>
      </c>
      <c r="BL46" s="7">
        <v>10.4</v>
      </c>
      <c r="BM46" s="4">
        <v>1.8</v>
      </c>
      <c r="BN46" s="7">
        <v>8.8000000000000007</v>
      </c>
      <c r="BO46" s="7">
        <v>10.6</v>
      </c>
      <c r="BP46" s="4">
        <f t="shared" si="18"/>
        <v>10.100000000000001</v>
      </c>
      <c r="BQ46" s="7">
        <f t="shared" si="19"/>
        <v>41.099999999999994</v>
      </c>
      <c r="BR46" s="7">
        <f t="shared" si="20"/>
        <v>51.2</v>
      </c>
      <c r="BS46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6" s="4">
        <v>3.4</v>
      </c>
      <c r="BU46" s="7">
        <v>7.1</v>
      </c>
      <c r="BV46" s="7">
        <v>10.5</v>
      </c>
      <c r="BW46" s="4">
        <v>2.6</v>
      </c>
      <c r="BX46" s="7">
        <v>6.5</v>
      </c>
      <c r="BY46" s="7">
        <v>9.1</v>
      </c>
      <c r="BZ46" s="4">
        <v>0</v>
      </c>
      <c r="CA46" s="7">
        <v>0</v>
      </c>
      <c r="CB46" s="7">
        <v>0</v>
      </c>
      <c r="CC46" s="4">
        <v>1.6</v>
      </c>
      <c r="CD46" s="7">
        <v>8.8000000000000007</v>
      </c>
      <c r="CE46" s="7">
        <v>10.4</v>
      </c>
      <c r="CF46" s="4">
        <v>2.4</v>
      </c>
      <c r="CG46" s="7">
        <v>8.8000000000000007</v>
      </c>
      <c r="CH46" s="7">
        <v>11.2</v>
      </c>
      <c r="CI46" s="4">
        <v>1.8</v>
      </c>
      <c r="CJ46" s="7">
        <v>7.8</v>
      </c>
      <c r="CK46" s="7">
        <v>9.6</v>
      </c>
      <c r="CL46" s="4">
        <f t="shared" si="21"/>
        <v>11.8</v>
      </c>
      <c r="CM46" s="7">
        <f t="shared" si="22"/>
        <v>39</v>
      </c>
      <c r="CN46" s="7">
        <f t="shared" si="23"/>
        <v>50.800000000000004</v>
      </c>
      <c r="CO46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C46" s="43" t="s">
        <v>77</v>
      </c>
      <c r="DD46" s="43" t="s">
        <v>60</v>
      </c>
      <c r="DE46" s="43" t="s">
        <v>79</v>
      </c>
      <c r="DF46">
        <v>4</v>
      </c>
      <c r="DG46" t="s">
        <v>330</v>
      </c>
      <c r="DH46" s="43" t="s">
        <v>268</v>
      </c>
      <c r="DI46">
        <v>70.099999999999994</v>
      </c>
    </row>
    <row r="47" spans="1:113" ht="21" x14ac:dyDescent="0.35">
      <c r="A47" t="s">
        <v>52</v>
      </c>
      <c r="B47" s="2" t="s">
        <v>26</v>
      </c>
      <c r="C47" s="2" t="s">
        <v>53</v>
      </c>
      <c r="D47" t="s">
        <v>36</v>
      </c>
      <c r="E47" s="2">
        <f>SUM(COUNTIF(AA[[#This Row],[Bydgoszcz_all_around]],"Yes"),COUNTIF(AA[[#This Row],[Zabrze_all_around]],"Yes"),COUNTIF(AA[[#This Row],[Cracow_all_around]],"Yes"),COUNTIF(AA[[#This Row],[Gdansk_all_Around]],"Yes"))</f>
        <v>0</v>
      </c>
      <c r="F47" s="4">
        <v>0</v>
      </c>
      <c r="G47" s="7">
        <v>0</v>
      </c>
      <c r="H47" s="7">
        <v>0</v>
      </c>
      <c r="I47" s="4">
        <v>2.1</v>
      </c>
      <c r="J47" s="7">
        <v>4.5</v>
      </c>
      <c r="K47" s="7">
        <v>6.6</v>
      </c>
      <c r="L47" s="4">
        <v>0</v>
      </c>
      <c r="M47" s="7">
        <v>0</v>
      </c>
      <c r="N47" s="7">
        <v>0</v>
      </c>
      <c r="O47" s="4">
        <v>2.4</v>
      </c>
      <c r="P47" s="7">
        <v>7.7</v>
      </c>
      <c r="Q47" s="7">
        <v>10.1</v>
      </c>
      <c r="R47" s="4">
        <v>3.1</v>
      </c>
      <c r="S47" s="7">
        <v>8.75</v>
      </c>
      <c r="T47" s="7">
        <v>11.85</v>
      </c>
      <c r="U47" s="4">
        <v>0</v>
      </c>
      <c r="V47" s="7">
        <v>0</v>
      </c>
      <c r="W47" s="7">
        <v>0</v>
      </c>
      <c r="X47" s="4">
        <f t="shared" si="12"/>
        <v>7.6</v>
      </c>
      <c r="Y47" s="7">
        <f t="shared" si="13"/>
        <v>20.95</v>
      </c>
      <c r="Z47" s="7">
        <f t="shared" si="14"/>
        <v>28.549999999999997</v>
      </c>
      <c r="AA47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7" s="4">
        <v>0</v>
      </c>
      <c r="AC47" s="7">
        <v>0</v>
      </c>
      <c r="AD47" s="7">
        <v>0</v>
      </c>
      <c r="AE47" s="4">
        <v>2.2000000000000002</v>
      </c>
      <c r="AF47" s="7">
        <v>6.5</v>
      </c>
      <c r="AG47" s="7">
        <v>8.6999999999999993</v>
      </c>
      <c r="AH47" s="4">
        <v>0</v>
      </c>
      <c r="AI47" s="7">
        <v>0</v>
      </c>
      <c r="AJ47" s="7">
        <v>0</v>
      </c>
      <c r="AK47" s="4">
        <v>0</v>
      </c>
      <c r="AL47" s="7">
        <v>0</v>
      </c>
      <c r="AM47" s="7">
        <v>0</v>
      </c>
      <c r="AN47" s="4">
        <v>3.1</v>
      </c>
      <c r="AO47" s="7">
        <v>8</v>
      </c>
      <c r="AP47" s="7">
        <v>11.1</v>
      </c>
      <c r="AQ47" s="4">
        <v>0</v>
      </c>
      <c r="AR47" s="7">
        <v>0</v>
      </c>
      <c r="AS47" s="7">
        <v>0</v>
      </c>
      <c r="AT47" s="4">
        <f t="shared" si="15"/>
        <v>5.3000000000000007</v>
      </c>
      <c r="AU47" s="7">
        <f t="shared" si="16"/>
        <v>14.5</v>
      </c>
      <c r="AV47" s="7">
        <f t="shared" si="17"/>
        <v>19.799999999999997</v>
      </c>
      <c r="AW47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7" s="4">
        <v>0</v>
      </c>
      <c r="AY47" s="7">
        <v>0</v>
      </c>
      <c r="AZ47" s="7">
        <v>0</v>
      </c>
      <c r="BA47" s="4">
        <v>2.2000000000000002</v>
      </c>
      <c r="BB47" s="7">
        <v>6.2</v>
      </c>
      <c r="BC47" s="7">
        <v>8.4</v>
      </c>
      <c r="BD47" s="4">
        <v>0</v>
      </c>
      <c r="BE47" s="7">
        <v>0</v>
      </c>
      <c r="BF47" s="7">
        <v>0</v>
      </c>
      <c r="BG47" s="4">
        <v>1.6</v>
      </c>
      <c r="BH47" s="7">
        <v>9.4499999999999993</v>
      </c>
      <c r="BI47" s="7">
        <v>11.05</v>
      </c>
      <c r="BJ47" s="4">
        <v>2.4</v>
      </c>
      <c r="BK47" s="7">
        <v>9.1</v>
      </c>
      <c r="BL47" s="7">
        <v>11.5</v>
      </c>
      <c r="BM47" s="4">
        <v>0</v>
      </c>
      <c r="BN47" s="7">
        <v>0</v>
      </c>
      <c r="BO47" s="7">
        <v>0</v>
      </c>
      <c r="BP47" s="4">
        <f t="shared" si="18"/>
        <v>6.2</v>
      </c>
      <c r="BQ47" s="7">
        <f t="shared" si="19"/>
        <v>24.75</v>
      </c>
      <c r="BR47" s="7">
        <f t="shared" si="20"/>
        <v>30.950000000000003</v>
      </c>
      <c r="BS47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7" s="4">
        <v>3.2</v>
      </c>
      <c r="BU47" s="7">
        <v>6.9</v>
      </c>
      <c r="BV47" s="7">
        <v>10.1</v>
      </c>
      <c r="BW47" s="4">
        <v>2</v>
      </c>
      <c r="BX47" s="7">
        <v>3.5</v>
      </c>
      <c r="BY47" s="7">
        <v>5.5</v>
      </c>
      <c r="BZ47" s="4">
        <v>0</v>
      </c>
      <c r="CA47" s="7">
        <v>0</v>
      </c>
      <c r="CB47" s="7">
        <v>0</v>
      </c>
      <c r="CC47" s="4">
        <v>2.4</v>
      </c>
      <c r="CD47" s="7">
        <v>8.1999999999999993</v>
      </c>
      <c r="CE47" s="7">
        <v>10.6</v>
      </c>
      <c r="CF47" s="4">
        <v>2.4</v>
      </c>
      <c r="CG47" s="7">
        <v>8.5</v>
      </c>
      <c r="CH47" s="7">
        <v>10.9</v>
      </c>
      <c r="CI47" s="4">
        <v>0</v>
      </c>
      <c r="CJ47" s="7">
        <v>0</v>
      </c>
      <c r="CK47" s="7">
        <v>0</v>
      </c>
      <c r="CL47" s="4">
        <f t="shared" si="21"/>
        <v>10</v>
      </c>
      <c r="CM47" s="7">
        <f t="shared" si="22"/>
        <v>27.1</v>
      </c>
      <c r="CN47" s="7">
        <f t="shared" si="23"/>
        <v>37.1</v>
      </c>
      <c r="CO47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C47" s="43" t="s">
        <v>77</v>
      </c>
      <c r="DD47" s="43" t="s">
        <v>60</v>
      </c>
      <c r="DE47" s="43" t="s">
        <v>79</v>
      </c>
      <c r="DF47">
        <v>4</v>
      </c>
      <c r="DG47" t="s">
        <v>331</v>
      </c>
      <c r="DH47" s="43" t="s">
        <v>308</v>
      </c>
      <c r="DI47">
        <v>19.200000000000003</v>
      </c>
    </row>
    <row r="48" spans="1:113" ht="21" x14ac:dyDescent="0.35">
      <c r="A48" t="s">
        <v>120</v>
      </c>
      <c r="B48" s="2" t="s">
        <v>26</v>
      </c>
      <c r="C48" s="2" t="s">
        <v>121</v>
      </c>
      <c r="D48" t="s">
        <v>39</v>
      </c>
      <c r="E48" s="2">
        <f>SUM(COUNTIF(AA[[#This Row],[Bydgoszcz_all_around]],"Yes"),COUNTIF(AA[[#This Row],[Zabrze_all_around]],"Yes"),COUNTIF(AA[[#This Row],[Cracow_all_around]],"Yes"),COUNTIF(AA[[#This Row],[Gdansk_all_Around]],"Yes"))</f>
        <v>0</v>
      </c>
      <c r="F48" s="4">
        <v>3</v>
      </c>
      <c r="G48" s="7">
        <v>8.3000000000000007</v>
      </c>
      <c r="H48" s="7">
        <v>11.3</v>
      </c>
      <c r="I48" s="4">
        <v>2.6</v>
      </c>
      <c r="J48" s="7">
        <v>4.4000000000000004</v>
      </c>
      <c r="K48" s="7">
        <v>7</v>
      </c>
      <c r="L48" s="4">
        <v>2.9</v>
      </c>
      <c r="M48" s="7">
        <v>6.7</v>
      </c>
      <c r="N48" s="7">
        <v>9.6</v>
      </c>
      <c r="O48" s="4">
        <v>3.2</v>
      </c>
      <c r="P48" s="7">
        <v>9</v>
      </c>
      <c r="Q48" s="7">
        <v>12.2</v>
      </c>
      <c r="R48" s="4">
        <v>3.1</v>
      </c>
      <c r="S48" s="7">
        <v>7.45</v>
      </c>
      <c r="T48" s="7">
        <v>10.55</v>
      </c>
      <c r="U48" s="4">
        <v>0</v>
      </c>
      <c r="V48" s="7">
        <v>0</v>
      </c>
      <c r="W48" s="7">
        <v>0</v>
      </c>
      <c r="X48" s="4">
        <f t="shared" si="12"/>
        <v>14.799999999999999</v>
      </c>
      <c r="Y48" s="7">
        <f t="shared" si="13"/>
        <v>35.85</v>
      </c>
      <c r="Z48" s="7">
        <f t="shared" si="14"/>
        <v>50.649999999999991</v>
      </c>
      <c r="AA48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8" s="4">
        <v>0</v>
      </c>
      <c r="AC48" s="7">
        <v>0</v>
      </c>
      <c r="AD48" s="7">
        <v>0</v>
      </c>
      <c r="AE48" s="4">
        <v>0</v>
      </c>
      <c r="AF48" s="7">
        <v>0</v>
      </c>
      <c r="AG48" s="7">
        <v>0</v>
      </c>
      <c r="AH48" s="4">
        <v>0</v>
      </c>
      <c r="AI48" s="7">
        <v>0</v>
      </c>
      <c r="AJ48" s="7">
        <v>0</v>
      </c>
      <c r="AK48" s="4">
        <v>0</v>
      </c>
      <c r="AL48" s="7">
        <v>0</v>
      </c>
      <c r="AM48" s="7">
        <v>0</v>
      </c>
      <c r="AN48" s="4">
        <v>0</v>
      </c>
      <c r="AO48" s="7">
        <v>0</v>
      </c>
      <c r="AP48" s="7">
        <v>0</v>
      </c>
      <c r="AQ48" s="4">
        <v>0</v>
      </c>
      <c r="AR48" s="7">
        <v>0</v>
      </c>
      <c r="AS48" s="7">
        <v>0</v>
      </c>
      <c r="AT48" s="4">
        <f t="shared" si="15"/>
        <v>0</v>
      </c>
      <c r="AU48" s="7">
        <f t="shared" si="16"/>
        <v>0</v>
      </c>
      <c r="AV48" s="7">
        <f t="shared" si="17"/>
        <v>0</v>
      </c>
      <c r="AW48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8" s="4">
        <v>2.6</v>
      </c>
      <c r="AY48" s="7">
        <v>7.8</v>
      </c>
      <c r="AZ48" s="7">
        <v>10.4</v>
      </c>
      <c r="BA48" s="4">
        <v>2.4</v>
      </c>
      <c r="BB48" s="7">
        <v>5.7</v>
      </c>
      <c r="BC48" s="7">
        <v>8.1</v>
      </c>
      <c r="BD48" s="4">
        <v>1.8</v>
      </c>
      <c r="BE48" s="7">
        <v>6.8</v>
      </c>
      <c r="BF48" s="7">
        <v>8.6</v>
      </c>
      <c r="BG48" s="4">
        <v>2.4</v>
      </c>
      <c r="BH48" s="7">
        <v>7.8</v>
      </c>
      <c r="BI48" s="7">
        <v>10.199999999999999</v>
      </c>
      <c r="BJ48" s="4">
        <v>2.2999999999999998</v>
      </c>
      <c r="BK48" s="7">
        <v>7.45</v>
      </c>
      <c r="BL48" s="7">
        <v>9.75</v>
      </c>
      <c r="BM48" s="4">
        <v>0</v>
      </c>
      <c r="BN48" s="7">
        <v>0</v>
      </c>
      <c r="BO48" s="7">
        <v>0</v>
      </c>
      <c r="BP48" s="4">
        <f t="shared" si="18"/>
        <v>11.5</v>
      </c>
      <c r="BQ48" s="7">
        <f t="shared" si="19"/>
        <v>35.550000000000004</v>
      </c>
      <c r="BR48" s="7">
        <f t="shared" si="20"/>
        <v>47.05</v>
      </c>
      <c r="BS48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8" s="4">
        <v>0</v>
      </c>
      <c r="BU48" s="7">
        <v>0</v>
      </c>
      <c r="BV48" s="7">
        <v>0</v>
      </c>
      <c r="BW48" s="4">
        <v>0</v>
      </c>
      <c r="BX48" s="7">
        <v>0</v>
      </c>
      <c r="BY48" s="7">
        <v>0</v>
      </c>
      <c r="BZ48" s="4">
        <v>0</v>
      </c>
      <c r="CA48" s="7">
        <v>0</v>
      </c>
      <c r="CB48" s="7">
        <v>0</v>
      </c>
      <c r="CC48" s="4">
        <v>0</v>
      </c>
      <c r="CD48" s="7">
        <v>0</v>
      </c>
      <c r="CE48" s="7">
        <v>0</v>
      </c>
      <c r="CF48" s="4">
        <v>0</v>
      </c>
      <c r="CG48" s="7">
        <v>0</v>
      </c>
      <c r="CH48" s="7">
        <v>0</v>
      </c>
      <c r="CI48" s="4">
        <v>0</v>
      </c>
      <c r="CJ48" s="7">
        <v>0</v>
      </c>
      <c r="CK48" s="7">
        <v>0</v>
      </c>
      <c r="CL48" s="4">
        <f t="shared" si="21"/>
        <v>0</v>
      </c>
      <c r="CM48" s="7">
        <f t="shared" si="22"/>
        <v>0</v>
      </c>
      <c r="CN48" s="7">
        <f t="shared" si="23"/>
        <v>0</v>
      </c>
      <c r="CO48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C48" s="43" t="s">
        <v>77</v>
      </c>
      <c r="DD48" s="43" t="s">
        <v>60</v>
      </c>
      <c r="DE48" s="43" t="s">
        <v>79</v>
      </c>
      <c r="DF48">
        <v>4</v>
      </c>
      <c r="DG48" t="s">
        <v>331</v>
      </c>
      <c r="DH48" s="43" t="s">
        <v>309</v>
      </c>
      <c r="DI48">
        <v>43.5</v>
      </c>
    </row>
    <row r="49" spans="1:113" ht="21" x14ac:dyDescent="0.35">
      <c r="A49" t="s">
        <v>50</v>
      </c>
      <c r="B49" s="2" t="s">
        <v>26</v>
      </c>
      <c r="C49" s="2" t="s">
        <v>51</v>
      </c>
      <c r="D49" t="s">
        <v>36</v>
      </c>
      <c r="E49" s="2">
        <f>SUM(COUNTIF(AA[[#This Row],[Bydgoszcz_all_around]],"Yes"),COUNTIF(AA[[#This Row],[Zabrze_all_around]],"Yes"),COUNTIF(AA[[#This Row],[Cracow_all_around]],"Yes"),COUNTIF(AA[[#This Row],[Gdansk_all_Around]],"Yes"))</f>
        <v>0</v>
      </c>
      <c r="F49" s="4">
        <v>0</v>
      </c>
      <c r="G49" s="7">
        <v>0</v>
      </c>
      <c r="H49" s="7">
        <v>0</v>
      </c>
      <c r="I49" s="4">
        <v>0</v>
      </c>
      <c r="J49" s="7">
        <v>0</v>
      </c>
      <c r="K49" s="7">
        <v>0</v>
      </c>
      <c r="L49" s="4">
        <v>0</v>
      </c>
      <c r="M49" s="7">
        <v>0</v>
      </c>
      <c r="N49" s="7">
        <v>0</v>
      </c>
      <c r="O49" s="4">
        <v>0</v>
      </c>
      <c r="P49" s="7">
        <v>0</v>
      </c>
      <c r="Q49" s="7">
        <v>0</v>
      </c>
      <c r="R49" s="4">
        <v>0</v>
      </c>
      <c r="S49" s="7">
        <v>0</v>
      </c>
      <c r="T49" s="7">
        <v>0</v>
      </c>
      <c r="U49" s="4">
        <v>0</v>
      </c>
      <c r="V49" s="7">
        <v>0</v>
      </c>
      <c r="W49" s="7">
        <v>0</v>
      </c>
      <c r="X49" s="4">
        <f t="shared" si="12"/>
        <v>0</v>
      </c>
      <c r="Y49" s="7">
        <f t="shared" si="13"/>
        <v>0</v>
      </c>
      <c r="Z49" s="7">
        <f t="shared" si="14"/>
        <v>0</v>
      </c>
      <c r="AA49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9" s="4">
        <v>3.7</v>
      </c>
      <c r="AC49" s="7">
        <v>8.3000000000000007</v>
      </c>
      <c r="AD49" s="7">
        <v>12</v>
      </c>
      <c r="AE49" s="4">
        <v>0</v>
      </c>
      <c r="AF49" s="7">
        <v>0</v>
      </c>
      <c r="AG49" s="7">
        <v>0</v>
      </c>
      <c r="AH49" s="4">
        <v>3.7</v>
      </c>
      <c r="AI49" s="7">
        <v>8.1</v>
      </c>
      <c r="AJ49" s="7">
        <v>11.8</v>
      </c>
      <c r="AK49" s="4">
        <v>0</v>
      </c>
      <c r="AL49" s="7">
        <v>0</v>
      </c>
      <c r="AM49" s="7">
        <v>0</v>
      </c>
      <c r="AN49" s="4">
        <v>0</v>
      </c>
      <c r="AO49" s="7">
        <v>0</v>
      </c>
      <c r="AP49" s="7">
        <v>0</v>
      </c>
      <c r="AQ49" s="4">
        <v>2.7</v>
      </c>
      <c r="AR49" s="7">
        <v>8</v>
      </c>
      <c r="AS49" s="7">
        <v>10.7</v>
      </c>
      <c r="AT49" s="4">
        <f t="shared" si="15"/>
        <v>10.100000000000001</v>
      </c>
      <c r="AU49" s="7">
        <f t="shared" si="16"/>
        <v>24.4</v>
      </c>
      <c r="AV49" s="7">
        <f t="shared" si="17"/>
        <v>34.5</v>
      </c>
      <c r="AW49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9" s="4">
        <v>3.9</v>
      </c>
      <c r="AY49" s="7">
        <v>7.35</v>
      </c>
      <c r="AZ49" s="7">
        <v>11.25</v>
      </c>
      <c r="BA49" s="4">
        <v>0</v>
      </c>
      <c r="BB49" s="7">
        <v>0</v>
      </c>
      <c r="BC49" s="7">
        <v>0</v>
      </c>
      <c r="BD49" s="4">
        <v>3.7</v>
      </c>
      <c r="BE49" s="7">
        <v>7.8</v>
      </c>
      <c r="BF49" s="7">
        <v>11.5</v>
      </c>
      <c r="BG49" s="4">
        <v>0</v>
      </c>
      <c r="BH49" s="7">
        <v>0</v>
      </c>
      <c r="BI49" s="7">
        <v>0</v>
      </c>
      <c r="BJ49" s="4">
        <v>0</v>
      </c>
      <c r="BK49" s="7">
        <v>0</v>
      </c>
      <c r="BL49" s="7">
        <v>0</v>
      </c>
      <c r="BM49" s="4">
        <v>2.7</v>
      </c>
      <c r="BN49" s="7">
        <v>9.1</v>
      </c>
      <c r="BO49" s="7">
        <v>11.8</v>
      </c>
      <c r="BP49" s="4">
        <f t="shared" si="18"/>
        <v>10.3</v>
      </c>
      <c r="BQ49" s="7">
        <f t="shared" si="19"/>
        <v>24.25</v>
      </c>
      <c r="BR49" s="7">
        <f t="shared" si="20"/>
        <v>34.549999999999997</v>
      </c>
      <c r="BS49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9" s="4">
        <v>0</v>
      </c>
      <c r="BU49" s="7">
        <v>0</v>
      </c>
      <c r="BV49" s="7">
        <v>0</v>
      </c>
      <c r="BW49" s="4">
        <v>0</v>
      </c>
      <c r="BX49" s="7">
        <v>0</v>
      </c>
      <c r="BY49" s="7">
        <v>0</v>
      </c>
      <c r="BZ49" s="4">
        <v>0</v>
      </c>
      <c r="CA49" s="7">
        <v>0</v>
      </c>
      <c r="CB49" s="7">
        <v>0</v>
      </c>
      <c r="CC49" s="4">
        <v>0</v>
      </c>
      <c r="CD49" s="7">
        <v>0</v>
      </c>
      <c r="CE49" s="7">
        <v>0</v>
      </c>
      <c r="CF49" s="4">
        <v>0</v>
      </c>
      <c r="CG49" s="7">
        <v>0</v>
      </c>
      <c r="CH49" s="7">
        <v>0</v>
      </c>
      <c r="CI49" s="4">
        <v>0</v>
      </c>
      <c r="CJ49" s="7">
        <v>0</v>
      </c>
      <c r="CK49" s="7">
        <v>0</v>
      </c>
      <c r="CL49" s="4">
        <f t="shared" si="21"/>
        <v>0</v>
      </c>
      <c r="CM49" s="7">
        <f t="shared" si="22"/>
        <v>0</v>
      </c>
      <c r="CN49" s="7">
        <f t="shared" si="23"/>
        <v>0</v>
      </c>
      <c r="CO49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C49" s="43" t="s">
        <v>77</v>
      </c>
      <c r="DD49" s="43" t="s">
        <v>60</v>
      </c>
      <c r="DE49" s="43" t="s">
        <v>79</v>
      </c>
      <c r="DF49">
        <v>4</v>
      </c>
      <c r="DG49" t="s">
        <v>331</v>
      </c>
      <c r="DH49" s="43" t="s">
        <v>268</v>
      </c>
      <c r="DI49">
        <v>62.699999999999996</v>
      </c>
    </row>
    <row r="50" spans="1:113" ht="21" x14ac:dyDescent="0.35">
      <c r="A50" t="s">
        <v>139</v>
      </c>
      <c r="B50" s="2" t="s">
        <v>26</v>
      </c>
      <c r="C50" s="2" t="s">
        <v>140</v>
      </c>
      <c r="D50" t="s">
        <v>124</v>
      </c>
      <c r="E50" s="2">
        <f>SUM(COUNTIF(AA[[#This Row],[Bydgoszcz_all_around]],"Yes"),COUNTIF(AA[[#This Row],[Zabrze_all_around]],"Yes"),COUNTIF(AA[[#This Row],[Cracow_all_around]],"Yes"),COUNTIF(AA[[#This Row],[Gdansk_all_Around]],"Yes"))</f>
        <v>0</v>
      </c>
      <c r="F50" s="4">
        <v>3</v>
      </c>
      <c r="G50" s="7">
        <v>8.1999999999999993</v>
      </c>
      <c r="H50" s="7">
        <v>11.2</v>
      </c>
      <c r="I50" s="4">
        <v>1.5</v>
      </c>
      <c r="J50" s="7">
        <v>0</v>
      </c>
      <c r="K50" s="7">
        <v>1.5</v>
      </c>
      <c r="L50" s="4">
        <v>2.1</v>
      </c>
      <c r="M50" s="7">
        <v>6.5</v>
      </c>
      <c r="N50" s="7">
        <v>8.6</v>
      </c>
      <c r="O50" s="4">
        <v>0</v>
      </c>
      <c r="P50" s="7">
        <v>0</v>
      </c>
      <c r="Q50" s="7">
        <v>0</v>
      </c>
      <c r="R50" s="4">
        <v>2</v>
      </c>
      <c r="S50" s="7">
        <v>3.45</v>
      </c>
      <c r="T50" s="7">
        <v>5.45</v>
      </c>
      <c r="U50" s="4">
        <v>1</v>
      </c>
      <c r="V50" s="7">
        <v>3.1</v>
      </c>
      <c r="W50" s="7">
        <v>4.0999999999999996</v>
      </c>
      <c r="X50" s="4">
        <f t="shared" si="12"/>
        <v>9.6</v>
      </c>
      <c r="Y50" s="7">
        <f t="shared" si="13"/>
        <v>21.25</v>
      </c>
      <c r="Z50" s="7">
        <f t="shared" si="14"/>
        <v>30.849999999999994</v>
      </c>
      <c r="AA50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50" s="4">
        <v>0</v>
      </c>
      <c r="AC50" s="7">
        <v>0</v>
      </c>
      <c r="AD50" s="7">
        <v>0</v>
      </c>
      <c r="AE50" s="4">
        <v>0</v>
      </c>
      <c r="AF50" s="7">
        <v>0</v>
      </c>
      <c r="AG50" s="7">
        <v>0</v>
      </c>
      <c r="AH50" s="4">
        <v>0</v>
      </c>
      <c r="AI50" s="7">
        <v>0</v>
      </c>
      <c r="AJ50" s="7">
        <v>0</v>
      </c>
      <c r="AK50" s="4">
        <v>0</v>
      </c>
      <c r="AL50" s="7">
        <v>0</v>
      </c>
      <c r="AM50" s="7">
        <v>0</v>
      </c>
      <c r="AN50" s="4">
        <v>0</v>
      </c>
      <c r="AO50" s="7">
        <v>0</v>
      </c>
      <c r="AP50" s="7">
        <v>0</v>
      </c>
      <c r="AQ50" s="4">
        <v>0</v>
      </c>
      <c r="AR50" s="7">
        <v>0</v>
      </c>
      <c r="AS50" s="7">
        <v>0</v>
      </c>
      <c r="AT50" s="4">
        <f t="shared" si="15"/>
        <v>0</v>
      </c>
      <c r="AU50" s="7">
        <f t="shared" si="16"/>
        <v>0</v>
      </c>
      <c r="AV50" s="7">
        <f t="shared" si="17"/>
        <v>0</v>
      </c>
      <c r="AW50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50" s="4">
        <v>0</v>
      </c>
      <c r="AY50" s="7">
        <v>0</v>
      </c>
      <c r="AZ50" s="7">
        <v>0</v>
      </c>
      <c r="BA50" s="4">
        <v>0</v>
      </c>
      <c r="BB50" s="7">
        <v>0</v>
      </c>
      <c r="BC50" s="7">
        <v>0</v>
      </c>
      <c r="BD50" s="4">
        <v>0</v>
      </c>
      <c r="BE50" s="7">
        <v>0</v>
      </c>
      <c r="BF50" s="7">
        <v>0</v>
      </c>
      <c r="BG50" s="4">
        <v>0</v>
      </c>
      <c r="BH50" s="7">
        <v>0</v>
      </c>
      <c r="BI50" s="7">
        <v>0</v>
      </c>
      <c r="BJ50" s="4">
        <v>0</v>
      </c>
      <c r="BK50" s="7">
        <v>0</v>
      </c>
      <c r="BL50" s="7">
        <v>0</v>
      </c>
      <c r="BM50" s="4">
        <v>0</v>
      </c>
      <c r="BN50" s="7">
        <v>0</v>
      </c>
      <c r="BO50" s="7">
        <v>0</v>
      </c>
      <c r="BP50" s="4">
        <f t="shared" si="18"/>
        <v>0</v>
      </c>
      <c r="BQ50" s="7">
        <f t="shared" si="19"/>
        <v>0</v>
      </c>
      <c r="BR50" s="7">
        <f t="shared" si="20"/>
        <v>0</v>
      </c>
      <c r="BS50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50" s="4">
        <v>0</v>
      </c>
      <c r="BU50" s="7">
        <v>0</v>
      </c>
      <c r="BV50" s="7">
        <v>0</v>
      </c>
      <c r="BW50" s="4">
        <v>0</v>
      </c>
      <c r="BX50" s="7">
        <v>0</v>
      </c>
      <c r="BY50" s="7">
        <v>0</v>
      </c>
      <c r="BZ50" s="4">
        <v>0</v>
      </c>
      <c r="CA50" s="7">
        <v>0</v>
      </c>
      <c r="CB50" s="7">
        <v>0</v>
      </c>
      <c r="CC50" s="4">
        <v>0</v>
      </c>
      <c r="CD50" s="7">
        <v>0</v>
      </c>
      <c r="CE50" s="7">
        <v>0</v>
      </c>
      <c r="CF50" s="4">
        <v>0</v>
      </c>
      <c r="CG50" s="7">
        <v>0</v>
      </c>
      <c r="CH50" s="7">
        <v>0</v>
      </c>
      <c r="CI50" s="4">
        <v>0</v>
      </c>
      <c r="CJ50" s="7">
        <v>0</v>
      </c>
      <c r="CK50" s="7">
        <v>0</v>
      </c>
      <c r="CL50" s="4">
        <f t="shared" si="21"/>
        <v>0</v>
      </c>
      <c r="CM50" s="7">
        <f t="shared" si="22"/>
        <v>0</v>
      </c>
      <c r="CN50" s="7">
        <f t="shared" si="23"/>
        <v>0</v>
      </c>
      <c r="CO50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5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5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5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5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5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5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C50" s="43" t="s">
        <v>77</v>
      </c>
      <c r="DD50" s="43" t="s">
        <v>60</v>
      </c>
      <c r="DE50" s="43" t="s">
        <v>79</v>
      </c>
      <c r="DF50">
        <v>4</v>
      </c>
      <c r="DG50" t="s">
        <v>341</v>
      </c>
      <c r="DH50" s="43" t="s">
        <v>308</v>
      </c>
      <c r="DI50">
        <v>65.199999999999989</v>
      </c>
    </row>
    <row r="51" spans="1:113" ht="21" x14ac:dyDescent="0.35">
      <c r="A51" t="s">
        <v>122</v>
      </c>
      <c r="B51" s="2" t="s">
        <v>26</v>
      </c>
      <c r="C51" s="2" t="s">
        <v>123</v>
      </c>
      <c r="D51" t="s">
        <v>124</v>
      </c>
      <c r="E51" s="2">
        <f>SUM(COUNTIF(AA[[#This Row],[Bydgoszcz_all_around]],"Yes"),COUNTIF(AA[[#This Row],[Zabrze_all_around]],"Yes"),COUNTIF(AA[[#This Row],[Cracow_all_around]],"Yes"),COUNTIF(AA[[#This Row],[Gdansk_all_Around]],"Yes"))</f>
        <v>0</v>
      </c>
      <c r="F51" s="4">
        <v>0</v>
      </c>
      <c r="G51" s="7">
        <v>0</v>
      </c>
      <c r="H51" s="7">
        <v>0</v>
      </c>
      <c r="I51" s="4">
        <v>0</v>
      </c>
      <c r="J51" s="7">
        <v>0</v>
      </c>
      <c r="K51" s="7">
        <v>0</v>
      </c>
      <c r="L51" s="4">
        <v>0</v>
      </c>
      <c r="M51" s="7">
        <v>0</v>
      </c>
      <c r="N51" s="7">
        <v>0</v>
      </c>
      <c r="O51" s="4">
        <v>0</v>
      </c>
      <c r="P51" s="7">
        <v>0</v>
      </c>
      <c r="Q51" s="7">
        <v>0</v>
      </c>
      <c r="R51" s="4">
        <v>0</v>
      </c>
      <c r="S51" s="7">
        <v>0</v>
      </c>
      <c r="T51" s="7">
        <v>0</v>
      </c>
      <c r="U51" s="4">
        <v>0</v>
      </c>
      <c r="V51" s="7">
        <v>0</v>
      </c>
      <c r="W51" s="7">
        <v>0</v>
      </c>
      <c r="X51" s="4">
        <f t="shared" si="12"/>
        <v>0</v>
      </c>
      <c r="Y51" s="7">
        <f t="shared" si="13"/>
        <v>0</v>
      </c>
      <c r="Z51" s="7">
        <f t="shared" si="14"/>
        <v>0</v>
      </c>
      <c r="AA51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51" s="4">
        <v>0</v>
      </c>
      <c r="AC51" s="7">
        <v>0</v>
      </c>
      <c r="AD51" s="7">
        <v>0</v>
      </c>
      <c r="AE51" s="4">
        <v>0</v>
      </c>
      <c r="AF51" s="7">
        <v>0</v>
      </c>
      <c r="AG51" s="7">
        <v>0</v>
      </c>
      <c r="AH51" s="4">
        <v>0</v>
      </c>
      <c r="AI51" s="7">
        <v>0</v>
      </c>
      <c r="AJ51" s="7">
        <v>0</v>
      </c>
      <c r="AK51" s="4">
        <v>0</v>
      </c>
      <c r="AL51" s="7">
        <v>0</v>
      </c>
      <c r="AM51" s="7">
        <v>0</v>
      </c>
      <c r="AN51" s="4">
        <v>0</v>
      </c>
      <c r="AO51" s="7">
        <v>0</v>
      </c>
      <c r="AP51" s="7">
        <v>0</v>
      </c>
      <c r="AQ51" s="4">
        <v>0</v>
      </c>
      <c r="AR51" s="7">
        <v>0</v>
      </c>
      <c r="AS51" s="7">
        <v>0</v>
      </c>
      <c r="AT51" s="4">
        <f t="shared" si="15"/>
        <v>0</v>
      </c>
      <c r="AU51" s="7">
        <f t="shared" si="16"/>
        <v>0</v>
      </c>
      <c r="AV51" s="7">
        <f t="shared" si="17"/>
        <v>0</v>
      </c>
      <c r="AW51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51" s="4">
        <v>3.1</v>
      </c>
      <c r="AY51" s="7">
        <v>7.55</v>
      </c>
      <c r="AZ51" s="7">
        <v>10.65</v>
      </c>
      <c r="BA51" s="4">
        <v>0</v>
      </c>
      <c r="BB51" s="7">
        <v>0</v>
      </c>
      <c r="BC51" s="7">
        <v>0</v>
      </c>
      <c r="BD51" s="4">
        <v>2</v>
      </c>
      <c r="BE51" s="7">
        <v>7.35</v>
      </c>
      <c r="BF51" s="7">
        <v>9.35</v>
      </c>
      <c r="BG51" s="4">
        <v>2.2000000000000002</v>
      </c>
      <c r="BH51" s="7">
        <v>8.8000000000000007</v>
      </c>
      <c r="BI51" s="7">
        <v>11</v>
      </c>
      <c r="BJ51" s="4">
        <v>0</v>
      </c>
      <c r="BK51" s="7">
        <v>0</v>
      </c>
      <c r="BL51" s="7">
        <v>0</v>
      </c>
      <c r="BM51" s="4">
        <v>2</v>
      </c>
      <c r="BN51" s="7">
        <v>6.6</v>
      </c>
      <c r="BO51" s="7">
        <v>8.6</v>
      </c>
      <c r="BP51" s="4">
        <f t="shared" si="18"/>
        <v>9.3000000000000007</v>
      </c>
      <c r="BQ51" s="7">
        <f t="shared" si="19"/>
        <v>30.299999999999997</v>
      </c>
      <c r="BR51" s="7">
        <f t="shared" si="20"/>
        <v>39.6</v>
      </c>
      <c r="BS51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51" s="4">
        <v>0</v>
      </c>
      <c r="BU51" s="7">
        <v>0</v>
      </c>
      <c r="BV51" s="7">
        <v>0</v>
      </c>
      <c r="BW51" s="4">
        <v>0</v>
      </c>
      <c r="BX51" s="7">
        <v>0</v>
      </c>
      <c r="BY51" s="7">
        <v>0</v>
      </c>
      <c r="BZ51" s="4">
        <v>0</v>
      </c>
      <c r="CA51" s="7">
        <v>0</v>
      </c>
      <c r="CB51" s="7">
        <v>0</v>
      </c>
      <c r="CC51" s="4">
        <v>0</v>
      </c>
      <c r="CD51" s="7">
        <v>0</v>
      </c>
      <c r="CE51" s="7">
        <v>0</v>
      </c>
      <c r="CF51" s="4">
        <v>0</v>
      </c>
      <c r="CG51" s="7">
        <v>0</v>
      </c>
      <c r="CH51" s="7">
        <v>0</v>
      </c>
      <c r="CI51" s="4">
        <v>0</v>
      </c>
      <c r="CJ51" s="7">
        <v>0</v>
      </c>
      <c r="CK51" s="7">
        <v>0</v>
      </c>
      <c r="CL51" s="4">
        <f t="shared" si="21"/>
        <v>0</v>
      </c>
      <c r="CM51" s="7">
        <f t="shared" si="22"/>
        <v>0</v>
      </c>
      <c r="CN51" s="7">
        <f t="shared" si="23"/>
        <v>0</v>
      </c>
      <c r="CO51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5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5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5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5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5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5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C51" s="43" t="s">
        <v>77</v>
      </c>
      <c r="DD51" s="43" t="s">
        <v>60</v>
      </c>
      <c r="DE51" s="43" t="s">
        <v>79</v>
      </c>
      <c r="DF51">
        <v>4</v>
      </c>
      <c r="DG51" t="s">
        <v>341</v>
      </c>
      <c r="DH51" s="43" t="s">
        <v>309</v>
      </c>
      <c r="DI51">
        <v>141.10000000000002</v>
      </c>
    </row>
    <row r="52" spans="1:113" ht="21" x14ac:dyDescent="0.35">
      <c r="A52" t="s">
        <v>125</v>
      </c>
      <c r="B52" s="2" t="s">
        <v>26</v>
      </c>
      <c r="C52" s="2" t="s">
        <v>126</v>
      </c>
      <c r="D52" t="s">
        <v>67</v>
      </c>
      <c r="E52" s="2">
        <f>SUM(COUNTIF(AA[[#This Row],[Bydgoszcz_all_around]],"Yes"),COUNTIF(AA[[#This Row],[Zabrze_all_around]],"Yes"),COUNTIF(AA[[#This Row],[Cracow_all_around]],"Yes"),COUNTIF(AA[[#This Row],[Gdansk_all_Around]],"Yes"))</f>
        <v>0</v>
      </c>
      <c r="F52" s="4">
        <v>0</v>
      </c>
      <c r="G52" s="7">
        <v>0</v>
      </c>
      <c r="H52" s="7">
        <v>0</v>
      </c>
      <c r="I52" s="4">
        <v>0</v>
      </c>
      <c r="J52" s="7">
        <v>0</v>
      </c>
      <c r="K52" s="7">
        <v>0</v>
      </c>
      <c r="L52" s="4">
        <v>0</v>
      </c>
      <c r="M52" s="7">
        <v>0</v>
      </c>
      <c r="N52" s="7">
        <v>0</v>
      </c>
      <c r="O52" s="4">
        <v>0</v>
      </c>
      <c r="P52" s="7">
        <v>0</v>
      </c>
      <c r="Q52" s="7">
        <v>0</v>
      </c>
      <c r="R52" s="4">
        <v>0</v>
      </c>
      <c r="S52" s="7">
        <v>0</v>
      </c>
      <c r="T52" s="7">
        <v>0</v>
      </c>
      <c r="U52" s="4">
        <v>0</v>
      </c>
      <c r="V52" s="7">
        <v>0</v>
      </c>
      <c r="W52" s="7">
        <v>0</v>
      </c>
      <c r="X52" s="4">
        <f t="shared" si="12"/>
        <v>0</v>
      </c>
      <c r="Y52" s="7">
        <f t="shared" si="13"/>
        <v>0</v>
      </c>
      <c r="Z52" s="7">
        <f t="shared" si="14"/>
        <v>0</v>
      </c>
      <c r="AA52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52" s="4">
        <v>0</v>
      </c>
      <c r="AC52" s="7">
        <v>0</v>
      </c>
      <c r="AD52" s="7">
        <v>0</v>
      </c>
      <c r="AE52" s="4">
        <v>0</v>
      </c>
      <c r="AF52" s="7">
        <v>0</v>
      </c>
      <c r="AG52" s="7">
        <v>0</v>
      </c>
      <c r="AH52" s="4">
        <v>0</v>
      </c>
      <c r="AI52" s="7">
        <v>0</v>
      </c>
      <c r="AJ52" s="7">
        <v>0</v>
      </c>
      <c r="AK52" s="4">
        <v>0</v>
      </c>
      <c r="AL52" s="7">
        <v>0</v>
      </c>
      <c r="AM52" s="7">
        <v>0</v>
      </c>
      <c r="AN52" s="4">
        <v>0</v>
      </c>
      <c r="AO52" s="7">
        <v>0</v>
      </c>
      <c r="AP52" s="7">
        <v>0</v>
      </c>
      <c r="AQ52" s="4">
        <v>0</v>
      </c>
      <c r="AR52" s="7">
        <v>0</v>
      </c>
      <c r="AS52" s="7">
        <v>0</v>
      </c>
      <c r="AT52" s="4">
        <f t="shared" si="15"/>
        <v>0</v>
      </c>
      <c r="AU52" s="7">
        <f t="shared" si="16"/>
        <v>0</v>
      </c>
      <c r="AV52" s="7">
        <f t="shared" si="17"/>
        <v>0</v>
      </c>
      <c r="AW52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52" s="4">
        <v>3.5</v>
      </c>
      <c r="AY52" s="7">
        <v>7.85</v>
      </c>
      <c r="AZ52" s="7">
        <v>11.35</v>
      </c>
      <c r="BA52" s="4">
        <v>0</v>
      </c>
      <c r="BB52" s="7">
        <v>0</v>
      </c>
      <c r="BC52" s="7">
        <v>0</v>
      </c>
      <c r="BD52" s="4">
        <v>0</v>
      </c>
      <c r="BE52" s="7">
        <v>0</v>
      </c>
      <c r="BF52" s="7">
        <v>0</v>
      </c>
      <c r="BG52" s="4">
        <v>3.2</v>
      </c>
      <c r="BH52" s="7">
        <v>8.1999999999999993</v>
      </c>
      <c r="BI52" s="7">
        <v>11.4</v>
      </c>
      <c r="BJ52" s="4">
        <v>0</v>
      </c>
      <c r="BK52" s="7">
        <v>0</v>
      </c>
      <c r="BL52" s="7">
        <v>0</v>
      </c>
      <c r="BM52" s="4">
        <v>0</v>
      </c>
      <c r="BN52" s="7">
        <v>0</v>
      </c>
      <c r="BO52" s="7">
        <v>0</v>
      </c>
      <c r="BP52" s="4">
        <f t="shared" si="18"/>
        <v>6.7</v>
      </c>
      <c r="BQ52" s="7">
        <f t="shared" si="19"/>
        <v>16.049999999999997</v>
      </c>
      <c r="BR52" s="7">
        <f t="shared" si="20"/>
        <v>22.75</v>
      </c>
      <c r="BS52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52" s="4">
        <v>0</v>
      </c>
      <c r="BU52" s="7">
        <v>0</v>
      </c>
      <c r="BV52" s="7">
        <v>0</v>
      </c>
      <c r="BW52" s="4">
        <v>0</v>
      </c>
      <c r="BX52" s="7">
        <v>0</v>
      </c>
      <c r="BY52" s="7">
        <v>0</v>
      </c>
      <c r="BZ52" s="4">
        <v>0</v>
      </c>
      <c r="CA52" s="7">
        <v>0</v>
      </c>
      <c r="CB52" s="7">
        <v>0</v>
      </c>
      <c r="CC52" s="4">
        <v>0</v>
      </c>
      <c r="CD52" s="7">
        <v>0</v>
      </c>
      <c r="CE52" s="7">
        <v>0</v>
      </c>
      <c r="CF52" s="4">
        <v>0</v>
      </c>
      <c r="CG52" s="7">
        <v>0</v>
      </c>
      <c r="CH52" s="7">
        <v>0</v>
      </c>
      <c r="CI52" s="4">
        <v>0</v>
      </c>
      <c r="CJ52" s="7">
        <v>0</v>
      </c>
      <c r="CK52" s="7">
        <v>0</v>
      </c>
      <c r="CL52" s="4">
        <f t="shared" si="21"/>
        <v>0</v>
      </c>
      <c r="CM52" s="7">
        <f t="shared" si="22"/>
        <v>0</v>
      </c>
      <c r="CN52" s="7">
        <f t="shared" si="23"/>
        <v>0</v>
      </c>
      <c r="CO52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5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5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5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5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5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5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C52" s="43" t="s">
        <v>77</v>
      </c>
      <c r="DD52" s="43" t="s">
        <v>60</v>
      </c>
      <c r="DE52" s="43" t="s">
        <v>79</v>
      </c>
      <c r="DF52">
        <v>4</v>
      </c>
      <c r="DG52" t="s">
        <v>341</v>
      </c>
      <c r="DH52" s="43" t="s">
        <v>268</v>
      </c>
      <c r="DI52">
        <v>206.3</v>
      </c>
    </row>
    <row r="53" spans="1:113" ht="21" x14ac:dyDescent="0.35">
      <c r="A53" t="s">
        <v>54</v>
      </c>
      <c r="B53" s="2" t="s">
        <v>26</v>
      </c>
      <c r="C53" s="2" t="s">
        <v>55</v>
      </c>
      <c r="D53" t="s">
        <v>56</v>
      </c>
      <c r="E53" s="2">
        <f>SUM(COUNTIF(AA[[#This Row],[Bydgoszcz_all_around]],"Yes"),COUNTIF(AA[[#This Row],[Zabrze_all_around]],"Yes"),COUNTIF(AA[[#This Row],[Cracow_all_around]],"Yes"),COUNTIF(AA[[#This Row],[Gdansk_all_Around]],"Yes"))</f>
        <v>0</v>
      </c>
      <c r="F53" s="4">
        <v>0</v>
      </c>
      <c r="G53" s="7">
        <v>0</v>
      </c>
      <c r="H53" s="7">
        <v>0</v>
      </c>
      <c r="I53" s="4">
        <v>0</v>
      </c>
      <c r="J53" s="7">
        <v>0</v>
      </c>
      <c r="K53" s="7">
        <v>0</v>
      </c>
      <c r="L53" s="4">
        <v>0</v>
      </c>
      <c r="M53" s="7">
        <v>0</v>
      </c>
      <c r="N53" s="7">
        <v>0</v>
      </c>
      <c r="O53" s="4">
        <v>0</v>
      </c>
      <c r="P53" s="7">
        <v>0</v>
      </c>
      <c r="Q53" s="7">
        <v>0</v>
      </c>
      <c r="R53" s="4">
        <v>0</v>
      </c>
      <c r="S53" s="7">
        <v>0</v>
      </c>
      <c r="T53" s="7">
        <v>0</v>
      </c>
      <c r="U53" s="4">
        <v>0</v>
      </c>
      <c r="V53" s="7">
        <v>0</v>
      </c>
      <c r="W53" s="7">
        <v>0</v>
      </c>
      <c r="X53" s="4">
        <f t="shared" si="12"/>
        <v>0</v>
      </c>
      <c r="Y53" s="7">
        <f t="shared" si="13"/>
        <v>0</v>
      </c>
      <c r="Z53" s="7">
        <f t="shared" si="14"/>
        <v>0</v>
      </c>
      <c r="AA53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53" s="4">
        <v>0</v>
      </c>
      <c r="AC53" s="7">
        <v>0</v>
      </c>
      <c r="AD53" s="7">
        <v>0</v>
      </c>
      <c r="AE53" s="4">
        <v>0</v>
      </c>
      <c r="AF53" s="7">
        <v>0</v>
      </c>
      <c r="AG53" s="7">
        <v>0</v>
      </c>
      <c r="AH53" s="4">
        <v>0</v>
      </c>
      <c r="AI53" s="7">
        <v>0</v>
      </c>
      <c r="AJ53" s="7">
        <v>0</v>
      </c>
      <c r="AK53" s="4">
        <v>1.6</v>
      </c>
      <c r="AL53" s="7">
        <v>8.3000000000000007</v>
      </c>
      <c r="AM53" s="7">
        <v>9.9</v>
      </c>
      <c r="AN53" s="4">
        <v>0</v>
      </c>
      <c r="AO53" s="7">
        <v>0</v>
      </c>
      <c r="AP53" s="7">
        <v>0</v>
      </c>
      <c r="AQ53" s="4">
        <v>0</v>
      </c>
      <c r="AR53" s="7">
        <v>0</v>
      </c>
      <c r="AS53" s="7">
        <v>0</v>
      </c>
      <c r="AT53" s="4">
        <f t="shared" si="15"/>
        <v>1.6</v>
      </c>
      <c r="AU53" s="7">
        <f t="shared" si="16"/>
        <v>8.3000000000000007</v>
      </c>
      <c r="AV53" s="7">
        <f t="shared" si="17"/>
        <v>9.9</v>
      </c>
      <c r="AW53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53" s="4">
        <v>0</v>
      </c>
      <c r="AY53" s="7">
        <v>0</v>
      </c>
      <c r="AZ53" s="7">
        <v>0</v>
      </c>
      <c r="BA53" s="4">
        <v>0</v>
      </c>
      <c r="BB53" s="7">
        <v>0</v>
      </c>
      <c r="BC53" s="7">
        <v>0</v>
      </c>
      <c r="BD53" s="4">
        <v>0</v>
      </c>
      <c r="BE53" s="7">
        <v>0</v>
      </c>
      <c r="BF53" s="7">
        <v>0</v>
      </c>
      <c r="BG53" s="4">
        <v>0</v>
      </c>
      <c r="BH53" s="7">
        <v>0</v>
      </c>
      <c r="BI53" s="7">
        <v>0</v>
      </c>
      <c r="BJ53" s="4">
        <v>0</v>
      </c>
      <c r="BK53" s="7">
        <v>0</v>
      </c>
      <c r="BL53" s="7">
        <v>0</v>
      </c>
      <c r="BM53" s="4">
        <v>0</v>
      </c>
      <c r="BN53" s="7">
        <v>0</v>
      </c>
      <c r="BO53" s="7">
        <v>0</v>
      </c>
      <c r="BP53" s="4">
        <f t="shared" si="18"/>
        <v>0</v>
      </c>
      <c r="BQ53" s="7">
        <f t="shared" si="19"/>
        <v>0</v>
      </c>
      <c r="BR53" s="7">
        <f t="shared" si="20"/>
        <v>0</v>
      </c>
      <c r="BS53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53" s="4">
        <v>0</v>
      </c>
      <c r="BU53" s="7">
        <v>0</v>
      </c>
      <c r="BV53" s="7">
        <v>0</v>
      </c>
      <c r="BW53" s="4">
        <v>0</v>
      </c>
      <c r="BX53" s="7">
        <v>0</v>
      </c>
      <c r="BY53" s="7">
        <v>0</v>
      </c>
      <c r="BZ53" s="4">
        <v>0</v>
      </c>
      <c r="CA53" s="7">
        <v>0</v>
      </c>
      <c r="CB53" s="7">
        <v>0</v>
      </c>
      <c r="CC53" s="4">
        <v>0</v>
      </c>
      <c r="CD53" s="7">
        <v>0</v>
      </c>
      <c r="CE53" s="7">
        <v>0</v>
      </c>
      <c r="CF53" s="4">
        <v>0</v>
      </c>
      <c r="CG53" s="7">
        <v>0</v>
      </c>
      <c r="CH53" s="7">
        <v>0</v>
      </c>
      <c r="CI53" s="4">
        <v>0</v>
      </c>
      <c r="CJ53" s="7">
        <v>0</v>
      </c>
      <c r="CK53" s="7">
        <v>0</v>
      </c>
      <c r="CL53" s="4">
        <f t="shared" si="21"/>
        <v>0</v>
      </c>
      <c r="CM53" s="7">
        <f t="shared" si="22"/>
        <v>0</v>
      </c>
      <c r="CN53" s="7">
        <f t="shared" si="23"/>
        <v>0</v>
      </c>
      <c r="CO53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5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5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5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5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5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5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DC53" s="43" t="s">
        <v>77</v>
      </c>
      <c r="DD53" s="43" t="s">
        <v>60</v>
      </c>
      <c r="DE53" s="43" t="s">
        <v>79</v>
      </c>
      <c r="DF53">
        <v>4</v>
      </c>
      <c r="DG53" t="s">
        <v>273</v>
      </c>
      <c r="DH53" s="43" t="s">
        <v>308</v>
      </c>
      <c r="DI53">
        <v>21.733333333333331</v>
      </c>
    </row>
    <row r="54" spans="1:113" ht="21" x14ac:dyDescent="0.35">
      <c r="BX54" s="4"/>
      <c r="DC54" s="43" t="s">
        <v>77</v>
      </c>
      <c r="DD54" s="43" t="s">
        <v>60</v>
      </c>
      <c r="DE54" s="43" t="s">
        <v>79</v>
      </c>
      <c r="DF54">
        <v>4</v>
      </c>
      <c r="DG54" t="s">
        <v>273</v>
      </c>
      <c r="DH54" s="43" t="s">
        <v>309</v>
      </c>
      <c r="DI54">
        <v>47.033333333333339</v>
      </c>
    </row>
    <row r="55" spans="1:113" ht="21" x14ac:dyDescent="0.35">
      <c r="DC55" s="43" t="s">
        <v>77</v>
      </c>
      <c r="DD55" s="43" t="s">
        <v>60</v>
      </c>
      <c r="DE55" s="43" t="s">
        <v>79</v>
      </c>
      <c r="DF55">
        <v>4</v>
      </c>
      <c r="DG55" t="s">
        <v>273</v>
      </c>
      <c r="DH55" s="43" t="s">
        <v>268</v>
      </c>
      <c r="DI55">
        <v>68.766666666666666</v>
      </c>
    </row>
    <row r="56" spans="1:113" ht="21" x14ac:dyDescent="0.35">
      <c r="DC56" s="43" t="s">
        <v>68</v>
      </c>
      <c r="DD56" s="43" t="s">
        <v>60</v>
      </c>
      <c r="DE56" s="43" t="s">
        <v>31</v>
      </c>
      <c r="DF56">
        <v>3</v>
      </c>
      <c r="DG56" t="s">
        <v>317</v>
      </c>
      <c r="DH56" s="43" t="s">
        <v>308</v>
      </c>
      <c r="DI56">
        <v>8</v>
      </c>
    </row>
    <row r="57" spans="1:113" ht="21" x14ac:dyDescent="0.35">
      <c r="A57" s="16" t="s">
        <v>2</v>
      </c>
      <c r="B57" s="16" t="s">
        <v>266</v>
      </c>
      <c r="C57" s="16" t="s">
        <v>271</v>
      </c>
      <c r="D57" s="17" t="s">
        <v>272</v>
      </c>
      <c r="E57" s="19" t="s">
        <v>270</v>
      </c>
      <c r="F57" s="16" t="s">
        <v>253</v>
      </c>
      <c r="G57" s="17" t="s">
        <v>278</v>
      </c>
      <c r="H57" s="17" t="s">
        <v>279</v>
      </c>
      <c r="I57" s="24" t="s">
        <v>280</v>
      </c>
      <c r="J57" s="17" t="s">
        <v>281</v>
      </c>
      <c r="K57" s="17" t="s">
        <v>282</v>
      </c>
      <c r="L57" s="24" t="s">
        <v>283</v>
      </c>
      <c r="M57" s="17" t="s">
        <v>284</v>
      </c>
      <c r="N57" s="17" t="s">
        <v>285</v>
      </c>
      <c r="O57" s="24" t="s">
        <v>286</v>
      </c>
      <c r="P57" s="17" t="s">
        <v>287</v>
      </c>
      <c r="Q57" s="17" t="s">
        <v>288</v>
      </c>
      <c r="R57" s="24" t="s">
        <v>289</v>
      </c>
      <c r="S57" s="17" t="s">
        <v>290</v>
      </c>
      <c r="T57" s="17" t="s">
        <v>291</v>
      </c>
      <c r="U57" s="24" t="s">
        <v>292</v>
      </c>
      <c r="V57" s="17" t="s">
        <v>293</v>
      </c>
      <c r="W57" s="17" t="s">
        <v>294</v>
      </c>
      <c r="X57" s="16" t="s">
        <v>295</v>
      </c>
      <c r="DC57" s="43" t="s">
        <v>68</v>
      </c>
      <c r="DD57" s="43" t="s">
        <v>60</v>
      </c>
      <c r="DE57" s="43" t="s">
        <v>31</v>
      </c>
      <c r="DF57">
        <v>3</v>
      </c>
      <c r="DG57" t="s">
        <v>317</v>
      </c>
      <c r="DH57" s="43" t="s">
        <v>309</v>
      </c>
      <c r="DI57">
        <v>22.65</v>
      </c>
    </row>
    <row r="58" spans="1:113" ht="21" x14ac:dyDescent="0.35">
      <c r="A58" s="15" t="s">
        <v>60</v>
      </c>
      <c r="B58" s="15" t="s">
        <v>269</v>
      </c>
      <c r="C58" s="4" cm="1">
        <f t="array" ref="C58">SUM(_xlfn._xlws.FILTER(AA[bydgoszcz_DScore],(AA[Category]="senior")*(AA[Bydgoszcz_all_around]&gt;="yes")),_xlfn._xlws.FILTER(AA[zabrze_Dscore],(AA[Category]="senior")*(AA[Zabrze_all_around]&gt;="yes")),_xlfn._xlws.FILTER(AA[cracow_Dscore],(AA[Category]="senior")*(AA[Cracow_all_around]&gt;="yes")),_xlfn._xlws.FILTER(AA[gdansk_Dscore],(AA[Category]="senior")*(AA[Gdansk_all_Around]&gt;="yes")))/(COUNTIFS(AA[bydgoszcz_DScore],"&gt;0",AA[Category],"senior",AA[Bydgoszcz_all_around],"Yes")+COUNTIFS(AA[zabrze_Dscore],"&gt;0",AA[Category],"senior",AA[Zabrze_all_around],"Yes")+COUNTIFS(AA[cracow_Dscore],"&gt;0",AA[Category],"senior",AA[Cracow_all_around],"Yes")+COUNTIFS(AA[gdansk_Dscore],"&gt;0",AA[Category],"senior",AA[Gdansk_all_Around],"Yes"))</f>
        <v>22.792682926829269</v>
      </c>
      <c r="D58" s="4" cm="1">
        <f t="array" ref="D58">_xlfn.STDEV.S(_xlfn._xlws.FILTER(AA[bydgoszcz_DScore],(AA[Category]="senior")*(AA[Bydgoszcz_all_around]&gt;="yes")*(AA[bydgoszcz_DScore]&gt;0)),_xlfn._xlws.FILTER(AA[zabrze_Dscore],(AA[Category]="senior")*(AA[zabrze_Dscore]&gt;0)*(AA[Zabrze_all_around]&gt;="yes")),_xlfn._xlws.FILTER(AA[cracow_Dscore],(AA[Category]="senior")*(AA[cracow_Dscore]&gt;0)*(AA[Cracow_all_around]&gt;="yes")),_xlfn._xlws.FILTER(AA[gdansk_Dscore],(AA[Category]="senior")*(AA[gdansk_Dscore]&gt;0)*(AA[Gdansk_all_Around]&gt;="yes")))</f>
        <v>3.514924625358435</v>
      </c>
      <c r="E58" s="4" cm="1">
        <f t="array" ref="E58">MAX(_xlfn._xlws.FILTER(AA[bydgoszcz_DScore],AA[Category]="senior"),_xlfn._xlws.FILTER(AA[zabrze_Dscore],AA[Category]="senior"),_xlfn._xlws.FILTER(AA[cracow_Dscore],AA[Category]="senior"),_xlfn._xlws.FILTER(AA[gdansk_Dscore],AA[Category]="senior"))</f>
        <v>30.099999999999998</v>
      </c>
      <c r="F58" s="7" t="str" cm="1">
        <f t="array" ref="F58">_xlfn.XLOOKUP(E58,_xlfn._xlws.FILTER(AA[bydgoszcz_DScore],AA[Category]="senior"),_xlfn._xlws.FILTER(AA[Name],AA[Category]="senior"),_xlfn.XLOOKUP(E58,_xlfn._xlws.FILTER(AA[zabrze_Dscore],AA[Category]="senior"),_xlfn._xlws.FILTER(AA[Name],AA[Category]="senior"),_xlfn.XLOOKUP(E58,_xlfn._xlws.FILTER(AA[cracow_Dscore],AA[Category]="senior"),_xlfn._xlws.FILTER(AA[Name],AA[Category]="senior"),_xlfn.XLOOKUP(E58,_xlfn._xlws.FILTER(AA[gdansk_Dscore],AA[Category]="senior"),_xlfn._xlws.FILTER(AA[Name],AA[Category]="senior")))))</f>
        <v>GAWROŃSKI Sebastian</v>
      </c>
      <c r="I58" s="7"/>
      <c r="L58" s="7"/>
      <c r="O58" s="7"/>
      <c r="R58" s="7"/>
      <c r="U58" s="7"/>
      <c r="X58" s="7" t="str" cm="1">
        <f t="array" ref="X58">_xlfn.XLOOKUP(AA_Calculation[[#This Row],[Top]],_xlfn._xlws.FILTER(AA[bydgoszcz_DScore],AA[Category]="senior"),_xlfn._xlws.FILTER(AA[Name],AA[Category]="senior"),_xlfn.XLOOKUP(AA_Calculation[[#This Row],[Top]],_xlfn._xlws.FILTER(AA[zabrze_Dscore],AA[Category]="senior"),_xlfn._xlws.FILTER(AA[Name],AA[Category]="senior"),_xlfn.XLOOKUP(AA_Calculation[[#This Row],[Top]],_xlfn._xlws.FILTER(AA[cracow_Dscore],AA[Category]="senior"),_xlfn._xlws.FILTER(AA[Name],AA[Category]="senior"),_xlfn.XLOOKUP(AA_Calculation[[#This Row],[Top]],_xlfn._xlws.FILTER(AA[gdansk_Dscore],AA[Category]="senior"),_xlfn._xlws.FILTER(AA[Name],AA[Category]="senior")))))</f>
        <v>GAWROŃSKI Sebastian</v>
      </c>
      <c r="DC58" s="43" t="s">
        <v>68</v>
      </c>
      <c r="DD58" s="43" t="s">
        <v>60</v>
      </c>
      <c r="DE58" s="43" t="s">
        <v>31</v>
      </c>
      <c r="DF58">
        <v>3</v>
      </c>
      <c r="DG58" t="s">
        <v>317</v>
      </c>
      <c r="DH58" s="43" t="s">
        <v>268</v>
      </c>
      <c r="DI58">
        <v>30.65</v>
      </c>
    </row>
    <row r="59" spans="1:113" ht="21" x14ac:dyDescent="0.35">
      <c r="A59" s="15" t="s">
        <v>60</v>
      </c>
      <c r="B59" s="15" t="s">
        <v>267</v>
      </c>
      <c r="C59" s="7" cm="1">
        <f t="array" ref="C59">SUM(_xlfn._xlws.FILTER(AA[bydgoszcz_Escore],(AA[Category]="senior")*(AA[Bydgoszcz_all_around]&gt;="yes")),_xlfn._xlws.FILTER(AA[zabrze_Escore],(AA[Category]="senior")*(AA[Zabrze_all_around]&gt;="yes")),_xlfn._xlws.FILTER(AA[cracow_Escore],(AA[Category]="senior")*(AA[Cracow_all_around]&gt;="yes")),_xlfn._xlws.FILTER(AA[gdansk_Escore],(AA[Category]="senior")*(AA[Gdansk_all_Around]&gt;="yes")))/(COUNTIFS(AA[bydgoszcz_Escore],"&gt;0",AA[Category],"senior",AA[Bydgoszcz_all_around],"Yes")+COUNTIFS(AA[zabrze_Escore],"&gt;0",AA[Category],"senior",AA[Zabrze_all_around],"Yes")+COUNTIFS(AA[cracow_Escore],"&gt;0",AA[Category],"senior",AA[Cracow_all_around],"Yes")+COUNTIFS(AA[gdansk_Escore],"&gt;0",AA[Category],"senior",AA[Gdansk_all_Around],"Yes"))</f>
        <v>46.186585365853652</v>
      </c>
      <c r="D59" s="7" cm="1">
        <f t="array" ref="D59">_xlfn.STDEV.S(_xlfn._xlws.FILTER(AA[bydgoszcz_Escore],(AA[Category]="senior")*(AA[Bydgoszcz_all_around]&gt;="yes")*(AA[bydgoszcz_Escore]&gt;0)),_xlfn._xlws.FILTER(AA[zabrze_Escore],(AA[Category]="senior")*(AA[zabrze_Escore]&gt;0)*(AA[Zabrze_all_around]&gt;="yes")),_xlfn._xlws.FILTER(AA[cracow_Escore],(AA[Category]="senior")*(AA[cracow_Escore]&gt;0)*(AA[Cracow_all_around]&gt;="yes")),_xlfn._xlws.FILTER(AA[gdansk_Escore],(AA[Category]="senior")*(AA[gdansk_Escore]&gt;0)*(AA[Gdansk_all_Around]&gt;="yes")))</f>
        <v>3.3056963031682876</v>
      </c>
      <c r="E59" s="7" cm="1">
        <f t="array" ref="E59">MAX(_xlfn._xlws.FILTER(AA[bydgoszcz_Escore],AA[Category]="senior"),_xlfn._xlws.FILTER(AA[zabrze_Escore],AA[Category]="senior"),_xlfn._xlws.FILTER(AA[cracow_Escore],AA[Category]="senior"),_xlfn._xlws.FILTER(AA[gdansk_Escore],AA[Category]="senior"))</f>
        <v>51.55</v>
      </c>
      <c r="F59" s="7" t="str" cm="1">
        <f t="array" ref="F59">_xlfn.XLOOKUP(E59,_xlfn._xlws.FILTER(AA[bydgoszcz_Escore],AA[Category]="senior"),_xlfn._xlws.FILTER(AA[Name],AA[Category]="senior"),_xlfn.XLOOKUP(E59,_xlfn._xlws.FILTER(AA[zabrze_Escore],AA[Category]="senior"),_xlfn._xlws.FILTER(AA[Name],AA[Category]="senior"),_xlfn.XLOOKUP(E59,_xlfn._xlws.FILTER(AA[cracow_Escore],AA[Category]="senior"),_xlfn._xlws.FILTER(AA[Name],AA[Category]="senior"),_xlfn.XLOOKUP(E59,_xlfn._xlws.FILTER(AA[gdansk_Escore],AA[Category]="senior"),_xlfn._xlws.FILTER(AA[Name],AA[Category]="senior")))))</f>
        <v>KUROWSKI Jakub</v>
      </c>
      <c r="I59" s="7"/>
      <c r="L59" s="7"/>
      <c r="O59" s="7"/>
      <c r="R59" s="7"/>
      <c r="U59" s="7"/>
      <c r="X59" s="7" t="str" cm="1">
        <f t="array" ref="X59">_xlfn.XLOOKUP(AA_Calculation[[#This Row],[Top]],_xlfn._xlws.FILTER(AA[bydgoszcz_Escore],AA[Category]="senior"),_xlfn._xlws.FILTER(AA[Name],AA[Category]="senior"),_xlfn.XLOOKUP(AA_Calculation[[#This Row],[Top]],_xlfn._xlws.FILTER(AA[zabrze_Escore],AA[Category]="senior"),_xlfn._xlws.FILTER(AA[Name],AA[Category]="senior"),_xlfn.XLOOKUP(AA_Calculation[[#This Row],[Top]],_xlfn._xlws.FILTER(AA[cracow_Escore],AA[Category]="senior"),_xlfn._xlws.FILTER(AA[Name],AA[Category]="senior"),_xlfn.XLOOKUP(AA_Calculation[[#This Row],[Top]],_xlfn._xlws.FILTER(AA[gdansk_Escore],AA[Category]="senior"),_xlfn._xlws.FILTER(AA[Name],AA[Category]="senior")))))</f>
        <v>KUROWSKI Jakub</v>
      </c>
      <c r="DC59" s="43" t="s">
        <v>68</v>
      </c>
      <c r="DD59" s="43" t="s">
        <v>60</v>
      </c>
      <c r="DE59" s="43" t="s">
        <v>31</v>
      </c>
      <c r="DF59">
        <v>3</v>
      </c>
      <c r="DG59" t="s">
        <v>325</v>
      </c>
      <c r="DH59" s="43" t="s">
        <v>308</v>
      </c>
      <c r="DI59">
        <v>21.5</v>
      </c>
    </row>
    <row r="60" spans="1:113" ht="21" x14ac:dyDescent="0.35">
      <c r="A60" s="15" t="s">
        <v>60</v>
      </c>
      <c r="B60" s="15" t="s">
        <v>268</v>
      </c>
      <c r="C60" s="7" cm="1">
        <f t="array" ref="C60">SUM(_xlfn._xlws.FILTER(AA[bydgoszcz_Total_Score],(AA[Category]="senior")*(AA[Bydgoszcz_all_around]&gt;="yes")),_xlfn._xlws.FILTER(AA[zabrze_Total_Score],(AA[Category]="senior")*(AA[Zabrze_all_around]&gt;="yes")),_xlfn._xlws.FILTER(AA[cracow_Total_Score],(AA[Category]="senior")*(AA[Cracow_all_around]&gt;="yes")),_xlfn._xlws.FILTER(AA[gdansk_Total_Score],(AA[Category]="senior")*(AA[Gdansk_all_Around]&gt;="yes")))/(COUNTIFS(AA[bydgoszcz_Total_Score],"&gt;0",AA[Category],"senior",AA[Bydgoszcz_all_around],"Yes")+COUNTIFS(AA[zabrze_Total_Score],"&gt;0",AA[Category],"senior",AA[Zabrze_all_around],"Yes")+COUNTIFS(AA[cracow_Total_Score],"&gt;0",AA[Category],"senior",AA[Cracow_all_around],"Yes")+COUNTIFS(AA[gdansk_Total_Score],"&gt;0",AA[Category],"senior",AA[Gdansk_all_Around],"Yes"))</f>
        <v>68.979268292682931</v>
      </c>
      <c r="D60" s="7" cm="1">
        <f t="array" ref="D60">_xlfn.STDEV.S(_xlfn._xlws.FILTER(AA[bydgoszcz_Total_Score],(AA[Category]="senior")*(AA[Bydgoszcz_all_around]&gt;="yes")*(AA[bydgoszcz_Total_Score]&gt;0)),_xlfn._xlws.FILTER(AA[zabrze_Total_Score],(AA[Category]="senior")*(AA[zabrze_Total_Score]&gt;0)*(AA[Zabrze_all_around]&gt;="yes")),_xlfn._xlws.FILTER(AA[cracow_Total_Score],(AA[Category]="senior")*(AA[cracow_Total_Score]&gt;0)*(AA[Cracow_all_around]&gt;="yes")),_xlfn._xlws.FILTER(AA[gdansk_Total_Score],(AA[Category]="senior")*(AA[gdansk_Total_Score]&gt;0)*(AA[Gdansk_all_Around]&gt;="yes")))</f>
        <v>5.2201888807991903</v>
      </c>
      <c r="E60" s="7" cm="1">
        <f t="array" ref="E60">MAX(_xlfn._xlws.FILTER(AA[bydgoszcz_Total_Score],AA[Category]="senior"),_xlfn._xlws.FILTER(AA[zabrze_Total_Score],AA[Category]="senior"),_xlfn._xlws.FILTER(AA[cracow_Total_Score],AA[Category]="senior"),_xlfn._xlws.FILTER(AA[gdansk_Total_Score],AA[Category]="senior"))</f>
        <v>76.150000000000006</v>
      </c>
      <c r="F60" s="7" t="str" cm="1">
        <f t="array" ref="F60">_xlfn.XLOOKUP(E60,_xlfn._xlws.FILTER(AA[bydgoszcz_Total_Score],AA[Category]="senior"),_xlfn._xlws.FILTER(AA[Name],AA[Category]="senior"),_xlfn.XLOOKUP(E60,_xlfn._xlws.FILTER(AA[zabrze_Total_Score],AA[Category]="senior"),_xlfn._xlws.FILTER(AA[Name],AA[Category]="senior"),_xlfn.XLOOKUP(E60,_xlfn._xlws.FILTER(AA[cracow_Total_Score],AA[Category]="senior"),_xlfn._xlws.FILTER(AA[Name],AA[Category]="senior"),_xlfn.XLOOKUP(E60,_xlfn._xlws.FILTER(AA[gdansk_Total_Score],AA[Category]="senior"),_xlfn._xlws.FILTER(AA[Name],AA[Category]="senior")))))</f>
        <v>GARNCZAREK Kacper</v>
      </c>
      <c r="I60" s="7"/>
      <c r="L60" s="7"/>
      <c r="O60" s="7"/>
      <c r="R60" s="7"/>
      <c r="U60" s="7"/>
      <c r="X60" s="7" t="str" cm="1">
        <f t="array" ref="X60">_xlfn.XLOOKUP(AA_Calculation[[#This Row],[Top]],_xlfn._xlws.FILTER(AA[bydgoszcz_Total_Score],AA[Category]="senior"),_xlfn._xlws.FILTER(AA[Name],AA[Category]="senior"),_xlfn.XLOOKUP(AA_Calculation[[#This Row],[Top]],_xlfn._xlws.FILTER(AA[zabrze_Total_Score],AA[Category]="senior"),_xlfn._xlws.FILTER(AA[Name],AA[Category]="senior"),_xlfn.XLOOKUP(AA_Calculation[[#This Row],[Top]],_xlfn._xlws.FILTER(AA[cracow_Total_Score],AA[Category]="senior"),_xlfn._xlws.FILTER(AA[Name],AA[Category]="senior"),_xlfn.XLOOKUP(AA_Calculation[[#This Row],[Top]],_xlfn._xlws.FILTER(AA[gdansk_Total_Score],AA[Category]="senior"),_xlfn._xlws.FILTER(AA[Name],AA[Category]="senior")))))</f>
        <v>GARNCZAREK Kacper</v>
      </c>
      <c r="DC60" s="43" t="s">
        <v>68</v>
      </c>
      <c r="DD60" s="43" t="s">
        <v>60</v>
      </c>
      <c r="DE60" s="43" t="s">
        <v>31</v>
      </c>
      <c r="DF60">
        <v>3</v>
      </c>
      <c r="DG60" t="s">
        <v>325</v>
      </c>
      <c r="DH60" s="43" t="s">
        <v>309</v>
      </c>
      <c r="DI60">
        <v>49.949999999999996</v>
      </c>
    </row>
    <row r="61" spans="1:113" ht="21" x14ac:dyDescent="0.35">
      <c r="A61" s="15" t="s">
        <v>60</v>
      </c>
      <c r="B61" s="15" t="s">
        <v>275</v>
      </c>
      <c r="C61" s="4" cm="1">
        <f t="array" ref="C61">SUM(_xlfn._xlws.FILTER(AA[Year_AA_Dscore],(AA[Category]="senior")*(AA[All around competition]&gt;=3))/COUNTIFS(AA[All around competition],"&gt;=3",AA[Category],"senior"))</f>
        <v>69.771428571428558</v>
      </c>
      <c r="D61" s="4" cm="1">
        <f t="array" ref="D61">_xlfn.STDEV.S(_xlfn._xlws.FILTER(AA[Year_AA_Dscore],(AA[Category]="senior")*(AA[All around competition]&gt;=3)))</f>
        <v>10.268676364834702</v>
      </c>
      <c r="E61" s="7" cm="1">
        <f t="array" ref="E61">MAX(_xlfn._xlws.FILTER(AA[Year_AA_Dscore],AA[Category]="senior"))</f>
        <v>84.9</v>
      </c>
      <c r="F61" s="7" t="e" cm="1">
        <f t="array" ref="F61">_xlfn.XLOOKUP(#REF!,_xlfn._xlws.FILTER(AA[bydgoszcz_Total_Score],AA[Category]="junior"),_xlfn._xlws.FILTER(AA[Name],AA[Category]="junior"),_xlfn.XLOOKUP(#REF!,_xlfn._xlws.FILTER(AA[zabrze_Total_Score],AA[Category]="junior"),_xlfn._xlws.FILTER(AA[Name],AA[Category]="junior"),_xlfn.XLOOKUP(#REF!,_xlfn._xlws.FILTER(AA[cracow_Total_Score],AA[Category]="junior"),_xlfn._xlws.FILTER(AA[Name],AA[Category]="junior"),_xlfn.XLOOKUP(#REF!,_xlfn._xlws.FILTER(AA[gdansk_Total_Score],AA[Category]="junior"),_xlfn._xlws.FILTER(AA[Name],AA[Category]="junior")))))</f>
        <v>#REF!</v>
      </c>
      <c r="I61" s="7"/>
      <c r="L61" s="7"/>
      <c r="O61" s="7"/>
      <c r="R61" s="7"/>
      <c r="U61" s="7"/>
      <c r="X61" s="7" t="str" cm="1">
        <f t="array" ref="X61">_xlfn.XLOOKUP(AA_Calculation[[#This Row],[Top]],_xlfn._xlws.FILTER(AA[Year_AA_Dscore],AA[Category]="senior"),_xlfn._xlws.FILTER(AA[Name],AA[Category]="senior"))</f>
        <v>GARNCZAREK Kacper</v>
      </c>
      <c r="DC61" s="43" t="s">
        <v>68</v>
      </c>
      <c r="DD61" s="43" t="s">
        <v>60</v>
      </c>
      <c r="DE61" s="43" t="s">
        <v>31</v>
      </c>
      <c r="DF61">
        <v>3</v>
      </c>
      <c r="DG61" t="s">
        <v>325</v>
      </c>
      <c r="DH61" s="43" t="s">
        <v>268</v>
      </c>
      <c r="DI61">
        <v>71.45</v>
      </c>
    </row>
    <row r="62" spans="1:113" ht="21" x14ac:dyDescent="0.35">
      <c r="A62" s="15" t="s">
        <v>60</v>
      </c>
      <c r="B62" s="15" t="s">
        <v>276</v>
      </c>
      <c r="C62" s="7" cm="1">
        <f t="array" ref="C62">SUM(_xlfn._xlws.FILTER(AA[Year_AA_Escore],(AA[Category]="senior")*(AA[All around competition]&gt;=3))/COUNTIFS(AA[All around competition],"&gt;=3",AA[Category],"senior"))</f>
        <v>140.37857142857143</v>
      </c>
      <c r="D62" s="7" cm="1">
        <f t="array" ref="D62">_xlfn.STDEV.S(_xlfn._xlws.FILTER(AA[Year_AA_Escore],(AA[Category]="senior")*(AA[All around competition]&gt;=3)))</f>
        <v>3.8505256289301104</v>
      </c>
      <c r="E62" s="7" cm="1">
        <f t="array" ref="E62">MAX(_xlfn._xlws.FILTER(AA[Year_AA_Escore],AA[Category]="senior"))</f>
        <v>144.69999999999999</v>
      </c>
      <c r="F62" s="7" t="e" cm="1">
        <f t="array" ref="F62">_xlfn.XLOOKUP(FX_Calculation[[#This Row],[Top]],_xlfn._xlws.FILTER(FX[Year_Dscore],FX[Category]="senior"),_xlfn._xlws.FILTER(FX[Name],FX[Category]="senior"))</f>
        <v>#N/A</v>
      </c>
      <c r="I62" s="7"/>
      <c r="L62" s="7"/>
      <c r="O62" s="7"/>
      <c r="R62" s="7"/>
      <c r="U62" s="7"/>
      <c r="X62" s="7" t="str" cm="1">
        <f t="array" ref="X62">_xlfn.XLOOKUP(AA_Calculation[[#This Row],[Top]],_xlfn._xlws.FILTER(AA[Year_AA_Escore],AA[Category]="senior"),_xlfn._xlws.FILTER(AA[Name],AA[Category]="senior"))</f>
        <v>KUROWSKI Jakub</v>
      </c>
      <c r="DC62" s="43" t="s">
        <v>68</v>
      </c>
      <c r="DD62" s="43" t="s">
        <v>60</v>
      </c>
      <c r="DE62" s="43" t="s">
        <v>31</v>
      </c>
      <c r="DF62">
        <v>3</v>
      </c>
      <c r="DG62" t="s">
        <v>330</v>
      </c>
      <c r="DH62" s="43" t="s">
        <v>308</v>
      </c>
      <c r="DI62">
        <v>22.1</v>
      </c>
    </row>
    <row r="63" spans="1:113" ht="21" x14ac:dyDescent="0.35">
      <c r="A63" s="15" t="s">
        <v>60</v>
      </c>
      <c r="B63" s="15" t="s">
        <v>277</v>
      </c>
      <c r="C63" s="7" cm="1">
        <f t="array" ref="C63">SUM(_xlfn._xlws.FILTER(AA[Year_AA_Total_Score],(AA[Category]="senior")*(AA[All around competition]&gt;=3))/COUNTIFS(AA[All around competition],"&gt;=3",AA[Category],"senior"))</f>
        <v>210.02857142857144</v>
      </c>
      <c r="D63" s="7" cm="1">
        <f t="array" ref="D63">_xlfn.STDEV.S(_xlfn._xlws.FILTER(AA[Year_AA_Total_Score],(AA[Category]="senior")*(AA[All around competition]&gt;=3)))</f>
        <v>11.225486520371742</v>
      </c>
      <c r="E63" s="7" cm="1">
        <f t="array" ref="E63">MAX(_xlfn._xlws.FILTER(AA[Year_AA_Total_Score],AA[Category]="senior"))</f>
        <v>225.45</v>
      </c>
      <c r="F63" s="7" t="e" cm="1">
        <f t="array" ref="F63">_xlfn.XLOOKUP(FX_Calculation[[#This Row],[Top]],_xlfn._xlws.FILTER(FX[Year_Escore],FX[Category]="senior"),_xlfn._xlws.FILTER(FX[Name],FX[Category]="senior"))</f>
        <v>#VALUE!</v>
      </c>
      <c r="I63" s="7"/>
      <c r="L63" s="7"/>
      <c r="O63" s="7"/>
      <c r="R63" s="7"/>
      <c r="U63" s="7"/>
      <c r="X63" s="7" t="str" cm="1">
        <f t="array" ref="X63">_xlfn.XLOOKUP(AA_Calculation[[#This Row],[Top]],_xlfn._xlws.FILTER(AA[Year_AA_Total_Score],AA[Category]="senior"),_xlfn._xlws.FILTER(AA[Name],AA[Category]="senior"))</f>
        <v>SASNAL Filip</v>
      </c>
      <c r="DC63" s="43" t="s">
        <v>68</v>
      </c>
      <c r="DD63" s="43" t="s">
        <v>60</v>
      </c>
      <c r="DE63" s="43" t="s">
        <v>31</v>
      </c>
      <c r="DF63">
        <v>3</v>
      </c>
      <c r="DG63" t="s">
        <v>330</v>
      </c>
      <c r="DH63" s="43" t="s">
        <v>309</v>
      </c>
      <c r="DI63">
        <v>51.55</v>
      </c>
    </row>
    <row r="64" spans="1:113" ht="21" x14ac:dyDescent="0.35">
      <c r="A64" s="14" t="s">
        <v>26</v>
      </c>
      <c r="B64" s="14" t="s">
        <v>269</v>
      </c>
      <c r="C64" s="4" cm="1">
        <f t="array" ref="C64">SUM(_xlfn._xlws.FILTER(AA[bydgoszcz_DScore],(AA[Category]="junior")*(AA[Bydgoszcz_all_around]&gt;="yes")),_xlfn._xlws.FILTER(AA[zabrze_Dscore],(AA[Category]="junior")*(AA[Zabrze_all_around]&gt;="yes")),_xlfn._xlws.FILTER(AA[cracow_Dscore],(AA[Category]="junior")*(AA[Cracow_all_around]&gt;="yes")),_xlfn._xlws.FILTER(AA[gdansk_Dscore],(AA[Category]="junior")*(AA[Gdansk_all_Around]&gt;="yes")))/(COUNTIFS(AA[bydgoszcz_DScore],"&gt;0",AA[Category],"junior",AA[Bydgoszcz_all_around],"Yes")+COUNTIFS(AA[zabrze_Dscore],"&gt;0",AA[Category],"junior",AA[Zabrze_all_around],"Yes")+COUNTIFS(AA[cracow_Dscore],"&gt;0",AA[Category],"junior",AA[Cracow_all_around],"Yes")+COUNTIFS(AA[gdansk_Dscore],"&gt;0",AA[Category],"junior",AA[Gdansk_all_Around],"Yes"))</f>
        <v>17.661904761904765</v>
      </c>
      <c r="D64" s="4" cm="1">
        <f t="array" ref="D64">_xlfn.STDEV.S(_xlfn._xlws.FILTER(AA[bydgoszcz_DScore],(AA[Category]="junior")*(AA[Bydgoszcz_all_around]&gt;="yes")*(AA[bydgoszcz_DScore]&gt;0)),_xlfn._xlws.FILTER(AA[zabrze_Dscore],(AA[Category]="junior")*(AA[zabrze_Dscore]&gt;0)*(AA[Zabrze_all_around]&gt;="yes")),_xlfn._xlws.FILTER(AA[cracow_Dscore],(AA[Category]="junior")*(AA[cracow_Dscore]&gt;0)*(AA[Cracow_all_around]&gt;="yes")),_xlfn._xlws.FILTER(AA[gdansk_Dscore],(AA[Category]="junior")*(AA[gdansk_Dscore]&gt;0)*(AA[Gdansk_all_Around]&gt;="yes")))</f>
        <v>3.2183128727340868</v>
      </c>
      <c r="E64" s="4" cm="1">
        <f t="array" ref="E64">MAX(_xlfn._xlws.FILTER(AA[bydgoszcz_DScore],AA[Category]="junior"),_xlfn._xlws.FILTER(AA[zabrze_Dscore],AA[Category]="junior"),_xlfn._xlws.FILTER(AA[cracow_Dscore],AA[Category]="junior"),_xlfn._xlws.FILTER(AA[gdansk_Dscore],AA[Category]="junior"))</f>
        <v>25.6</v>
      </c>
      <c r="F64" s="7" t="str" cm="1">
        <f t="array" ref="F64">_xlfn.XLOOKUP(E64,_xlfn._xlws.FILTER(AA[bydgoszcz_DScore],AA[Category]="junior"),_xlfn._xlws.FILTER(AA[Name],AA[Category]="junior"),_xlfn.XLOOKUP(E64,_xlfn._xlws.FILTER(AA[zabrze_Dscore],AA[Category]="junior"),_xlfn._xlws.FILTER(AA[Name],AA[Category]="junior"),_xlfn.XLOOKUP(E64,_xlfn._xlws.FILTER(AA[cracow_Dscore],AA[Category]="junior"),_xlfn._xlws.FILTER(AA[Name],AA[Category]="junior"),_xlfn.XLOOKUP(E64,_xlfn._xlws.FILTER(AA[gdansk_Dscore],AA[Category]="junior"),_xlfn._xlws.FILTER(AA[Name],AA[Category]="junior")))))</f>
        <v>MISHCHENKO Oleksandr</v>
      </c>
      <c r="I64" s="7"/>
      <c r="L64" s="7"/>
      <c r="O64" s="7"/>
      <c r="R64" s="7"/>
      <c r="U64" s="7"/>
      <c r="X64" s="7" t="str" cm="1">
        <f t="array" ref="X64">_xlfn.XLOOKUP(AA_Calculation[[#This Row],[Top]],_xlfn._xlws.FILTER(AA[bydgoszcz_DScore],AA[Category]="junior"),_xlfn._xlws.FILTER(AA[Name],AA[Category]="junior"),_xlfn.XLOOKUP(AA_Calculation[[#This Row],[Top]],_xlfn._xlws.FILTER(AA[zabrze_Dscore],AA[Category]="junior"),_xlfn._xlws.FILTER(AA[Name],AA[Category]="junior"),_xlfn.XLOOKUP(AA_Calculation[[#This Row],[Top]],_xlfn._xlws.FILTER(AA[cracow_Dscore],AA[Category]="junior"),_xlfn._xlws.FILTER(AA[Name],AA[Category]="junior"),_xlfn.XLOOKUP(AA_Calculation[[#This Row],[Top]],_xlfn._xlws.FILTER(AA[gdansk_Dscore],AA[Category]="junior"),_xlfn._xlws.FILTER(AA[Name],AA[Category]="junior")))))</f>
        <v>MISHCHENKO Oleksandr</v>
      </c>
      <c r="DC64" s="43" t="s">
        <v>68</v>
      </c>
      <c r="DD64" s="43" t="s">
        <v>60</v>
      </c>
      <c r="DE64" s="43" t="s">
        <v>31</v>
      </c>
      <c r="DF64">
        <v>3</v>
      </c>
      <c r="DG64" t="s">
        <v>330</v>
      </c>
      <c r="DH64" s="43" t="s">
        <v>268</v>
      </c>
      <c r="DI64">
        <v>73.650000000000006</v>
      </c>
    </row>
    <row r="65" spans="1:113" ht="21" x14ac:dyDescent="0.35">
      <c r="A65" s="14" t="s">
        <v>26</v>
      </c>
      <c r="B65" s="14" t="s">
        <v>267</v>
      </c>
      <c r="C65" s="7" cm="1">
        <f t="array" ref="C65">SUM(_xlfn._xlws.FILTER(AA[bydgoszcz_Escore],(AA[Category]="junior")*(AA[Bydgoszcz_all_around]&gt;="yes")),_xlfn._xlws.FILTER(AA[zabrze_Escore],(AA[Category]="junior")*(AA[Zabrze_all_around]&gt;="yes")),_xlfn._xlws.FILTER(AA[cracow_Escore],(AA[Category]="junior")*(AA[Cracow_all_around]&gt;="yes")),_xlfn._xlws.FILTER(AA[gdansk_Escore],(AA[Category]="junior")*(AA[Gdansk_all_Around]&gt;="yes")))/(COUNTIFS(AA[bydgoszcz_Escore],"&gt;0",AA[Category],"junior",AA[Bydgoszcz_all_around],"Yes")+COUNTIFS(AA[zabrze_Escore],"&gt;0",AA[Category],"junior",AA[Zabrze_all_around],"Yes")+COUNTIFS(AA[cracow_Escore],"&gt;0",AA[Category],"junior",AA[Cracow_all_around],"Yes")+COUNTIFS(AA[gdansk_Escore],"&gt;0",AA[Category],"junior",AA[Gdansk_all_Around],"Yes"))</f>
        <v>46.188095238095251</v>
      </c>
      <c r="D65" s="7" cm="1">
        <f t="array" ref="D65">_xlfn.STDEV.S(_xlfn._xlws.FILTER(AA[bydgoszcz_Escore],(AA[Category]="junior")*(AA[Bydgoszcz_all_around]&gt;="yes")*(AA[bydgoszcz_Escore]&gt;0)),_xlfn._xlws.FILTER(AA[zabrze_Escore],(AA[Category]="junior")*(AA[zabrze_Escore]&gt;0)*(AA[Zabrze_all_around]&gt;="yes")),_xlfn._xlws.FILTER(AA[cracow_Escore],(AA[Category]="junior")*(AA[cracow_Escore]&gt;0)*(AA[Cracow_all_around]&gt;="yes")),_xlfn._xlws.FILTER(AA[gdansk_Escore],(AA[Category]="junior")*(AA[gdansk_Escore]&gt;0)*(AA[Gdansk_all_Around]&gt;="yes")))</f>
        <v>5.4465564140285094</v>
      </c>
      <c r="E65" s="7" cm="1">
        <f t="array" ref="E65">MAX(_xlfn._xlws.FILTER(AA[bydgoszcz_Escore],AA[Category]="junior"),_xlfn._xlws.FILTER(AA[zabrze_Escore],AA[Category]="junior"),_xlfn._xlws.FILTER(AA[cracow_Escore],AA[Category]="junior"),_xlfn._xlws.FILTER(AA[gdansk_Escore],AA[Category]="junior"))</f>
        <v>53.7</v>
      </c>
      <c r="F65" s="7" t="str" cm="1">
        <f t="array" ref="F65">_xlfn.XLOOKUP(E65,_xlfn._xlws.FILTER(AA[bydgoszcz_Escore],AA[Category]="junior"),_xlfn._xlws.FILTER(AA[Name],AA[Category]="junior"),_xlfn.XLOOKUP(E65,_xlfn._xlws.FILTER(AA[zabrze_Escore],AA[Category]="junior"),_xlfn._xlws.FILTER(AA[Name],AA[Category]="junior"),_xlfn.XLOOKUP(E65,_xlfn._xlws.FILTER(AA[cracow_Escore],AA[Category]="junior"),_xlfn._xlws.FILTER(AA[Name],AA[Category]="junior"),_xlfn.XLOOKUP(E65,_xlfn._xlws.FILTER(AA[gdansk_Escore],AA[Category]="junior"),_xlfn._xlws.FILTER(AA[Name],AA[Category]="junior")))))</f>
        <v>LEKHAC Tomasz</v>
      </c>
      <c r="I65" s="7"/>
      <c r="L65" s="7"/>
      <c r="O65" s="7"/>
      <c r="R65" s="7"/>
      <c r="U65" s="7"/>
      <c r="X65" s="7" t="str" cm="1">
        <f t="array" ref="X65">_xlfn.XLOOKUP(AA_Calculation[[#This Row],[Top]],_xlfn._xlws.FILTER(AA[bydgoszcz_Escore],AA[Category]="junior"),_xlfn._xlws.FILTER(AA[Name],AA[Category]="junior"),_xlfn.XLOOKUP(AA_Calculation[[#This Row],[Top]],_xlfn._xlws.FILTER(AA[zabrze_Escore],AA[Category]="junior"),_xlfn._xlws.FILTER(AA[Name],AA[Category]="junior"),_xlfn.XLOOKUP(AA_Calculation[[#This Row],[Top]],_xlfn._xlws.FILTER(AA[cracow_Escore],AA[Category]="junior"),_xlfn._xlws.FILTER(AA[Name],AA[Category]="junior"),_xlfn.XLOOKUP(AA_Calculation[[#This Row],[Top]],_xlfn._xlws.FILTER(AA[gdansk_Escore],AA[Category]="junior"),_xlfn._xlws.FILTER(AA[Name],AA[Category]="junior")))))</f>
        <v>LEKHAC Tomasz</v>
      </c>
      <c r="DC65" s="43" t="s">
        <v>68</v>
      </c>
      <c r="DD65" s="43" t="s">
        <v>60</v>
      </c>
      <c r="DE65" s="43" t="s">
        <v>31</v>
      </c>
      <c r="DF65">
        <v>3</v>
      </c>
      <c r="DG65" t="s">
        <v>331</v>
      </c>
      <c r="DH65" s="43" t="s">
        <v>308</v>
      </c>
      <c r="DI65">
        <v>20.700000000000003</v>
      </c>
    </row>
    <row r="66" spans="1:113" ht="21" x14ac:dyDescent="0.35">
      <c r="A66" s="14" t="s">
        <v>26</v>
      </c>
      <c r="B66" s="14" t="s">
        <v>268</v>
      </c>
      <c r="C66" s="7" cm="1">
        <f t="array" ref="C66">SUM(_xlfn._xlws.FILTER(AA[bydgoszcz_Total_Score],(AA[Category]="junior")*(AA[Bydgoszcz_all_around]&gt;="yes")),_xlfn._xlws.FILTER(AA[zabrze_Total_Score],(AA[Category]="junior")*(AA[Zabrze_all_around]&gt;="yes")),_xlfn._xlws.FILTER(AA[cracow_Total_Score],(AA[Category]="junior")*(AA[Cracow_all_around]&gt;="yes")),_xlfn._xlws.FILTER(AA[gdansk_Total_Score],(AA[Category]="junior")*(AA[Gdansk_all_Around]&gt;="yes")))/(COUNTIFS(AA[bydgoszcz_Total_Score],"&gt;0",AA[Category],"junior",AA[Bydgoszcz_all_around],"Yes")+COUNTIFS(AA[zabrze_Total_Score],"&gt;0",AA[Category],"junior",AA[Zabrze_all_around],"Yes")+COUNTIFS(AA[cracow_Total_Score],"&gt;0",AA[Category],"junior",AA[Cracow_all_around],"Yes")+COUNTIFS(AA[gdansk_Total_Score],"&gt;0",AA[Category],"junior",AA[Gdansk_all_Around],"Yes"))</f>
        <v>63.850000000000009</v>
      </c>
      <c r="D66" s="7" cm="1">
        <f t="array" ref="D66">_xlfn.STDEV.S(_xlfn._xlws.FILTER(AA[bydgoszcz_Total_Score],(AA[Category]="junior")*(AA[Bydgoszcz_all_around]&gt;="yes")*(AA[bydgoszcz_Total_Score]&gt;0)),_xlfn._xlws.FILTER(AA[zabrze_Total_Score],(AA[Category]="junior")*(AA[zabrze_Total_Score]&gt;0)*(AA[Zabrze_all_around]&gt;="yes")),_xlfn._xlws.FILTER(AA[cracow_Total_Score],(AA[Category]="junior")*(AA[cracow_Total_Score]&gt;0)*(AA[Cracow_all_around]&gt;="yes")),_xlfn._xlws.FILTER(AA[gdansk_Total_Score],(AA[Category]="junior")*(AA[gdansk_Total_Score]&gt;0)*(AA[Gdansk_all_Around]&gt;="yes")))</f>
        <v>7.8148311156322245</v>
      </c>
      <c r="E66" s="7" cm="1">
        <f t="array" ref="E66">MAX(_xlfn._xlws.FILTER(AA[bydgoszcz_Total_Score],AA[Category]="junior"),_xlfn._xlws.FILTER(AA[zabrze_Total_Score],AA[Category]="junior"),_xlfn._xlws.FILTER(AA[cracow_Total_Score],AA[Category]="junior"),_xlfn._xlws.FILTER(AA[gdansk_Total_Score],AA[Category]="junior"))</f>
        <v>73.2</v>
      </c>
      <c r="F66" s="7" t="str" cm="1">
        <f t="array" ref="F66">_xlfn.XLOOKUP(E66,_xlfn._xlws.FILTER(AA[bydgoszcz_Total_Score],AA[Category]="junior"),_xlfn._xlws.FILTER(AA[Name],AA[Category]="junior"),_xlfn.XLOOKUP(E66,_xlfn._xlws.FILTER(AA[zabrze_Total_Score],AA[Category]="junior"),_xlfn._xlws.FILTER(AA[Name],AA[Category]="junior"),_xlfn.XLOOKUP(E66,_xlfn._xlws.FILTER(AA[cracow_Total_Score],AA[Category]="junior"),_xlfn._xlws.FILTER(AA[Name],AA[Category]="junior"),_xlfn.XLOOKUP(E66,_xlfn._xlws.FILTER(AA[gdansk_Total_Score],AA[Category]="junior"),_xlfn._xlws.FILTER(AA[Name],AA[Category]="junior")))))</f>
        <v>LEKHAC Tomasz</v>
      </c>
      <c r="I66" s="7"/>
      <c r="L66" s="7"/>
      <c r="O66" s="7"/>
      <c r="R66" s="7"/>
      <c r="U66" s="7"/>
      <c r="X66" s="7" t="str" cm="1">
        <f t="array" ref="X66">_xlfn.XLOOKUP(AA_Calculation[[#This Row],[Top]],_xlfn._xlws.FILTER(AA[bydgoszcz_Total_Score],AA[Category]="junior"),_xlfn._xlws.FILTER(AA[Name],AA[Category]="junior"),_xlfn.XLOOKUP(AA_Calculation[[#This Row],[Top]],_xlfn._xlws.FILTER(AA[zabrze_Total_Score],AA[Category]="junior"),_xlfn._xlws.FILTER(AA[Name],AA[Category]="junior"),_xlfn.XLOOKUP(AA_Calculation[[#This Row],[Top]],_xlfn._xlws.FILTER(AA[cracow_Total_Score],AA[Category]="junior"),_xlfn._xlws.FILTER(AA[Name],AA[Category]="junior"),_xlfn.XLOOKUP(AA_Calculation[[#This Row],[Top]],_xlfn._xlws.FILTER(AA[gdansk_Total_Score],AA[Category]="junior"),_xlfn._xlws.FILTER(AA[Name],AA[Category]="junior")))))</f>
        <v>LEKHAC Tomasz</v>
      </c>
      <c r="DC66" s="43" t="s">
        <v>68</v>
      </c>
      <c r="DD66" s="43" t="s">
        <v>60</v>
      </c>
      <c r="DE66" s="43" t="s">
        <v>31</v>
      </c>
      <c r="DF66">
        <v>3</v>
      </c>
      <c r="DG66" t="s">
        <v>331</v>
      </c>
      <c r="DH66" s="43" t="s">
        <v>309</v>
      </c>
      <c r="DI66">
        <v>43.2</v>
      </c>
    </row>
    <row r="67" spans="1:113" ht="21" x14ac:dyDescent="0.35">
      <c r="A67" s="15" t="s">
        <v>26</v>
      </c>
      <c r="B67" s="15" t="s">
        <v>275</v>
      </c>
      <c r="C67" s="4" cm="1">
        <f t="array" ref="C67">SUM(_xlfn._xlws.FILTER(AA[Year_AA_Dscore],(AA[Category]="junior")*(AA[All around competition]&gt;=3))/COUNTIFS(AA[All around competition],"&gt;=3",AA[Category],"junior"))</f>
        <v>53.95</v>
      </c>
      <c r="D67" s="4" cm="1">
        <f t="array" ref="D67">_xlfn.STDEV.S(_xlfn._xlws.FILTER(AA[Year_AA_Dscore],(AA[Category]="junior")*(AA[All around competition]&gt;=3)))</f>
        <v>7.6456596256379772</v>
      </c>
      <c r="E67" s="7" cm="1">
        <f t="array" ref="E67">MAX(_xlfn._xlws.FILTER(AA[Year_AA_Dscore],AA[Category]="junior"))</f>
        <v>62.2</v>
      </c>
      <c r="F67" s="7" t="e" cm="1">
        <f t="array" ref="F67">_xlfn.XLOOKUP(FX_Calculation[[#This Row],[Top]],_xlfn._xlws.FILTER(FX[Year_Total_Score],FX[Category]="senior"),_xlfn._xlws.FILTER(FX[Name],FX[Category]="senior"))</f>
        <v>#VALUE!</v>
      </c>
      <c r="I67" s="7"/>
      <c r="L67" s="7"/>
      <c r="O67" s="7"/>
      <c r="R67" s="7"/>
      <c r="U67" s="7"/>
      <c r="X67" s="7" t="str" cm="1">
        <f t="array" ref="X67">_xlfn.XLOOKUP(AA_Calculation[[#This Row],[Top]],_xlfn._xlws.FILTER(AA[Year_AA_Dscore],AA[Category]="junior"),_xlfn._xlws.FILTER(AA[Name],AA[Category]="junior"))</f>
        <v>KUZDRA Christian</v>
      </c>
      <c r="DC67" s="43" t="s">
        <v>68</v>
      </c>
      <c r="DD67" s="43" t="s">
        <v>60</v>
      </c>
      <c r="DE67" s="43" t="s">
        <v>31</v>
      </c>
      <c r="DF67">
        <v>3</v>
      </c>
      <c r="DG67" t="s">
        <v>331</v>
      </c>
      <c r="DH67" s="43" t="s">
        <v>268</v>
      </c>
      <c r="DI67">
        <v>63.900000000000006</v>
      </c>
    </row>
    <row r="68" spans="1:113" ht="21" x14ac:dyDescent="0.35">
      <c r="A68" s="15" t="s">
        <v>26</v>
      </c>
      <c r="B68" s="15" t="s">
        <v>276</v>
      </c>
      <c r="C68" s="7" cm="1">
        <f t="array" ref="C68">SUM(_xlfn._xlws.FILTER(AA[Year_AA_Escore],(AA[Category]="junior")*(AA[All around competition]&gt;=3))/COUNTIFS(AA[All around competition],"&gt;=3",AA[Category],"junior"))</f>
        <v>143.19499999999999</v>
      </c>
      <c r="D68" s="7" cm="1">
        <f t="array" ref="D68">_xlfn.STDEV.S(_xlfn._xlws.FILTER(AA[Year_AA_Escore],(AA[Category]="junior")*(AA[All around competition]&gt;=3)))</f>
        <v>7.8714127632140372</v>
      </c>
      <c r="E68" s="7" cm="1">
        <f t="array" ref="E68">MAX(_xlfn._xlws.FILTER(AA[Year_AA_Escore],AA[Category]="junior"))</f>
        <v>159.25</v>
      </c>
      <c r="F68" s="7" t="e" cm="1">
        <f t="array" ref="F68">_xlfn.XLOOKUP(FX_Calculation[[#This Row],[Top]],_xlfn._xlws.FILTER(FX[Year_Dscore],FX[Category]="junior"),_xlfn._xlws.FILTER(FX[Name],FX[Category]="junior"))</f>
        <v>#VALUE!</v>
      </c>
      <c r="I68" s="7"/>
      <c r="L68" s="7"/>
      <c r="O68" s="7"/>
      <c r="R68" s="7"/>
      <c r="U68" s="7"/>
      <c r="X68" s="7" t="str" cm="1">
        <f t="array" ref="X68">_xlfn.XLOOKUP(AA_Calculation[[#This Row],[Top]],_xlfn._xlws.FILTER(AA[Year_AA_Escore],AA[Category]="junior"),_xlfn._xlws.FILTER(AA[Name],AA[Category]="junior"))</f>
        <v>LEKHAC Tomasz</v>
      </c>
      <c r="DC68" s="43" t="s">
        <v>68</v>
      </c>
      <c r="DD68" s="43" t="s">
        <v>60</v>
      </c>
      <c r="DE68" s="43" t="s">
        <v>31</v>
      </c>
      <c r="DF68">
        <v>3</v>
      </c>
      <c r="DG68" t="s">
        <v>341</v>
      </c>
      <c r="DH68" s="43" t="s">
        <v>308</v>
      </c>
      <c r="DI68">
        <v>64.300000000000011</v>
      </c>
    </row>
    <row r="69" spans="1:113" ht="21" x14ac:dyDescent="0.35">
      <c r="A69" s="23" t="s">
        <v>26</v>
      </c>
      <c r="B69" s="23" t="s">
        <v>277</v>
      </c>
      <c r="C69" s="7" cm="1">
        <f t="array" ref="C69">SUM(_xlfn._xlws.FILTER(AA[Year_AA_Total_Score],(AA[Category]="junior")*(AA[All around competition]&gt;=3))/COUNTIFS(AA[All around competition],"&gt;=3",AA[Category],"junior"))</f>
        <v>196.88499999999999</v>
      </c>
      <c r="D69" s="7" cm="1">
        <f t="array" ref="D69">_xlfn.STDEV.S(_xlfn._xlws.FILTER(AA[Year_AA_Total_Score],(AA[Category]="junior")*(AA[All around competition]&gt;=3)))</f>
        <v>13.926195340676024</v>
      </c>
      <c r="E69" s="7" cm="1">
        <f t="array" ref="E69">MAX(_xlfn._xlws.FILTER(AA[Year_AA_Total_Score],AA[Category]="junior"))</f>
        <v>217.95</v>
      </c>
      <c r="F69" s="7" t="e" cm="1">
        <f t="array" ref="F69">_xlfn.XLOOKUP(FX_Calculation[[#This Row],[Top]],_xlfn._xlws.FILTER(FX[Year_Escore],FX[Category]="junior"),_xlfn._xlws.FILTER(FX[Name],FX[Category]="junior"))</f>
        <v>#VALUE!</v>
      </c>
      <c r="I69" s="7"/>
      <c r="L69" s="7"/>
      <c r="O69" s="7"/>
      <c r="R69" s="7"/>
      <c r="U69" s="7"/>
      <c r="X69" s="7" t="str" cm="1">
        <f t="array" ref="X69">_xlfn.XLOOKUP(AA_Calculation[[#This Row],[Top]],_xlfn._xlws.FILTER(AA[Year_AA_Total_Score],AA[Category]="junior"),_xlfn._xlws.FILTER(AA[Name],AA[Category]="junior"))</f>
        <v>LEKHAC Tomasz</v>
      </c>
      <c r="DC69" s="43" t="s">
        <v>68</v>
      </c>
      <c r="DD69" s="43" t="s">
        <v>60</v>
      </c>
      <c r="DE69" s="43" t="s">
        <v>31</v>
      </c>
      <c r="DF69">
        <v>3</v>
      </c>
      <c r="DG69" t="s">
        <v>341</v>
      </c>
      <c r="DH69" s="43" t="s">
        <v>309</v>
      </c>
      <c r="DI69">
        <v>144.69999999999999</v>
      </c>
    </row>
    <row r="70" spans="1:113" ht="21" x14ac:dyDescent="0.35">
      <c r="F70" s="2" t="e" cm="1">
        <f t="array" ref="F70">_xlfn.XLOOKUP(FX_Calculation[[#This Row],[Top]],_xlfn._xlws.FILTER(FX[Year_Total_Score],FX[Category]="junior"),_xlfn._xlws.FILTER(FX[Name],FX[Category]="junior"))</f>
        <v>#VALUE!</v>
      </c>
      <c r="DC70" s="43" t="s">
        <v>68</v>
      </c>
      <c r="DD70" s="43" t="s">
        <v>60</v>
      </c>
      <c r="DE70" s="43" t="s">
        <v>31</v>
      </c>
      <c r="DF70">
        <v>3</v>
      </c>
      <c r="DG70" t="s">
        <v>341</v>
      </c>
      <c r="DH70" s="43" t="s">
        <v>268</v>
      </c>
      <c r="DI70">
        <v>209.00000000000003</v>
      </c>
    </row>
    <row r="71" spans="1:113" ht="21" x14ac:dyDescent="0.35">
      <c r="DC71" s="43" t="s">
        <v>68</v>
      </c>
      <c r="DD71" s="43" t="s">
        <v>60</v>
      </c>
      <c r="DE71" s="43" t="s">
        <v>31</v>
      </c>
      <c r="DF71">
        <v>3</v>
      </c>
      <c r="DG71" t="s">
        <v>273</v>
      </c>
      <c r="DH71" s="43" t="s">
        <v>308</v>
      </c>
      <c r="DI71">
        <v>21.433333333333337</v>
      </c>
    </row>
    <row r="72" spans="1:113" ht="21" x14ac:dyDescent="0.35">
      <c r="DC72" s="43" t="s">
        <v>68</v>
      </c>
      <c r="DD72" s="43" t="s">
        <v>60</v>
      </c>
      <c r="DE72" s="43" t="s">
        <v>31</v>
      </c>
      <c r="DF72">
        <v>3</v>
      </c>
      <c r="DG72" t="s">
        <v>273</v>
      </c>
      <c r="DH72" s="43" t="s">
        <v>309</v>
      </c>
      <c r="DI72">
        <v>48.233333333333327</v>
      </c>
    </row>
    <row r="73" spans="1:113" ht="21" x14ac:dyDescent="0.35">
      <c r="DC73" s="43" t="s">
        <v>68</v>
      </c>
      <c r="DD73" s="43" t="s">
        <v>60</v>
      </c>
      <c r="DE73" s="43" t="s">
        <v>31</v>
      </c>
      <c r="DF73">
        <v>3</v>
      </c>
      <c r="DG73" t="s">
        <v>273</v>
      </c>
      <c r="DH73" s="43" t="s">
        <v>268</v>
      </c>
      <c r="DI73">
        <v>69.666666666666671</v>
      </c>
    </row>
    <row r="74" spans="1:113" ht="21" x14ac:dyDescent="0.35">
      <c r="DC74" s="43" t="s">
        <v>80</v>
      </c>
      <c r="DD74" s="43" t="s">
        <v>60</v>
      </c>
      <c r="DE74" s="43" t="s">
        <v>62</v>
      </c>
      <c r="DF74">
        <v>4</v>
      </c>
      <c r="DG74" t="s">
        <v>317</v>
      </c>
      <c r="DH74" s="43" t="s">
        <v>308</v>
      </c>
      <c r="DI74">
        <v>21.4</v>
      </c>
    </row>
    <row r="75" spans="1:113" ht="21" x14ac:dyDescent="0.35">
      <c r="DC75" s="43" t="s">
        <v>80</v>
      </c>
      <c r="DD75" s="43" t="s">
        <v>60</v>
      </c>
      <c r="DE75" s="43" t="s">
        <v>62</v>
      </c>
      <c r="DF75">
        <v>4</v>
      </c>
      <c r="DG75" t="s">
        <v>317</v>
      </c>
      <c r="DH75" s="43" t="s">
        <v>309</v>
      </c>
      <c r="DI75">
        <v>47.4</v>
      </c>
    </row>
    <row r="76" spans="1:113" ht="21" x14ac:dyDescent="0.35">
      <c r="DC76" s="43" t="s">
        <v>80</v>
      </c>
      <c r="DD76" s="43" t="s">
        <v>60</v>
      </c>
      <c r="DE76" s="43" t="s">
        <v>62</v>
      </c>
      <c r="DF76">
        <v>4</v>
      </c>
      <c r="DG76" t="s">
        <v>317</v>
      </c>
      <c r="DH76" s="43" t="s">
        <v>268</v>
      </c>
      <c r="DI76">
        <v>68.8</v>
      </c>
    </row>
    <row r="77" spans="1:113" ht="21" x14ac:dyDescent="0.35">
      <c r="DC77" s="43" t="s">
        <v>80</v>
      </c>
      <c r="DD77" s="43" t="s">
        <v>60</v>
      </c>
      <c r="DE77" s="43" t="s">
        <v>62</v>
      </c>
      <c r="DF77">
        <v>4</v>
      </c>
      <c r="DG77" t="s">
        <v>325</v>
      </c>
      <c r="DH77" s="43" t="s">
        <v>308</v>
      </c>
      <c r="DI77">
        <v>20.9</v>
      </c>
    </row>
    <row r="78" spans="1:113" ht="21" x14ac:dyDescent="0.35">
      <c r="DC78" s="43" t="s">
        <v>80</v>
      </c>
      <c r="DD78" s="43" t="s">
        <v>60</v>
      </c>
      <c r="DE78" s="43" t="s">
        <v>62</v>
      </c>
      <c r="DF78">
        <v>4</v>
      </c>
      <c r="DG78" t="s">
        <v>325</v>
      </c>
      <c r="DH78" s="43" t="s">
        <v>309</v>
      </c>
      <c r="DI78">
        <v>47.999999999999993</v>
      </c>
    </row>
    <row r="79" spans="1:113" ht="21" x14ac:dyDescent="0.35">
      <c r="DC79" s="43" t="s">
        <v>80</v>
      </c>
      <c r="DD79" s="43" t="s">
        <v>60</v>
      </c>
      <c r="DE79" s="43" t="s">
        <v>62</v>
      </c>
      <c r="DF79">
        <v>4</v>
      </c>
      <c r="DG79" t="s">
        <v>325</v>
      </c>
      <c r="DH79" s="43" t="s">
        <v>268</v>
      </c>
      <c r="DI79">
        <v>68.900000000000006</v>
      </c>
    </row>
    <row r="80" spans="1:113" ht="21" x14ac:dyDescent="0.35">
      <c r="DC80" s="43" t="s">
        <v>80</v>
      </c>
      <c r="DD80" s="43" t="s">
        <v>60</v>
      </c>
      <c r="DE80" s="43" t="s">
        <v>62</v>
      </c>
      <c r="DF80">
        <v>4</v>
      </c>
      <c r="DG80" t="s">
        <v>330</v>
      </c>
      <c r="DH80" s="43" t="s">
        <v>308</v>
      </c>
      <c r="DI80">
        <v>21.6</v>
      </c>
    </row>
    <row r="81" spans="107:113" ht="21" x14ac:dyDescent="0.35">
      <c r="DC81" s="43" t="s">
        <v>80</v>
      </c>
      <c r="DD81" s="43" t="s">
        <v>60</v>
      </c>
      <c r="DE81" s="43" t="s">
        <v>62</v>
      </c>
      <c r="DF81">
        <v>4</v>
      </c>
      <c r="DG81" t="s">
        <v>330</v>
      </c>
      <c r="DH81" s="43" t="s">
        <v>309</v>
      </c>
      <c r="DI81">
        <v>49.300000000000004</v>
      </c>
    </row>
    <row r="82" spans="107:113" ht="21" x14ac:dyDescent="0.35">
      <c r="DC82" s="43" t="s">
        <v>80</v>
      </c>
      <c r="DD82" s="43" t="s">
        <v>60</v>
      </c>
      <c r="DE82" s="43" t="s">
        <v>62</v>
      </c>
      <c r="DF82">
        <v>4</v>
      </c>
      <c r="DG82" t="s">
        <v>330</v>
      </c>
      <c r="DH82" s="43" t="s">
        <v>268</v>
      </c>
      <c r="DI82">
        <v>70.900000000000006</v>
      </c>
    </row>
    <row r="83" spans="107:113" ht="21" x14ac:dyDescent="0.35">
      <c r="DC83" s="43" t="s">
        <v>80</v>
      </c>
      <c r="DD83" s="43" t="s">
        <v>60</v>
      </c>
      <c r="DE83" s="43" t="s">
        <v>62</v>
      </c>
      <c r="DF83">
        <v>4</v>
      </c>
      <c r="DG83" t="s">
        <v>331</v>
      </c>
      <c r="DH83" s="43" t="s">
        <v>308</v>
      </c>
      <c r="DI83">
        <v>18.5</v>
      </c>
    </row>
    <row r="84" spans="107:113" ht="21" x14ac:dyDescent="0.35">
      <c r="DC84" s="43" t="s">
        <v>80</v>
      </c>
      <c r="DD84" s="43" t="s">
        <v>60</v>
      </c>
      <c r="DE84" s="43" t="s">
        <v>62</v>
      </c>
      <c r="DF84">
        <v>4</v>
      </c>
      <c r="DG84" t="s">
        <v>331</v>
      </c>
      <c r="DH84" s="43" t="s">
        <v>309</v>
      </c>
      <c r="DI84">
        <v>37.75</v>
      </c>
    </row>
    <row r="85" spans="107:113" ht="21" x14ac:dyDescent="0.35">
      <c r="DC85" s="43" t="s">
        <v>80</v>
      </c>
      <c r="DD85" s="43" t="s">
        <v>60</v>
      </c>
      <c r="DE85" s="43" t="s">
        <v>62</v>
      </c>
      <c r="DF85">
        <v>4</v>
      </c>
      <c r="DG85" t="s">
        <v>331</v>
      </c>
      <c r="DH85" s="43" t="s">
        <v>268</v>
      </c>
      <c r="DI85">
        <v>56.250000000000014</v>
      </c>
    </row>
    <row r="86" spans="107:113" ht="21" x14ac:dyDescent="0.35">
      <c r="DC86" s="43" t="s">
        <v>80</v>
      </c>
      <c r="DD86" s="43" t="s">
        <v>60</v>
      </c>
      <c r="DE86" s="43" t="s">
        <v>62</v>
      </c>
      <c r="DF86">
        <v>4</v>
      </c>
      <c r="DG86" t="s">
        <v>341</v>
      </c>
      <c r="DH86" s="43" t="s">
        <v>308</v>
      </c>
      <c r="DI86">
        <v>63.9</v>
      </c>
    </row>
    <row r="87" spans="107:113" ht="21" x14ac:dyDescent="0.35">
      <c r="DC87" s="43" t="s">
        <v>80</v>
      </c>
      <c r="DD87" s="43" t="s">
        <v>60</v>
      </c>
      <c r="DE87" s="43" t="s">
        <v>62</v>
      </c>
      <c r="DF87">
        <v>4</v>
      </c>
      <c r="DG87" t="s">
        <v>341</v>
      </c>
      <c r="DH87" s="43" t="s">
        <v>309</v>
      </c>
      <c r="DI87">
        <v>144.69999999999999</v>
      </c>
    </row>
    <row r="88" spans="107:113" x14ac:dyDescent="0.25">
      <c r="DC88" s="43" t="s">
        <v>80</v>
      </c>
      <c r="DD88" s="43" t="s">
        <v>60</v>
      </c>
      <c r="DE88" s="43" t="s">
        <v>62</v>
      </c>
      <c r="DF88">
        <v>4</v>
      </c>
      <c r="DG88" t="s">
        <v>341</v>
      </c>
      <c r="DH88" s="43" t="s">
        <v>268</v>
      </c>
      <c r="DI88">
        <v>208.60000000000002</v>
      </c>
    </row>
    <row r="89" spans="107:113" x14ac:dyDescent="0.25">
      <c r="DC89" s="43" t="s">
        <v>80</v>
      </c>
      <c r="DD89" s="43" t="s">
        <v>60</v>
      </c>
      <c r="DE89" s="43" t="s">
        <v>62</v>
      </c>
      <c r="DF89">
        <v>4</v>
      </c>
      <c r="DG89" t="s">
        <v>273</v>
      </c>
      <c r="DH89" s="43" t="s">
        <v>308</v>
      </c>
      <c r="DI89">
        <v>21.3</v>
      </c>
    </row>
    <row r="90" spans="107:113" x14ac:dyDescent="0.25">
      <c r="DC90" s="43" t="s">
        <v>80</v>
      </c>
      <c r="DD90" s="43" t="s">
        <v>60</v>
      </c>
      <c r="DE90" s="43" t="s">
        <v>62</v>
      </c>
      <c r="DF90">
        <v>4</v>
      </c>
      <c r="DG90" t="s">
        <v>273</v>
      </c>
      <c r="DH90" s="43" t="s">
        <v>309</v>
      </c>
      <c r="DI90">
        <v>48.233333333333327</v>
      </c>
    </row>
    <row r="91" spans="107:113" x14ac:dyDescent="0.25">
      <c r="DC91" s="43" t="s">
        <v>80</v>
      </c>
      <c r="DD91" s="43" t="s">
        <v>60</v>
      </c>
      <c r="DE91" s="43" t="s">
        <v>62</v>
      </c>
      <c r="DF91">
        <v>4</v>
      </c>
      <c r="DG91" t="s">
        <v>273</v>
      </c>
      <c r="DH91" s="43" t="s">
        <v>268</v>
      </c>
      <c r="DI91">
        <v>69.533333333333346</v>
      </c>
    </row>
    <row r="92" spans="107:113" x14ac:dyDescent="0.25">
      <c r="DC92" s="43" t="s">
        <v>73</v>
      </c>
      <c r="DD92" s="43" t="s">
        <v>60</v>
      </c>
      <c r="DE92" s="43" t="s">
        <v>62</v>
      </c>
      <c r="DF92">
        <v>4</v>
      </c>
      <c r="DG92" t="s">
        <v>317</v>
      </c>
      <c r="DH92" s="43" t="s">
        <v>308</v>
      </c>
      <c r="DI92">
        <v>21</v>
      </c>
    </row>
    <row r="93" spans="107:113" x14ac:dyDescent="0.25">
      <c r="DC93" s="43" t="s">
        <v>73</v>
      </c>
      <c r="DD93" s="43" t="s">
        <v>60</v>
      </c>
      <c r="DE93" s="43" t="s">
        <v>62</v>
      </c>
      <c r="DF93">
        <v>4</v>
      </c>
      <c r="DG93" t="s">
        <v>317</v>
      </c>
      <c r="DH93" s="43" t="s">
        <v>309</v>
      </c>
      <c r="DI93">
        <v>45.999999999999993</v>
      </c>
    </row>
    <row r="94" spans="107:113" x14ac:dyDescent="0.25">
      <c r="DC94" s="43" t="s">
        <v>73</v>
      </c>
      <c r="DD94" s="43" t="s">
        <v>60</v>
      </c>
      <c r="DE94" s="43" t="s">
        <v>62</v>
      </c>
      <c r="DF94">
        <v>4</v>
      </c>
      <c r="DG94" t="s">
        <v>317</v>
      </c>
      <c r="DH94" s="43" t="s">
        <v>268</v>
      </c>
      <c r="DI94">
        <v>67</v>
      </c>
    </row>
    <row r="95" spans="107:113" x14ac:dyDescent="0.25">
      <c r="DC95" s="43" t="s">
        <v>73</v>
      </c>
      <c r="DD95" s="43" t="s">
        <v>60</v>
      </c>
      <c r="DE95" s="43" t="s">
        <v>62</v>
      </c>
      <c r="DF95">
        <v>4</v>
      </c>
      <c r="DG95" t="s">
        <v>325</v>
      </c>
      <c r="DH95" s="43" t="s">
        <v>308</v>
      </c>
      <c r="DI95">
        <v>20.999999999999996</v>
      </c>
    </row>
    <row r="96" spans="107:113" x14ac:dyDescent="0.25">
      <c r="DC96" s="43" t="s">
        <v>73</v>
      </c>
      <c r="DD96" s="43" t="s">
        <v>60</v>
      </c>
      <c r="DE96" s="43" t="s">
        <v>62</v>
      </c>
      <c r="DF96">
        <v>4</v>
      </c>
      <c r="DG96" t="s">
        <v>325</v>
      </c>
      <c r="DH96" s="43" t="s">
        <v>309</v>
      </c>
      <c r="DI96">
        <v>48.9</v>
      </c>
    </row>
    <row r="97" spans="107:113" x14ac:dyDescent="0.25">
      <c r="DC97" s="43" t="s">
        <v>73</v>
      </c>
      <c r="DD97" s="43" t="s">
        <v>60</v>
      </c>
      <c r="DE97" s="43" t="s">
        <v>62</v>
      </c>
      <c r="DF97">
        <v>4</v>
      </c>
      <c r="DG97" t="s">
        <v>325</v>
      </c>
      <c r="DH97" s="43" t="s">
        <v>268</v>
      </c>
      <c r="DI97">
        <v>69.900000000000006</v>
      </c>
    </row>
    <row r="98" spans="107:113" x14ac:dyDescent="0.25">
      <c r="DC98" s="43" t="s">
        <v>73</v>
      </c>
      <c r="DD98" s="43" t="s">
        <v>60</v>
      </c>
      <c r="DE98" s="43" t="s">
        <v>62</v>
      </c>
      <c r="DF98">
        <v>4</v>
      </c>
      <c r="DG98" t="s">
        <v>330</v>
      </c>
      <c r="DH98" s="43" t="s">
        <v>308</v>
      </c>
      <c r="DI98">
        <v>20.799999999999997</v>
      </c>
    </row>
    <row r="99" spans="107:113" x14ac:dyDescent="0.25">
      <c r="DC99" s="43" t="s">
        <v>73</v>
      </c>
      <c r="DD99" s="43" t="s">
        <v>60</v>
      </c>
      <c r="DE99" s="43" t="s">
        <v>62</v>
      </c>
      <c r="DF99">
        <v>4</v>
      </c>
      <c r="DG99" t="s">
        <v>330</v>
      </c>
      <c r="DH99" s="43" t="s">
        <v>309</v>
      </c>
      <c r="DI99">
        <v>42.7</v>
      </c>
    </row>
    <row r="100" spans="107:113" x14ac:dyDescent="0.25">
      <c r="DC100" s="43" t="s">
        <v>73</v>
      </c>
      <c r="DD100" s="43" t="s">
        <v>60</v>
      </c>
      <c r="DE100" s="43" t="s">
        <v>62</v>
      </c>
      <c r="DF100">
        <v>4</v>
      </c>
      <c r="DG100" t="s">
        <v>330</v>
      </c>
      <c r="DH100" s="43" t="s">
        <v>268</v>
      </c>
      <c r="DI100">
        <v>63.500000000000007</v>
      </c>
    </row>
    <row r="101" spans="107:113" x14ac:dyDescent="0.25">
      <c r="DC101" s="43" t="s">
        <v>73</v>
      </c>
      <c r="DD101" s="43" t="s">
        <v>60</v>
      </c>
      <c r="DE101" s="43" t="s">
        <v>62</v>
      </c>
      <c r="DF101">
        <v>4</v>
      </c>
      <c r="DG101" t="s">
        <v>331</v>
      </c>
      <c r="DH101" s="43" t="s">
        <v>308</v>
      </c>
      <c r="DI101">
        <v>20.500000000000004</v>
      </c>
    </row>
    <row r="102" spans="107:113" x14ac:dyDescent="0.25">
      <c r="DC102" s="43" t="s">
        <v>73</v>
      </c>
      <c r="DD102" s="43" t="s">
        <v>60</v>
      </c>
      <c r="DE102" s="43" t="s">
        <v>62</v>
      </c>
      <c r="DF102">
        <v>4</v>
      </c>
      <c r="DG102" t="s">
        <v>331</v>
      </c>
      <c r="DH102" s="43" t="s">
        <v>309</v>
      </c>
      <c r="DI102">
        <v>43.1</v>
      </c>
    </row>
    <row r="103" spans="107:113" x14ac:dyDescent="0.25">
      <c r="DC103" s="43" t="s">
        <v>73</v>
      </c>
      <c r="DD103" s="43" t="s">
        <v>60</v>
      </c>
      <c r="DE103" s="43" t="s">
        <v>62</v>
      </c>
      <c r="DF103">
        <v>4</v>
      </c>
      <c r="DG103" t="s">
        <v>331</v>
      </c>
      <c r="DH103" s="43" t="s">
        <v>268</v>
      </c>
      <c r="DI103">
        <v>63.6</v>
      </c>
    </row>
    <row r="104" spans="107:113" x14ac:dyDescent="0.25">
      <c r="DC104" s="43" t="s">
        <v>73</v>
      </c>
      <c r="DD104" s="43" t="s">
        <v>60</v>
      </c>
      <c r="DE104" s="43" t="s">
        <v>62</v>
      </c>
      <c r="DF104">
        <v>4</v>
      </c>
      <c r="DG104" t="s">
        <v>341</v>
      </c>
      <c r="DH104" s="43" t="s">
        <v>308</v>
      </c>
      <c r="DI104">
        <v>62.8</v>
      </c>
    </row>
    <row r="105" spans="107:113" x14ac:dyDescent="0.25">
      <c r="DC105" s="43" t="s">
        <v>73</v>
      </c>
      <c r="DD105" s="43" t="s">
        <v>60</v>
      </c>
      <c r="DE105" s="43" t="s">
        <v>62</v>
      </c>
      <c r="DF105">
        <v>4</v>
      </c>
      <c r="DG105" t="s">
        <v>341</v>
      </c>
      <c r="DH105" s="43" t="s">
        <v>309</v>
      </c>
      <c r="DI105">
        <v>138</v>
      </c>
    </row>
    <row r="106" spans="107:113" x14ac:dyDescent="0.25">
      <c r="DC106" s="43" t="s">
        <v>73</v>
      </c>
      <c r="DD106" s="43" t="s">
        <v>60</v>
      </c>
      <c r="DE106" s="43" t="s">
        <v>62</v>
      </c>
      <c r="DF106">
        <v>4</v>
      </c>
      <c r="DG106" t="s">
        <v>341</v>
      </c>
      <c r="DH106" s="43" t="s">
        <v>268</v>
      </c>
      <c r="DI106">
        <v>200.5</v>
      </c>
    </row>
    <row r="107" spans="107:113" x14ac:dyDescent="0.25">
      <c r="DC107" s="43" t="s">
        <v>73</v>
      </c>
      <c r="DD107" s="43" t="s">
        <v>60</v>
      </c>
      <c r="DE107" s="43" t="s">
        <v>62</v>
      </c>
      <c r="DF107">
        <v>4</v>
      </c>
      <c r="DG107" t="s">
        <v>273</v>
      </c>
      <c r="DH107" s="43" t="s">
        <v>308</v>
      </c>
      <c r="DI107">
        <v>20.933333333333334</v>
      </c>
    </row>
    <row r="108" spans="107:113" x14ac:dyDescent="0.25">
      <c r="DC108" s="43" t="s">
        <v>73</v>
      </c>
      <c r="DD108" s="43" t="s">
        <v>60</v>
      </c>
      <c r="DE108" s="43" t="s">
        <v>62</v>
      </c>
      <c r="DF108">
        <v>4</v>
      </c>
      <c r="DG108" t="s">
        <v>273</v>
      </c>
      <c r="DH108" s="43" t="s">
        <v>309</v>
      </c>
      <c r="DI108">
        <v>46</v>
      </c>
    </row>
    <row r="109" spans="107:113" x14ac:dyDescent="0.25">
      <c r="DC109" s="43" t="s">
        <v>73</v>
      </c>
      <c r="DD109" s="43" t="s">
        <v>60</v>
      </c>
      <c r="DE109" s="43" t="s">
        <v>62</v>
      </c>
      <c r="DF109">
        <v>4</v>
      </c>
      <c r="DG109" t="s">
        <v>273</v>
      </c>
      <c r="DH109" s="43" t="s">
        <v>268</v>
      </c>
      <c r="DI109">
        <v>66.833333333333329</v>
      </c>
    </row>
    <row r="110" spans="107:113" x14ac:dyDescent="0.25">
      <c r="DC110" s="43" t="s">
        <v>84</v>
      </c>
      <c r="DD110" s="43" t="s">
        <v>60</v>
      </c>
      <c r="DE110" s="43" t="s">
        <v>39</v>
      </c>
      <c r="DF110">
        <v>4</v>
      </c>
      <c r="DG110" t="s">
        <v>317</v>
      </c>
      <c r="DH110" s="43" t="s">
        <v>308</v>
      </c>
      <c r="DI110">
        <v>21.2</v>
      </c>
    </row>
    <row r="111" spans="107:113" x14ac:dyDescent="0.25">
      <c r="DC111" s="43" t="s">
        <v>84</v>
      </c>
      <c r="DD111" s="43" t="s">
        <v>60</v>
      </c>
      <c r="DE111" s="43" t="s">
        <v>39</v>
      </c>
      <c r="DF111">
        <v>4</v>
      </c>
      <c r="DG111" t="s">
        <v>317</v>
      </c>
      <c r="DH111" s="43" t="s">
        <v>309</v>
      </c>
      <c r="DI111">
        <v>45.300000000000004</v>
      </c>
    </row>
    <row r="112" spans="107:113" x14ac:dyDescent="0.25">
      <c r="DC112" s="43" t="s">
        <v>84</v>
      </c>
      <c r="DD112" s="43" t="s">
        <v>60</v>
      </c>
      <c r="DE112" s="43" t="s">
        <v>39</v>
      </c>
      <c r="DF112">
        <v>4</v>
      </c>
      <c r="DG112" t="s">
        <v>317</v>
      </c>
      <c r="DH112" s="43" t="s">
        <v>268</v>
      </c>
      <c r="DI112">
        <v>66.5</v>
      </c>
    </row>
    <row r="113" spans="107:113" x14ac:dyDescent="0.25">
      <c r="DC113" s="43" t="s">
        <v>84</v>
      </c>
      <c r="DD113" s="43" t="s">
        <v>60</v>
      </c>
      <c r="DE113" s="43" t="s">
        <v>39</v>
      </c>
      <c r="DF113">
        <v>4</v>
      </c>
      <c r="DG113" t="s">
        <v>325</v>
      </c>
      <c r="DH113" s="43" t="s">
        <v>308</v>
      </c>
      <c r="DI113">
        <v>20.9</v>
      </c>
    </row>
    <row r="114" spans="107:113" x14ac:dyDescent="0.25">
      <c r="DC114" s="43" t="s">
        <v>84</v>
      </c>
      <c r="DD114" s="43" t="s">
        <v>60</v>
      </c>
      <c r="DE114" s="43" t="s">
        <v>39</v>
      </c>
      <c r="DF114">
        <v>4</v>
      </c>
      <c r="DG114" t="s">
        <v>325</v>
      </c>
      <c r="DH114" s="43" t="s">
        <v>309</v>
      </c>
      <c r="DI114">
        <v>43.05</v>
      </c>
    </row>
    <row r="115" spans="107:113" x14ac:dyDescent="0.25">
      <c r="DC115" s="43" t="s">
        <v>84</v>
      </c>
      <c r="DD115" s="43" t="s">
        <v>60</v>
      </c>
      <c r="DE115" s="43" t="s">
        <v>39</v>
      </c>
      <c r="DF115">
        <v>4</v>
      </c>
      <c r="DG115" t="s">
        <v>325</v>
      </c>
      <c r="DH115" s="43" t="s">
        <v>268</v>
      </c>
      <c r="DI115">
        <v>63.95</v>
      </c>
    </row>
    <row r="116" spans="107:113" x14ac:dyDescent="0.25">
      <c r="DC116" s="43" t="s">
        <v>84</v>
      </c>
      <c r="DD116" s="43" t="s">
        <v>60</v>
      </c>
      <c r="DE116" s="43" t="s">
        <v>39</v>
      </c>
      <c r="DF116">
        <v>4</v>
      </c>
      <c r="DG116" t="s">
        <v>330</v>
      </c>
      <c r="DH116" s="43" t="s">
        <v>308</v>
      </c>
      <c r="DI116">
        <v>19.899999999999999</v>
      </c>
    </row>
    <row r="117" spans="107:113" x14ac:dyDescent="0.25">
      <c r="DC117" s="43" t="s">
        <v>84</v>
      </c>
      <c r="DD117" s="43" t="s">
        <v>60</v>
      </c>
      <c r="DE117" s="43" t="s">
        <v>39</v>
      </c>
      <c r="DF117">
        <v>4</v>
      </c>
      <c r="DG117" t="s">
        <v>330</v>
      </c>
      <c r="DH117" s="43" t="s">
        <v>309</v>
      </c>
      <c r="DI117">
        <v>43.6</v>
      </c>
    </row>
    <row r="118" spans="107:113" x14ac:dyDescent="0.25">
      <c r="DC118" s="43" t="s">
        <v>84</v>
      </c>
      <c r="DD118" s="43" t="s">
        <v>60</v>
      </c>
      <c r="DE118" s="43" t="s">
        <v>39</v>
      </c>
      <c r="DF118">
        <v>4</v>
      </c>
      <c r="DG118" t="s">
        <v>330</v>
      </c>
      <c r="DH118" s="43" t="s">
        <v>268</v>
      </c>
      <c r="DI118">
        <v>63.5</v>
      </c>
    </row>
    <row r="119" spans="107:113" x14ac:dyDescent="0.25">
      <c r="DC119" s="43" t="s">
        <v>84</v>
      </c>
      <c r="DD119" s="43" t="s">
        <v>60</v>
      </c>
      <c r="DE119" s="43" t="s">
        <v>39</v>
      </c>
      <c r="DF119">
        <v>4</v>
      </c>
      <c r="DG119" t="s">
        <v>331</v>
      </c>
      <c r="DH119" s="43" t="s">
        <v>308</v>
      </c>
      <c r="DI119">
        <v>20.599999999999998</v>
      </c>
    </row>
    <row r="120" spans="107:113" x14ac:dyDescent="0.25">
      <c r="DC120" s="43" t="s">
        <v>84</v>
      </c>
      <c r="DD120" s="43" t="s">
        <v>60</v>
      </c>
      <c r="DE120" s="43" t="s">
        <v>39</v>
      </c>
      <c r="DF120">
        <v>4</v>
      </c>
      <c r="DG120" t="s">
        <v>331</v>
      </c>
      <c r="DH120" s="43" t="s">
        <v>309</v>
      </c>
      <c r="DI120">
        <v>44.8</v>
      </c>
    </row>
    <row r="121" spans="107:113" x14ac:dyDescent="0.25">
      <c r="DC121" s="43" t="s">
        <v>84</v>
      </c>
      <c r="DD121" s="43" t="s">
        <v>60</v>
      </c>
      <c r="DE121" s="43" t="s">
        <v>39</v>
      </c>
      <c r="DF121">
        <v>4</v>
      </c>
      <c r="DG121" t="s">
        <v>331</v>
      </c>
      <c r="DH121" s="43" t="s">
        <v>268</v>
      </c>
      <c r="DI121">
        <v>65.399999999999991</v>
      </c>
    </row>
    <row r="122" spans="107:113" x14ac:dyDescent="0.25">
      <c r="DC122" s="43" t="s">
        <v>84</v>
      </c>
      <c r="DD122" s="43" t="s">
        <v>60</v>
      </c>
      <c r="DE122" s="43" t="s">
        <v>39</v>
      </c>
      <c r="DF122">
        <v>4</v>
      </c>
      <c r="DG122" t="s">
        <v>341</v>
      </c>
      <c r="DH122" s="43" t="s">
        <v>308</v>
      </c>
      <c r="DI122">
        <v>62.699999999999989</v>
      </c>
    </row>
    <row r="123" spans="107:113" x14ac:dyDescent="0.25">
      <c r="DC123" s="43" t="s">
        <v>84</v>
      </c>
      <c r="DD123" s="43" t="s">
        <v>60</v>
      </c>
      <c r="DE123" s="43" t="s">
        <v>39</v>
      </c>
      <c r="DF123">
        <v>4</v>
      </c>
      <c r="DG123" t="s">
        <v>341</v>
      </c>
      <c r="DH123" s="43" t="s">
        <v>309</v>
      </c>
      <c r="DI123">
        <v>133.69999999999999</v>
      </c>
    </row>
    <row r="124" spans="107:113" x14ac:dyDescent="0.25">
      <c r="DC124" s="43" t="s">
        <v>84</v>
      </c>
      <c r="DD124" s="43" t="s">
        <v>60</v>
      </c>
      <c r="DE124" s="43" t="s">
        <v>39</v>
      </c>
      <c r="DF124">
        <v>4</v>
      </c>
      <c r="DG124" t="s">
        <v>341</v>
      </c>
      <c r="DH124" s="43" t="s">
        <v>268</v>
      </c>
      <c r="DI124">
        <v>195.84999999999997</v>
      </c>
    </row>
    <row r="125" spans="107:113" x14ac:dyDescent="0.25">
      <c r="DC125" s="43" t="s">
        <v>84</v>
      </c>
      <c r="DD125" s="43" t="s">
        <v>60</v>
      </c>
      <c r="DE125" s="43" t="s">
        <v>39</v>
      </c>
      <c r="DF125">
        <v>4</v>
      </c>
      <c r="DG125" t="s">
        <v>273</v>
      </c>
      <c r="DH125" s="43" t="s">
        <v>308</v>
      </c>
      <c r="DI125">
        <v>20.899999999999995</v>
      </c>
    </row>
    <row r="126" spans="107:113" x14ac:dyDescent="0.25">
      <c r="DC126" s="43" t="s">
        <v>84</v>
      </c>
      <c r="DD126" s="43" t="s">
        <v>60</v>
      </c>
      <c r="DE126" s="43" t="s">
        <v>39</v>
      </c>
      <c r="DF126">
        <v>4</v>
      </c>
      <c r="DG126" t="s">
        <v>273</v>
      </c>
      <c r="DH126" s="43" t="s">
        <v>309</v>
      </c>
      <c r="DI126">
        <v>44.566666666666663</v>
      </c>
    </row>
    <row r="127" spans="107:113" x14ac:dyDescent="0.25">
      <c r="DC127" s="43" t="s">
        <v>84</v>
      </c>
      <c r="DD127" s="43" t="s">
        <v>60</v>
      </c>
      <c r="DE127" s="43" t="s">
        <v>39</v>
      </c>
      <c r="DF127">
        <v>4</v>
      </c>
      <c r="DG127" t="s">
        <v>273</v>
      </c>
      <c r="DH127" s="43" t="s">
        <v>268</v>
      </c>
      <c r="DI127">
        <v>65.283333333333317</v>
      </c>
    </row>
    <row r="128" spans="107:113" x14ac:dyDescent="0.25">
      <c r="DC128" s="43" t="s">
        <v>34</v>
      </c>
      <c r="DD128" s="43" t="s">
        <v>26</v>
      </c>
      <c r="DE128" s="43" t="s">
        <v>36</v>
      </c>
      <c r="DF128">
        <v>4</v>
      </c>
      <c r="DG128" t="s">
        <v>317</v>
      </c>
      <c r="DH128" s="43" t="s">
        <v>308</v>
      </c>
      <c r="DI128">
        <v>19.999999999999996</v>
      </c>
    </row>
    <row r="129" spans="107:113" x14ac:dyDescent="0.25">
      <c r="DC129" s="43" t="s">
        <v>34</v>
      </c>
      <c r="DD129" s="43" t="s">
        <v>26</v>
      </c>
      <c r="DE129" s="43" t="s">
        <v>36</v>
      </c>
      <c r="DF129">
        <v>4</v>
      </c>
      <c r="DG129" t="s">
        <v>317</v>
      </c>
      <c r="DH129" s="43" t="s">
        <v>309</v>
      </c>
      <c r="DI129">
        <v>48.3</v>
      </c>
    </row>
    <row r="130" spans="107:113" x14ac:dyDescent="0.25">
      <c r="DC130" s="43" t="s">
        <v>34</v>
      </c>
      <c r="DD130" s="43" t="s">
        <v>26</v>
      </c>
      <c r="DE130" s="43" t="s">
        <v>36</v>
      </c>
      <c r="DF130">
        <v>4</v>
      </c>
      <c r="DG130" t="s">
        <v>317</v>
      </c>
      <c r="DH130" s="43" t="s">
        <v>268</v>
      </c>
      <c r="DI130">
        <v>68.3</v>
      </c>
    </row>
    <row r="131" spans="107:113" x14ac:dyDescent="0.25">
      <c r="DC131" s="43" t="s">
        <v>34</v>
      </c>
      <c r="DD131" s="43" t="s">
        <v>26</v>
      </c>
      <c r="DE131" s="43" t="s">
        <v>36</v>
      </c>
      <c r="DF131">
        <v>4</v>
      </c>
      <c r="DG131" t="s">
        <v>325</v>
      </c>
      <c r="DH131" s="43" t="s">
        <v>308</v>
      </c>
      <c r="DI131">
        <v>21</v>
      </c>
    </row>
    <row r="132" spans="107:113" x14ac:dyDescent="0.25">
      <c r="DC132" s="43" t="s">
        <v>34</v>
      </c>
      <c r="DD132" s="43" t="s">
        <v>26</v>
      </c>
      <c r="DE132" s="43" t="s">
        <v>36</v>
      </c>
      <c r="DF132">
        <v>4</v>
      </c>
      <c r="DG132" t="s">
        <v>325</v>
      </c>
      <c r="DH132" s="43" t="s">
        <v>309</v>
      </c>
      <c r="DI132">
        <v>47.050000000000004</v>
      </c>
    </row>
    <row r="133" spans="107:113" x14ac:dyDescent="0.25">
      <c r="DC133" s="43" t="s">
        <v>34</v>
      </c>
      <c r="DD133" s="43" t="s">
        <v>26</v>
      </c>
      <c r="DE133" s="43" t="s">
        <v>36</v>
      </c>
      <c r="DF133">
        <v>4</v>
      </c>
      <c r="DG133" t="s">
        <v>325</v>
      </c>
      <c r="DH133" s="43" t="s">
        <v>268</v>
      </c>
      <c r="DI133">
        <v>68.05</v>
      </c>
    </row>
    <row r="134" spans="107:113" x14ac:dyDescent="0.25">
      <c r="DC134" s="43" t="s">
        <v>34</v>
      </c>
      <c r="DD134" s="43" t="s">
        <v>26</v>
      </c>
      <c r="DE134" s="43" t="s">
        <v>36</v>
      </c>
      <c r="DF134">
        <v>4</v>
      </c>
      <c r="DG134" t="s">
        <v>330</v>
      </c>
      <c r="DH134" s="43" t="s">
        <v>308</v>
      </c>
      <c r="DI134">
        <v>21.2</v>
      </c>
    </row>
    <row r="135" spans="107:113" x14ac:dyDescent="0.25">
      <c r="DC135" s="43" t="s">
        <v>34</v>
      </c>
      <c r="DD135" s="43" t="s">
        <v>26</v>
      </c>
      <c r="DE135" s="43" t="s">
        <v>36</v>
      </c>
      <c r="DF135">
        <v>4</v>
      </c>
      <c r="DG135" t="s">
        <v>330</v>
      </c>
      <c r="DH135" s="43" t="s">
        <v>309</v>
      </c>
      <c r="DI135">
        <v>49.4</v>
      </c>
    </row>
    <row r="136" spans="107:113" x14ac:dyDescent="0.25">
      <c r="DC136" s="43" t="s">
        <v>34</v>
      </c>
      <c r="DD136" s="43" t="s">
        <v>26</v>
      </c>
      <c r="DE136" s="43" t="s">
        <v>36</v>
      </c>
      <c r="DF136">
        <v>4</v>
      </c>
      <c r="DG136" t="s">
        <v>330</v>
      </c>
      <c r="DH136" s="43" t="s">
        <v>268</v>
      </c>
      <c r="DI136">
        <v>70.599999999999994</v>
      </c>
    </row>
    <row r="137" spans="107:113" x14ac:dyDescent="0.25">
      <c r="DC137" s="43" t="s">
        <v>34</v>
      </c>
      <c r="DD137" s="43" t="s">
        <v>26</v>
      </c>
      <c r="DE137" s="43" t="s">
        <v>36</v>
      </c>
      <c r="DF137">
        <v>4</v>
      </c>
      <c r="DG137" t="s">
        <v>331</v>
      </c>
      <c r="DH137" s="43" t="s">
        <v>308</v>
      </c>
      <c r="DI137">
        <v>19.099999999999998</v>
      </c>
    </row>
    <row r="138" spans="107:113" x14ac:dyDescent="0.25">
      <c r="DC138" s="43" t="s">
        <v>34</v>
      </c>
      <c r="DD138" s="43" t="s">
        <v>26</v>
      </c>
      <c r="DE138" s="43" t="s">
        <v>36</v>
      </c>
      <c r="DF138">
        <v>4</v>
      </c>
      <c r="DG138" t="s">
        <v>331</v>
      </c>
      <c r="DH138" s="43" t="s">
        <v>309</v>
      </c>
      <c r="DI138">
        <v>45.4</v>
      </c>
    </row>
    <row r="139" spans="107:113" x14ac:dyDescent="0.25">
      <c r="DC139" s="43" t="s">
        <v>34</v>
      </c>
      <c r="DD139" s="43" t="s">
        <v>26</v>
      </c>
      <c r="DE139" s="43" t="s">
        <v>36</v>
      </c>
      <c r="DF139">
        <v>4</v>
      </c>
      <c r="DG139" t="s">
        <v>331</v>
      </c>
      <c r="DH139" s="43" t="s">
        <v>268</v>
      </c>
      <c r="DI139">
        <v>64.5</v>
      </c>
    </row>
    <row r="140" spans="107:113" x14ac:dyDescent="0.25">
      <c r="DC140" s="43" t="s">
        <v>34</v>
      </c>
      <c r="DD140" s="43" t="s">
        <v>26</v>
      </c>
      <c r="DE140" s="43" t="s">
        <v>36</v>
      </c>
      <c r="DF140">
        <v>4</v>
      </c>
      <c r="DG140" t="s">
        <v>341</v>
      </c>
      <c r="DH140" s="43" t="s">
        <v>308</v>
      </c>
      <c r="DI140">
        <v>62.2</v>
      </c>
    </row>
    <row r="141" spans="107:113" x14ac:dyDescent="0.25">
      <c r="DC141" s="43" t="s">
        <v>34</v>
      </c>
      <c r="DD141" s="43" t="s">
        <v>26</v>
      </c>
      <c r="DE141" s="43" t="s">
        <v>36</v>
      </c>
      <c r="DF141">
        <v>4</v>
      </c>
      <c r="DG141" t="s">
        <v>341</v>
      </c>
      <c r="DH141" s="43" t="s">
        <v>309</v>
      </c>
      <c r="DI141">
        <v>144.75</v>
      </c>
    </row>
    <row r="142" spans="107:113" x14ac:dyDescent="0.25">
      <c r="DC142" s="43" t="s">
        <v>34</v>
      </c>
      <c r="DD142" s="43" t="s">
        <v>26</v>
      </c>
      <c r="DE142" s="43" t="s">
        <v>36</v>
      </c>
      <c r="DF142">
        <v>4</v>
      </c>
      <c r="DG142" t="s">
        <v>341</v>
      </c>
      <c r="DH142" s="43" t="s">
        <v>268</v>
      </c>
      <c r="DI142">
        <v>206.95</v>
      </c>
    </row>
    <row r="143" spans="107:113" x14ac:dyDescent="0.25">
      <c r="DC143" s="43" t="s">
        <v>34</v>
      </c>
      <c r="DD143" s="43" t="s">
        <v>26</v>
      </c>
      <c r="DE143" s="43" t="s">
        <v>36</v>
      </c>
      <c r="DF143">
        <v>4</v>
      </c>
      <c r="DG143" t="s">
        <v>273</v>
      </c>
      <c r="DH143" s="43" t="s">
        <v>308</v>
      </c>
      <c r="DI143">
        <v>20.733333333333334</v>
      </c>
    </row>
    <row r="144" spans="107:113" x14ac:dyDescent="0.25">
      <c r="DC144" s="43" t="s">
        <v>34</v>
      </c>
      <c r="DD144" s="43" t="s">
        <v>26</v>
      </c>
      <c r="DE144" s="43" t="s">
        <v>36</v>
      </c>
      <c r="DF144">
        <v>4</v>
      </c>
      <c r="DG144" t="s">
        <v>273</v>
      </c>
      <c r="DH144" s="43" t="s">
        <v>309</v>
      </c>
      <c r="DI144">
        <v>48.25</v>
      </c>
    </row>
    <row r="145" spans="107:113" x14ac:dyDescent="0.25">
      <c r="DC145" s="43" t="s">
        <v>34</v>
      </c>
      <c r="DD145" s="43" t="s">
        <v>26</v>
      </c>
      <c r="DE145" s="43" t="s">
        <v>36</v>
      </c>
      <c r="DF145">
        <v>4</v>
      </c>
      <c r="DG145" t="s">
        <v>273</v>
      </c>
      <c r="DH145" s="43" t="s">
        <v>268</v>
      </c>
      <c r="DI145">
        <v>68.983333333333334</v>
      </c>
    </row>
    <row r="146" spans="107:113" x14ac:dyDescent="0.25">
      <c r="DC146" s="43" t="s">
        <v>32</v>
      </c>
      <c r="DD146" s="43" t="s">
        <v>26</v>
      </c>
      <c r="DE146" s="43" t="s">
        <v>31</v>
      </c>
      <c r="DF146">
        <v>4</v>
      </c>
      <c r="DG146" t="s">
        <v>317</v>
      </c>
      <c r="DH146" s="43" t="s">
        <v>308</v>
      </c>
      <c r="DI146">
        <v>20.900000000000002</v>
      </c>
    </row>
    <row r="147" spans="107:113" x14ac:dyDescent="0.25">
      <c r="DC147" s="43" t="s">
        <v>32</v>
      </c>
      <c r="DD147" s="43" t="s">
        <v>26</v>
      </c>
      <c r="DE147" s="43" t="s">
        <v>31</v>
      </c>
      <c r="DF147">
        <v>4</v>
      </c>
      <c r="DG147" t="s">
        <v>317</v>
      </c>
      <c r="DH147" s="43" t="s">
        <v>309</v>
      </c>
      <c r="DI147">
        <v>47.35</v>
      </c>
    </row>
    <row r="148" spans="107:113" x14ac:dyDescent="0.25">
      <c r="DC148" s="43" t="s">
        <v>32</v>
      </c>
      <c r="DD148" s="43" t="s">
        <v>26</v>
      </c>
      <c r="DE148" s="43" t="s">
        <v>31</v>
      </c>
      <c r="DF148">
        <v>4</v>
      </c>
      <c r="DG148" t="s">
        <v>317</v>
      </c>
      <c r="DH148" s="43" t="s">
        <v>268</v>
      </c>
      <c r="DI148">
        <v>68.25</v>
      </c>
    </row>
    <row r="149" spans="107:113" x14ac:dyDescent="0.25">
      <c r="DC149" s="43" t="s">
        <v>32</v>
      </c>
      <c r="DD149" s="43" t="s">
        <v>26</v>
      </c>
      <c r="DE149" s="43" t="s">
        <v>31</v>
      </c>
      <c r="DF149">
        <v>4</v>
      </c>
      <c r="DG149" t="s">
        <v>325</v>
      </c>
      <c r="DH149" s="43" t="s">
        <v>308</v>
      </c>
      <c r="DI149">
        <v>20.799999999999997</v>
      </c>
    </row>
    <row r="150" spans="107:113" x14ac:dyDescent="0.25">
      <c r="DC150" s="43" t="s">
        <v>32</v>
      </c>
      <c r="DD150" s="43" t="s">
        <v>26</v>
      </c>
      <c r="DE150" s="43" t="s">
        <v>31</v>
      </c>
      <c r="DF150">
        <v>4</v>
      </c>
      <c r="DG150" t="s">
        <v>325</v>
      </c>
      <c r="DH150" s="43" t="s">
        <v>309</v>
      </c>
      <c r="DI150">
        <v>48.95</v>
      </c>
    </row>
    <row r="151" spans="107:113" x14ac:dyDescent="0.25">
      <c r="DC151" s="43" t="s">
        <v>32</v>
      </c>
      <c r="DD151" s="43" t="s">
        <v>26</v>
      </c>
      <c r="DE151" s="43" t="s">
        <v>31</v>
      </c>
      <c r="DF151">
        <v>4</v>
      </c>
      <c r="DG151" t="s">
        <v>325</v>
      </c>
      <c r="DH151" s="43" t="s">
        <v>268</v>
      </c>
      <c r="DI151">
        <v>69.75</v>
      </c>
    </row>
    <row r="152" spans="107:113" x14ac:dyDescent="0.25">
      <c r="DC152" s="43" t="s">
        <v>32</v>
      </c>
      <c r="DD152" s="43" t="s">
        <v>26</v>
      </c>
      <c r="DE152" s="43" t="s">
        <v>31</v>
      </c>
      <c r="DF152">
        <v>4</v>
      </c>
      <c r="DG152" t="s">
        <v>330</v>
      </c>
      <c r="DH152" s="43" t="s">
        <v>308</v>
      </c>
      <c r="DI152">
        <v>20.399999999999999</v>
      </c>
    </row>
    <row r="153" spans="107:113" x14ac:dyDescent="0.25">
      <c r="DC153" s="43" t="s">
        <v>32</v>
      </c>
      <c r="DD153" s="43" t="s">
        <v>26</v>
      </c>
      <c r="DE153" s="43" t="s">
        <v>31</v>
      </c>
      <c r="DF153">
        <v>4</v>
      </c>
      <c r="DG153" t="s">
        <v>330</v>
      </c>
      <c r="DH153" s="43" t="s">
        <v>309</v>
      </c>
      <c r="DI153">
        <v>45.900000000000006</v>
      </c>
    </row>
    <row r="154" spans="107:113" x14ac:dyDescent="0.25">
      <c r="DC154" s="43" t="s">
        <v>32</v>
      </c>
      <c r="DD154" s="43" t="s">
        <v>26</v>
      </c>
      <c r="DE154" s="43" t="s">
        <v>31</v>
      </c>
      <c r="DF154">
        <v>4</v>
      </c>
      <c r="DG154" t="s">
        <v>330</v>
      </c>
      <c r="DH154" s="43" t="s">
        <v>268</v>
      </c>
      <c r="DI154">
        <v>66.3</v>
      </c>
    </row>
    <row r="155" spans="107:113" x14ac:dyDescent="0.25">
      <c r="DC155" s="43" t="s">
        <v>32</v>
      </c>
      <c r="DD155" s="43" t="s">
        <v>26</v>
      </c>
      <c r="DE155" s="43" t="s">
        <v>31</v>
      </c>
      <c r="DF155">
        <v>4</v>
      </c>
      <c r="DG155" t="s">
        <v>331</v>
      </c>
      <c r="DH155" s="43" t="s">
        <v>308</v>
      </c>
      <c r="DI155">
        <v>20.099999999999998</v>
      </c>
    </row>
    <row r="156" spans="107:113" x14ac:dyDescent="0.25">
      <c r="DC156" s="43" t="s">
        <v>32</v>
      </c>
      <c r="DD156" s="43" t="s">
        <v>26</v>
      </c>
      <c r="DE156" s="43" t="s">
        <v>31</v>
      </c>
      <c r="DF156">
        <v>4</v>
      </c>
      <c r="DG156" t="s">
        <v>331</v>
      </c>
      <c r="DH156" s="43" t="s">
        <v>309</v>
      </c>
      <c r="DI156">
        <v>46.3</v>
      </c>
    </row>
    <row r="157" spans="107:113" x14ac:dyDescent="0.25">
      <c r="DC157" s="43" t="s">
        <v>32</v>
      </c>
      <c r="DD157" s="43" t="s">
        <v>26</v>
      </c>
      <c r="DE157" s="43" t="s">
        <v>31</v>
      </c>
      <c r="DF157">
        <v>4</v>
      </c>
      <c r="DG157" t="s">
        <v>331</v>
      </c>
      <c r="DH157" s="43" t="s">
        <v>268</v>
      </c>
      <c r="DI157">
        <v>66.399999999999991</v>
      </c>
    </row>
    <row r="158" spans="107:113" x14ac:dyDescent="0.25">
      <c r="DC158" s="43" t="s">
        <v>32</v>
      </c>
      <c r="DD158" s="43" t="s">
        <v>26</v>
      </c>
      <c r="DE158" s="43" t="s">
        <v>31</v>
      </c>
      <c r="DF158">
        <v>4</v>
      </c>
      <c r="DG158" t="s">
        <v>341</v>
      </c>
      <c r="DH158" s="43" t="s">
        <v>308</v>
      </c>
      <c r="DI158">
        <v>62.1</v>
      </c>
    </row>
    <row r="159" spans="107:113" x14ac:dyDescent="0.25">
      <c r="DC159" s="43" t="s">
        <v>32</v>
      </c>
      <c r="DD159" s="43" t="s">
        <v>26</v>
      </c>
      <c r="DE159" s="43" t="s">
        <v>31</v>
      </c>
      <c r="DF159">
        <v>4</v>
      </c>
      <c r="DG159" t="s">
        <v>341</v>
      </c>
      <c r="DH159" s="43" t="s">
        <v>309</v>
      </c>
      <c r="DI159">
        <v>142.60000000000002</v>
      </c>
    </row>
    <row r="160" spans="107:113" x14ac:dyDescent="0.25">
      <c r="DC160" s="43" t="s">
        <v>32</v>
      </c>
      <c r="DD160" s="43" t="s">
        <v>26</v>
      </c>
      <c r="DE160" s="43" t="s">
        <v>31</v>
      </c>
      <c r="DF160">
        <v>4</v>
      </c>
      <c r="DG160" t="s">
        <v>341</v>
      </c>
      <c r="DH160" s="43" t="s">
        <v>268</v>
      </c>
      <c r="DI160">
        <v>204.39999999999998</v>
      </c>
    </row>
    <row r="161" spans="107:113" x14ac:dyDescent="0.25">
      <c r="DC161" s="43" t="s">
        <v>32</v>
      </c>
      <c r="DD161" s="43" t="s">
        <v>26</v>
      </c>
      <c r="DE161" s="43" t="s">
        <v>31</v>
      </c>
      <c r="DF161">
        <v>4</v>
      </c>
      <c r="DG161" t="s">
        <v>273</v>
      </c>
      <c r="DH161" s="43" t="s">
        <v>308</v>
      </c>
      <c r="DI161">
        <v>20.7</v>
      </c>
    </row>
    <row r="162" spans="107:113" x14ac:dyDescent="0.25">
      <c r="DC162" s="43" t="s">
        <v>32</v>
      </c>
      <c r="DD162" s="43" t="s">
        <v>26</v>
      </c>
      <c r="DE162" s="43" t="s">
        <v>31</v>
      </c>
      <c r="DF162">
        <v>4</v>
      </c>
      <c r="DG162" t="s">
        <v>273</v>
      </c>
      <c r="DH162" s="43" t="s">
        <v>309</v>
      </c>
      <c r="DI162">
        <v>47.533333333333339</v>
      </c>
    </row>
    <row r="163" spans="107:113" x14ac:dyDescent="0.25">
      <c r="DC163" s="43" t="s">
        <v>32</v>
      </c>
      <c r="DD163" s="43" t="s">
        <v>26</v>
      </c>
      <c r="DE163" s="43" t="s">
        <v>31</v>
      </c>
      <c r="DF163">
        <v>4</v>
      </c>
      <c r="DG163" t="s">
        <v>273</v>
      </c>
      <c r="DH163" s="43" t="s">
        <v>268</v>
      </c>
      <c r="DI163">
        <v>68.133333333333326</v>
      </c>
    </row>
    <row r="164" spans="107:113" x14ac:dyDescent="0.25">
      <c r="DC164" s="43" t="s">
        <v>29</v>
      </c>
      <c r="DD164" s="43" t="s">
        <v>26</v>
      </c>
      <c r="DE164" s="43" t="s">
        <v>31</v>
      </c>
      <c r="DF164">
        <v>3</v>
      </c>
      <c r="DG164" t="s">
        <v>317</v>
      </c>
      <c r="DH164" s="43" t="s">
        <v>308</v>
      </c>
      <c r="DI164">
        <v>18.299999999999997</v>
      </c>
    </row>
    <row r="165" spans="107:113" x14ac:dyDescent="0.25">
      <c r="DC165" s="43" t="s">
        <v>29</v>
      </c>
      <c r="DD165" s="43" t="s">
        <v>26</v>
      </c>
      <c r="DE165" s="43" t="s">
        <v>31</v>
      </c>
      <c r="DF165">
        <v>3</v>
      </c>
      <c r="DG165" t="s">
        <v>317</v>
      </c>
      <c r="DH165" s="43" t="s">
        <v>309</v>
      </c>
      <c r="DI165">
        <v>47.449999999999996</v>
      </c>
    </row>
    <row r="166" spans="107:113" x14ac:dyDescent="0.25">
      <c r="DC166" s="43" t="s">
        <v>29</v>
      </c>
      <c r="DD166" s="43" t="s">
        <v>26</v>
      </c>
      <c r="DE166" s="43" t="s">
        <v>31</v>
      </c>
      <c r="DF166">
        <v>3</v>
      </c>
      <c r="DG166" t="s">
        <v>317</v>
      </c>
      <c r="DH166" s="43" t="s">
        <v>268</v>
      </c>
      <c r="DI166">
        <v>65.75</v>
      </c>
    </row>
    <row r="167" spans="107:113" x14ac:dyDescent="0.25">
      <c r="DC167" s="43" t="s">
        <v>29</v>
      </c>
      <c r="DD167" s="43" t="s">
        <v>26</v>
      </c>
      <c r="DE167" s="43" t="s">
        <v>31</v>
      </c>
      <c r="DF167">
        <v>3</v>
      </c>
      <c r="DG167" t="s">
        <v>325</v>
      </c>
      <c r="DH167" s="43" t="s">
        <v>308</v>
      </c>
      <c r="DI167">
        <v>21.2</v>
      </c>
    </row>
    <row r="168" spans="107:113" x14ac:dyDescent="0.25">
      <c r="DC168" s="43" t="s">
        <v>29</v>
      </c>
      <c r="DD168" s="43" t="s">
        <v>26</v>
      </c>
      <c r="DE168" s="43" t="s">
        <v>31</v>
      </c>
      <c r="DF168">
        <v>3</v>
      </c>
      <c r="DG168" t="s">
        <v>325</v>
      </c>
      <c r="DH168" s="43" t="s">
        <v>309</v>
      </c>
      <c r="DI168">
        <v>49.8</v>
      </c>
    </row>
    <row r="169" spans="107:113" x14ac:dyDescent="0.25">
      <c r="DC169" s="43" t="s">
        <v>29</v>
      </c>
      <c r="DD169" s="43" t="s">
        <v>26</v>
      </c>
      <c r="DE169" s="43" t="s">
        <v>31</v>
      </c>
      <c r="DF169">
        <v>3</v>
      </c>
      <c r="DG169" t="s">
        <v>325</v>
      </c>
      <c r="DH169" s="43" t="s">
        <v>268</v>
      </c>
      <c r="DI169">
        <v>71</v>
      </c>
    </row>
    <row r="170" spans="107:113" x14ac:dyDescent="0.25">
      <c r="DC170" s="43" t="s">
        <v>29</v>
      </c>
      <c r="DD170" s="43" t="s">
        <v>26</v>
      </c>
      <c r="DE170" s="43" t="s">
        <v>31</v>
      </c>
      <c r="DF170">
        <v>3</v>
      </c>
      <c r="DG170" t="s">
        <v>330</v>
      </c>
      <c r="DH170" s="43" t="s">
        <v>308</v>
      </c>
      <c r="DI170">
        <v>0</v>
      </c>
    </row>
    <row r="171" spans="107:113" x14ac:dyDescent="0.25">
      <c r="DC171" s="43" t="s">
        <v>29</v>
      </c>
      <c r="DD171" s="43" t="s">
        <v>26</v>
      </c>
      <c r="DE171" s="43" t="s">
        <v>31</v>
      </c>
      <c r="DF171">
        <v>3</v>
      </c>
      <c r="DG171" t="s">
        <v>330</v>
      </c>
      <c r="DH171" s="43" t="s">
        <v>309</v>
      </c>
      <c r="DI171">
        <v>0</v>
      </c>
    </row>
    <row r="172" spans="107:113" x14ac:dyDescent="0.25">
      <c r="DC172" s="43" t="s">
        <v>29</v>
      </c>
      <c r="DD172" s="43" t="s">
        <v>26</v>
      </c>
      <c r="DE172" s="43" t="s">
        <v>31</v>
      </c>
      <c r="DF172">
        <v>3</v>
      </c>
      <c r="DG172" t="s">
        <v>330</v>
      </c>
      <c r="DH172" s="43" t="s">
        <v>268</v>
      </c>
      <c r="DI172">
        <v>0</v>
      </c>
    </row>
    <row r="173" spans="107:113" x14ac:dyDescent="0.25">
      <c r="DC173" s="43" t="s">
        <v>29</v>
      </c>
      <c r="DD173" s="43" t="s">
        <v>26</v>
      </c>
      <c r="DE173" s="43" t="s">
        <v>31</v>
      </c>
      <c r="DF173">
        <v>3</v>
      </c>
      <c r="DG173" t="s">
        <v>331</v>
      </c>
      <c r="DH173" s="43" t="s">
        <v>308</v>
      </c>
      <c r="DI173">
        <v>20.399999999999999</v>
      </c>
    </row>
    <row r="174" spans="107:113" x14ac:dyDescent="0.25">
      <c r="DC174" s="43" t="s">
        <v>29</v>
      </c>
      <c r="DD174" s="43" t="s">
        <v>26</v>
      </c>
      <c r="DE174" s="43" t="s">
        <v>31</v>
      </c>
      <c r="DF174">
        <v>3</v>
      </c>
      <c r="DG174" t="s">
        <v>331</v>
      </c>
      <c r="DH174" s="43" t="s">
        <v>309</v>
      </c>
      <c r="DI174">
        <v>45.900000000000006</v>
      </c>
    </row>
    <row r="175" spans="107:113" x14ac:dyDescent="0.25">
      <c r="DC175" s="43" t="s">
        <v>29</v>
      </c>
      <c r="DD175" s="43" t="s">
        <v>26</v>
      </c>
      <c r="DE175" s="43" t="s">
        <v>31</v>
      </c>
      <c r="DF175">
        <v>3</v>
      </c>
      <c r="DG175" t="s">
        <v>331</v>
      </c>
      <c r="DH175" s="43" t="s">
        <v>268</v>
      </c>
      <c r="DI175">
        <v>66.300000000000011</v>
      </c>
    </row>
    <row r="176" spans="107:113" x14ac:dyDescent="0.25">
      <c r="DC176" s="43" t="s">
        <v>29</v>
      </c>
      <c r="DD176" s="43" t="s">
        <v>26</v>
      </c>
      <c r="DE176" s="43" t="s">
        <v>31</v>
      </c>
      <c r="DF176">
        <v>3</v>
      </c>
      <c r="DG176" t="s">
        <v>341</v>
      </c>
      <c r="DH176" s="43" t="s">
        <v>308</v>
      </c>
      <c r="DI176">
        <v>59.899999999999991</v>
      </c>
    </row>
    <row r="177" spans="107:113" x14ac:dyDescent="0.25">
      <c r="DC177" s="43" t="s">
        <v>29</v>
      </c>
      <c r="DD177" s="43" t="s">
        <v>26</v>
      </c>
      <c r="DE177" s="43" t="s">
        <v>31</v>
      </c>
      <c r="DF177">
        <v>3</v>
      </c>
      <c r="DG177" t="s">
        <v>341</v>
      </c>
      <c r="DH177" s="43" t="s">
        <v>309</v>
      </c>
      <c r="DI177">
        <v>143.15</v>
      </c>
    </row>
    <row r="178" spans="107:113" x14ac:dyDescent="0.25">
      <c r="DC178" s="43" t="s">
        <v>29</v>
      </c>
      <c r="DD178" s="43" t="s">
        <v>26</v>
      </c>
      <c r="DE178" s="43" t="s">
        <v>31</v>
      </c>
      <c r="DF178">
        <v>3</v>
      </c>
      <c r="DG178" t="s">
        <v>341</v>
      </c>
      <c r="DH178" s="43" t="s">
        <v>268</v>
      </c>
      <c r="DI178">
        <v>203.05</v>
      </c>
    </row>
    <row r="179" spans="107:113" x14ac:dyDescent="0.25">
      <c r="DC179" s="43" t="s">
        <v>29</v>
      </c>
      <c r="DD179" s="43" t="s">
        <v>26</v>
      </c>
      <c r="DE179" s="43" t="s">
        <v>31</v>
      </c>
      <c r="DF179">
        <v>3</v>
      </c>
      <c r="DG179" t="s">
        <v>273</v>
      </c>
      <c r="DH179" s="43" t="s">
        <v>308</v>
      </c>
      <c r="DI179">
        <v>19.966666666666665</v>
      </c>
    </row>
    <row r="180" spans="107:113" x14ac:dyDescent="0.25">
      <c r="DC180" s="43" t="s">
        <v>29</v>
      </c>
      <c r="DD180" s="43" t="s">
        <v>26</v>
      </c>
      <c r="DE180" s="43" t="s">
        <v>31</v>
      </c>
      <c r="DF180">
        <v>3</v>
      </c>
      <c r="DG180" t="s">
        <v>273</v>
      </c>
      <c r="DH180" s="43" t="s">
        <v>309</v>
      </c>
      <c r="DI180">
        <v>47.716666666666669</v>
      </c>
    </row>
    <row r="181" spans="107:113" x14ac:dyDescent="0.25">
      <c r="DC181" s="43" t="s">
        <v>29</v>
      </c>
      <c r="DD181" s="43" t="s">
        <v>26</v>
      </c>
      <c r="DE181" s="43" t="s">
        <v>31</v>
      </c>
      <c r="DF181">
        <v>3</v>
      </c>
      <c r="DG181" t="s">
        <v>273</v>
      </c>
      <c r="DH181" s="43" t="s">
        <v>268</v>
      </c>
      <c r="DI181">
        <v>67.683333333333337</v>
      </c>
    </row>
    <row r="182" spans="107:113" x14ac:dyDescent="0.25">
      <c r="DC182" s="43" t="s">
        <v>25</v>
      </c>
      <c r="DD182" s="43" t="s">
        <v>26</v>
      </c>
      <c r="DE182" s="43" t="s">
        <v>28</v>
      </c>
      <c r="DF182">
        <v>4</v>
      </c>
      <c r="DG182" t="s">
        <v>317</v>
      </c>
      <c r="DH182" s="43" t="s">
        <v>308</v>
      </c>
      <c r="DI182">
        <v>19.5</v>
      </c>
    </row>
    <row r="183" spans="107:113" x14ac:dyDescent="0.25">
      <c r="DC183" s="43" t="s">
        <v>25</v>
      </c>
      <c r="DD183" s="43" t="s">
        <v>26</v>
      </c>
      <c r="DE183" s="43" t="s">
        <v>28</v>
      </c>
      <c r="DF183">
        <v>4</v>
      </c>
      <c r="DG183" t="s">
        <v>317</v>
      </c>
      <c r="DH183" s="43" t="s">
        <v>309</v>
      </c>
      <c r="DI183">
        <v>53.7</v>
      </c>
    </row>
    <row r="184" spans="107:113" x14ac:dyDescent="0.25">
      <c r="DC184" s="43" t="s">
        <v>25</v>
      </c>
      <c r="DD184" s="43" t="s">
        <v>26</v>
      </c>
      <c r="DE184" s="43" t="s">
        <v>28</v>
      </c>
      <c r="DF184">
        <v>4</v>
      </c>
      <c r="DG184" t="s">
        <v>317</v>
      </c>
      <c r="DH184" s="43" t="s">
        <v>268</v>
      </c>
      <c r="DI184">
        <v>73.2</v>
      </c>
    </row>
    <row r="185" spans="107:113" x14ac:dyDescent="0.25">
      <c r="DC185" s="43" t="s">
        <v>25</v>
      </c>
      <c r="DD185" s="43" t="s">
        <v>26</v>
      </c>
      <c r="DE185" s="43" t="s">
        <v>28</v>
      </c>
      <c r="DF185">
        <v>4</v>
      </c>
      <c r="DG185" t="s">
        <v>325</v>
      </c>
      <c r="DH185" s="43" t="s">
        <v>308</v>
      </c>
      <c r="DI185">
        <v>19.5</v>
      </c>
    </row>
    <row r="186" spans="107:113" x14ac:dyDescent="0.25">
      <c r="DC186" s="43" t="s">
        <v>25</v>
      </c>
      <c r="DD186" s="43" t="s">
        <v>26</v>
      </c>
      <c r="DE186" s="43" t="s">
        <v>28</v>
      </c>
      <c r="DF186">
        <v>4</v>
      </c>
      <c r="DG186" t="s">
        <v>325</v>
      </c>
      <c r="DH186" s="43" t="s">
        <v>309</v>
      </c>
      <c r="DI186">
        <v>53.050000000000004</v>
      </c>
    </row>
    <row r="187" spans="107:113" x14ac:dyDescent="0.25">
      <c r="DC187" s="43" t="s">
        <v>25</v>
      </c>
      <c r="DD187" s="43" t="s">
        <v>26</v>
      </c>
      <c r="DE187" s="43" t="s">
        <v>28</v>
      </c>
      <c r="DF187">
        <v>4</v>
      </c>
      <c r="DG187" t="s">
        <v>325</v>
      </c>
      <c r="DH187" s="43" t="s">
        <v>268</v>
      </c>
      <c r="DI187">
        <v>72.55</v>
      </c>
    </row>
    <row r="188" spans="107:113" x14ac:dyDescent="0.25">
      <c r="DC188" s="43" t="s">
        <v>25</v>
      </c>
      <c r="DD188" s="43" t="s">
        <v>26</v>
      </c>
      <c r="DE188" s="43" t="s">
        <v>28</v>
      </c>
      <c r="DF188">
        <v>4</v>
      </c>
      <c r="DG188" t="s">
        <v>330</v>
      </c>
      <c r="DH188" s="43" t="s">
        <v>308</v>
      </c>
      <c r="DI188">
        <v>19.7</v>
      </c>
    </row>
    <row r="189" spans="107:113" x14ac:dyDescent="0.25">
      <c r="DC189" s="43" t="s">
        <v>25</v>
      </c>
      <c r="DD189" s="43" t="s">
        <v>26</v>
      </c>
      <c r="DE189" s="43" t="s">
        <v>28</v>
      </c>
      <c r="DF189">
        <v>4</v>
      </c>
      <c r="DG189" t="s">
        <v>330</v>
      </c>
      <c r="DH189" s="43" t="s">
        <v>309</v>
      </c>
      <c r="DI189">
        <v>52.5</v>
      </c>
    </row>
    <row r="190" spans="107:113" x14ac:dyDescent="0.25">
      <c r="DC190" s="43" t="s">
        <v>25</v>
      </c>
      <c r="DD190" s="43" t="s">
        <v>26</v>
      </c>
      <c r="DE190" s="43" t="s">
        <v>28</v>
      </c>
      <c r="DF190">
        <v>4</v>
      </c>
      <c r="DG190" t="s">
        <v>330</v>
      </c>
      <c r="DH190" s="43" t="s">
        <v>268</v>
      </c>
      <c r="DI190">
        <v>72.2</v>
      </c>
    </row>
    <row r="191" spans="107:113" x14ac:dyDescent="0.25">
      <c r="DC191" s="43" t="s">
        <v>25</v>
      </c>
      <c r="DD191" s="43" t="s">
        <v>26</v>
      </c>
      <c r="DE191" s="43" t="s">
        <v>28</v>
      </c>
      <c r="DF191">
        <v>4</v>
      </c>
      <c r="DG191" t="s">
        <v>331</v>
      </c>
      <c r="DH191" s="43" t="s">
        <v>308</v>
      </c>
      <c r="DI191">
        <v>19.599999999999998</v>
      </c>
    </row>
    <row r="192" spans="107:113" x14ac:dyDescent="0.25">
      <c r="DC192" s="43" t="s">
        <v>25</v>
      </c>
      <c r="DD192" s="43" t="s">
        <v>26</v>
      </c>
      <c r="DE192" s="43" t="s">
        <v>28</v>
      </c>
      <c r="DF192">
        <v>4</v>
      </c>
      <c r="DG192" t="s">
        <v>331</v>
      </c>
      <c r="DH192" s="43" t="s">
        <v>309</v>
      </c>
      <c r="DI192">
        <v>50.400000000000006</v>
      </c>
    </row>
    <row r="193" spans="107:113" x14ac:dyDescent="0.25">
      <c r="DC193" s="43" t="s">
        <v>25</v>
      </c>
      <c r="DD193" s="43" t="s">
        <v>26</v>
      </c>
      <c r="DE193" s="43" t="s">
        <v>28</v>
      </c>
      <c r="DF193">
        <v>4</v>
      </c>
      <c r="DG193" t="s">
        <v>331</v>
      </c>
      <c r="DH193" s="43" t="s">
        <v>268</v>
      </c>
      <c r="DI193">
        <v>70</v>
      </c>
    </row>
    <row r="194" spans="107:113" x14ac:dyDescent="0.25">
      <c r="DC194" s="43" t="s">
        <v>25</v>
      </c>
      <c r="DD194" s="43" t="s">
        <v>26</v>
      </c>
      <c r="DE194" s="43" t="s">
        <v>28</v>
      </c>
      <c r="DF194">
        <v>4</v>
      </c>
      <c r="DG194" t="s">
        <v>341</v>
      </c>
      <c r="DH194" s="43" t="s">
        <v>308</v>
      </c>
      <c r="DI194">
        <v>58.8</v>
      </c>
    </row>
    <row r="195" spans="107:113" x14ac:dyDescent="0.25">
      <c r="DC195" s="43" t="s">
        <v>25</v>
      </c>
      <c r="DD195" s="43" t="s">
        <v>26</v>
      </c>
      <c r="DE195" s="43" t="s">
        <v>28</v>
      </c>
      <c r="DF195">
        <v>4</v>
      </c>
      <c r="DG195" t="s">
        <v>341</v>
      </c>
      <c r="DH195" s="43" t="s">
        <v>309</v>
      </c>
      <c r="DI195">
        <v>159.25</v>
      </c>
    </row>
    <row r="196" spans="107:113" x14ac:dyDescent="0.25">
      <c r="DC196" s="43" t="s">
        <v>25</v>
      </c>
      <c r="DD196" s="43" t="s">
        <v>26</v>
      </c>
      <c r="DE196" s="43" t="s">
        <v>28</v>
      </c>
      <c r="DF196">
        <v>4</v>
      </c>
      <c r="DG196" t="s">
        <v>341</v>
      </c>
      <c r="DH196" s="43" t="s">
        <v>268</v>
      </c>
      <c r="DI196">
        <v>217.95</v>
      </c>
    </row>
    <row r="197" spans="107:113" x14ac:dyDescent="0.25">
      <c r="DC197" s="43" t="s">
        <v>25</v>
      </c>
      <c r="DD197" s="43" t="s">
        <v>26</v>
      </c>
      <c r="DE197" s="43" t="s">
        <v>28</v>
      </c>
      <c r="DF197">
        <v>4</v>
      </c>
      <c r="DG197" t="s">
        <v>273</v>
      </c>
      <c r="DH197" s="43" t="s">
        <v>308</v>
      </c>
      <c r="DI197">
        <v>19.599999999999998</v>
      </c>
    </row>
    <row r="198" spans="107:113" x14ac:dyDescent="0.25">
      <c r="DC198" s="43" t="s">
        <v>25</v>
      </c>
      <c r="DD198" s="43" t="s">
        <v>26</v>
      </c>
      <c r="DE198" s="43" t="s">
        <v>28</v>
      </c>
      <c r="DF198">
        <v>4</v>
      </c>
      <c r="DG198" t="s">
        <v>273</v>
      </c>
      <c r="DH198" s="43" t="s">
        <v>309</v>
      </c>
      <c r="DI198">
        <v>53.083333333333336</v>
      </c>
    </row>
    <row r="199" spans="107:113" x14ac:dyDescent="0.25">
      <c r="DC199" s="43" t="s">
        <v>25</v>
      </c>
      <c r="DD199" s="43" t="s">
        <v>26</v>
      </c>
      <c r="DE199" s="43" t="s">
        <v>28</v>
      </c>
      <c r="DF199">
        <v>4</v>
      </c>
      <c r="DG199" t="s">
        <v>273</v>
      </c>
      <c r="DH199" s="43" t="s">
        <v>268</v>
      </c>
      <c r="DI199">
        <v>72.649999999999991</v>
      </c>
    </row>
    <row r="200" spans="107:113" x14ac:dyDescent="0.25">
      <c r="DC200" s="43" t="s">
        <v>37</v>
      </c>
      <c r="DD200" s="43" t="s">
        <v>26</v>
      </c>
      <c r="DE200" s="43" t="s">
        <v>39</v>
      </c>
      <c r="DF200">
        <v>4</v>
      </c>
      <c r="DG200" t="s">
        <v>317</v>
      </c>
      <c r="DH200" s="43" t="s">
        <v>308</v>
      </c>
      <c r="DI200">
        <v>18.5</v>
      </c>
    </row>
    <row r="201" spans="107:113" x14ac:dyDescent="0.25">
      <c r="DC201" s="43" t="s">
        <v>37</v>
      </c>
      <c r="DD201" s="43" t="s">
        <v>26</v>
      </c>
      <c r="DE201" s="43" t="s">
        <v>39</v>
      </c>
      <c r="DF201">
        <v>4</v>
      </c>
      <c r="DG201" t="s">
        <v>317</v>
      </c>
      <c r="DH201" s="43" t="s">
        <v>309</v>
      </c>
      <c r="DI201">
        <v>48.599999999999994</v>
      </c>
    </row>
    <row r="202" spans="107:113" x14ac:dyDescent="0.25">
      <c r="DC202" s="43" t="s">
        <v>37</v>
      </c>
      <c r="DD202" s="43" t="s">
        <v>26</v>
      </c>
      <c r="DE202" s="43" t="s">
        <v>39</v>
      </c>
      <c r="DF202">
        <v>4</v>
      </c>
      <c r="DG202" t="s">
        <v>317</v>
      </c>
      <c r="DH202" s="43" t="s">
        <v>268</v>
      </c>
      <c r="DI202">
        <v>67.100000000000009</v>
      </c>
    </row>
    <row r="203" spans="107:113" x14ac:dyDescent="0.25">
      <c r="DC203" s="43" t="s">
        <v>37</v>
      </c>
      <c r="DD203" s="43" t="s">
        <v>26</v>
      </c>
      <c r="DE203" s="43" t="s">
        <v>39</v>
      </c>
      <c r="DF203">
        <v>4</v>
      </c>
      <c r="DG203" t="s">
        <v>325</v>
      </c>
      <c r="DH203" s="43" t="s">
        <v>308</v>
      </c>
      <c r="DI203">
        <v>19.900000000000002</v>
      </c>
    </row>
    <row r="204" spans="107:113" x14ac:dyDescent="0.25">
      <c r="DC204" s="43" t="s">
        <v>37</v>
      </c>
      <c r="DD204" s="43" t="s">
        <v>26</v>
      </c>
      <c r="DE204" s="43" t="s">
        <v>39</v>
      </c>
      <c r="DF204">
        <v>4</v>
      </c>
      <c r="DG204" t="s">
        <v>325</v>
      </c>
      <c r="DH204" s="43" t="s">
        <v>309</v>
      </c>
      <c r="DI204">
        <v>48.000000000000007</v>
      </c>
    </row>
    <row r="205" spans="107:113" x14ac:dyDescent="0.25">
      <c r="DC205" s="43" t="s">
        <v>37</v>
      </c>
      <c r="DD205" s="43" t="s">
        <v>26</v>
      </c>
      <c r="DE205" s="43" t="s">
        <v>39</v>
      </c>
      <c r="DF205">
        <v>4</v>
      </c>
      <c r="DG205" t="s">
        <v>325</v>
      </c>
      <c r="DH205" s="43" t="s">
        <v>268</v>
      </c>
      <c r="DI205">
        <v>67.899999999999991</v>
      </c>
    </row>
    <row r="206" spans="107:113" x14ac:dyDescent="0.25">
      <c r="DC206" s="43" t="s">
        <v>37</v>
      </c>
      <c r="DD206" s="43" t="s">
        <v>26</v>
      </c>
      <c r="DE206" s="43" t="s">
        <v>39</v>
      </c>
      <c r="DF206">
        <v>4</v>
      </c>
      <c r="DG206" t="s">
        <v>330</v>
      </c>
      <c r="DH206" s="43" t="s">
        <v>308</v>
      </c>
      <c r="DI206">
        <v>17.8</v>
      </c>
    </row>
    <row r="207" spans="107:113" x14ac:dyDescent="0.25">
      <c r="DC207" s="43" t="s">
        <v>37</v>
      </c>
      <c r="DD207" s="43" t="s">
        <v>26</v>
      </c>
      <c r="DE207" s="43" t="s">
        <v>39</v>
      </c>
      <c r="DF207">
        <v>4</v>
      </c>
      <c r="DG207" t="s">
        <v>330</v>
      </c>
      <c r="DH207" s="43" t="s">
        <v>309</v>
      </c>
      <c r="DI207">
        <v>45.9</v>
      </c>
    </row>
    <row r="208" spans="107:113" x14ac:dyDescent="0.25">
      <c r="DC208" s="43" t="s">
        <v>37</v>
      </c>
      <c r="DD208" s="43" t="s">
        <v>26</v>
      </c>
      <c r="DE208" s="43" t="s">
        <v>39</v>
      </c>
      <c r="DF208">
        <v>4</v>
      </c>
      <c r="DG208" t="s">
        <v>330</v>
      </c>
      <c r="DH208" s="43" t="s">
        <v>268</v>
      </c>
      <c r="DI208">
        <v>63.7</v>
      </c>
    </row>
    <row r="209" spans="107:113" x14ac:dyDescent="0.25">
      <c r="DC209" s="43" t="s">
        <v>37</v>
      </c>
      <c r="DD209" s="43" t="s">
        <v>26</v>
      </c>
      <c r="DE209" s="43" t="s">
        <v>39</v>
      </c>
      <c r="DF209">
        <v>4</v>
      </c>
      <c r="DG209" t="s">
        <v>331</v>
      </c>
      <c r="DH209" s="43" t="s">
        <v>308</v>
      </c>
      <c r="DI209">
        <v>17.900000000000002</v>
      </c>
    </row>
    <row r="210" spans="107:113" x14ac:dyDescent="0.25">
      <c r="DC210" s="43" t="s">
        <v>37</v>
      </c>
      <c r="DD210" s="43" t="s">
        <v>26</v>
      </c>
      <c r="DE210" s="43" t="s">
        <v>39</v>
      </c>
      <c r="DF210">
        <v>4</v>
      </c>
      <c r="DG210" t="s">
        <v>331</v>
      </c>
      <c r="DH210" s="43" t="s">
        <v>309</v>
      </c>
      <c r="DI210">
        <v>45.199999999999996</v>
      </c>
    </row>
    <row r="211" spans="107:113" x14ac:dyDescent="0.25">
      <c r="DC211" s="43" t="s">
        <v>37</v>
      </c>
      <c r="DD211" s="43" t="s">
        <v>26</v>
      </c>
      <c r="DE211" s="43" t="s">
        <v>39</v>
      </c>
      <c r="DF211">
        <v>4</v>
      </c>
      <c r="DG211" t="s">
        <v>331</v>
      </c>
      <c r="DH211" s="43" t="s">
        <v>268</v>
      </c>
      <c r="DI211">
        <v>63.099999999999994</v>
      </c>
    </row>
    <row r="212" spans="107:113" x14ac:dyDescent="0.25">
      <c r="DC212" s="43" t="s">
        <v>37</v>
      </c>
      <c r="DD212" s="43" t="s">
        <v>26</v>
      </c>
      <c r="DE212" s="43" t="s">
        <v>39</v>
      </c>
      <c r="DF212">
        <v>4</v>
      </c>
      <c r="DG212" t="s">
        <v>341</v>
      </c>
      <c r="DH212" s="43" t="s">
        <v>308</v>
      </c>
      <c r="DI212">
        <v>56.300000000000011</v>
      </c>
    </row>
    <row r="213" spans="107:113" x14ac:dyDescent="0.25">
      <c r="DC213" s="43" t="s">
        <v>37</v>
      </c>
      <c r="DD213" s="43" t="s">
        <v>26</v>
      </c>
      <c r="DE213" s="43" t="s">
        <v>39</v>
      </c>
      <c r="DF213">
        <v>4</v>
      </c>
      <c r="DG213" t="s">
        <v>341</v>
      </c>
      <c r="DH213" s="43" t="s">
        <v>309</v>
      </c>
      <c r="DI213">
        <v>142.5</v>
      </c>
    </row>
    <row r="214" spans="107:113" x14ac:dyDescent="0.25">
      <c r="DC214" s="43" t="s">
        <v>37</v>
      </c>
      <c r="DD214" s="43" t="s">
        <v>26</v>
      </c>
      <c r="DE214" s="43" t="s">
        <v>39</v>
      </c>
      <c r="DF214">
        <v>4</v>
      </c>
      <c r="DG214" t="s">
        <v>341</v>
      </c>
      <c r="DH214" s="43" t="s">
        <v>268</v>
      </c>
      <c r="DI214">
        <v>198.7</v>
      </c>
    </row>
    <row r="215" spans="107:113" x14ac:dyDescent="0.25">
      <c r="DC215" s="43" t="s">
        <v>37</v>
      </c>
      <c r="DD215" s="43" t="s">
        <v>26</v>
      </c>
      <c r="DE215" s="43" t="s">
        <v>39</v>
      </c>
      <c r="DF215">
        <v>4</v>
      </c>
      <c r="DG215" t="s">
        <v>273</v>
      </c>
      <c r="DH215" s="43" t="s">
        <v>308</v>
      </c>
      <c r="DI215">
        <v>18.766666666666669</v>
      </c>
    </row>
    <row r="216" spans="107:113" x14ac:dyDescent="0.25">
      <c r="DC216" s="43" t="s">
        <v>37</v>
      </c>
      <c r="DD216" s="43" t="s">
        <v>26</v>
      </c>
      <c r="DE216" s="43" t="s">
        <v>39</v>
      </c>
      <c r="DF216">
        <v>4</v>
      </c>
      <c r="DG216" t="s">
        <v>273</v>
      </c>
      <c r="DH216" s="43" t="s">
        <v>309</v>
      </c>
      <c r="DI216">
        <v>47.5</v>
      </c>
    </row>
    <row r="217" spans="107:113" x14ac:dyDescent="0.25">
      <c r="DC217" s="43" t="s">
        <v>37</v>
      </c>
      <c r="DD217" s="43" t="s">
        <v>26</v>
      </c>
      <c r="DE217" s="43" t="s">
        <v>39</v>
      </c>
      <c r="DF217">
        <v>4</v>
      </c>
      <c r="DG217" t="s">
        <v>273</v>
      </c>
      <c r="DH217" s="43" t="s">
        <v>268</v>
      </c>
      <c r="DI217">
        <v>66.233333333333334</v>
      </c>
    </row>
    <row r="218" spans="107:113" x14ac:dyDescent="0.25">
      <c r="DC218" s="43" t="s">
        <v>40</v>
      </c>
      <c r="DD218" s="43" t="s">
        <v>26</v>
      </c>
      <c r="DE218" s="43" t="s">
        <v>39</v>
      </c>
      <c r="DF218">
        <v>3</v>
      </c>
      <c r="DG218" t="s">
        <v>317</v>
      </c>
      <c r="DH218" s="43" t="s">
        <v>308</v>
      </c>
      <c r="DI218">
        <v>0</v>
      </c>
    </row>
    <row r="219" spans="107:113" x14ac:dyDescent="0.25">
      <c r="DC219" s="43" t="s">
        <v>40</v>
      </c>
      <c r="DD219" s="43" t="s">
        <v>26</v>
      </c>
      <c r="DE219" s="43" t="s">
        <v>39</v>
      </c>
      <c r="DF219">
        <v>3</v>
      </c>
      <c r="DG219" t="s">
        <v>317</v>
      </c>
      <c r="DH219" s="43" t="s">
        <v>309</v>
      </c>
      <c r="DI219">
        <v>0</v>
      </c>
    </row>
    <row r="220" spans="107:113" x14ac:dyDescent="0.25">
      <c r="DC220" s="43" t="s">
        <v>40</v>
      </c>
      <c r="DD220" s="43" t="s">
        <v>26</v>
      </c>
      <c r="DE220" s="43" t="s">
        <v>39</v>
      </c>
      <c r="DF220">
        <v>3</v>
      </c>
      <c r="DG220" t="s">
        <v>317</v>
      </c>
      <c r="DH220" s="43" t="s">
        <v>268</v>
      </c>
      <c r="DI220">
        <v>0</v>
      </c>
    </row>
    <row r="221" spans="107:113" x14ac:dyDescent="0.25">
      <c r="DC221" s="43" t="s">
        <v>40</v>
      </c>
      <c r="DD221" s="43" t="s">
        <v>26</v>
      </c>
      <c r="DE221" s="43" t="s">
        <v>39</v>
      </c>
      <c r="DF221">
        <v>3</v>
      </c>
      <c r="DG221" t="s">
        <v>325</v>
      </c>
      <c r="DH221" s="43" t="s">
        <v>308</v>
      </c>
      <c r="DI221">
        <v>19.399999999999999</v>
      </c>
    </row>
    <row r="222" spans="107:113" x14ac:dyDescent="0.25">
      <c r="DC222" s="43" t="s">
        <v>40</v>
      </c>
      <c r="DD222" s="43" t="s">
        <v>26</v>
      </c>
      <c r="DE222" s="43" t="s">
        <v>39</v>
      </c>
      <c r="DF222">
        <v>3</v>
      </c>
      <c r="DG222" t="s">
        <v>325</v>
      </c>
      <c r="DH222" s="43" t="s">
        <v>309</v>
      </c>
      <c r="DI222">
        <v>47.75</v>
      </c>
    </row>
    <row r="223" spans="107:113" x14ac:dyDescent="0.25">
      <c r="DC223" s="43" t="s">
        <v>40</v>
      </c>
      <c r="DD223" s="43" t="s">
        <v>26</v>
      </c>
      <c r="DE223" s="43" t="s">
        <v>39</v>
      </c>
      <c r="DF223">
        <v>3</v>
      </c>
      <c r="DG223" t="s">
        <v>325</v>
      </c>
      <c r="DH223" s="43" t="s">
        <v>268</v>
      </c>
      <c r="DI223">
        <v>67.150000000000006</v>
      </c>
    </row>
    <row r="224" spans="107:113" x14ac:dyDescent="0.25">
      <c r="DC224" s="43" t="s">
        <v>40</v>
      </c>
      <c r="DD224" s="43" t="s">
        <v>26</v>
      </c>
      <c r="DE224" s="43" t="s">
        <v>39</v>
      </c>
      <c r="DF224">
        <v>3</v>
      </c>
      <c r="DG224" t="s">
        <v>330</v>
      </c>
      <c r="DH224" s="43" t="s">
        <v>308</v>
      </c>
      <c r="DI224">
        <v>19.3</v>
      </c>
    </row>
    <row r="225" spans="107:113" x14ac:dyDescent="0.25">
      <c r="DC225" s="43" t="s">
        <v>40</v>
      </c>
      <c r="DD225" s="43" t="s">
        <v>26</v>
      </c>
      <c r="DE225" s="43" t="s">
        <v>39</v>
      </c>
      <c r="DF225">
        <v>3</v>
      </c>
      <c r="DG225" t="s">
        <v>330</v>
      </c>
      <c r="DH225" s="43" t="s">
        <v>309</v>
      </c>
      <c r="DI225">
        <v>48.55</v>
      </c>
    </row>
    <row r="226" spans="107:113" x14ac:dyDescent="0.25">
      <c r="DC226" s="43" t="s">
        <v>40</v>
      </c>
      <c r="DD226" s="43" t="s">
        <v>26</v>
      </c>
      <c r="DE226" s="43" t="s">
        <v>39</v>
      </c>
      <c r="DF226">
        <v>3</v>
      </c>
      <c r="DG226" t="s">
        <v>330</v>
      </c>
      <c r="DH226" s="43" t="s">
        <v>268</v>
      </c>
      <c r="DI226">
        <v>67.849999999999994</v>
      </c>
    </row>
    <row r="227" spans="107:113" x14ac:dyDescent="0.25">
      <c r="DC227" s="43" t="s">
        <v>40</v>
      </c>
      <c r="DD227" s="43" t="s">
        <v>26</v>
      </c>
      <c r="DE227" s="43" t="s">
        <v>39</v>
      </c>
      <c r="DF227">
        <v>3</v>
      </c>
      <c r="DG227" t="s">
        <v>331</v>
      </c>
      <c r="DH227" s="43" t="s">
        <v>308</v>
      </c>
      <c r="DI227">
        <v>17.599999999999998</v>
      </c>
    </row>
    <row r="228" spans="107:113" x14ac:dyDescent="0.25">
      <c r="DC228" s="43" t="s">
        <v>40</v>
      </c>
      <c r="DD228" s="43" t="s">
        <v>26</v>
      </c>
      <c r="DE228" s="43" t="s">
        <v>39</v>
      </c>
      <c r="DF228">
        <v>3</v>
      </c>
      <c r="DG228" t="s">
        <v>331</v>
      </c>
      <c r="DH228" s="43" t="s">
        <v>309</v>
      </c>
      <c r="DI228">
        <v>46.2</v>
      </c>
    </row>
    <row r="229" spans="107:113" x14ac:dyDescent="0.25">
      <c r="DC229" s="43" t="s">
        <v>40</v>
      </c>
      <c r="DD229" s="43" t="s">
        <v>26</v>
      </c>
      <c r="DE229" s="43" t="s">
        <v>39</v>
      </c>
      <c r="DF229">
        <v>3</v>
      </c>
      <c r="DG229" t="s">
        <v>331</v>
      </c>
      <c r="DH229" s="43" t="s">
        <v>268</v>
      </c>
      <c r="DI229">
        <v>63.8</v>
      </c>
    </row>
    <row r="230" spans="107:113" x14ac:dyDescent="0.25">
      <c r="DC230" s="43" t="s">
        <v>40</v>
      </c>
      <c r="DD230" s="43" t="s">
        <v>26</v>
      </c>
      <c r="DE230" s="43" t="s">
        <v>39</v>
      </c>
      <c r="DF230">
        <v>3</v>
      </c>
      <c r="DG230" t="s">
        <v>341</v>
      </c>
      <c r="DH230" s="43" t="s">
        <v>308</v>
      </c>
      <c r="DI230">
        <v>56.3</v>
      </c>
    </row>
    <row r="231" spans="107:113" x14ac:dyDescent="0.25">
      <c r="DC231" s="43" t="s">
        <v>40</v>
      </c>
      <c r="DD231" s="43" t="s">
        <v>26</v>
      </c>
      <c r="DE231" s="43" t="s">
        <v>39</v>
      </c>
      <c r="DF231">
        <v>3</v>
      </c>
      <c r="DG231" t="s">
        <v>341</v>
      </c>
      <c r="DH231" s="43" t="s">
        <v>309</v>
      </c>
      <c r="DI231">
        <v>142.5</v>
      </c>
    </row>
    <row r="232" spans="107:113" x14ac:dyDescent="0.25">
      <c r="DC232" s="43" t="s">
        <v>40</v>
      </c>
      <c r="DD232" s="43" t="s">
        <v>26</v>
      </c>
      <c r="DE232" s="43" t="s">
        <v>39</v>
      </c>
      <c r="DF232">
        <v>3</v>
      </c>
      <c r="DG232" t="s">
        <v>341</v>
      </c>
      <c r="DH232" s="43" t="s">
        <v>268</v>
      </c>
      <c r="DI232">
        <v>198.8</v>
      </c>
    </row>
    <row r="233" spans="107:113" x14ac:dyDescent="0.25">
      <c r="DC233" s="43" t="s">
        <v>40</v>
      </c>
      <c r="DD233" s="43" t="s">
        <v>26</v>
      </c>
      <c r="DE233" s="43" t="s">
        <v>39</v>
      </c>
      <c r="DF233">
        <v>3</v>
      </c>
      <c r="DG233" t="s">
        <v>273</v>
      </c>
      <c r="DH233" s="43" t="s">
        <v>308</v>
      </c>
      <c r="DI233">
        <v>18.766666666666666</v>
      </c>
    </row>
    <row r="234" spans="107:113" x14ac:dyDescent="0.25">
      <c r="DC234" s="43" t="s">
        <v>40</v>
      </c>
      <c r="DD234" s="43" t="s">
        <v>26</v>
      </c>
      <c r="DE234" s="43" t="s">
        <v>39</v>
      </c>
      <c r="DF234">
        <v>3</v>
      </c>
      <c r="DG234" t="s">
        <v>273</v>
      </c>
      <c r="DH234" s="43" t="s">
        <v>309</v>
      </c>
      <c r="DI234">
        <v>47.5</v>
      </c>
    </row>
    <row r="235" spans="107:113" x14ac:dyDescent="0.25">
      <c r="DC235" s="43" t="s">
        <v>40</v>
      </c>
      <c r="DD235" s="43" t="s">
        <v>26</v>
      </c>
      <c r="DE235" s="43" t="s">
        <v>39</v>
      </c>
      <c r="DF235">
        <v>3</v>
      </c>
      <c r="DG235" t="s">
        <v>273</v>
      </c>
      <c r="DH235" s="43" t="s">
        <v>268</v>
      </c>
      <c r="DI235">
        <v>66.266666666666666</v>
      </c>
    </row>
    <row r="236" spans="107:113" x14ac:dyDescent="0.25">
      <c r="DC236" s="43" t="s">
        <v>44</v>
      </c>
      <c r="DD236" s="43" t="s">
        <v>26</v>
      </c>
      <c r="DE236" s="43" t="s">
        <v>39</v>
      </c>
      <c r="DF236">
        <v>4</v>
      </c>
      <c r="DG236" t="s">
        <v>317</v>
      </c>
      <c r="DH236" s="43" t="s">
        <v>308</v>
      </c>
      <c r="DI236">
        <v>17</v>
      </c>
    </row>
    <row r="237" spans="107:113" x14ac:dyDescent="0.25">
      <c r="DC237" s="43" t="s">
        <v>44</v>
      </c>
      <c r="DD237" s="43" t="s">
        <v>26</v>
      </c>
      <c r="DE237" s="43" t="s">
        <v>39</v>
      </c>
      <c r="DF237">
        <v>4</v>
      </c>
      <c r="DG237" t="s">
        <v>317</v>
      </c>
      <c r="DH237" s="43" t="s">
        <v>309</v>
      </c>
      <c r="DI237">
        <v>49.3</v>
      </c>
    </row>
    <row r="238" spans="107:113" x14ac:dyDescent="0.25">
      <c r="DC238" s="43" t="s">
        <v>44</v>
      </c>
      <c r="DD238" s="43" t="s">
        <v>26</v>
      </c>
      <c r="DE238" s="43" t="s">
        <v>39</v>
      </c>
      <c r="DF238">
        <v>4</v>
      </c>
      <c r="DG238" t="s">
        <v>317</v>
      </c>
      <c r="DH238" s="43" t="s">
        <v>268</v>
      </c>
      <c r="DI238">
        <v>66.3</v>
      </c>
    </row>
    <row r="239" spans="107:113" x14ac:dyDescent="0.25">
      <c r="DC239" s="43" t="s">
        <v>44</v>
      </c>
      <c r="DD239" s="43" t="s">
        <v>26</v>
      </c>
      <c r="DE239" s="43" t="s">
        <v>39</v>
      </c>
      <c r="DF239">
        <v>4</v>
      </c>
      <c r="DG239" t="s">
        <v>325</v>
      </c>
      <c r="DH239" s="43" t="s">
        <v>308</v>
      </c>
      <c r="DI239">
        <v>16</v>
      </c>
    </row>
    <row r="240" spans="107:113" x14ac:dyDescent="0.25">
      <c r="DC240" s="43" t="s">
        <v>44</v>
      </c>
      <c r="DD240" s="43" t="s">
        <v>26</v>
      </c>
      <c r="DE240" s="43" t="s">
        <v>39</v>
      </c>
      <c r="DF240">
        <v>4</v>
      </c>
      <c r="DG240" t="s">
        <v>325</v>
      </c>
      <c r="DH240" s="43" t="s">
        <v>309</v>
      </c>
      <c r="DI240">
        <v>49.4</v>
      </c>
    </row>
    <row r="241" spans="107:113" x14ac:dyDescent="0.25">
      <c r="DC241" s="43" t="s">
        <v>44</v>
      </c>
      <c r="DD241" s="43" t="s">
        <v>26</v>
      </c>
      <c r="DE241" s="43" t="s">
        <v>39</v>
      </c>
      <c r="DF241">
        <v>4</v>
      </c>
      <c r="DG241" t="s">
        <v>325</v>
      </c>
      <c r="DH241" s="43" t="s">
        <v>268</v>
      </c>
      <c r="DI241">
        <v>65.399999999999991</v>
      </c>
    </row>
    <row r="242" spans="107:113" x14ac:dyDescent="0.25">
      <c r="DC242" s="43" t="s">
        <v>44</v>
      </c>
      <c r="DD242" s="43" t="s">
        <v>26</v>
      </c>
      <c r="DE242" s="43" t="s">
        <v>39</v>
      </c>
      <c r="DF242">
        <v>4</v>
      </c>
      <c r="DG242" t="s">
        <v>330</v>
      </c>
      <c r="DH242" s="43" t="s">
        <v>308</v>
      </c>
      <c r="DI242">
        <v>17.2</v>
      </c>
    </row>
    <row r="243" spans="107:113" x14ac:dyDescent="0.25">
      <c r="DC243" s="43" t="s">
        <v>44</v>
      </c>
      <c r="DD243" s="43" t="s">
        <v>26</v>
      </c>
      <c r="DE243" s="43" t="s">
        <v>39</v>
      </c>
      <c r="DF243">
        <v>4</v>
      </c>
      <c r="DG243" t="s">
        <v>330</v>
      </c>
      <c r="DH243" s="43" t="s">
        <v>309</v>
      </c>
      <c r="DI243">
        <v>47.5</v>
      </c>
    </row>
    <row r="244" spans="107:113" x14ac:dyDescent="0.25">
      <c r="DC244" s="43" t="s">
        <v>44</v>
      </c>
      <c r="DD244" s="43" t="s">
        <v>26</v>
      </c>
      <c r="DE244" s="43" t="s">
        <v>39</v>
      </c>
      <c r="DF244">
        <v>4</v>
      </c>
      <c r="DG244" t="s">
        <v>330</v>
      </c>
      <c r="DH244" s="43" t="s">
        <v>268</v>
      </c>
      <c r="DI244">
        <v>64.7</v>
      </c>
    </row>
    <row r="245" spans="107:113" x14ac:dyDescent="0.25">
      <c r="DC245" s="43" t="s">
        <v>44</v>
      </c>
      <c r="DD245" s="43" t="s">
        <v>26</v>
      </c>
      <c r="DE245" s="43" t="s">
        <v>39</v>
      </c>
      <c r="DF245">
        <v>4</v>
      </c>
      <c r="DG245" t="s">
        <v>331</v>
      </c>
      <c r="DH245" s="43" t="s">
        <v>308</v>
      </c>
      <c r="DI245">
        <v>15.7</v>
      </c>
    </row>
    <row r="246" spans="107:113" x14ac:dyDescent="0.25">
      <c r="DC246" s="43" t="s">
        <v>44</v>
      </c>
      <c r="DD246" s="43" t="s">
        <v>26</v>
      </c>
      <c r="DE246" s="43" t="s">
        <v>39</v>
      </c>
      <c r="DF246">
        <v>4</v>
      </c>
      <c r="DG246" t="s">
        <v>331</v>
      </c>
      <c r="DH246" s="43" t="s">
        <v>309</v>
      </c>
      <c r="DI246">
        <v>48.5</v>
      </c>
    </row>
    <row r="247" spans="107:113" x14ac:dyDescent="0.25">
      <c r="DC247" s="43" t="s">
        <v>44</v>
      </c>
      <c r="DD247" s="43" t="s">
        <v>26</v>
      </c>
      <c r="DE247" s="43" t="s">
        <v>39</v>
      </c>
      <c r="DF247">
        <v>4</v>
      </c>
      <c r="DG247" t="s">
        <v>331</v>
      </c>
      <c r="DH247" s="43" t="s">
        <v>268</v>
      </c>
      <c r="DI247">
        <v>64.2</v>
      </c>
    </row>
    <row r="248" spans="107:113" x14ac:dyDescent="0.25">
      <c r="DC248" s="43" t="s">
        <v>44</v>
      </c>
      <c r="DD248" s="43" t="s">
        <v>26</v>
      </c>
      <c r="DE248" s="43" t="s">
        <v>39</v>
      </c>
      <c r="DF248">
        <v>4</v>
      </c>
      <c r="DG248" t="s">
        <v>341</v>
      </c>
      <c r="DH248" s="43" t="s">
        <v>308</v>
      </c>
      <c r="DI248">
        <v>50.2</v>
      </c>
    </row>
    <row r="249" spans="107:113" x14ac:dyDescent="0.25">
      <c r="DC249" s="43" t="s">
        <v>44</v>
      </c>
      <c r="DD249" s="43" t="s">
        <v>26</v>
      </c>
      <c r="DE249" s="43" t="s">
        <v>39</v>
      </c>
      <c r="DF249">
        <v>4</v>
      </c>
      <c r="DG249" t="s">
        <v>341</v>
      </c>
      <c r="DH249" s="43" t="s">
        <v>309</v>
      </c>
      <c r="DI249">
        <v>147.19999999999999</v>
      </c>
    </row>
    <row r="250" spans="107:113" x14ac:dyDescent="0.25">
      <c r="DC250" s="43" t="s">
        <v>44</v>
      </c>
      <c r="DD250" s="43" t="s">
        <v>26</v>
      </c>
      <c r="DE250" s="43" t="s">
        <v>39</v>
      </c>
      <c r="DF250">
        <v>4</v>
      </c>
      <c r="DG250" t="s">
        <v>341</v>
      </c>
      <c r="DH250" s="43" t="s">
        <v>268</v>
      </c>
      <c r="DI250">
        <v>196.39999999999998</v>
      </c>
    </row>
    <row r="251" spans="107:113" x14ac:dyDescent="0.25">
      <c r="DC251" s="43" t="s">
        <v>44</v>
      </c>
      <c r="DD251" s="43" t="s">
        <v>26</v>
      </c>
      <c r="DE251" s="43" t="s">
        <v>39</v>
      </c>
      <c r="DF251">
        <v>4</v>
      </c>
      <c r="DG251" t="s">
        <v>273</v>
      </c>
      <c r="DH251" s="43" t="s">
        <v>308</v>
      </c>
      <c r="DI251">
        <v>16.733333333333334</v>
      </c>
    </row>
    <row r="252" spans="107:113" x14ac:dyDescent="0.25">
      <c r="DC252" s="43" t="s">
        <v>44</v>
      </c>
      <c r="DD252" s="43" t="s">
        <v>26</v>
      </c>
      <c r="DE252" s="43" t="s">
        <v>39</v>
      </c>
      <c r="DF252">
        <v>4</v>
      </c>
      <c r="DG252" t="s">
        <v>273</v>
      </c>
      <c r="DH252" s="43" t="s">
        <v>309</v>
      </c>
      <c r="DI252">
        <v>49.066666666666663</v>
      </c>
    </row>
    <row r="253" spans="107:113" x14ac:dyDescent="0.25">
      <c r="DC253" s="43" t="s">
        <v>44</v>
      </c>
      <c r="DD253" s="43" t="s">
        <v>26</v>
      </c>
      <c r="DE253" s="43" t="s">
        <v>39</v>
      </c>
      <c r="DF253">
        <v>4</v>
      </c>
      <c r="DG253" t="s">
        <v>273</v>
      </c>
      <c r="DH253" s="43" t="s">
        <v>268</v>
      </c>
      <c r="DI253">
        <v>65.466666666666654</v>
      </c>
    </row>
    <row r="254" spans="107:113" x14ac:dyDescent="0.25">
      <c r="DC254" s="43" t="s">
        <v>42</v>
      </c>
      <c r="DD254" s="43" t="s">
        <v>26</v>
      </c>
      <c r="DE254" s="43" t="s">
        <v>36</v>
      </c>
      <c r="DF254">
        <v>3</v>
      </c>
      <c r="DG254" t="s">
        <v>317</v>
      </c>
      <c r="DH254" s="43" t="s">
        <v>308</v>
      </c>
      <c r="DI254">
        <v>13</v>
      </c>
    </row>
    <row r="255" spans="107:113" x14ac:dyDescent="0.25">
      <c r="DC255" s="43" t="s">
        <v>42</v>
      </c>
      <c r="DD255" s="43" t="s">
        <v>26</v>
      </c>
      <c r="DE255" s="43" t="s">
        <v>36</v>
      </c>
      <c r="DF255">
        <v>3</v>
      </c>
      <c r="DG255" t="s">
        <v>317</v>
      </c>
      <c r="DH255" s="43" t="s">
        <v>309</v>
      </c>
      <c r="DI255">
        <v>31.6</v>
      </c>
    </row>
    <row r="256" spans="107:113" x14ac:dyDescent="0.25">
      <c r="DC256" s="43" t="s">
        <v>42</v>
      </c>
      <c r="DD256" s="43" t="s">
        <v>26</v>
      </c>
      <c r="DE256" s="43" t="s">
        <v>36</v>
      </c>
      <c r="DF256">
        <v>3</v>
      </c>
      <c r="DG256" t="s">
        <v>317</v>
      </c>
      <c r="DH256" s="43" t="s">
        <v>268</v>
      </c>
      <c r="DI256">
        <v>44.6</v>
      </c>
    </row>
    <row r="257" spans="107:113" x14ac:dyDescent="0.25">
      <c r="DC257" s="43" t="s">
        <v>42</v>
      </c>
      <c r="DD257" s="43" t="s">
        <v>26</v>
      </c>
      <c r="DE257" s="43" t="s">
        <v>36</v>
      </c>
      <c r="DF257">
        <v>3</v>
      </c>
      <c r="DG257" t="s">
        <v>325</v>
      </c>
      <c r="DH257" s="43" t="s">
        <v>308</v>
      </c>
      <c r="DI257">
        <v>16.099999999999998</v>
      </c>
    </row>
    <row r="258" spans="107:113" x14ac:dyDescent="0.25">
      <c r="DC258" s="43" t="s">
        <v>42</v>
      </c>
      <c r="DD258" s="43" t="s">
        <v>26</v>
      </c>
      <c r="DE258" s="43" t="s">
        <v>36</v>
      </c>
      <c r="DF258">
        <v>3</v>
      </c>
      <c r="DG258" t="s">
        <v>325</v>
      </c>
      <c r="DH258" s="43" t="s">
        <v>309</v>
      </c>
      <c r="DI258">
        <v>50.85</v>
      </c>
    </row>
    <row r="259" spans="107:113" x14ac:dyDescent="0.25">
      <c r="DC259" s="43" t="s">
        <v>42</v>
      </c>
      <c r="DD259" s="43" t="s">
        <v>26</v>
      </c>
      <c r="DE259" s="43" t="s">
        <v>36</v>
      </c>
      <c r="DF259">
        <v>3</v>
      </c>
      <c r="DG259" t="s">
        <v>325</v>
      </c>
      <c r="DH259" s="43" t="s">
        <v>268</v>
      </c>
      <c r="DI259">
        <v>66.95</v>
      </c>
    </row>
    <row r="260" spans="107:113" x14ac:dyDescent="0.25">
      <c r="DC260" s="43" t="s">
        <v>42</v>
      </c>
      <c r="DD260" s="43" t="s">
        <v>26</v>
      </c>
      <c r="DE260" s="43" t="s">
        <v>36</v>
      </c>
      <c r="DF260">
        <v>3</v>
      </c>
      <c r="DG260" t="s">
        <v>330</v>
      </c>
      <c r="DH260" s="43" t="s">
        <v>308</v>
      </c>
      <c r="DI260">
        <v>16.5</v>
      </c>
    </row>
    <row r="261" spans="107:113" x14ac:dyDescent="0.25">
      <c r="DC261" s="43" t="s">
        <v>42</v>
      </c>
      <c r="DD261" s="43" t="s">
        <v>26</v>
      </c>
      <c r="DE261" s="43" t="s">
        <v>36</v>
      </c>
      <c r="DF261">
        <v>3</v>
      </c>
      <c r="DG261" t="s">
        <v>330</v>
      </c>
      <c r="DH261" s="43" t="s">
        <v>309</v>
      </c>
      <c r="DI261">
        <v>47.5</v>
      </c>
    </row>
    <row r="262" spans="107:113" x14ac:dyDescent="0.25">
      <c r="DC262" s="43" t="s">
        <v>42</v>
      </c>
      <c r="DD262" s="43" t="s">
        <v>26</v>
      </c>
      <c r="DE262" s="43" t="s">
        <v>36</v>
      </c>
      <c r="DF262">
        <v>3</v>
      </c>
      <c r="DG262" t="s">
        <v>330</v>
      </c>
      <c r="DH262" s="43" t="s">
        <v>268</v>
      </c>
      <c r="DI262">
        <v>64</v>
      </c>
    </row>
    <row r="263" spans="107:113" x14ac:dyDescent="0.25">
      <c r="DC263" s="43" t="s">
        <v>42</v>
      </c>
      <c r="DD263" s="43" t="s">
        <v>26</v>
      </c>
      <c r="DE263" s="43" t="s">
        <v>36</v>
      </c>
      <c r="DF263">
        <v>3</v>
      </c>
      <c r="DG263" t="s">
        <v>331</v>
      </c>
      <c r="DH263" s="43" t="s">
        <v>308</v>
      </c>
      <c r="DI263">
        <v>15.000000000000002</v>
      </c>
    </row>
    <row r="264" spans="107:113" x14ac:dyDescent="0.25">
      <c r="DC264" s="43" t="s">
        <v>42</v>
      </c>
      <c r="DD264" s="43" t="s">
        <v>26</v>
      </c>
      <c r="DE264" s="43" t="s">
        <v>36</v>
      </c>
      <c r="DF264">
        <v>3</v>
      </c>
      <c r="DG264" t="s">
        <v>331</v>
      </c>
      <c r="DH264" s="43" t="s">
        <v>309</v>
      </c>
      <c r="DI264">
        <v>47.699999999999996</v>
      </c>
    </row>
    <row r="265" spans="107:113" x14ac:dyDescent="0.25">
      <c r="DC265" s="43" t="s">
        <v>42</v>
      </c>
      <c r="DD265" s="43" t="s">
        <v>26</v>
      </c>
      <c r="DE265" s="43" t="s">
        <v>36</v>
      </c>
      <c r="DF265">
        <v>3</v>
      </c>
      <c r="DG265" t="s">
        <v>331</v>
      </c>
      <c r="DH265" s="43" t="s">
        <v>268</v>
      </c>
      <c r="DI265">
        <v>62.7</v>
      </c>
    </row>
    <row r="266" spans="107:113" x14ac:dyDescent="0.25">
      <c r="DC266" s="43" t="s">
        <v>42</v>
      </c>
      <c r="DD266" s="43" t="s">
        <v>26</v>
      </c>
      <c r="DE266" s="43" t="s">
        <v>36</v>
      </c>
      <c r="DF266">
        <v>3</v>
      </c>
      <c r="DG266" t="s">
        <v>341</v>
      </c>
      <c r="DH266" s="43" t="s">
        <v>308</v>
      </c>
      <c r="DI266">
        <v>47.599999999999994</v>
      </c>
    </row>
    <row r="267" spans="107:113" x14ac:dyDescent="0.25">
      <c r="DC267" s="43" t="s">
        <v>42</v>
      </c>
      <c r="DD267" s="43" t="s">
        <v>26</v>
      </c>
      <c r="DE267" s="43" t="s">
        <v>36</v>
      </c>
      <c r="DF267">
        <v>3</v>
      </c>
      <c r="DG267" t="s">
        <v>341</v>
      </c>
      <c r="DH267" s="43" t="s">
        <v>309</v>
      </c>
      <c r="DI267">
        <v>146.05000000000001</v>
      </c>
    </row>
    <row r="268" spans="107:113" x14ac:dyDescent="0.25">
      <c r="DC268" s="43" t="s">
        <v>42</v>
      </c>
      <c r="DD268" s="43" t="s">
        <v>26</v>
      </c>
      <c r="DE268" s="43" t="s">
        <v>36</v>
      </c>
      <c r="DF268">
        <v>3</v>
      </c>
      <c r="DG268" t="s">
        <v>341</v>
      </c>
      <c r="DH268" s="43" t="s">
        <v>268</v>
      </c>
      <c r="DI268">
        <v>193.64999999999998</v>
      </c>
    </row>
    <row r="269" spans="107:113" x14ac:dyDescent="0.25">
      <c r="DC269" s="43" t="s">
        <v>42</v>
      </c>
      <c r="DD269" s="43" t="s">
        <v>26</v>
      </c>
      <c r="DE269" s="43" t="s">
        <v>36</v>
      </c>
      <c r="DF269">
        <v>3</v>
      </c>
      <c r="DG269" t="s">
        <v>273</v>
      </c>
      <c r="DH269" s="43" t="s">
        <v>308</v>
      </c>
      <c r="DI269">
        <v>15.866666666666665</v>
      </c>
    </row>
    <row r="270" spans="107:113" x14ac:dyDescent="0.25">
      <c r="DC270" s="43" t="s">
        <v>42</v>
      </c>
      <c r="DD270" s="43" t="s">
        <v>26</v>
      </c>
      <c r="DE270" s="43" t="s">
        <v>36</v>
      </c>
      <c r="DF270">
        <v>3</v>
      </c>
      <c r="DG270" t="s">
        <v>273</v>
      </c>
      <c r="DH270" s="43" t="s">
        <v>309</v>
      </c>
      <c r="DI270">
        <v>48.683333333333337</v>
      </c>
    </row>
    <row r="271" spans="107:113" x14ac:dyDescent="0.25">
      <c r="DC271" s="43" t="s">
        <v>42</v>
      </c>
      <c r="DD271" s="43" t="s">
        <v>26</v>
      </c>
      <c r="DE271" s="43" t="s">
        <v>36</v>
      </c>
      <c r="DF271">
        <v>3</v>
      </c>
      <c r="DG271" t="s">
        <v>273</v>
      </c>
      <c r="DH271" s="43" t="s">
        <v>268</v>
      </c>
      <c r="DI271">
        <v>64.55</v>
      </c>
    </row>
    <row r="272" spans="107:113" x14ac:dyDescent="0.25">
      <c r="DC272" s="43" t="s">
        <v>48</v>
      </c>
      <c r="DD272" s="43" t="s">
        <v>26</v>
      </c>
      <c r="DE272" s="43" t="s">
        <v>36</v>
      </c>
      <c r="DF272">
        <v>4</v>
      </c>
      <c r="DG272" t="s">
        <v>317</v>
      </c>
      <c r="DH272" s="43" t="s">
        <v>308</v>
      </c>
      <c r="DI272">
        <v>16.3</v>
      </c>
    </row>
    <row r="273" spans="107:113" x14ac:dyDescent="0.25">
      <c r="DC273" s="43" t="s">
        <v>48</v>
      </c>
      <c r="DD273" s="43" t="s">
        <v>26</v>
      </c>
      <c r="DE273" s="43" t="s">
        <v>36</v>
      </c>
      <c r="DF273">
        <v>4</v>
      </c>
      <c r="DG273" t="s">
        <v>317</v>
      </c>
      <c r="DH273" s="43" t="s">
        <v>309</v>
      </c>
      <c r="DI273">
        <v>42.8</v>
      </c>
    </row>
    <row r="274" spans="107:113" x14ac:dyDescent="0.25">
      <c r="DC274" s="43" t="s">
        <v>48</v>
      </c>
      <c r="DD274" s="43" t="s">
        <v>26</v>
      </c>
      <c r="DE274" s="43" t="s">
        <v>36</v>
      </c>
      <c r="DF274">
        <v>4</v>
      </c>
      <c r="DG274" t="s">
        <v>317</v>
      </c>
      <c r="DH274" s="43" t="s">
        <v>268</v>
      </c>
      <c r="DI274">
        <v>59.099999999999994</v>
      </c>
    </row>
    <row r="275" spans="107:113" x14ac:dyDescent="0.25">
      <c r="DC275" s="43" t="s">
        <v>48</v>
      </c>
      <c r="DD275" s="43" t="s">
        <v>26</v>
      </c>
      <c r="DE275" s="43" t="s">
        <v>36</v>
      </c>
      <c r="DF275">
        <v>4</v>
      </c>
      <c r="DG275" t="s">
        <v>325</v>
      </c>
      <c r="DH275" s="43" t="s">
        <v>308</v>
      </c>
      <c r="DI275">
        <v>15</v>
      </c>
    </row>
    <row r="276" spans="107:113" x14ac:dyDescent="0.25">
      <c r="DC276" s="43" t="s">
        <v>48</v>
      </c>
      <c r="DD276" s="43" t="s">
        <v>26</v>
      </c>
      <c r="DE276" s="43" t="s">
        <v>36</v>
      </c>
      <c r="DF276">
        <v>4</v>
      </c>
      <c r="DG276" t="s">
        <v>325</v>
      </c>
      <c r="DH276" s="43" t="s">
        <v>309</v>
      </c>
      <c r="DI276">
        <v>42.099999999999994</v>
      </c>
    </row>
    <row r="277" spans="107:113" x14ac:dyDescent="0.25">
      <c r="DC277" s="43" t="s">
        <v>48</v>
      </c>
      <c r="DD277" s="43" t="s">
        <v>26</v>
      </c>
      <c r="DE277" s="43" t="s">
        <v>36</v>
      </c>
      <c r="DF277">
        <v>4</v>
      </c>
      <c r="DG277" t="s">
        <v>325</v>
      </c>
      <c r="DH277" s="43" t="s">
        <v>268</v>
      </c>
      <c r="DI277">
        <v>57.1</v>
      </c>
    </row>
    <row r="278" spans="107:113" x14ac:dyDescent="0.25">
      <c r="DC278" s="43" t="s">
        <v>48</v>
      </c>
      <c r="DD278" s="43" t="s">
        <v>26</v>
      </c>
      <c r="DE278" s="43" t="s">
        <v>36</v>
      </c>
      <c r="DF278">
        <v>4</v>
      </c>
      <c r="DG278" t="s">
        <v>330</v>
      </c>
      <c r="DH278" s="43" t="s">
        <v>308</v>
      </c>
      <c r="DI278">
        <v>15.6</v>
      </c>
    </row>
    <row r="279" spans="107:113" x14ac:dyDescent="0.25">
      <c r="DC279" s="43" t="s">
        <v>48</v>
      </c>
      <c r="DD279" s="43" t="s">
        <v>26</v>
      </c>
      <c r="DE279" s="43" t="s">
        <v>36</v>
      </c>
      <c r="DF279">
        <v>4</v>
      </c>
      <c r="DG279" t="s">
        <v>330</v>
      </c>
      <c r="DH279" s="43" t="s">
        <v>309</v>
      </c>
      <c r="DI279">
        <v>44.150000000000006</v>
      </c>
    </row>
    <row r="280" spans="107:113" x14ac:dyDescent="0.25">
      <c r="DC280" s="43" t="s">
        <v>48</v>
      </c>
      <c r="DD280" s="43" t="s">
        <v>26</v>
      </c>
      <c r="DE280" s="43" t="s">
        <v>36</v>
      </c>
      <c r="DF280">
        <v>4</v>
      </c>
      <c r="DG280" t="s">
        <v>330</v>
      </c>
      <c r="DH280" s="43" t="s">
        <v>268</v>
      </c>
      <c r="DI280">
        <v>59.75</v>
      </c>
    </row>
    <row r="281" spans="107:113" x14ac:dyDescent="0.25">
      <c r="DC281" s="43" t="s">
        <v>48</v>
      </c>
      <c r="DD281" s="43" t="s">
        <v>26</v>
      </c>
      <c r="DE281" s="43" t="s">
        <v>36</v>
      </c>
      <c r="DF281">
        <v>4</v>
      </c>
      <c r="DG281" t="s">
        <v>331</v>
      </c>
      <c r="DH281" s="43" t="s">
        <v>308</v>
      </c>
      <c r="DI281">
        <v>13.9</v>
      </c>
    </row>
    <row r="282" spans="107:113" x14ac:dyDescent="0.25">
      <c r="DC282" s="43" t="s">
        <v>48</v>
      </c>
      <c r="DD282" s="43" t="s">
        <v>26</v>
      </c>
      <c r="DE282" s="43" t="s">
        <v>36</v>
      </c>
      <c r="DF282">
        <v>4</v>
      </c>
      <c r="DG282" t="s">
        <v>331</v>
      </c>
      <c r="DH282" s="43" t="s">
        <v>309</v>
      </c>
      <c r="DI282">
        <v>48.2</v>
      </c>
    </row>
    <row r="283" spans="107:113" x14ac:dyDescent="0.25">
      <c r="DC283" s="43" t="s">
        <v>48</v>
      </c>
      <c r="DD283" s="43" t="s">
        <v>26</v>
      </c>
      <c r="DE283" s="43" t="s">
        <v>36</v>
      </c>
      <c r="DF283">
        <v>4</v>
      </c>
      <c r="DG283" t="s">
        <v>331</v>
      </c>
      <c r="DH283" s="43" t="s">
        <v>268</v>
      </c>
      <c r="DI283">
        <v>62.1</v>
      </c>
    </row>
    <row r="284" spans="107:113" x14ac:dyDescent="0.25">
      <c r="DC284" s="43" t="s">
        <v>48</v>
      </c>
      <c r="DD284" s="43" t="s">
        <v>26</v>
      </c>
      <c r="DE284" s="43" t="s">
        <v>36</v>
      </c>
      <c r="DF284">
        <v>4</v>
      </c>
      <c r="DG284" t="s">
        <v>341</v>
      </c>
      <c r="DH284" s="43" t="s">
        <v>308</v>
      </c>
      <c r="DI284">
        <v>46.9</v>
      </c>
    </row>
    <row r="285" spans="107:113" x14ac:dyDescent="0.25">
      <c r="DC285" s="43" t="s">
        <v>48</v>
      </c>
      <c r="DD285" s="43" t="s">
        <v>26</v>
      </c>
      <c r="DE285" s="43" t="s">
        <v>36</v>
      </c>
      <c r="DF285">
        <v>4</v>
      </c>
      <c r="DG285" t="s">
        <v>341</v>
      </c>
      <c r="DH285" s="43" t="s">
        <v>309</v>
      </c>
      <c r="DI285">
        <v>135.15</v>
      </c>
    </row>
    <row r="286" spans="107:113" x14ac:dyDescent="0.25">
      <c r="DC286" s="43" t="s">
        <v>48</v>
      </c>
      <c r="DD286" s="43" t="s">
        <v>26</v>
      </c>
      <c r="DE286" s="43" t="s">
        <v>36</v>
      </c>
      <c r="DF286">
        <v>4</v>
      </c>
      <c r="DG286" t="s">
        <v>341</v>
      </c>
      <c r="DH286" s="43" t="s">
        <v>268</v>
      </c>
      <c r="DI286">
        <v>180.95</v>
      </c>
    </row>
    <row r="287" spans="107:113" x14ac:dyDescent="0.25">
      <c r="DC287" s="43" t="s">
        <v>48</v>
      </c>
      <c r="DD287" s="43" t="s">
        <v>26</v>
      </c>
      <c r="DE287" s="43" t="s">
        <v>36</v>
      </c>
      <c r="DF287">
        <v>4</v>
      </c>
      <c r="DG287" t="s">
        <v>273</v>
      </c>
      <c r="DH287" s="43" t="s">
        <v>308</v>
      </c>
      <c r="DI287">
        <v>15.633333333333333</v>
      </c>
    </row>
    <row r="288" spans="107:113" x14ac:dyDescent="0.25">
      <c r="DC288" s="43" t="s">
        <v>48</v>
      </c>
      <c r="DD288" s="43" t="s">
        <v>26</v>
      </c>
      <c r="DE288" s="43" t="s">
        <v>36</v>
      </c>
      <c r="DF288">
        <v>4</v>
      </c>
      <c r="DG288" t="s">
        <v>273</v>
      </c>
      <c r="DH288" s="43" t="s">
        <v>309</v>
      </c>
      <c r="DI288">
        <v>45.050000000000004</v>
      </c>
    </row>
    <row r="289" spans="107:113" x14ac:dyDescent="0.25">
      <c r="DC289" s="43" t="s">
        <v>48</v>
      </c>
      <c r="DD289" s="43" t="s">
        <v>26</v>
      </c>
      <c r="DE289" s="43" t="s">
        <v>36</v>
      </c>
      <c r="DF289">
        <v>4</v>
      </c>
      <c r="DG289" t="s">
        <v>273</v>
      </c>
      <c r="DH289" s="43" t="s">
        <v>268</v>
      </c>
      <c r="DI289">
        <v>60.316666666666663</v>
      </c>
    </row>
    <row r="290" spans="107:113" x14ac:dyDescent="0.25">
      <c r="DC290" s="43" t="s">
        <v>46</v>
      </c>
      <c r="DD290" s="43" t="s">
        <v>26</v>
      </c>
      <c r="DE290" s="43" t="s">
        <v>36</v>
      </c>
      <c r="DF290">
        <v>3</v>
      </c>
      <c r="DG290" t="s">
        <v>317</v>
      </c>
      <c r="DH290" s="43" t="s">
        <v>308</v>
      </c>
      <c r="DI290">
        <v>0</v>
      </c>
    </row>
    <row r="291" spans="107:113" x14ac:dyDescent="0.25">
      <c r="DC291" s="43" t="s">
        <v>46</v>
      </c>
      <c r="DD291" s="43" t="s">
        <v>26</v>
      </c>
      <c r="DE291" s="43" t="s">
        <v>36</v>
      </c>
      <c r="DF291">
        <v>3</v>
      </c>
      <c r="DG291" t="s">
        <v>317</v>
      </c>
      <c r="DH291" s="43" t="s">
        <v>309</v>
      </c>
      <c r="DI291">
        <v>0</v>
      </c>
    </row>
    <row r="292" spans="107:113" x14ac:dyDescent="0.25">
      <c r="DC292" s="43" t="s">
        <v>46</v>
      </c>
      <c r="DD292" s="43" t="s">
        <v>26</v>
      </c>
      <c r="DE292" s="43" t="s">
        <v>36</v>
      </c>
      <c r="DF292">
        <v>3</v>
      </c>
      <c r="DG292" t="s">
        <v>317</v>
      </c>
      <c r="DH292" s="43" t="s">
        <v>268</v>
      </c>
      <c r="DI292">
        <v>0</v>
      </c>
    </row>
    <row r="293" spans="107:113" x14ac:dyDescent="0.25">
      <c r="DC293" s="43" t="s">
        <v>46</v>
      </c>
      <c r="DD293" s="43" t="s">
        <v>26</v>
      </c>
      <c r="DE293" s="43" t="s">
        <v>36</v>
      </c>
      <c r="DF293">
        <v>3</v>
      </c>
      <c r="DG293" t="s">
        <v>325</v>
      </c>
      <c r="DH293" s="43" t="s">
        <v>308</v>
      </c>
      <c r="DI293">
        <v>12.600000000000001</v>
      </c>
    </row>
    <row r="294" spans="107:113" x14ac:dyDescent="0.25">
      <c r="DC294" s="43" t="s">
        <v>46</v>
      </c>
      <c r="DD294" s="43" t="s">
        <v>26</v>
      </c>
      <c r="DE294" s="43" t="s">
        <v>36</v>
      </c>
      <c r="DF294">
        <v>3</v>
      </c>
      <c r="DG294" t="s">
        <v>325</v>
      </c>
      <c r="DH294" s="43" t="s">
        <v>309</v>
      </c>
      <c r="DI294">
        <v>46.050000000000004</v>
      </c>
    </row>
    <row r="295" spans="107:113" x14ac:dyDescent="0.25">
      <c r="DC295" s="43" t="s">
        <v>46</v>
      </c>
      <c r="DD295" s="43" t="s">
        <v>26</v>
      </c>
      <c r="DE295" s="43" t="s">
        <v>36</v>
      </c>
      <c r="DF295">
        <v>3</v>
      </c>
      <c r="DG295" t="s">
        <v>325</v>
      </c>
      <c r="DH295" s="43" t="s">
        <v>268</v>
      </c>
      <c r="DI295">
        <v>58.65</v>
      </c>
    </row>
    <row r="296" spans="107:113" x14ac:dyDescent="0.25">
      <c r="DC296" s="43" t="s">
        <v>46</v>
      </c>
      <c r="DD296" s="43" t="s">
        <v>26</v>
      </c>
      <c r="DE296" s="43" t="s">
        <v>36</v>
      </c>
      <c r="DF296">
        <v>3</v>
      </c>
      <c r="DG296" t="s">
        <v>330</v>
      </c>
      <c r="DH296" s="43" t="s">
        <v>308</v>
      </c>
      <c r="DI296">
        <v>14</v>
      </c>
    </row>
    <row r="297" spans="107:113" x14ac:dyDescent="0.25">
      <c r="DC297" s="43" t="s">
        <v>46</v>
      </c>
      <c r="DD297" s="43" t="s">
        <v>26</v>
      </c>
      <c r="DE297" s="43" t="s">
        <v>36</v>
      </c>
      <c r="DF297">
        <v>3</v>
      </c>
      <c r="DG297" t="s">
        <v>330</v>
      </c>
      <c r="DH297" s="43" t="s">
        <v>309</v>
      </c>
      <c r="DI297">
        <v>42.45</v>
      </c>
    </row>
    <row r="298" spans="107:113" x14ac:dyDescent="0.25">
      <c r="DC298" s="43" t="s">
        <v>46</v>
      </c>
      <c r="DD298" s="43" t="s">
        <v>26</v>
      </c>
      <c r="DE298" s="43" t="s">
        <v>36</v>
      </c>
      <c r="DF298">
        <v>3</v>
      </c>
      <c r="DG298" t="s">
        <v>330</v>
      </c>
      <c r="DH298" s="43" t="s">
        <v>268</v>
      </c>
      <c r="DI298">
        <v>56.449999999999996</v>
      </c>
    </row>
    <row r="299" spans="107:113" x14ac:dyDescent="0.25">
      <c r="DC299" s="43" t="s">
        <v>46</v>
      </c>
      <c r="DD299" s="43" t="s">
        <v>26</v>
      </c>
      <c r="DE299" s="43" t="s">
        <v>36</v>
      </c>
      <c r="DF299">
        <v>3</v>
      </c>
      <c r="DG299" t="s">
        <v>331</v>
      </c>
      <c r="DH299" s="43" t="s">
        <v>308</v>
      </c>
      <c r="DI299">
        <v>12.600000000000001</v>
      </c>
    </row>
    <row r="300" spans="107:113" x14ac:dyDescent="0.25">
      <c r="DC300" s="43" t="s">
        <v>46</v>
      </c>
      <c r="DD300" s="43" t="s">
        <v>26</v>
      </c>
      <c r="DE300" s="43" t="s">
        <v>36</v>
      </c>
      <c r="DF300">
        <v>3</v>
      </c>
      <c r="DG300" t="s">
        <v>331</v>
      </c>
      <c r="DH300" s="43" t="s">
        <v>309</v>
      </c>
      <c r="DI300">
        <v>40.299999999999997</v>
      </c>
    </row>
    <row r="301" spans="107:113" x14ac:dyDescent="0.25">
      <c r="DC301" s="43" t="s">
        <v>46</v>
      </c>
      <c r="DD301" s="43" t="s">
        <v>26</v>
      </c>
      <c r="DE301" s="43" t="s">
        <v>36</v>
      </c>
      <c r="DF301">
        <v>3</v>
      </c>
      <c r="DG301" t="s">
        <v>331</v>
      </c>
      <c r="DH301" s="43" t="s">
        <v>268</v>
      </c>
      <c r="DI301">
        <v>52.9</v>
      </c>
    </row>
    <row r="302" spans="107:113" x14ac:dyDescent="0.25">
      <c r="DC302" s="43" t="s">
        <v>46</v>
      </c>
      <c r="DD302" s="43" t="s">
        <v>26</v>
      </c>
      <c r="DE302" s="43" t="s">
        <v>36</v>
      </c>
      <c r="DF302">
        <v>3</v>
      </c>
      <c r="DG302" t="s">
        <v>341</v>
      </c>
      <c r="DH302" s="43" t="s">
        <v>308</v>
      </c>
      <c r="DI302">
        <v>39.200000000000003</v>
      </c>
    </row>
    <row r="303" spans="107:113" x14ac:dyDescent="0.25">
      <c r="DC303" s="43" t="s">
        <v>46</v>
      </c>
      <c r="DD303" s="43" t="s">
        <v>26</v>
      </c>
      <c r="DE303" s="43" t="s">
        <v>36</v>
      </c>
      <c r="DF303">
        <v>3</v>
      </c>
      <c r="DG303" t="s">
        <v>341</v>
      </c>
      <c r="DH303" s="43" t="s">
        <v>309</v>
      </c>
      <c r="DI303">
        <v>128.80000000000001</v>
      </c>
    </row>
    <row r="304" spans="107:113" x14ac:dyDescent="0.25">
      <c r="DC304" s="43" t="s">
        <v>46</v>
      </c>
      <c r="DD304" s="43" t="s">
        <v>26</v>
      </c>
      <c r="DE304" s="43" t="s">
        <v>36</v>
      </c>
      <c r="DF304">
        <v>3</v>
      </c>
      <c r="DG304" t="s">
        <v>341</v>
      </c>
      <c r="DH304" s="43" t="s">
        <v>268</v>
      </c>
      <c r="DI304">
        <v>168</v>
      </c>
    </row>
    <row r="305" spans="107:113" x14ac:dyDescent="0.25">
      <c r="DC305" s="43" t="s">
        <v>46</v>
      </c>
      <c r="DD305" s="43" t="s">
        <v>26</v>
      </c>
      <c r="DE305" s="43" t="s">
        <v>36</v>
      </c>
      <c r="DF305">
        <v>3</v>
      </c>
      <c r="DG305" t="s">
        <v>273</v>
      </c>
      <c r="DH305" s="43" t="s">
        <v>308</v>
      </c>
      <c r="DI305">
        <v>13.066666666666668</v>
      </c>
    </row>
    <row r="306" spans="107:113" x14ac:dyDescent="0.25">
      <c r="DC306" s="43" t="s">
        <v>46</v>
      </c>
      <c r="DD306" s="43" t="s">
        <v>26</v>
      </c>
      <c r="DE306" s="43" t="s">
        <v>36</v>
      </c>
      <c r="DF306">
        <v>3</v>
      </c>
      <c r="DG306" t="s">
        <v>273</v>
      </c>
      <c r="DH306" s="43" t="s">
        <v>309</v>
      </c>
      <c r="DI306">
        <v>42.933333333333337</v>
      </c>
    </row>
    <row r="307" spans="107:113" x14ac:dyDescent="0.25">
      <c r="DC307" s="43" t="s">
        <v>46</v>
      </c>
      <c r="DD307" s="43" t="s">
        <v>26</v>
      </c>
      <c r="DE307" s="43" t="s">
        <v>36</v>
      </c>
      <c r="DF307">
        <v>3</v>
      </c>
      <c r="DG307" t="s">
        <v>273</v>
      </c>
      <c r="DH307" s="43" t="s">
        <v>268</v>
      </c>
      <c r="DI307">
        <v>56</v>
      </c>
    </row>
    <row r="308" spans="107:113" x14ac:dyDescent="0.25">
      <c r="DC308" s="43" t="s">
        <v>82</v>
      </c>
      <c r="DD308" s="43" t="s">
        <v>60</v>
      </c>
      <c r="DE308" s="43" t="s">
        <v>36</v>
      </c>
      <c r="DF308">
        <v>2</v>
      </c>
      <c r="DG308" t="s">
        <v>317</v>
      </c>
      <c r="DH308" s="43" t="s">
        <v>308</v>
      </c>
      <c r="DI308">
        <v>0</v>
      </c>
    </row>
    <row r="309" spans="107:113" x14ac:dyDescent="0.25">
      <c r="DC309" s="43" t="s">
        <v>82</v>
      </c>
      <c r="DD309" s="43" t="s">
        <v>60</v>
      </c>
      <c r="DE309" s="43" t="s">
        <v>36</v>
      </c>
      <c r="DF309">
        <v>2</v>
      </c>
      <c r="DG309" t="s">
        <v>317</v>
      </c>
      <c r="DH309" s="43" t="s">
        <v>309</v>
      </c>
      <c r="DI309">
        <v>0</v>
      </c>
    </row>
    <row r="310" spans="107:113" x14ac:dyDescent="0.25">
      <c r="DC310" s="43" t="s">
        <v>82</v>
      </c>
      <c r="DD310" s="43" t="s">
        <v>60</v>
      </c>
      <c r="DE310" s="43" t="s">
        <v>36</v>
      </c>
      <c r="DF310">
        <v>2</v>
      </c>
      <c r="DG310" t="s">
        <v>317</v>
      </c>
      <c r="DH310" s="43" t="s">
        <v>268</v>
      </c>
      <c r="DI310">
        <v>0</v>
      </c>
    </row>
    <row r="311" spans="107:113" x14ac:dyDescent="0.25">
      <c r="DC311" s="43" t="s">
        <v>82</v>
      </c>
      <c r="DD311" s="43" t="s">
        <v>60</v>
      </c>
      <c r="DE311" s="43" t="s">
        <v>36</v>
      </c>
      <c r="DF311">
        <v>2</v>
      </c>
      <c r="DG311" t="s">
        <v>325</v>
      </c>
      <c r="DH311" s="43" t="s">
        <v>308</v>
      </c>
      <c r="DI311">
        <v>21.900000000000002</v>
      </c>
    </row>
    <row r="312" spans="107:113" x14ac:dyDescent="0.25">
      <c r="DC312" s="43" t="s">
        <v>82</v>
      </c>
      <c r="DD312" s="43" t="s">
        <v>60</v>
      </c>
      <c r="DE312" s="43" t="s">
        <v>36</v>
      </c>
      <c r="DF312">
        <v>2</v>
      </c>
      <c r="DG312" t="s">
        <v>325</v>
      </c>
      <c r="DH312" s="43" t="s">
        <v>309</v>
      </c>
      <c r="DI312">
        <v>46.95</v>
      </c>
    </row>
    <row r="313" spans="107:113" x14ac:dyDescent="0.25">
      <c r="DC313" s="43" t="s">
        <v>82</v>
      </c>
      <c r="DD313" s="43" t="s">
        <v>60</v>
      </c>
      <c r="DE313" s="43" t="s">
        <v>36</v>
      </c>
      <c r="DF313">
        <v>2</v>
      </c>
      <c r="DG313" t="s">
        <v>325</v>
      </c>
      <c r="DH313" s="43" t="s">
        <v>268</v>
      </c>
      <c r="DI313">
        <v>68.849999999999994</v>
      </c>
    </row>
    <row r="314" spans="107:113" x14ac:dyDescent="0.25">
      <c r="DC314" s="43" t="s">
        <v>82</v>
      </c>
      <c r="DD314" s="43" t="s">
        <v>60</v>
      </c>
      <c r="DE314" s="43" t="s">
        <v>36</v>
      </c>
      <c r="DF314">
        <v>2</v>
      </c>
      <c r="DG314" t="s">
        <v>330</v>
      </c>
      <c r="DH314" s="43" t="s">
        <v>308</v>
      </c>
      <c r="DI314">
        <v>18.399999999999999</v>
      </c>
    </row>
    <row r="315" spans="107:113" x14ac:dyDescent="0.25">
      <c r="DC315" s="43" t="s">
        <v>82</v>
      </c>
      <c r="DD315" s="43" t="s">
        <v>60</v>
      </c>
      <c r="DE315" s="43" t="s">
        <v>36</v>
      </c>
      <c r="DF315">
        <v>2</v>
      </c>
      <c r="DG315" t="s">
        <v>330</v>
      </c>
      <c r="DH315" s="43" t="s">
        <v>309</v>
      </c>
      <c r="DI315">
        <v>38.9</v>
      </c>
    </row>
    <row r="316" spans="107:113" x14ac:dyDescent="0.25">
      <c r="DC316" s="43" t="s">
        <v>82</v>
      </c>
      <c r="DD316" s="43" t="s">
        <v>60</v>
      </c>
      <c r="DE316" s="43" t="s">
        <v>36</v>
      </c>
      <c r="DF316">
        <v>2</v>
      </c>
      <c r="DG316" t="s">
        <v>330</v>
      </c>
      <c r="DH316" s="43" t="s">
        <v>268</v>
      </c>
      <c r="DI316">
        <v>57.3</v>
      </c>
    </row>
    <row r="317" spans="107:113" x14ac:dyDescent="0.25">
      <c r="DC317" s="43" t="s">
        <v>82</v>
      </c>
      <c r="DD317" s="43" t="s">
        <v>60</v>
      </c>
      <c r="DE317" s="43" t="s">
        <v>36</v>
      </c>
      <c r="DF317">
        <v>2</v>
      </c>
      <c r="DG317" t="s">
        <v>331</v>
      </c>
      <c r="DH317" s="43" t="s">
        <v>308</v>
      </c>
      <c r="DI317">
        <v>21.400000000000002</v>
      </c>
    </row>
    <row r="318" spans="107:113" x14ac:dyDescent="0.25">
      <c r="DC318" s="43" t="s">
        <v>82</v>
      </c>
      <c r="DD318" s="43" t="s">
        <v>60</v>
      </c>
      <c r="DE318" s="43" t="s">
        <v>36</v>
      </c>
      <c r="DF318">
        <v>2</v>
      </c>
      <c r="DG318" t="s">
        <v>331</v>
      </c>
      <c r="DH318" s="43" t="s">
        <v>309</v>
      </c>
      <c r="DI318">
        <v>48</v>
      </c>
    </row>
    <row r="319" spans="107:113" x14ac:dyDescent="0.25">
      <c r="DC319" s="43" t="s">
        <v>82</v>
      </c>
      <c r="DD319" s="43" t="s">
        <v>60</v>
      </c>
      <c r="DE319" s="43" t="s">
        <v>36</v>
      </c>
      <c r="DF319">
        <v>2</v>
      </c>
      <c r="DG319" t="s">
        <v>331</v>
      </c>
      <c r="DH319" s="43" t="s">
        <v>268</v>
      </c>
      <c r="DI319">
        <v>69.399999999999991</v>
      </c>
    </row>
    <row r="320" spans="107:113" x14ac:dyDescent="0.25">
      <c r="DC320" s="43" t="s">
        <v>82</v>
      </c>
      <c r="DD320" s="43" t="s">
        <v>60</v>
      </c>
      <c r="DE320" s="43" t="s">
        <v>36</v>
      </c>
      <c r="DF320">
        <v>2</v>
      </c>
      <c r="DG320" t="s">
        <v>341</v>
      </c>
      <c r="DH320" s="43" t="s">
        <v>308</v>
      </c>
      <c r="DI320">
        <v>0</v>
      </c>
    </row>
    <row r="321" spans="107:113" x14ac:dyDescent="0.25">
      <c r="DC321" s="43" t="s">
        <v>82</v>
      </c>
      <c r="DD321" s="43" t="s">
        <v>60</v>
      </c>
      <c r="DE321" s="43" t="s">
        <v>36</v>
      </c>
      <c r="DF321">
        <v>2</v>
      </c>
      <c r="DG321" t="s">
        <v>341</v>
      </c>
      <c r="DH321" s="43" t="s">
        <v>309</v>
      </c>
      <c r="DI321">
        <v>0</v>
      </c>
    </row>
    <row r="322" spans="107:113" x14ac:dyDescent="0.25">
      <c r="DC322" s="43" t="s">
        <v>82</v>
      </c>
      <c r="DD322" s="43" t="s">
        <v>60</v>
      </c>
      <c r="DE322" s="43" t="s">
        <v>36</v>
      </c>
      <c r="DF322">
        <v>2</v>
      </c>
      <c r="DG322" t="s">
        <v>341</v>
      </c>
      <c r="DH322" s="43" t="s">
        <v>268</v>
      </c>
      <c r="DI322">
        <v>0</v>
      </c>
    </row>
    <row r="323" spans="107:113" x14ac:dyDescent="0.25">
      <c r="DC323" s="43" t="s">
        <v>82</v>
      </c>
      <c r="DD323" s="43" t="s">
        <v>60</v>
      </c>
      <c r="DE323" s="43" t="s">
        <v>36</v>
      </c>
      <c r="DF323">
        <v>2</v>
      </c>
      <c r="DG323" t="s">
        <v>273</v>
      </c>
      <c r="DH323" s="43" t="s">
        <v>308</v>
      </c>
      <c r="DI323">
        <v>0</v>
      </c>
    </row>
    <row r="324" spans="107:113" x14ac:dyDescent="0.25">
      <c r="DC324" s="43" t="s">
        <v>82</v>
      </c>
      <c r="DD324" s="43" t="s">
        <v>60</v>
      </c>
      <c r="DE324" s="43" t="s">
        <v>36</v>
      </c>
      <c r="DF324">
        <v>2</v>
      </c>
      <c r="DG324" t="s">
        <v>273</v>
      </c>
      <c r="DH324" s="43" t="s">
        <v>309</v>
      </c>
      <c r="DI324">
        <v>0</v>
      </c>
    </row>
    <row r="325" spans="107:113" x14ac:dyDescent="0.25">
      <c r="DC325" s="43" t="s">
        <v>82</v>
      </c>
      <c r="DD325" s="43" t="s">
        <v>60</v>
      </c>
      <c r="DE325" s="43" t="s">
        <v>36</v>
      </c>
      <c r="DF325">
        <v>2</v>
      </c>
      <c r="DG325" t="s">
        <v>273</v>
      </c>
      <c r="DH325" s="43" t="s">
        <v>268</v>
      </c>
      <c r="DI325">
        <v>0</v>
      </c>
    </row>
    <row r="326" spans="107:113" x14ac:dyDescent="0.25">
      <c r="DC326" s="43" t="s">
        <v>127</v>
      </c>
      <c r="DD326" s="43" t="s">
        <v>60</v>
      </c>
      <c r="DE326" s="43" t="s">
        <v>72</v>
      </c>
      <c r="DF326">
        <v>2</v>
      </c>
      <c r="DG326" t="s">
        <v>317</v>
      </c>
      <c r="DH326" s="43" t="s">
        <v>308</v>
      </c>
      <c r="DI326">
        <v>24.300000000000004</v>
      </c>
    </row>
    <row r="327" spans="107:113" x14ac:dyDescent="0.25">
      <c r="DC327" s="43" t="s">
        <v>127</v>
      </c>
      <c r="DD327" s="43" t="s">
        <v>60</v>
      </c>
      <c r="DE327" s="43" t="s">
        <v>72</v>
      </c>
      <c r="DF327">
        <v>2</v>
      </c>
      <c r="DG327" t="s">
        <v>317</v>
      </c>
      <c r="DH327" s="43" t="s">
        <v>309</v>
      </c>
      <c r="DI327">
        <v>49.849999999999994</v>
      </c>
    </row>
    <row r="328" spans="107:113" x14ac:dyDescent="0.25">
      <c r="DC328" s="43" t="s">
        <v>127</v>
      </c>
      <c r="DD328" s="43" t="s">
        <v>60</v>
      </c>
      <c r="DE328" s="43" t="s">
        <v>72</v>
      </c>
      <c r="DF328">
        <v>2</v>
      </c>
      <c r="DG328" t="s">
        <v>317</v>
      </c>
      <c r="DH328" s="43" t="s">
        <v>268</v>
      </c>
      <c r="DI328">
        <v>74.150000000000006</v>
      </c>
    </row>
    <row r="329" spans="107:113" x14ac:dyDescent="0.25">
      <c r="DC329" s="43" t="s">
        <v>127</v>
      </c>
      <c r="DD329" s="43" t="s">
        <v>60</v>
      </c>
      <c r="DE329" s="43" t="s">
        <v>72</v>
      </c>
      <c r="DF329">
        <v>2</v>
      </c>
      <c r="DG329" t="s">
        <v>325</v>
      </c>
      <c r="DH329" s="43" t="s">
        <v>308</v>
      </c>
      <c r="DI329">
        <v>0</v>
      </c>
    </row>
    <row r="330" spans="107:113" x14ac:dyDescent="0.25">
      <c r="DC330" s="43" t="s">
        <v>127</v>
      </c>
      <c r="DD330" s="43" t="s">
        <v>60</v>
      </c>
      <c r="DE330" s="43" t="s">
        <v>72</v>
      </c>
      <c r="DF330">
        <v>2</v>
      </c>
      <c r="DG330" t="s">
        <v>325</v>
      </c>
      <c r="DH330" s="43" t="s">
        <v>309</v>
      </c>
      <c r="DI330">
        <v>0</v>
      </c>
    </row>
    <row r="331" spans="107:113" x14ac:dyDescent="0.25">
      <c r="DC331" s="43" t="s">
        <v>127</v>
      </c>
      <c r="DD331" s="43" t="s">
        <v>60</v>
      </c>
      <c r="DE331" s="43" t="s">
        <v>72</v>
      </c>
      <c r="DF331">
        <v>2</v>
      </c>
      <c r="DG331" t="s">
        <v>325</v>
      </c>
      <c r="DH331" s="43" t="s">
        <v>268</v>
      </c>
      <c r="DI331">
        <v>0</v>
      </c>
    </row>
    <row r="332" spans="107:113" x14ac:dyDescent="0.25">
      <c r="DC332" s="43" t="s">
        <v>127</v>
      </c>
      <c r="DD332" s="43" t="s">
        <v>60</v>
      </c>
      <c r="DE332" s="43" t="s">
        <v>72</v>
      </c>
      <c r="DF332">
        <v>2</v>
      </c>
      <c r="DG332" t="s">
        <v>330</v>
      </c>
      <c r="DH332" s="43" t="s">
        <v>308</v>
      </c>
      <c r="DI332">
        <v>23.900000000000002</v>
      </c>
    </row>
    <row r="333" spans="107:113" x14ac:dyDescent="0.25">
      <c r="DC333" s="43" t="s">
        <v>127</v>
      </c>
      <c r="DD333" s="43" t="s">
        <v>60</v>
      </c>
      <c r="DE333" s="43" t="s">
        <v>72</v>
      </c>
      <c r="DF333">
        <v>2</v>
      </c>
      <c r="DG333" t="s">
        <v>330</v>
      </c>
      <c r="DH333" s="43" t="s">
        <v>309</v>
      </c>
      <c r="DI333">
        <v>48.149999999999991</v>
      </c>
    </row>
    <row r="334" spans="107:113" x14ac:dyDescent="0.25">
      <c r="DC334" s="43" t="s">
        <v>127</v>
      </c>
      <c r="DD334" s="43" t="s">
        <v>60</v>
      </c>
      <c r="DE334" s="43" t="s">
        <v>72</v>
      </c>
      <c r="DF334">
        <v>2</v>
      </c>
      <c r="DG334" t="s">
        <v>330</v>
      </c>
      <c r="DH334" s="43" t="s">
        <v>268</v>
      </c>
      <c r="DI334">
        <v>72.05</v>
      </c>
    </row>
    <row r="335" spans="107:113" x14ac:dyDescent="0.25">
      <c r="DC335" s="43" t="s">
        <v>127</v>
      </c>
      <c r="DD335" s="43" t="s">
        <v>60</v>
      </c>
      <c r="DE335" s="43" t="s">
        <v>72</v>
      </c>
      <c r="DF335">
        <v>2</v>
      </c>
      <c r="DG335" t="s">
        <v>331</v>
      </c>
      <c r="DH335" s="43" t="s">
        <v>308</v>
      </c>
      <c r="DI335">
        <v>0</v>
      </c>
    </row>
    <row r="336" spans="107:113" x14ac:dyDescent="0.25">
      <c r="DC336" s="43" t="s">
        <v>127</v>
      </c>
      <c r="DD336" s="43" t="s">
        <v>60</v>
      </c>
      <c r="DE336" s="43" t="s">
        <v>72</v>
      </c>
      <c r="DF336">
        <v>2</v>
      </c>
      <c r="DG336" t="s">
        <v>331</v>
      </c>
      <c r="DH336" s="43" t="s">
        <v>309</v>
      </c>
      <c r="DI336">
        <v>0</v>
      </c>
    </row>
    <row r="337" spans="107:113" x14ac:dyDescent="0.25">
      <c r="DC337" s="43" t="s">
        <v>127</v>
      </c>
      <c r="DD337" s="43" t="s">
        <v>60</v>
      </c>
      <c r="DE337" s="43" t="s">
        <v>72</v>
      </c>
      <c r="DF337">
        <v>2</v>
      </c>
      <c r="DG337" t="s">
        <v>331</v>
      </c>
      <c r="DH337" s="43" t="s">
        <v>268</v>
      </c>
      <c r="DI337">
        <v>0</v>
      </c>
    </row>
    <row r="338" spans="107:113" x14ac:dyDescent="0.25">
      <c r="DC338" s="43" t="s">
        <v>127</v>
      </c>
      <c r="DD338" s="43" t="s">
        <v>60</v>
      </c>
      <c r="DE338" s="43" t="s">
        <v>72</v>
      </c>
      <c r="DF338">
        <v>2</v>
      </c>
      <c r="DG338" t="s">
        <v>341</v>
      </c>
      <c r="DH338" s="43" t="s">
        <v>308</v>
      </c>
      <c r="DI338">
        <v>0</v>
      </c>
    </row>
    <row r="339" spans="107:113" x14ac:dyDescent="0.25">
      <c r="DC339" s="43" t="s">
        <v>127</v>
      </c>
      <c r="DD339" s="43" t="s">
        <v>60</v>
      </c>
      <c r="DE339" s="43" t="s">
        <v>72</v>
      </c>
      <c r="DF339">
        <v>2</v>
      </c>
      <c r="DG339" t="s">
        <v>341</v>
      </c>
      <c r="DH339" s="43" t="s">
        <v>309</v>
      </c>
      <c r="DI339">
        <v>0</v>
      </c>
    </row>
    <row r="340" spans="107:113" x14ac:dyDescent="0.25">
      <c r="DC340" s="43" t="s">
        <v>127</v>
      </c>
      <c r="DD340" s="43" t="s">
        <v>60</v>
      </c>
      <c r="DE340" s="43" t="s">
        <v>72</v>
      </c>
      <c r="DF340">
        <v>2</v>
      </c>
      <c r="DG340" t="s">
        <v>341</v>
      </c>
      <c r="DH340" s="43" t="s">
        <v>268</v>
      </c>
      <c r="DI340">
        <v>0</v>
      </c>
    </row>
    <row r="341" spans="107:113" x14ac:dyDescent="0.25">
      <c r="DC341" s="43" t="s">
        <v>127</v>
      </c>
      <c r="DD341" s="43" t="s">
        <v>60</v>
      </c>
      <c r="DE341" s="43" t="s">
        <v>72</v>
      </c>
      <c r="DF341">
        <v>2</v>
      </c>
      <c r="DG341" t="s">
        <v>273</v>
      </c>
      <c r="DH341" s="43" t="s">
        <v>308</v>
      </c>
      <c r="DI341">
        <v>0</v>
      </c>
    </row>
    <row r="342" spans="107:113" x14ac:dyDescent="0.25">
      <c r="DC342" s="43" t="s">
        <v>127</v>
      </c>
      <c r="DD342" s="43" t="s">
        <v>60</v>
      </c>
      <c r="DE342" s="43" t="s">
        <v>72</v>
      </c>
      <c r="DF342">
        <v>2</v>
      </c>
      <c r="DG342" t="s">
        <v>273</v>
      </c>
      <c r="DH342" s="43" t="s">
        <v>309</v>
      </c>
      <c r="DI342">
        <v>0</v>
      </c>
    </row>
    <row r="343" spans="107:113" x14ac:dyDescent="0.25">
      <c r="DC343" s="43" t="s">
        <v>127</v>
      </c>
      <c r="DD343" s="43" t="s">
        <v>60</v>
      </c>
      <c r="DE343" s="43" t="s">
        <v>72</v>
      </c>
      <c r="DF343">
        <v>2</v>
      </c>
      <c r="DG343" t="s">
        <v>273</v>
      </c>
      <c r="DH343" s="43" t="s">
        <v>268</v>
      </c>
      <c r="DI343">
        <v>0</v>
      </c>
    </row>
    <row r="344" spans="107:113" x14ac:dyDescent="0.25">
      <c r="DC344" s="43" t="s">
        <v>116</v>
      </c>
      <c r="DD344" s="43" t="s">
        <v>60</v>
      </c>
      <c r="DE344" s="43" t="s">
        <v>62</v>
      </c>
      <c r="DF344">
        <v>2</v>
      </c>
      <c r="DG344" t="s">
        <v>317</v>
      </c>
      <c r="DH344" s="43" t="s">
        <v>308</v>
      </c>
      <c r="DI344">
        <v>0</v>
      </c>
    </row>
    <row r="345" spans="107:113" x14ac:dyDescent="0.25">
      <c r="DC345" s="43" t="s">
        <v>116</v>
      </c>
      <c r="DD345" s="43" t="s">
        <v>60</v>
      </c>
      <c r="DE345" s="43" t="s">
        <v>62</v>
      </c>
      <c r="DF345">
        <v>2</v>
      </c>
      <c r="DG345" t="s">
        <v>317</v>
      </c>
      <c r="DH345" s="43" t="s">
        <v>309</v>
      </c>
      <c r="DI345">
        <v>0</v>
      </c>
    </row>
    <row r="346" spans="107:113" x14ac:dyDescent="0.25">
      <c r="DC346" s="43" t="s">
        <v>116</v>
      </c>
      <c r="DD346" s="43" t="s">
        <v>60</v>
      </c>
      <c r="DE346" s="43" t="s">
        <v>62</v>
      </c>
      <c r="DF346">
        <v>2</v>
      </c>
      <c r="DG346" t="s">
        <v>317</v>
      </c>
      <c r="DH346" s="43" t="s">
        <v>268</v>
      </c>
      <c r="DI346">
        <v>0</v>
      </c>
    </row>
    <row r="347" spans="107:113" x14ac:dyDescent="0.25">
      <c r="DC347" s="43" t="s">
        <v>116</v>
      </c>
      <c r="DD347" s="43" t="s">
        <v>60</v>
      </c>
      <c r="DE347" s="43" t="s">
        <v>62</v>
      </c>
      <c r="DF347">
        <v>2</v>
      </c>
      <c r="DG347" t="s">
        <v>325</v>
      </c>
      <c r="DH347" s="43" t="s">
        <v>308</v>
      </c>
      <c r="DI347">
        <v>0</v>
      </c>
    </row>
    <row r="348" spans="107:113" x14ac:dyDescent="0.25">
      <c r="DC348" s="43" t="s">
        <v>116</v>
      </c>
      <c r="DD348" s="43" t="s">
        <v>60</v>
      </c>
      <c r="DE348" s="43" t="s">
        <v>62</v>
      </c>
      <c r="DF348">
        <v>2</v>
      </c>
      <c r="DG348" t="s">
        <v>325</v>
      </c>
      <c r="DH348" s="43" t="s">
        <v>309</v>
      </c>
      <c r="DI348">
        <v>0</v>
      </c>
    </row>
    <row r="349" spans="107:113" x14ac:dyDescent="0.25">
      <c r="DC349" s="43" t="s">
        <v>116</v>
      </c>
      <c r="DD349" s="43" t="s">
        <v>60</v>
      </c>
      <c r="DE349" s="43" t="s">
        <v>62</v>
      </c>
      <c r="DF349">
        <v>2</v>
      </c>
      <c r="DG349" t="s">
        <v>325</v>
      </c>
      <c r="DH349" s="43" t="s">
        <v>268</v>
      </c>
      <c r="DI349">
        <v>0</v>
      </c>
    </row>
    <row r="350" spans="107:113" x14ac:dyDescent="0.25">
      <c r="DC350" s="43" t="s">
        <v>116</v>
      </c>
      <c r="DD350" s="43" t="s">
        <v>60</v>
      </c>
      <c r="DE350" s="43" t="s">
        <v>62</v>
      </c>
      <c r="DF350">
        <v>2</v>
      </c>
      <c r="DG350" t="s">
        <v>330</v>
      </c>
      <c r="DH350" s="43" t="s">
        <v>308</v>
      </c>
      <c r="DI350">
        <v>28.9</v>
      </c>
    </row>
    <row r="351" spans="107:113" x14ac:dyDescent="0.25">
      <c r="DC351" s="43" t="s">
        <v>116</v>
      </c>
      <c r="DD351" s="43" t="s">
        <v>60</v>
      </c>
      <c r="DE351" s="43" t="s">
        <v>62</v>
      </c>
      <c r="DF351">
        <v>2</v>
      </c>
      <c r="DG351" t="s">
        <v>330</v>
      </c>
      <c r="DH351" s="43" t="s">
        <v>309</v>
      </c>
      <c r="DI351">
        <v>44.050000000000004</v>
      </c>
    </row>
    <row r="352" spans="107:113" x14ac:dyDescent="0.25">
      <c r="DC352" s="43" t="s">
        <v>116</v>
      </c>
      <c r="DD352" s="43" t="s">
        <v>60</v>
      </c>
      <c r="DE352" s="43" t="s">
        <v>62</v>
      </c>
      <c r="DF352">
        <v>2</v>
      </c>
      <c r="DG352" t="s">
        <v>330</v>
      </c>
      <c r="DH352" s="43" t="s">
        <v>268</v>
      </c>
      <c r="DI352">
        <v>72.95</v>
      </c>
    </row>
    <row r="353" spans="107:113" x14ac:dyDescent="0.25">
      <c r="DC353" s="43" t="s">
        <v>116</v>
      </c>
      <c r="DD353" s="43" t="s">
        <v>60</v>
      </c>
      <c r="DE353" s="43" t="s">
        <v>62</v>
      </c>
      <c r="DF353">
        <v>2</v>
      </c>
      <c r="DG353" t="s">
        <v>331</v>
      </c>
      <c r="DH353" s="43" t="s">
        <v>308</v>
      </c>
      <c r="DI353">
        <v>30.099999999999998</v>
      </c>
    </row>
    <row r="354" spans="107:113" x14ac:dyDescent="0.25">
      <c r="DC354" s="43" t="s">
        <v>116</v>
      </c>
      <c r="DD354" s="43" t="s">
        <v>60</v>
      </c>
      <c r="DE354" s="43" t="s">
        <v>62</v>
      </c>
      <c r="DF354">
        <v>2</v>
      </c>
      <c r="DG354" t="s">
        <v>331</v>
      </c>
      <c r="DH354" s="43" t="s">
        <v>309</v>
      </c>
      <c r="DI354">
        <v>41.599999999999994</v>
      </c>
    </row>
    <row r="355" spans="107:113" x14ac:dyDescent="0.25">
      <c r="DC355" s="43" t="s">
        <v>116</v>
      </c>
      <c r="DD355" s="43" t="s">
        <v>60</v>
      </c>
      <c r="DE355" s="43" t="s">
        <v>62</v>
      </c>
      <c r="DF355">
        <v>2</v>
      </c>
      <c r="DG355" t="s">
        <v>331</v>
      </c>
      <c r="DH355" s="43" t="s">
        <v>268</v>
      </c>
      <c r="DI355">
        <v>71.699999999999989</v>
      </c>
    </row>
    <row r="356" spans="107:113" x14ac:dyDescent="0.25">
      <c r="DC356" s="43" t="s">
        <v>116</v>
      </c>
      <c r="DD356" s="43" t="s">
        <v>60</v>
      </c>
      <c r="DE356" s="43" t="s">
        <v>62</v>
      </c>
      <c r="DF356">
        <v>2</v>
      </c>
      <c r="DG356" t="s">
        <v>341</v>
      </c>
      <c r="DH356" s="43" t="s">
        <v>308</v>
      </c>
      <c r="DI356">
        <v>0</v>
      </c>
    </row>
    <row r="357" spans="107:113" x14ac:dyDescent="0.25">
      <c r="DC357" s="43" t="s">
        <v>116</v>
      </c>
      <c r="DD357" s="43" t="s">
        <v>60</v>
      </c>
      <c r="DE357" s="43" t="s">
        <v>62</v>
      </c>
      <c r="DF357">
        <v>2</v>
      </c>
      <c r="DG357" t="s">
        <v>341</v>
      </c>
      <c r="DH357" s="43" t="s">
        <v>309</v>
      </c>
      <c r="DI357">
        <v>0</v>
      </c>
    </row>
    <row r="358" spans="107:113" x14ac:dyDescent="0.25">
      <c r="DC358" s="43" t="s">
        <v>116</v>
      </c>
      <c r="DD358" s="43" t="s">
        <v>60</v>
      </c>
      <c r="DE358" s="43" t="s">
        <v>62</v>
      </c>
      <c r="DF358">
        <v>2</v>
      </c>
      <c r="DG358" t="s">
        <v>341</v>
      </c>
      <c r="DH358" s="43" t="s">
        <v>268</v>
      </c>
      <c r="DI358">
        <v>0</v>
      </c>
    </row>
    <row r="359" spans="107:113" x14ac:dyDescent="0.25">
      <c r="DC359" s="43" t="s">
        <v>116</v>
      </c>
      <c r="DD359" s="43" t="s">
        <v>60</v>
      </c>
      <c r="DE359" s="43" t="s">
        <v>62</v>
      </c>
      <c r="DF359">
        <v>2</v>
      </c>
      <c r="DG359" t="s">
        <v>273</v>
      </c>
      <c r="DH359" s="43" t="s">
        <v>308</v>
      </c>
      <c r="DI359">
        <v>0</v>
      </c>
    </row>
    <row r="360" spans="107:113" x14ac:dyDescent="0.25">
      <c r="DC360" s="43" t="s">
        <v>116</v>
      </c>
      <c r="DD360" s="43" t="s">
        <v>60</v>
      </c>
      <c r="DE360" s="43" t="s">
        <v>62</v>
      </c>
      <c r="DF360">
        <v>2</v>
      </c>
      <c r="DG360" t="s">
        <v>273</v>
      </c>
      <c r="DH360" s="43" t="s">
        <v>309</v>
      </c>
      <c r="DI360">
        <v>0</v>
      </c>
    </row>
    <row r="361" spans="107:113" x14ac:dyDescent="0.25">
      <c r="DC361" s="43" t="s">
        <v>116</v>
      </c>
      <c r="DD361" s="43" t="s">
        <v>60</v>
      </c>
      <c r="DE361" s="43" t="s">
        <v>62</v>
      </c>
      <c r="DF361">
        <v>2</v>
      </c>
      <c r="DG361" t="s">
        <v>273</v>
      </c>
      <c r="DH361" s="43" t="s">
        <v>268</v>
      </c>
      <c r="DI361">
        <v>0</v>
      </c>
    </row>
    <row r="362" spans="107:113" x14ac:dyDescent="0.25">
      <c r="DC362" s="43" t="s">
        <v>65</v>
      </c>
      <c r="DD362" s="43" t="s">
        <v>60</v>
      </c>
      <c r="DE362" s="43" t="s">
        <v>67</v>
      </c>
      <c r="DF362">
        <v>2</v>
      </c>
      <c r="DG362" t="s">
        <v>317</v>
      </c>
      <c r="DH362" s="43" t="s">
        <v>308</v>
      </c>
      <c r="DI362">
        <v>0</v>
      </c>
    </row>
    <row r="363" spans="107:113" x14ac:dyDescent="0.25">
      <c r="DC363" s="43" t="s">
        <v>65</v>
      </c>
      <c r="DD363" s="43" t="s">
        <v>60</v>
      </c>
      <c r="DE363" s="43" t="s">
        <v>67</v>
      </c>
      <c r="DF363">
        <v>2</v>
      </c>
      <c r="DG363" t="s">
        <v>317</v>
      </c>
      <c r="DH363" s="43" t="s">
        <v>309</v>
      </c>
      <c r="DI363">
        <v>0</v>
      </c>
    </row>
    <row r="364" spans="107:113" x14ac:dyDescent="0.25">
      <c r="DC364" s="43" t="s">
        <v>65</v>
      </c>
      <c r="DD364" s="43" t="s">
        <v>60</v>
      </c>
      <c r="DE364" s="43" t="s">
        <v>67</v>
      </c>
      <c r="DF364">
        <v>2</v>
      </c>
      <c r="DG364" t="s">
        <v>317</v>
      </c>
      <c r="DH364" s="43" t="s">
        <v>268</v>
      </c>
      <c r="DI364">
        <v>0</v>
      </c>
    </row>
    <row r="365" spans="107:113" x14ac:dyDescent="0.25">
      <c r="DC365" s="43" t="s">
        <v>65</v>
      </c>
      <c r="DD365" s="43" t="s">
        <v>60</v>
      </c>
      <c r="DE365" s="43" t="s">
        <v>67</v>
      </c>
      <c r="DF365">
        <v>2</v>
      </c>
      <c r="DG365" t="s">
        <v>325</v>
      </c>
      <c r="DH365" s="43" t="s">
        <v>308</v>
      </c>
      <c r="DI365">
        <v>21.3</v>
      </c>
    </row>
    <row r="366" spans="107:113" x14ac:dyDescent="0.25">
      <c r="DC366" s="43" t="s">
        <v>65</v>
      </c>
      <c r="DD366" s="43" t="s">
        <v>60</v>
      </c>
      <c r="DE366" s="43" t="s">
        <v>67</v>
      </c>
      <c r="DF366">
        <v>2</v>
      </c>
      <c r="DG366" t="s">
        <v>325</v>
      </c>
      <c r="DH366" s="43" t="s">
        <v>309</v>
      </c>
      <c r="DI366">
        <v>50.750000000000007</v>
      </c>
    </row>
    <row r="367" spans="107:113" x14ac:dyDescent="0.25">
      <c r="DC367" s="43" t="s">
        <v>65</v>
      </c>
      <c r="DD367" s="43" t="s">
        <v>60</v>
      </c>
      <c r="DE367" s="43" t="s">
        <v>67</v>
      </c>
      <c r="DF367">
        <v>2</v>
      </c>
      <c r="DG367" t="s">
        <v>325</v>
      </c>
      <c r="DH367" s="43" t="s">
        <v>268</v>
      </c>
      <c r="DI367">
        <v>72.050000000000011</v>
      </c>
    </row>
    <row r="368" spans="107:113" x14ac:dyDescent="0.25">
      <c r="DC368" s="43" t="s">
        <v>65</v>
      </c>
      <c r="DD368" s="43" t="s">
        <v>60</v>
      </c>
      <c r="DE368" s="43" t="s">
        <v>67</v>
      </c>
      <c r="DF368">
        <v>2</v>
      </c>
      <c r="DG368" t="s">
        <v>330</v>
      </c>
      <c r="DH368" s="43" t="s">
        <v>308</v>
      </c>
      <c r="DI368">
        <v>0</v>
      </c>
    </row>
    <row r="369" spans="107:113" x14ac:dyDescent="0.25">
      <c r="DC369" s="43" t="s">
        <v>65</v>
      </c>
      <c r="DD369" s="43" t="s">
        <v>60</v>
      </c>
      <c r="DE369" s="43" t="s">
        <v>67</v>
      </c>
      <c r="DF369">
        <v>2</v>
      </c>
      <c r="DG369" t="s">
        <v>330</v>
      </c>
      <c r="DH369" s="43" t="s">
        <v>309</v>
      </c>
      <c r="DI369">
        <v>0</v>
      </c>
    </row>
    <row r="370" spans="107:113" x14ac:dyDescent="0.25">
      <c r="DC370" s="43" t="s">
        <v>65</v>
      </c>
      <c r="DD370" s="43" t="s">
        <v>60</v>
      </c>
      <c r="DE370" s="43" t="s">
        <v>67</v>
      </c>
      <c r="DF370">
        <v>2</v>
      </c>
      <c r="DG370" t="s">
        <v>330</v>
      </c>
      <c r="DH370" s="43" t="s">
        <v>268</v>
      </c>
      <c r="DI370">
        <v>0</v>
      </c>
    </row>
    <row r="371" spans="107:113" x14ac:dyDescent="0.25">
      <c r="DC371" s="43" t="s">
        <v>65</v>
      </c>
      <c r="DD371" s="43" t="s">
        <v>60</v>
      </c>
      <c r="DE371" s="43" t="s">
        <v>67</v>
      </c>
      <c r="DF371">
        <v>2</v>
      </c>
      <c r="DG371" t="s">
        <v>331</v>
      </c>
      <c r="DH371" s="43" t="s">
        <v>308</v>
      </c>
      <c r="DI371">
        <v>22</v>
      </c>
    </row>
    <row r="372" spans="107:113" x14ac:dyDescent="0.25">
      <c r="DC372" s="43" t="s">
        <v>65</v>
      </c>
      <c r="DD372" s="43" t="s">
        <v>60</v>
      </c>
      <c r="DE372" s="43" t="s">
        <v>67</v>
      </c>
      <c r="DF372">
        <v>2</v>
      </c>
      <c r="DG372" t="s">
        <v>331</v>
      </c>
      <c r="DH372" s="43" t="s">
        <v>309</v>
      </c>
      <c r="DI372">
        <v>49.3</v>
      </c>
    </row>
    <row r="373" spans="107:113" x14ac:dyDescent="0.25">
      <c r="DC373" s="43" t="s">
        <v>65</v>
      </c>
      <c r="DD373" s="43" t="s">
        <v>60</v>
      </c>
      <c r="DE373" s="43" t="s">
        <v>67</v>
      </c>
      <c r="DF373">
        <v>2</v>
      </c>
      <c r="DG373" t="s">
        <v>331</v>
      </c>
      <c r="DH373" s="43" t="s">
        <v>268</v>
      </c>
      <c r="DI373">
        <v>71.3</v>
      </c>
    </row>
    <row r="374" spans="107:113" x14ac:dyDescent="0.25">
      <c r="DC374" s="43" t="s">
        <v>65</v>
      </c>
      <c r="DD374" s="43" t="s">
        <v>60</v>
      </c>
      <c r="DE374" s="43" t="s">
        <v>67</v>
      </c>
      <c r="DF374">
        <v>2</v>
      </c>
      <c r="DG374" t="s">
        <v>341</v>
      </c>
      <c r="DH374" s="43" t="s">
        <v>308</v>
      </c>
      <c r="DI374">
        <v>0</v>
      </c>
    </row>
    <row r="375" spans="107:113" x14ac:dyDescent="0.25">
      <c r="DC375" s="43" t="s">
        <v>65</v>
      </c>
      <c r="DD375" s="43" t="s">
        <v>60</v>
      </c>
      <c r="DE375" s="43" t="s">
        <v>67</v>
      </c>
      <c r="DF375">
        <v>2</v>
      </c>
      <c r="DG375" t="s">
        <v>341</v>
      </c>
      <c r="DH375" s="43" t="s">
        <v>309</v>
      </c>
      <c r="DI375">
        <v>0</v>
      </c>
    </row>
    <row r="376" spans="107:113" x14ac:dyDescent="0.25">
      <c r="DC376" s="43" t="s">
        <v>65</v>
      </c>
      <c r="DD376" s="43" t="s">
        <v>60</v>
      </c>
      <c r="DE376" s="43" t="s">
        <v>67</v>
      </c>
      <c r="DF376">
        <v>2</v>
      </c>
      <c r="DG376" t="s">
        <v>341</v>
      </c>
      <c r="DH376" s="43" t="s">
        <v>268</v>
      </c>
      <c r="DI376">
        <v>0</v>
      </c>
    </row>
    <row r="377" spans="107:113" x14ac:dyDescent="0.25">
      <c r="DC377" s="43" t="s">
        <v>65</v>
      </c>
      <c r="DD377" s="43" t="s">
        <v>60</v>
      </c>
      <c r="DE377" s="43" t="s">
        <v>67</v>
      </c>
      <c r="DF377">
        <v>2</v>
      </c>
      <c r="DG377" t="s">
        <v>273</v>
      </c>
      <c r="DH377" s="43" t="s">
        <v>308</v>
      </c>
      <c r="DI377">
        <v>0</v>
      </c>
    </row>
    <row r="378" spans="107:113" x14ac:dyDescent="0.25">
      <c r="DC378" s="43" t="s">
        <v>65</v>
      </c>
      <c r="DD378" s="43" t="s">
        <v>60</v>
      </c>
      <c r="DE378" s="43" t="s">
        <v>67</v>
      </c>
      <c r="DF378">
        <v>2</v>
      </c>
      <c r="DG378" t="s">
        <v>273</v>
      </c>
      <c r="DH378" s="43" t="s">
        <v>309</v>
      </c>
      <c r="DI378">
        <v>0</v>
      </c>
    </row>
    <row r="379" spans="107:113" x14ac:dyDescent="0.25">
      <c r="DC379" s="43" t="s">
        <v>65</v>
      </c>
      <c r="DD379" s="43" t="s">
        <v>60</v>
      </c>
      <c r="DE379" s="43" t="s">
        <v>67</v>
      </c>
      <c r="DF379">
        <v>2</v>
      </c>
      <c r="DG379" t="s">
        <v>273</v>
      </c>
      <c r="DH379" s="43" t="s">
        <v>268</v>
      </c>
      <c r="DI379">
        <v>0</v>
      </c>
    </row>
    <row r="380" spans="107:113" x14ac:dyDescent="0.25">
      <c r="DC380" s="43" t="s">
        <v>75</v>
      </c>
      <c r="DD380" s="43" t="s">
        <v>60</v>
      </c>
      <c r="DE380" s="43" t="s">
        <v>28</v>
      </c>
      <c r="DF380">
        <v>2</v>
      </c>
      <c r="DG380" t="s">
        <v>317</v>
      </c>
      <c r="DH380" s="43" t="s">
        <v>308</v>
      </c>
      <c r="DI380">
        <v>0</v>
      </c>
    </row>
    <row r="381" spans="107:113" x14ac:dyDescent="0.25">
      <c r="DC381" s="43" t="s">
        <v>75</v>
      </c>
      <c r="DD381" s="43" t="s">
        <v>60</v>
      </c>
      <c r="DE381" s="43" t="s">
        <v>28</v>
      </c>
      <c r="DF381">
        <v>2</v>
      </c>
      <c r="DG381" t="s">
        <v>317</v>
      </c>
      <c r="DH381" s="43" t="s">
        <v>309</v>
      </c>
      <c r="DI381">
        <v>0</v>
      </c>
    </row>
    <row r="382" spans="107:113" x14ac:dyDescent="0.25">
      <c r="DC382" s="43" t="s">
        <v>75</v>
      </c>
      <c r="DD382" s="43" t="s">
        <v>60</v>
      </c>
      <c r="DE382" s="43" t="s">
        <v>28</v>
      </c>
      <c r="DF382">
        <v>2</v>
      </c>
      <c r="DG382" t="s">
        <v>317</v>
      </c>
      <c r="DH382" s="43" t="s">
        <v>268</v>
      </c>
      <c r="DI382">
        <v>0</v>
      </c>
    </row>
    <row r="383" spans="107:113" x14ac:dyDescent="0.25">
      <c r="DC383" s="43" t="s">
        <v>75</v>
      </c>
      <c r="DD383" s="43" t="s">
        <v>60</v>
      </c>
      <c r="DE383" s="43" t="s">
        <v>28</v>
      </c>
      <c r="DF383">
        <v>2</v>
      </c>
      <c r="DG383" t="s">
        <v>325</v>
      </c>
      <c r="DH383" s="43" t="s">
        <v>308</v>
      </c>
      <c r="DI383">
        <v>20.7</v>
      </c>
    </row>
    <row r="384" spans="107:113" x14ac:dyDescent="0.25">
      <c r="DC384" s="43" t="s">
        <v>75</v>
      </c>
      <c r="DD384" s="43" t="s">
        <v>60</v>
      </c>
      <c r="DE384" s="43" t="s">
        <v>28</v>
      </c>
      <c r="DF384">
        <v>2</v>
      </c>
      <c r="DG384" t="s">
        <v>325</v>
      </c>
      <c r="DH384" s="43" t="s">
        <v>309</v>
      </c>
      <c r="DI384">
        <v>48.949999999999996</v>
      </c>
    </row>
    <row r="385" spans="107:113" x14ac:dyDescent="0.25">
      <c r="DC385" s="43" t="s">
        <v>75</v>
      </c>
      <c r="DD385" s="43" t="s">
        <v>60</v>
      </c>
      <c r="DE385" s="43" t="s">
        <v>28</v>
      </c>
      <c r="DF385">
        <v>2</v>
      </c>
      <c r="DG385" t="s">
        <v>325</v>
      </c>
      <c r="DH385" s="43" t="s">
        <v>268</v>
      </c>
      <c r="DI385">
        <v>69.649999999999991</v>
      </c>
    </row>
    <row r="386" spans="107:113" x14ac:dyDescent="0.25">
      <c r="DC386" s="43" t="s">
        <v>75</v>
      </c>
      <c r="DD386" s="43" t="s">
        <v>60</v>
      </c>
      <c r="DE386" s="43" t="s">
        <v>28</v>
      </c>
      <c r="DF386">
        <v>2</v>
      </c>
      <c r="DG386" t="s">
        <v>330</v>
      </c>
      <c r="DH386" s="43" t="s">
        <v>308</v>
      </c>
      <c r="DI386">
        <v>20.7</v>
      </c>
    </row>
    <row r="387" spans="107:113" x14ac:dyDescent="0.25">
      <c r="DC387" s="43" t="s">
        <v>75</v>
      </c>
      <c r="DD387" s="43" t="s">
        <v>60</v>
      </c>
      <c r="DE387" s="43" t="s">
        <v>28</v>
      </c>
      <c r="DF387">
        <v>2</v>
      </c>
      <c r="DG387" t="s">
        <v>330</v>
      </c>
      <c r="DH387" s="43" t="s">
        <v>309</v>
      </c>
      <c r="DI387">
        <v>50.4</v>
      </c>
    </row>
    <row r="388" spans="107:113" x14ac:dyDescent="0.25">
      <c r="DC388" s="43" t="s">
        <v>75</v>
      </c>
      <c r="DD388" s="43" t="s">
        <v>60</v>
      </c>
      <c r="DE388" s="43" t="s">
        <v>28</v>
      </c>
      <c r="DF388">
        <v>2</v>
      </c>
      <c r="DG388" t="s">
        <v>330</v>
      </c>
      <c r="DH388" s="43" t="s">
        <v>268</v>
      </c>
      <c r="DI388">
        <v>71.100000000000009</v>
      </c>
    </row>
    <row r="389" spans="107:113" x14ac:dyDescent="0.25">
      <c r="DC389" s="43" t="s">
        <v>75</v>
      </c>
      <c r="DD389" s="43" t="s">
        <v>60</v>
      </c>
      <c r="DE389" s="43" t="s">
        <v>28</v>
      </c>
      <c r="DF389">
        <v>2</v>
      </c>
      <c r="DG389" t="s">
        <v>331</v>
      </c>
      <c r="DH389" s="43" t="s">
        <v>308</v>
      </c>
      <c r="DI389">
        <v>0</v>
      </c>
    </row>
    <row r="390" spans="107:113" x14ac:dyDescent="0.25">
      <c r="DC390" s="43" t="s">
        <v>75</v>
      </c>
      <c r="DD390" s="43" t="s">
        <v>60</v>
      </c>
      <c r="DE390" s="43" t="s">
        <v>28</v>
      </c>
      <c r="DF390">
        <v>2</v>
      </c>
      <c r="DG390" t="s">
        <v>331</v>
      </c>
      <c r="DH390" s="43" t="s">
        <v>309</v>
      </c>
      <c r="DI390">
        <v>0</v>
      </c>
    </row>
    <row r="391" spans="107:113" x14ac:dyDescent="0.25">
      <c r="DC391" s="43" t="s">
        <v>75</v>
      </c>
      <c r="DD391" s="43" t="s">
        <v>60</v>
      </c>
      <c r="DE391" s="43" t="s">
        <v>28</v>
      </c>
      <c r="DF391">
        <v>2</v>
      </c>
      <c r="DG391" t="s">
        <v>331</v>
      </c>
      <c r="DH391" s="43" t="s">
        <v>268</v>
      </c>
      <c r="DI391">
        <v>0</v>
      </c>
    </row>
    <row r="392" spans="107:113" x14ac:dyDescent="0.25">
      <c r="DC392" s="43" t="s">
        <v>75</v>
      </c>
      <c r="DD392" s="43" t="s">
        <v>60</v>
      </c>
      <c r="DE392" s="43" t="s">
        <v>28</v>
      </c>
      <c r="DF392">
        <v>2</v>
      </c>
      <c r="DG392" t="s">
        <v>341</v>
      </c>
      <c r="DH392" s="43" t="s">
        <v>308</v>
      </c>
      <c r="DI392">
        <v>0</v>
      </c>
    </row>
    <row r="393" spans="107:113" x14ac:dyDescent="0.25">
      <c r="DC393" s="43" t="s">
        <v>75</v>
      </c>
      <c r="DD393" s="43" t="s">
        <v>60</v>
      </c>
      <c r="DE393" s="43" t="s">
        <v>28</v>
      </c>
      <c r="DF393">
        <v>2</v>
      </c>
      <c r="DG393" t="s">
        <v>341</v>
      </c>
      <c r="DH393" s="43" t="s">
        <v>309</v>
      </c>
      <c r="DI393">
        <v>0</v>
      </c>
    </row>
    <row r="394" spans="107:113" x14ac:dyDescent="0.25">
      <c r="DC394" s="43" t="s">
        <v>75</v>
      </c>
      <c r="DD394" s="43" t="s">
        <v>60</v>
      </c>
      <c r="DE394" s="43" t="s">
        <v>28</v>
      </c>
      <c r="DF394">
        <v>2</v>
      </c>
      <c r="DG394" t="s">
        <v>341</v>
      </c>
      <c r="DH394" s="43" t="s">
        <v>268</v>
      </c>
      <c r="DI394">
        <v>0</v>
      </c>
    </row>
    <row r="395" spans="107:113" x14ac:dyDescent="0.25">
      <c r="DC395" s="43" t="s">
        <v>75</v>
      </c>
      <c r="DD395" s="43" t="s">
        <v>60</v>
      </c>
      <c r="DE395" s="43" t="s">
        <v>28</v>
      </c>
      <c r="DF395">
        <v>2</v>
      </c>
      <c r="DG395" t="s">
        <v>273</v>
      </c>
      <c r="DH395" s="43" t="s">
        <v>308</v>
      </c>
      <c r="DI395">
        <v>0</v>
      </c>
    </row>
    <row r="396" spans="107:113" x14ac:dyDescent="0.25">
      <c r="DC396" s="43" t="s">
        <v>75</v>
      </c>
      <c r="DD396" s="43" t="s">
        <v>60</v>
      </c>
      <c r="DE396" s="43" t="s">
        <v>28</v>
      </c>
      <c r="DF396">
        <v>2</v>
      </c>
      <c r="DG396" t="s">
        <v>273</v>
      </c>
      <c r="DH396" s="43" t="s">
        <v>309</v>
      </c>
      <c r="DI396">
        <v>0</v>
      </c>
    </row>
    <row r="397" spans="107:113" x14ac:dyDescent="0.25">
      <c r="DC397" s="43" t="s">
        <v>75</v>
      </c>
      <c r="DD397" s="43" t="s">
        <v>60</v>
      </c>
      <c r="DE397" s="43" t="s">
        <v>28</v>
      </c>
      <c r="DF397">
        <v>2</v>
      </c>
      <c r="DG397" t="s">
        <v>273</v>
      </c>
      <c r="DH397" s="43" t="s">
        <v>268</v>
      </c>
      <c r="DI397">
        <v>0</v>
      </c>
    </row>
    <row r="398" spans="107:113" x14ac:dyDescent="0.25">
      <c r="DC398" s="43" t="s">
        <v>112</v>
      </c>
      <c r="DD398" s="43" t="s">
        <v>26</v>
      </c>
      <c r="DE398" s="43" t="s">
        <v>31</v>
      </c>
      <c r="DF398">
        <v>2</v>
      </c>
      <c r="DG398" t="s">
        <v>317</v>
      </c>
      <c r="DH398" s="43" t="s">
        <v>308</v>
      </c>
      <c r="DI398">
        <v>25.6</v>
      </c>
    </row>
    <row r="399" spans="107:113" x14ac:dyDescent="0.25">
      <c r="DC399" s="43" t="s">
        <v>112</v>
      </c>
      <c r="DD399" s="43" t="s">
        <v>26</v>
      </c>
      <c r="DE399" s="43" t="s">
        <v>31</v>
      </c>
      <c r="DF399">
        <v>2</v>
      </c>
      <c r="DG399" t="s">
        <v>317</v>
      </c>
      <c r="DH399" s="43" t="s">
        <v>309</v>
      </c>
      <c r="DI399">
        <v>43.3</v>
      </c>
    </row>
    <row r="400" spans="107:113" x14ac:dyDescent="0.25">
      <c r="DC400" s="43" t="s">
        <v>112</v>
      </c>
      <c r="DD400" s="43" t="s">
        <v>26</v>
      </c>
      <c r="DE400" s="43" t="s">
        <v>31</v>
      </c>
      <c r="DF400">
        <v>2</v>
      </c>
      <c r="DG400" t="s">
        <v>317</v>
      </c>
      <c r="DH400" s="43" t="s">
        <v>268</v>
      </c>
      <c r="DI400">
        <v>68.900000000000006</v>
      </c>
    </row>
    <row r="401" spans="107:113" x14ac:dyDescent="0.25">
      <c r="DC401" s="43" t="s">
        <v>112</v>
      </c>
      <c r="DD401" s="43" t="s">
        <v>26</v>
      </c>
      <c r="DE401" s="43" t="s">
        <v>31</v>
      </c>
      <c r="DF401">
        <v>2</v>
      </c>
      <c r="DG401" t="s">
        <v>325</v>
      </c>
      <c r="DH401" s="43" t="s">
        <v>308</v>
      </c>
      <c r="DI401">
        <v>0</v>
      </c>
    </row>
    <row r="402" spans="107:113" x14ac:dyDescent="0.25">
      <c r="DC402" s="43" t="s">
        <v>112</v>
      </c>
      <c r="DD402" s="43" t="s">
        <v>26</v>
      </c>
      <c r="DE402" s="43" t="s">
        <v>31</v>
      </c>
      <c r="DF402">
        <v>2</v>
      </c>
      <c r="DG402" t="s">
        <v>325</v>
      </c>
      <c r="DH402" s="43" t="s">
        <v>309</v>
      </c>
      <c r="DI402">
        <v>0</v>
      </c>
    </row>
    <row r="403" spans="107:113" x14ac:dyDescent="0.25">
      <c r="DC403" s="43" t="s">
        <v>112</v>
      </c>
      <c r="DD403" s="43" t="s">
        <v>26</v>
      </c>
      <c r="DE403" s="43" t="s">
        <v>31</v>
      </c>
      <c r="DF403">
        <v>2</v>
      </c>
      <c r="DG403" t="s">
        <v>325</v>
      </c>
      <c r="DH403" s="43" t="s">
        <v>268</v>
      </c>
      <c r="DI403">
        <v>0</v>
      </c>
    </row>
    <row r="404" spans="107:113" x14ac:dyDescent="0.25">
      <c r="DC404" s="43" t="s">
        <v>112</v>
      </c>
      <c r="DD404" s="43" t="s">
        <v>26</v>
      </c>
      <c r="DE404" s="43" t="s">
        <v>31</v>
      </c>
      <c r="DF404">
        <v>2</v>
      </c>
      <c r="DG404" t="s">
        <v>330</v>
      </c>
      <c r="DH404" s="43" t="s">
        <v>308</v>
      </c>
      <c r="DI404">
        <v>0</v>
      </c>
    </row>
    <row r="405" spans="107:113" x14ac:dyDescent="0.25">
      <c r="DC405" s="43" t="s">
        <v>112</v>
      </c>
      <c r="DD405" s="43" t="s">
        <v>26</v>
      </c>
      <c r="DE405" s="43" t="s">
        <v>31</v>
      </c>
      <c r="DF405">
        <v>2</v>
      </c>
      <c r="DG405" t="s">
        <v>330</v>
      </c>
      <c r="DH405" s="43" t="s">
        <v>309</v>
      </c>
      <c r="DI405">
        <v>0</v>
      </c>
    </row>
    <row r="406" spans="107:113" x14ac:dyDescent="0.25">
      <c r="DC406" s="43" t="s">
        <v>112</v>
      </c>
      <c r="DD406" s="43" t="s">
        <v>26</v>
      </c>
      <c r="DE406" s="43" t="s">
        <v>31</v>
      </c>
      <c r="DF406">
        <v>2</v>
      </c>
      <c r="DG406" t="s">
        <v>330</v>
      </c>
      <c r="DH406" s="43" t="s">
        <v>268</v>
      </c>
      <c r="DI406">
        <v>0</v>
      </c>
    </row>
    <row r="407" spans="107:113" x14ac:dyDescent="0.25">
      <c r="DC407" s="43" t="s">
        <v>112</v>
      </c>
      <c r="DD407" s="43" t="s">
        <v>26</v>
      </c>
      <c r="DE407" s="43" t="s">
        <v>31</v>
      </c>
      <c r="DF407">
        <v>2</v>
      </c>
      <c r="DG407" t="s">
        <v>331</v>
      </c>
      <c r="DH407" s="43" t="s">
        <v>308</v>
      </c>
      <c r="DI407">
        <v>19.5</v>
      </c>
    </row>
    <row r="408" spans="107:113" x14ac:dyDescent="0.25">
      <c r="DC408" s="43" t="s">
        <v>112</v>
      </c>
      <c r="DD408" s="43" t="s">
        <v>26</v>
      </c>
      <c r="DE408" s="43" t="s">
        <v>31</v>
      </c>
      <c r="DF408">
        <v>2</v>
      </c>
      <c r="DG408" t="s">
        <v>331</v>
      </c>
      <c r="DH408" s="43" t="s">
        <v>309</v>
      </c>
      <c r="DI408">
        <v>43.8</v>
      </c>
    </row>
    <row r="409" spans="107:113" x14ac:dyDescent="0.25">
      <c r="DC409" s="43" t="s">
        <v>112</v>
      </c>
      <c r="DD409" s="43" t="s">
        <v>26</v>
      </c>
      <c r="DE409" s="43" t="s">
        <v>31</v>
      </c>
      <c r="DF409">
        <v>2</v>
      </c>
      <c r="DG409" t="s">
        <v>331</v>
      </c>
      <c r="DH409" s="43" t="s">
        <v>268</v>
      </c>
      <c r="DI409">
        <v>63.3</v>
      </c>
    </row>
    <row r="410" spans="107:113" x14ac:dyDescent="0.25">
      <c r="DC410" s="43" t="s">
        <v>112</v>
      </c>
      <c r="DD410" s="43" t="s">
        <v>26</v>
      </c>
      <c r="DE410" s="43" t="s">
        <v>31</v>
      </c>
      <c r="DF410">
        <v>2</v>
      </c>
      <c r="DG410" t="s">
        <v>341</v>
      </c>
      <c r="DH410" s="43" t="s">
        <v>308</v>
      </c>
      <c r="DI410">
        <v>0</v>
      </c>
    </row>
    <row r="411" spans="107:113" x14ac:dyDescent="0.25">
      <c r="DC411" s="43" t="s">
        <v>112</v>
      </c>
      <c r="DD411" s="43" t="s">
        <v>26</v>
      </c>
      <c r="DE411" s="43" t="s">
        <v>31</v>
      </c>
      <c r="DF411">
        <v>2</v>
      </c>
      <c r="DG411" t="s">
        <v>341</v>
      </c>
      <c r="DH411" s="43" t="s">
        <v>309</v>
      </c>
      <c r="DI411">
        <v>0</v>
      </c>
    </row>
    <row r="412" spans="107:113" x14ac:dyDescent="0.25">
      <c r="DC412" s="43" t="s">
        <v>112</v>
      </c>
      <c r="DD412" s="43" t="s">
        <v>26</v>
      </c>
      <c r="DE412" s="43" t="s">
        <v>31</v>
      </c>
      <c r="DF412">
        <v>2</v>
      </c>
      <c r="DG412" t="s">
        <v>341</v>
      </c>
      <c r="DH412" s="43" t="s">
        <v>268</v>
      </c>
      <c r="DI412">
        <v>0</v>
      </c>
    </row>
    <row r="413" spans="107:113" x14ac:dyDescent="0.25">
      <c r="DC413" s="43" t="s">
        <v>112</v>
      </c>
      <c r="DD413" s="43" t="s">
        <v>26</v>
      </c>
      <c r="DE413" s="43" t="s">
        <v>31</v>
      </c>
      <c r="DF413">
        <v>2</v>
      </c>
      <c r="DG413" t="s">
        <v>273</v>
      </c>
      <c r="DH413" s="43" t="s">
        <v>308</v>
      </c>
      <c r="DI413">
        <v>0</v>
      </c>
    </row>
    <row r="414" spans="107:113" x14ac:dyDescent="0.25">
      <c r="DC414" s="43" t="s">
        <v>112</v>
      </c>
      <c r="DD414" s="43" t="s">
        <v>26</v>
      </c>
      <c r="DE414" s="43" t="s">
        <v>31</v>
      </c>
      <c r="DF414">
        <v>2</v>
      </c>
      <c r="DG414" t="s">
        <v>273</v>
      </c>
      <c r="DH414" s="43" t="s">
        <v>309</v>
      </c>
      <c r="DI414">
        <v>0</v>
      </c>
    </row>
    <row r="415" spans="107:113" x14ac:dyDescent="0.25">
      <c r="DC415" s="43" t="s">
        <v>112</v>
      </c>
      <c r="DD415" s="43" t="s">
        <v>26</v>
      </c>
      <c r="DE415" s="43" t="s">
        <v>31</v>
      </c>
      <c r="DF415">
        <v>2</v>
      </c>
      <c r="DG415" t="s">
        <v>273</v>
      </c>
      <c r="DH415" s="43" t="s">
        <v>268</v>
      </c>
      <c r="DI415">
        <v>0</v>
      </c>
    </row>
    <row r="416" spans="107:113" x14ac:dyDescent="0.25">
      <c r="DC416" s="43" t="s">
        <v>100</v>
      </c>
      <c r="DD416" s="43" t="s">
        <v>60</v>
      </c>
      <c r="DE416" s="43" t="s">
        <v>31</v>
      </c>
      <c r="DF416">
        <v>1</v>
      </c>
      <c r="DG416" t="s">
        <v>317</v>
      </c>
      <c r="DH416" s="43" t="s">
        <v>308</v>
      </c>
      <c r="DI416">
        <v>18.400000000000002</v>
      </c>
    </row>
    <row r="417" spans="107:113" x14ac:dyDescent="0.25">
      <c r="DC417" s="43" t="s">
        <v>100</v>
      </c>
      <c r="DD417" s="43" t="s">
        <v>60</v>
      </c>
      <c r="DE417" s="43" t="s">
        <v>31</v>
      </c>
      <c r="DF417">
        <v>1</v>
      </c>
      <c r="DG417" t="s">
        <v>317</v>
      </c>
      <c r="DH417" s="43" t="s">
        <v>309</v>
      </c>
      <c r="DI417">
        <v>37.85</v>
      </c>
    </row>
    <row r="418" spans="107:113" x14ac:dyDescent="0.25">
      <c r="DC418" s="43" t="s">
        <v>100</v>
      </c>
      <c r="DD418" s="43" t="s">
        <v>60</v>
      </c>
      <c r="DE418" s="43" t="s">
        <v>31</v>
      </c>
      <c r="DF418">
        <v>1</v>
      </c>
      <c r="DG418" t="s">
        <v>317</v>
      </c>
      <c r="DH418" s="43" t="s">
        <v>268</v>
      </c>
      <c r="DI418">
        <v>56.25</v>
      </c>
    </row>
    <row r="419" spans="107:113" x14ac:dyDescent="0.25">
      <c r="DC419" s="43" t="s">
        <v>100</v>
      </c>
      <c r="DD419" s="43" t="s">
        <v>60</v>
      </c>
      <c r="DE419" s="43" t="s">
        <v>31</v>
      </c>
      <c r="DF419">
        <v>1</v>
      </c>
      <c r="DG419" t="s">
        <v>325</v>
      </c>
      <c r="DH419" s="43" t="s">
        <v>308</v>
      </c>
      <c r="DI419">
        <v>8.6</v>
      </c>
    </row>
    <row r="420" spans="107:113" x14ac:dyDescent="0.25">
      <c r="DC420" s="43" t="s">
        <v>100</v>
      </c>
      <c r="DD420" s="43" t="s">
        <v>60</v>
      </c>
      <c r="DE420" s="43" t="s">
        <v>31</v>
      </c>
      <c r="DF420">
        <v>1</v>
      </c>
      <c r="DG420" t="s">
        <v>325</v>
      </c>
      <c r="DH420" s="43" t="s">
        <v>309</v>
      </c>
      <c r="DI420">
        <v>20.55</v>
      </c>
    </row>
    <row r="421" spans="107:113" x14ac:dyDescent="0.25">
      <c r="DC421" s="43" t="s">
        <v>100</v>
      </c>
      <c r="DD421" s="43" t="s">
        <v>60</v>
      </c>
      <c r="DE421" s="43" t="s">
        <v>31</v>
      </c>
      <c r="DF421">
        <v>1</v>
      </c>
      <c r="DG421" t="s">
        <v>325</v>
      </c>
      <c r="DH421" s="43" t="s">
        <v>268</v>
      </c>
      <c r="DI421">
        <v>29.15</v>
      </c>
    </row>
    <row r="422" spans="107:113" x14ac:dyDescent="0.25">
      <c r="DC422" s="43" t="s">
        <v>100</v>
      </c>
      <c r="DD422" s="43" t="s">
        <v>60</v>
      </c>
      <c r="DE422" s="43" t="s">
        <v>31</v>
      </c>
      <c r="DF422">
        <v>1</v>
      </c>
      <c r="DG422" t="s">
        <v>330</v>
      </c>
      <c r="DH422" s="43" t="s">
        <v>308</v>
      </c>
      <c r="DI422">
        <v>6.5</v>
      </c>
    </row>
    <row r="423" spans="107:113" x14ac:dyDescent="0.25">
      <c r="DC423" s="43" t="s">
        <v>100</v>
      </c>
      <c r="DD423" s="43" t="s">
        <v>60</v>
      </c>
      <c r="DE423" s="43" t="s">
        <v>31</v>
      </c>
      <c r="DF423">
        <v>1</v>
      </c>
      <c r="DG423" t="s">
        <v>330</v>
      </c>
      <c r="DH423" s="43" t="s">
        <v>309</v>
      </c>
      <c r="DI423">
        <v>16.05</v>
      </c>
    </row>
    <row r="424" spans="107:113" x14ac:dyDescent="0.25">
      <c r="DC424" s="43" t="s">
        <v>100</v>
      </c>
      <c r="DD424" s="43" t="s">
        <v>60</v>
      </c>
      <c r="DE424" s="43" t="s">
        <v>31</v>
      </c>
      <c r="DF424">
        <v>1</v>
      </c>
      <c r="DG424" t="s">
        <v>330</v>
      </c>
      <c r="DH424" s="43" t="s">
        <v>268</v>
      </c>
      <c r="DI424">
        <v>22.549999999999997</v>
      </c>
    </row>
    <row r="425" spans="107:113" x14ac:dyDescent="0.25">
      <c r="DC425" s="43" t="s">
        <v>100</v>
      </c>
      <c r="DD425" s="43" t="s">
        <v>60</v>
      </c>
      <c r="DE425" s="43" t="s">
        <v>31</v>
      </c>
      <c r="DF425">
        <v>1</v>
      </c>
      <c r="DG425" t="s">
        <v>331</v>
      </c>
      <c r="DH425" s="43" t="s">
        <v>308</v>
      </c>
      <c r="DI425">
        <v>0</v>
      </c>
    </row>
    <row r="426" spans="107:113" x14ac:dyDescent="0.25">
      <c r="DC426" s="43" t="s">
        <v>100</v>
      </c>
      <c r="DD426" s="43" t="s">
        <v>60</v>
      </c>
      <c r="DE426" s="43" t="s">
        <v>31</v>
      </c>
      <c r="DF426">
        <v>1</v>
      </c>
      <c r="DG426" t="s">
        <v>331</v>
      </c>
      <c r="DH426" s="43" t="s">
        <v>309</v>
      </c>
      <c r="DI426">
        <v>0</v>
      </c>
    </row>
    <row r="427" spans="107:113" x14ac:dyDescent="0.25">
      <c r="DC427" s="43" t="s">
        <v>100</v>
      </c>
      <c r="DD427" s="43" t="s">
        <v>60</v>
      </c>
      <c r="DE427" s="43" t="s">
        <v>31</v>
      </c>
      <c r="DF427">
        <v>1</v>
      </c>
      <c r="DG427" t="s">
        <v>331</v>
      </c>
      <c r="DH427" s="43" t="s">
        <v>268</v>
      </c>
      <c r="DI427">
        <v>0</v>
      </c>
    </row>
    <row r="428" spans="107:113" x14ac:dyDescent="0.25">
      <c r="DC428" s="43" t="s">
        <v>100</v>
      </c>
      <c r="DD428" s="43" t="s">
        <v>60</v>
      </c>
      <c r="DE428" s="43" t="s">
        <v>31</v>
      </c>
      <c r="DF428">
        <v>1</v>
      </c>
      <c r="DG428" t="s">
        <v>341</v>
      </c>
      <c r="DH428" s="43" t="s">
        <v>308</v>
      </c>
      <c r="DI428">
        <v>0</v>
      </c>
    </row>
    <row r="429" spans="107:113" x14ac:dyDescent="0.25">
      <c r="DC429" s="43" t="s">
        <v>100</v>
      </c>
      <c r="DD429" s="43" t="s">
        <v>60</v>
      </c>
      <c r="DE429" s="43" t="s">
        <v>31</v>
      </c>
      <c r="DF429">
        <v>1</v>
      </c>
      <c r="DG429" t="s">
        <v>341</v>
      </c>
      <c r="DH429" s="43" t="s">
        <v>309</v>
      </c>
      <c r="DI429">
        <v>0</v>
      </c>
    </row>
    <row r="430" spans="107:113" x14ac:dyDescent="0.25">
      <c r="DC430" s="43" t="s">
        <v>100</v>
      </c>
      <c r="DD430" s="43" t="s">
        <v>60</v>
      </c>
      <c r="DE430" s="43" t="s">
        <v>31</v>
      </c>
      <c r="DF430">
        <v>1</v>
      </c>
      <c r="DG430" t="s">
        <v>341</v>
      </c>
      <c r="DH430" s="43" t="s">
        <v>268</v>
      </c>
      <c r="DI430">
        <v>0</v>
      </c>
    </row>
    <row r="431" spans="107:113" x14ac:dyDescent="0.25">
      <c r="DC431" s="43" t="s">
        <v>100</v>
      </c>
      <c r="DD431" s="43" t="s">
        <v>60</v>
      </c>
      <c r="DE431" s="43" t="s">
        <v>31</v>
      </c>
      <c r="DF431">
        <v>1</v>
      </c>
      <c r="DG431" t="s">
        <v>273</v>
      </c>
      <c r="DH431" s="43" t="s">
        <v>308</v>
      </c>
      <c r="DI431">
        <v>0</v>
      </c>
    </row>
    <row r="432" spans="107:113" x14ac:dyDescent="0.25">
      <c r="DC432" s="43" t="s">
        <v>100</v>
      </c>
      <c r="DD432" s="43" t="s">
        <v>60</v>
      </c>
      <c r="DE432" s="43" t="s">
        <v>31</v>
      </c>
      <c r="DF432">
        <v>1</v>
      </c>
      <c r="DG432" t="s">
        <v>273</v>
      </c>
      <c r="DH432" s="43" t="s">
        <v>309</v>
      </c>
      <c r="DI432">
        <v>0</v>
      </c>
    </row>
    <row r="433" spans="107:113" x14ac:dyDescent="0.25">
      <c r="DC433" s="43" t="s">
        <v>100</v>
      </c>
      <c r="DD433" s="43" t="s">
        <v>60</v>
      </c>
      <c r="DE433" s="43" t="s">
        <v>31</v>
      </c>
      <c r="DF433">
        <v>1</v>
      </c>
      <c r="DG433" t="s">
        <v>273</v>
      </c>
      <c r="DH433" s="43" t="s">
        <v>268</v>
      </c>
      <c r="DI433">
        <v>0</v>
      </c>
    </row>
    <row r="434" spans="107:113" x14ac:dyDescent="0.25">
      <c r="DC434" s="43" t="s">
        <v>70</v>
      </c>
      <c r="DD434" s="43" t="s">
        <v>60</v>
      </c>
      <c r="DE434" s="43" t="s">
        <v>72</v>
      </c>
      <c r="DF434">
        <v>1</v>
      </c>
      <c r="DG434" t="s">
        <v>317</v>
      </c>
      <c r="DH434" s="43" t="s">
        <v>308</v>
      </c>
      <c r="DI434">
        <v>0</v>
      </c>
    </row>
    <row r="435" spans="107:113" x14ac:dyDescent="0.25">
      <c r="DC435" s="43" t="s">
        <v>70</v>
      </c>
      <c r="DD435" s="43" t="s">
        <v>60</v>
      </c>
      <c r="DE435" s="43" t="s">
        <v>72</v>
      </c>
      <c r="DF435">
        <v>1</v>
      </c>
      <c r="DG435" t="s">
        <v>317</v>
      </c>
      <c r="DH435" s="43" t="s">
        <v>309</v>
      </c>
      <c r="DI435">
        <v>0</v>
      </c>
    </row>
    <row r="436" spans="107:113" x14ac:dyDescent="0.25">
      <c r="DC436" s="43" t="s">
        <v>70</v>
      </c>
      <c r="DD436" s="43" t="s">
        <v>60</v>
      </c>
      <c r="DE436" s="43" t="s">
        <v>72</v>
      </c>
      <c r="DF436">
        <v>1</v>
      </c>
      <c r="DG436" t="s">
        <v>317</v>
      </c>
      <c r="DH436" s="43" t="s">
        <v>268</v>
      </c>
      <c r="DI436">
        <v>0</v>
      </c>
    </row>
    <row r="437" spans="107:113" x14ac:dyDescent="0.25">
      <c r="DC437" s="43" t="s">
        <v>70</v>
      </c>
      <c r="DD437" s="43" t="s">
        <v>60</v>
      </c>
      <c r="DE437" s="43" t="s">
        <v>72</v>
      </c>
      <c r="DF437">
        <v>1</v>
      </c>
      <c r="DG437" t="s">
        <v>325</v>
      </c>
      <c r="DH437" s="43" t="s">
        <v>308</v>
      </c>
      <c r="DI437">
        <v>25.6</v>
      </c>
    </row>
    <row r="438" spans="107:113" x14ac:dyDescent="0.25">
      <c r="DC438" s="43" t="s">
        <v>70</v>
      </c>
      <c r="DD438" s="43" t="s">
        <v>60</v>
      </c>
      <c r="DE438" s="43" t="s">
        <v>72</v>
      </c>
      <c r="DF438">
        <v>1</v>
      </c>
      <c r="DG438" t="s">
        <v>325</v>
      </c>
      <c r="DH438" s="43" t="s">
        <v>309</v>
      </c>
      <c r="DI438">
        <v>44.8</v>
      </c>
    </row>
    <row r="439" spans="107:113" x14ac:dyDescent="0.25">
      <c r="DC439" s="43" t="s">
        <v>70</v>
      </c>
      <c r="DD439" s="43" t="s">
        <v>60</v>
      </c>
      <c r="DE439" s="43" t="s">
        <v>72</v>
      </c>
      <c r="DF439">
        <v>1</v>
      </c>
      <c r="DG439" t="s">
        <v>325</v>
      </c>
      <c r="DH439" s="43" t="s">
        <v>268</v>
      </c>
      <c r="DI439">
        <v>70.400000000000006</v>
      </c>
    </row>
    <row r="440" spans="107:113" x14ac:dyDescent="0.25">
      <c r="DC440" s="43" t="s">
        <v>70</v>
      </c>
      <c r="DD440" s="43" t="s">
        <v>60</v>
      </c>
      <c r="DE440" s="43" t="s">
        <v>72</v>
      </c>
      <c r="DF440">
        <v>1</v>
      </c>
      <c r="DG440" t="s">
        <v>330</v>
      </c>
      <c r="DH440" s="43" t="s">
        <v>308</v>
      </c>
      <c r="DI440">
        <v>21.5</v>
      </c>
    </row>
    <row r="441" spans="107:113" x14ac:dyDescent="0.25">
      <c r="DC441" s="43" t="s">
        <v>70</v>
      </c>
      <c r="DD441" s="43" t="s">
        <v>60</v>
      </c>
      <c r="DE441" s="43" t="s">
        <v>72</v>
      </c>
      <c r="DF441">
        <v>1</v>
      </c>
      <c r="DG441" t="s">
        <v>330</v>
      </c>
      <c r="DH441" s="43" t="s">
        <v>309</v>
      </c>
      <c r="DI441">
        <v>37.15</v>
      </c>
    </row>
    <row r="442" spans="107:113" x14ac:dyDescent="0.25">
      <c r="DC442" s="43" t="s">
        <v>70</v>
      </c>
      <c r="DD442" s="43" t="s">
        <v>60</v>
      </c>
      <c r="DE442" s="43" t="s">
        <v>72</v>
      </c>
      <c r="DF442">
        <v>1</v>
      </c>
      <c r="DG442" t="s">
        <v>330</v>
      </c>
      <c r="DH442" s="43" t="s">
        <v>268</v>
      </c>
      <c r="DI442">
        <v>58.650000000000006</v>
      </c>
    </row>
    <row r="443" spans="107:113" x14ac:dyDescent="0.25">
      <c r="DC443" s="43" t="s">
        <v>70</v>
      </c>
      <c r="DD443" s="43" t="s">
        <v>60</v>
      </c>
      <c r="DE443" s="43" t="s">
        <v>72</v>
      </c>
      <c r="DF443">
        <v>1</v>
      </c>
      <c r="DG443" t="s">
        <v>331</v>
      </c>
      <c r="DH443" s="43" t="s">
        <v>308</v>
      </c>
      <c r="DI443">
        <v>0</v>
      </c>
    </row>
    <row r="444" spans="107:113" x14ac:dyDescent="0.25">
      <c r="DC444" s="43" t="s">
        <v>70</v>
      </c>
      <c r="DD444" s="43" t="s">
        <v>60</v>
      </c>
      <c r="DE444" s="43" t="s">
        <v>72</v>
      </c>
      <c r="DF444">
        <v>1</v>
      </c>
      <c r="DG444" t="s">
        <v>331</v>
      </c>
      <c r="DH444" s="43" t="s">
        <v>309</v>
      </c>
      <c r="DI444">
        <v>0</v>
      </c>
    </row>
    <row r="445" spans="107:113" x14ac:dyDescent="0.25">
      <c r="DC445" s="43" t="s">
        <v>70</v>
      </c>
      <c r="DD445" s="43" t="s">
        <v>60</v>
      </c>
      <c r="DE445" s="43" t="s">
        <v>72</v>
      </c>
      <c r="DF445">
        <v>1</v>
      </c>
      <c r="DG445" t="s">
        <v>331</v>
      </c>
      <c r="DH445" s="43" t="s">
        <v>268</v>
      </c>
      <c r="DI445">
        <v>0</v>
      </c>
    </row>
    <row r="446" spans="107:113" x14ac:dyDescent="0.25">
      <c r="DC446" s="43" t="s">
        <v>70</v>
      </c>
      <c r="DD446" s="43" t="s">
        <v>60</v>
      </c>
      <c r="DE446" s="43" t="s">
        <v>72</v>
      </c>
      <c r="DF446">
        <v>1</v>
      </c>
      <c r="DG446" t="s">
        <v>341</v>
      </c>
      <c r="DH446" s="43" t="s">
        <v>308</v>
      </c>
      <c r="DI446">
        <v>0</v>
      </c>
    </row>
    <row r="447" spans="107:113" x14ac:dyDescent="0.25">
      <c r="DC447" s="43" t="s">
        <v>70</v>
      </c>
      <c r="DD447" s="43" t="s">
        <v>60</v>
      </c>
      <c r="DE447" s="43" t="s">
        <v>72</v>
      </c>
      <c r="DF447">
        <v>1</v>
      </c>
      <c r="DG447" t="s">
        <v>341</v>
      </c>
      <c r="DH447" s="43" t="s">
        <v>309</v>
      </c>
      <c r="DI447">
        <v>0</v>
      </c>
    </row>
    <row r="448" spans="107:113" x14ac:dyDescent="0.25">
      <c r="DC448" s="43" t="s">
        <v>70</v>
      </c>
      <c r="DD448" s="43" t="s">
        <v>60</v>
      </c>
      <c r="DE448" s="43" t="s">
        <v>72</v>
      </c>
      <c r="DF448">
        <v>1</v>
      </c>
      <c r="DG448" t="s">
        <v>341</v>
      </c>
      <c r="DH448" s="43" t="s">
        <v>268</v>
      </c>
      <c r="DI448">
        <v>0</v>
      </c>
    </row>
    <row r="449" spans="107:113" x14ac:dyDescent="0.25">
      <c r="DC449" s="43" t="s">
        <v>70</v>
      </c>
      <c r="DD449" s="43" t="s">
        <v>60</v>
      </c>
      <c r="DE449" s="43" t="s">
        <v>72</v>
      </c>
      <c r="DF449">
        <v>1</v>
      </c>
      <c r="DG449" t="s">
        <v>273</v>
      </c>
      <c r="DH449" s="43" t="s">
        <v>308</v>
      </c>
      <c r="DI449">
        <v>0</v>
      </c>
    </row>
    <row r="450" spans="107:113" x14ac:dyDescent="0.25">
      <c r="DC450" s="43" t="s">
        <v>70</v>
      </c>
      <c r="DD450" s="43" t="s">
        <v>60</v>
      </c>
      <c r="DE450" s="43" t="s">
        <v>72</v>
      </c>
      <c r="DF450">
        <v>1</v>
      </c>
      <c r="DG450" t="s">
        <v>273</v>
      </c>
      <c r="DH450" s="43" t="s">
        <v>309</v>
      </c>
      <c r="DI450">
        <v>0</v>
      </c>
    </row>
    <row r="451" spans="107:113" x14ac:dyDescent="0.25">
      <c r="DC451" s="43" t="s">
        <v>70</v>
      </c>
      <c r="DD451" s="43" t="s">
        <v>60</v>
      </c>
      <c r="DE451" s="43" t="s">
        <v>72</v>
      </c>
      <c r="DF451">
        <v>1</v>
      </c>
      <c r="DG451" t="s">
        <v>273</v>
      </c>
      <c r="DH451" s="43" t="s">
        <v>268</v>
      </c>
      <c r="DI451">
        <v>0</v>
      </c>
    </row>
    <row r="452" spans="107:113" x14ac:dyDescent="0.25">
      <c r="DC452" s="43" t="s">
        <v>88</v>
      </c>
      <c r="DD452" s="43" t="s">
        <v>60</v>
      </c>
      <c r="DE452" s="43" t="s">
        <v>36</v>
      </c>
      <c r="DF452">
        <v>1</v>
      </c>
      <c r="DG452" t="s">
        <v>317</v>
      </c>
      <c r="DH452" s="43" t="s">
        <v>308</v>
      </c>
      <c r="DI452">
        <v>0</v>
      </c>
    </row>
    <row r="453" spans="107:113" x14ac:dyDescent="0.25">
      <c r="DC453" s="43" t="s">
        <v>88</v>
      </c>
      <c r="DD453" s="43" t="s">
        <v>60</v>
      </c>
      <c r="DE453" s="43" t="s">
        <v>36</v>
      </c>
      <c r="DF453">
        <v>1</v>
      </c>
      <c r="DG453" t="s">
        <v>317</v>
      </c>
      <c r="DH453" s="43" t="s">
        <v>309</v>
      </c>
      <c r="DI453">
        <v>0</v>
      </c>
    </row>
    <row r="454" spans="107:113" x14ac:dyDescent="0.25">
      <c r="DC454" s="43" t="s">
        <v>88</v>
      </c>
      <c r="DD454" s="43" t="s">
        <v>60</v>
      </c>
      <c r="DE454" s="43" t="s">
        <v>36</v>
      </c>
      <c r="DF454">
        <v>1</v>
      </c>
      <c r="DG454" t="s">
        <v>317</v>
      </c>
      <c r="DH454" s="43" t="s">
        <v>268</v>
      </c>
      <c r="DI454">
        <v>0</v>
      </c>
    </row>
    <row r="455" spans="107:113" x14ac:dyDescent="0.25">
      <c r="DC455" s="43" t="s">
        <v>88</v>
      </c>
      <c r="DD455" s="43" t="s">
        <v>60</v>
      </c>
      <c r="DE455" s="43" t="s">
        <v>36</v>
      </c>
      <c r="DF455">
        <v>1</v>
      </c>
      <c r="DG455" t="s">
        <v>325</v>
      </c>
      <c r="DH455" s="43" t="s">
        <v>308</v>
      </c>
      <c r="DI455">
        <v>10.1</v>
      </c>
    </row>
    <row r="456" spans="107:113" x14ac:dyDescent="0.25">
      <c r="DC456" s="43" t="s">
        <v>88</v>
      </c>
      <c r="DD456" s="43" t="s">
        <v>60</v>
      </c>
      <c r="DE456" s="43" t="s">
        <v>36</v>
      </c>
      <c r="DF456">
        <v>1</v>
      </c>
      <c r="DG456" t="s">
        <v>325</v>
      </c>
      <c r="DH456" s="43" t="s">
        <v>309</v>
      </c>
      <c r="DI456">
        <v>28.5</v>
      </c>
    </row>
    <row r="457" spans="107:113" x14ac:dyDescent="0.25">
      <c r="DC457" s="43" t="s">
        <v>88</v>
      </c>
      <c r="DD457" s="43" t="s">
        <v>60</v>
      </c>
      <c r="DE457" s="43" t="s">
        <v>36</v>
      </c>
      <c r="DF457">
        <v>1</v>
      </c>
      <c r="DG457" t="s">
        <v>325</v>
      </c>
      <c r="DH457" s="43" t="s">
        <v>268</v>
      </c>
      <c r="DI457">
        <v>38.599999999999994</v>
      </c>
    </row>
    <row r="458" spans="107:113" x14ac:dyDescent="0.25">
      <c r="DC458" s="43" t="s">
        <v>88</v>
      </c>
      <c r="DD458" s="43" t="s">
        <v>60</v>
      </c>
      <c r="DE458" s="43" t="s">
        <v>36</v>
      </c>
      <c r="DF458">
        <v>1</v>
      </c>
      <c r="DG458" t="s">
        <v>330</v>
      </c>
      <c r="DH458" s="43" t="s">
        <v>308</v>
      </c>
      <c r="DI458">
        <v>0</v>
      </c>
    </row>
    <row r="459" spans="107:113" x14ac:dyDescent="0.25">
      <c r="DC459" s="43" t="s">
        <v>88</v>
      </c>
      <c r="DD459" s="43" t="s">
        <v>60</v>
      </c>
      <c r="DE459" s="43" t="s">
        <v>36</v>
      </c>
      <c r="DF459">
        <v>1</v>
      </c>
      <c r="DG459" t="s">
        <v>330</v>
      </c>
      <c r="DH459" s="43" t="s">
        <v>309</v>
      </c>
      <c r="DI459">
        <v>0</v>
      </c>
    </row>
    <row r="460" spans="107:113" x14ac:dyDescent="0.25">
      <c r="DC460" s="43" t="s">
        <v>88</v>
      </c>
      <c r="DD460" s="43" t="s">
        <v>60</v>
      </c>
      <c r="DE460" s="43" t="s">
        <v>36</v>
      </c>
      <c r="DF460">
        <v>1</v>
      </c>
      <c r="DG460" t="s">
        <v>330</v>
      </c>
      <c r="DH460" s="43" t="s">
        <v>268</v>
      </c>
      <c r="DI460">
        <v>0</v>
      </c>
    </row>
    <row r="461" spans="107:113" x14ac:dyDescent="0.25">
      <c r="DC461" s="43" t="s">
        <v>88</v>
      </c>
      <c r="DD461" s="43" t="s">
        <v>60</v>
      </c>
      <c r="DE461" s="43" t="s">
        <v>36</v>
      </c>
      <c r="DF461">
        <v>1</v>
      </c>
      <c r="DG461" t="s">
        <v>331</v>
      </c>
      <c r="DH461" s="43" t="s">
        <v>308</v>
      </c>
      <c r="DI461">
        <v>14.799999999999999</v>
      </c>
    </row>
    <row r="462" spans="107:113" x14ac:dyDescent="0.25">
      <c r="DC462" s="43" t="s">
        <v>88</v>
      </c>
      <c r="DD462" s="43" t="s">
        <v>60</v>
      </c>
      <c r="DE462" s="43" t="s">
        <v>36</v>
      </c>
      <c r="DF462">
        <v>1</v>
      </c>
      <c r="DG462" t="s">
        <v>331</v>
      </c>
      <c r="DH462" s="43" t="s">
        <v>309</v>
      </c>
      <c r="DI462">
        <v>40.6</v>
      </c>
    </row>
    <row r="463" spans="107:113" x14ac:dyDescent="0.25">
      <c r="DC463" s="43" t="s">
        <v>88</v>
      </c>
      <c r="DD463" s="43" t="s">
        <v>60</v>
      </c>
      <c r="DE463" s="43" t="s">
        <v>36</v>
      </c>
      <c r="DF463">
        <v>1</v>
      </c>
      <c r="DG463" t="s">
        <v>331</v>
      </c>
      <c r="DH463" s="43" t="s">
        <v>268</v>
      </c>
      <c r="DI463">
        <v>55.4</v>
      </c>
    </row>
    <row r="464" spans="107:113" x14ac:dyDescent="0.25">
      <c r="DC464" s="43" t="s">
        <v>88</v>
      </c>
      <c r="DD464" s="43" t="s">
        <v>60</v>
      </c>
      <c r="DE464" s="43" t="s">
        <v>36</v>
      </c>
      <c r="DF464">
        <v>1</v>
      </c>
      <c r="DG464" t="s">
        <v>341</v>
      </c>
      <c r="DH464" s="43" t="s">
        <v>308</v>
      </c>
      <c r="DI464">
        <v>0</v>
      </c>
    </row>
    <row r="465" spans="107:113" x14ac:dyDescent="0.25">
      <c r="DC465" s="43" t="s">
        <v>88</v>
      </c>
      <c r="DD465" s="43" t="s">
        <v>60</v>
      </c>
      <c r="DE465" s="43" t="s">
        <v>36</v>
      </c>
      <c r="DF465">
        <v>1</v>
      </c>
      <c r="DG465" t="s">
        <v>341</v>
      </c>
      <c r="DH465" s="43" t="s">
        <v>309</v>
      </c>
      <c r="DI465">
        <v>0</v>
      </c>
    </row>
    <row r="466" spans="107:113" x14ac:dyDescent="0.25">
      <c r="DC466" s="43" t="s">
        <v>88</v>
      </c>
      <c r="DD466" s="43" t="s">
        <v>60</v>
      </c>
      <c r="DE466" s="43" t="s">
        <v>36</v>
      </c>
      <c r="DF466">
        <v>1</v>
      </c>
      <c r="DG466" t="s">
        <v>341</v>
      </c>
      <c r="DH466" s="43" t="s">
        <v>268</v>
      </c>
      <c r="DI466">
        <v>0</v>
      </c>
    </row>
    <row r="467" spans="107:113" x14ac:dyDescent="0.25">
      <c r="DC467" s="43" t="s">
        <v>88</v>
      </c>
      <c r="DD467" s="43" t="s">
        <v>60</v>
      </c>
      <c r="DE467" s="43" t="s">
        <v>36</v>
      </c>
      <c r="DF467">
        <v>1</v>
      </c>
      <c r="DG467" t="s">
        <v>273</v>
      </c>
      <c r="DH467" s="43" t="s">
        <v>308</v>
      </c>
      <c r="DI467">
        <v>0</v>
      </c>
    </row>
    <row r="468" spans="107:113" x14ac:dyDescent="0.25">
      <c r="DC468" s="43" t="s">
        <v>88</v>
      </c>
      <c r="DD468" s="43" t="s">
        <v>60</v>
      </c>
      <c r="DE468" s="43" t="s">
        <v>36</v>
      </c>
      <c r="DF468">
        <v>1</v>
      </c>
      <c r="DG468" t="s">
        <v>273</v>
      </c>
      <c r="DH468" s="43" t="s">
        <v>309</v>
      </c>
      <c r="DI468">
        <v>0</v>
      </c>
    </row>
    <row r="469" spans="107:113" x14ac:dyDescent="0.25">
      <c r="DC469" s="43" t="s">
        <v>88</v>
      </c>
      <c r="DD469" s="43" t="s">
        <v>60</v>
      </c>
      <c r="DE469" s="43" t="s">
        <v>36</v>
      </c>
      <c r="DF469">
        <v>1</v>
      </c>
      <c r="DG469" t="s">
        <v>273</v>
      </c>
      <c r="DH469" s="43" t="s">
        <v>268</v>
      </c>
      <c r="DI469">
        <v>0</v>
      </c>
    </row>
    <row r="470" spans="107:113" x14ac:dyDescent="0.25">
      <c r="DC470" s="43" t="s">
        <v>118</v>
      </c>
      <c r="DD470" s="43" t="s">
        <v>60</v>
      </c>
      <c r="DE470" s="43" t="s">
        <v>31</v>
      </c>
      <c r="DF470">
        <v>1</v>
      </c>
      <c r="DG470" t="s">
        <v>317</v>
      </c>
      <c r="DH470" s="43" t="s">
        <v>308</v>
      </c>
      <c r="DI470">
        <v>0</v>
      </c>
    </row>
    <row r="471" spans="107:113" x14ac:dyDescent="0.25">
      <c r="DC471" s="43" t="s">
        <v>118</v>
      </c>
      <c r="DD471" s="43" t="s">
        <v>60</v>
      </c>
      <c r="DE471" s="43" t="s">
        <v>31</v>
      </c>
      <c r="DF471">
        <v>1</v>
      </c>
      <c r="DG471" t="s">
        <v>317</v>
      </c>
      <c r="DH471" s="43" t="s">
        <v>309</v>
      </c>
      <c r="DI471">
        <v>0</v>
      </c>
    </row>
    <row r="472" spans="107:113" x14ac:dyDescent="0.25">
      <c r="DC472" s="43" t="s">
        <v>118</v>
      </c>
      <c r="DD472" s="43" t="s">
        <v>60</v>
      </c>
      <c r="DE472" s="43" t="s">
        <v>31</v>
      </c>
      <c r="DF472">
        <v>1</v>
      </c>
      <c r="DG472" t="s">
        <v>317</v>
      </c>
      <c r="DH472" s="43" t="s">
        <v>268</v>
      </c>
      <c r="DI472">
        <v>0</v>
      </c>
    </row>
    <row r="473" spans="107:113" x14ac:dyDescent="0.25">
      <c r="DC473" s="43" t="s">
        <v>118</v>
      </c>
      <c r="DD473" s="43" t="s">
        <v>60</v>
      </c>
      <c r="DE473" s="43" t="s">
        <v>31</v>
      </c>
      <c r="DF473">
        <v>1</v>
      </c>
      <c r="DG473" t="s">
        <v>325</v>
      </c>
      <c r="DH473" s="43" t="s">
        <v>308</v>
      </c>
      <c r="DI473">
        <v>0</v>
      </c>
    </row>
    <row r="474" spans="107:113" x14ac:dyDescent="0.25">
      <c r="DC474" s="43" t="s">
        <v>118</v>
      </c>
      <c r="DD474" s="43" t="s">
        <v>60</v>
      </c>
      <c r="DE474" s="43" t="s">
        <v>31</v>
      </c>
      <c r="DF474">
        <v>1</v>
      </c>
      <c r="DG474" t="s">
        <v>325</v>
      </c>
      <c r="DH474" s="43" t="s">
        <v>309</v>
      </c>
      <c r="DI474">
        <v>0</v>
      </c>
    </row>
    <row r="475" spans="107:113" x14ac:dyDescent="0.25">
      <c r="DC475" s="43" t="s">
        <v>118</v>
      </c>
      <c r="DD475" s="43" t="s">
        <v>60</v>
      </c>
      <c r="DE475" s="43" t="s">
        <v>31</v>
      </c>
      <c r="DF475">
        <v>1</v>
      </c>
      <c r="DG475" t="s">
        <v>325</v>
      </c>
      <c r="DH475" s="43" t="s">
        <v>268</v>
      </c>
      <c r="DI475">
        <v>0</v>
      </c>
    </row>
    <row r="476" spans="107:113" x14ac:dyDescent="0.25">
      <c r="DC476" s="43" t="s">
        <v>118</v>
      </c>
      <c r="DD476" s="43" t="s">
        <v>60</v>
      </c>
      <c r="DE476" s="43" t="s">
        <v>31</v>
      </c>
      <c r="DF476">
        <v>1</v>
      </c>
      <c r="DG476" t="s">
        <v>330</v>
      </c>
      <c r="DH476" s="43" t="s">
        <v>308</v>
      </c>
      <c r="DI476">
        <v>25.4</v>
      </c>
    </row>
    <row r="477" spans="107:113" x14ac:dyDescent="0.25">
      <c r="DC477" s="43" t="s">
        <v>118</v>
      </c>
      <c r="DD477" s="43" t="s">
        <v>60</v>
      </c>
      <c r="DE477" s="43" t="s">
        <v>31</v>
      </c>
      <c r="DF477">
        <v>1</v>
      </c>
      <c r="DG477" t="s">
        <v>330</v>
      </c>
      <c r="DH477" s="43" t="s">
        <v>309</v>
      </c>
      <c r="DI477">
        <v>47.6</v>
      </c>
    </row>
    <row r="478" spans="107:113" x14ac:dyDescent="0.25">
      <c r="DC478" s="43" t="s">
        <v>118</v>
      </c>
      <c r="DD478" s="43" t="s">
        <v>60</v>
      </c>
      <c r="DE478" s="43" t="s">
        <v>31</v>
      </c>
      <c r="DF478">
        <v>1</v>
      </c>
      <c r="DG478" t="s">
        <v>330</v>
      </c>
      <c r="DH478" s="43" t="s">
        <v>268</v>
      </c>
      <c r="DI478">
        <v>73</v>
      </c>
    </row>
    <row r="479" spans="107:113" x14ac:dyDescent="0.25">
      <c r="DC479" s="43" t="s">
        <v>118</v>
      </c>
      <c r="DD479" s="43" t="s">
        <v>60</v>
      </c>
      <c r="DE479" s="43" t="s">
        <v>31</v>
      </c>
      <c r="DF479">
        <v>1</v>
      </c>
      <c r="DG479" t="s">
        <v>331</v>
      </c>
      <c r="DH479" s="43" t="s">
        <v>308</v>
      </c>
      <c r="DI479">
        <v>0</v>
      </c>
    </row>
    <row r="480" spans="107:113" x14ac:dyDescent="0.25">
      <c r="DC480" s="43" t="s">
        <v>118</v>
      </c>
      <c r="DD480" s="43" t="s">
        <v>60</v>
      </c>
      <c r="DE480" s="43" t="s">
        <v>31</v>
      </c>
      <c r="DF480">
        <v>1</v>
      </c>
      <c r="DG480" t="s">
        <v>331</v>
      </c>
      <c r="DH480" s="43" t="s">
        <v>309</v>
      </c>
      <c r="DI480">
        <v>0</v>
      </c>
    </row>
    <row r="481" spans="107:113" x14ac:dyDescent="0.25">
      <c r="DC481" s="43" t="s">
        <v>118</v>
      </c>
      <c r="DD481" s="43" t="s">
        <v>60</v>
      </c>
      <c r="DE481" s="43" t="s">
        <v>31</v>
      </c>
      <c r="DF481">
        <v>1</v>
      </c>
      <c r="DG481" t="s">
        <v>331</v>
      </c>
      <c r="DH481" s="43" t="s">
        <v>268</v>
      </c>
      <c r="DI481">
        <v>0</v>
      </c>
    </row>
    <row r="482" spans="107:113" x14ac:dyDescent="0.25">
      <c r="DC482" s="43" t="s">
        <v>118</v>
      </c>
      <c r="DD482" s="43" t="s">
        <v>60</v>
      </c>
      <c r="DE482" s="43" t="s">
        <v>31</v>
      </c>
      <c r="DF482">
        <v>1</v>
      </c>
      <c r="DG482" t="s">
        <v>341</v>
      </c>
      <c r="DH482" s="43" t="s">
        <v>308</v>
      </c>
      <c r="DI482">
        <v>0</v>
      </c>
    </row>
    <row r="483" spans="107:113" x14ac:dyDescent="0.25">
      <c r="DC483" s="43" t="s">
        <v>118</v>
      </c>
      <c r="DD483" s="43" t="s">
        <v>60</v>
      </c>
      <c r="DE483" s="43" t="s">
        <v>31</v>
      </c>
      <c r="DF483">
        <v>1</v>
      </c>
      <c r="DG483" t="s">
        <v>341</v>
      </c>
      <c r="DH483" s="43" t="s">
        <v>309</v>
      </c>
      <c r="DI483">
        <v>0</v>
      </c>
    </row>
    <row r="484" spans="107:113" x14ac:dyDescent="0.25">
      <c r="DC484" s="43" t="s">
        <v>118</v>
      </c>
      <c r="DD484" s="43" t="s">
        <v>60</v>
      </c>
      <c r="DE484" s="43" t="s">
        <v>31</v>
      </c>
      <c r="DF484">
        <v>1</v>
      </c>
      <c r="DG484" t="s">
        <v>341</v>
      </c>
      <c r="DH484" s="43" t="s">
        <v>268</v>
      </c>
      <c r="DI484">
        <v>0</v>
      </c>
    </row>
    <row r="485" spans="107:113" x14ac:dyDescent="0.25">
      <c r="DC485" s="43" t="s">
        <v>118</v>
      </c>
      <c r="DD485" s="43" t="s">
        <v>60</v>
      </c>
      <c r="DE485" s="43" t="s">
        <v>31</v>
      </c>
      <c r="DF485">
        <v>1</v>
      </c>
      <c r="DG485" t="s">
        <v>273</v>
      </c>
      <c r="DH485" s="43" t="s">
        <v>308</v>
      </c>
      <c r="DI485">
        <v>0</v>
      </c>
    </row>
    <row r="486" spans="107:113" x14ac:dyDescent="0.25">
      <c r="DC486" s="43" t="s">
        <v>118</v>
      </c>
      <c r="DD486" s="43" t="s">
        <v>60</v>
      </c>
      <c r="DE486" s="43" t="s">
        <v>31</v>
      </c>
      <c r="DF486">
        <v>1</v>
      </c>
      <c r="DG486" t="s">
        <v>273</v>
      </c>
      <c r="DH486" s="43" t="s">
        <v>309</v>
      </c>
      <c r="DI486">
        <v>0</v>
      </c>
    </row>
    <row r="487" spans="107:113" x14ac:dyDescent="0.25">
      <c r="DC487" s="43" t="s">
        <v>118</v>
      </c>
      <c r="DD487" s="43" t="s">
        <v>60</v>
      </c>
      <c r="DE487" s="43" t="s">
        <v>31</v>
      </c>
      <c r="DF487">
        <v>1</v>
      </c>
      <c r="DG487" t="s">
        <v>273</v>
      </c>
      <c r="DH487" s="43" t="s">
        <v>268</v>
      </c>
      <c r="DI487">
        <v>0</v>
      </c>
    </row>
    <row r="488" spans="107:113" x14ac:dyDescent="0.25">
      <c r="DC488" s="43" t="s">
        <v>142</v>
      </c>
      <c r="DD488" s="43" t="s">
        <v>60</v>
      </c>
      <c r="DE488" s="43" t="s">
        <v>62</v>
      </c>
      <c r="DF488">
        <v>1</v>
      </c>
      <c r="DG488" t="s">
        <v>317</v>
      </c>
      <c r="DH488" s="43" t="s">
        <v>308</v>
      </c>
      <c r="DI488">
        <v>21.2</v>
      </c>
    </row>
    <row r="489" spans="107:113" x14ac:dyDescent="0.25">
      <c r="DC489" s="43" t="s">
        <v>142</v>
      </c>
      <c r="DD489" s="43" t="s">
        <v>60</v>
      </c>
      <c r="DE489" s="43" t="s">
        <v>62</v>
      </c>
      <c r="DF489">
        <v>1</v>
      </c>
      <c r="DG489" t="s">
        <v>317</v>
      </c>
      <c r="DH489" s="43" t="s">
        <v>309</v>
      </c>
      <c r="DI489">
        <v>50</v>
      </c>
    </row>
    <row r="490" spans="107:113" x14ac:dyDescent="0.25">
      <c r="DC490" s="43" t="s">
        <v>142</v>
      </c>
      <c r="DD490" s="43" t="s">
        <v>60</v>
      </c>
      <c r="DE490" s="43" t="s">
        <v>62</v>
      </c>
      <c r="DF490">
        <v>1</v>
      </c>
      <c r="DG490" t="s">
        <v>317</v>
      </c>
      <c r="DH490" s="43" t="s">
        <v>268</v>
      </c>
      <c r="DI490">
        <v>71.199999999999989</v>
      </c>
    </row>
    <row r="491" spans="107:113" x14ac:dyDescent="0.25">
      <c r="DC491" s="43" t="s">
        <v>142</v>
      </c>
      <c r="DD491" s="43" t="s">
        <v>60</v>
      </c>
      <c r="DE491" s="43" t="s">
        <v>62</v>
      </c>
      <c r="DF491">
        <v>1</v>
      </c>
      <c r="DG491" t="s">
        <v>325</v>
      </c>
      <c r="DH491" s="43" t="s">
        <v>308</v>
      </c>
      <c r="DI491">
        <v>0</v>
      </c>
    </row>
    <row r="492" spans="107:113" x14ac:dyDescent="0.25">
      <c r="DC492" s="43" t="s">
        <v>142</v>
      </c>
      <c r="DD492" s="43" t="s">
        <v>60</v>
      </c>
      <c r="DE492" s="43" t="s">
        <v>62</v>
      </c>
      <c r="DF492">
        <v>1</v>
      </c>
      <c r="DG492" t="s">
        <v>325</v>
      </c>
      <c r="DH492" s="43" t="s">
        <v>309</v>
      </c>
      <c r="DI492">
        <v>0</v>
      </c>
    </row>
    <row r="493" spans="107:113" x14ac:dyDescent="0.25">
      <c r="DC493" s="43" t="s">
        <v>142</v>
      </c>
      <c r="DD493" s="43" t="s">
        <v>60</v>
      </c>
      <c r="DE493" s="43" t="s">
        <v>62</v>
      </c>
      <c r="DF493">
        <v>1</v>
      </c>
      <c r="DG493" t="s">
        <v>325</v>
      </c>
      <c r="DH493" s="43" t="s">
        <v>268</v>
      </c>
      <c r="DI493">
        <v>0</v>
      </c>
    </row>
    <row r="494" spans="107:113" x14ac:dyDescent="0.25">
      <c r="DC494" s="43" t="s">
        <v>142</v>
      </c>
      <c r="DD494" s="43" t="s">
        <v>60</v>
      </c>
      <c r="DE494" s="43" t="s">
        <v>62</v>
      </c>
      <c r="DF494">
        <v>1</v>
      </c>
      <c r="DG494" t="s">
        <v>330</v>
      </c>
      <c r="DH494" s="43" t="s">
        <v>308</v>
      </c>
      <c r="DI494">
        <v>0</v>
      </c>
    </row>
    <row r="495" spans="107:113" x14ac:dyDescent="0.25">
      <c r="DC495" s="43" t="s">
        <v>142</v>
      </c>
      <c r="DD495" s="43" t="s">
        <v>60</v>
      </c>
      <c r="DE495" s="43" t="s">
        <v>62</v>
      </c>
      <c r="DF495">
        <v>1</v>
      </c>
      <c r="DG495" t="s">
        <v>330</v>
      </c>
      <c r="DH495" s="43" t="s">
        <v>309</v>
      </c>
      <c r="DI495">
        <v>0</v>
      </c>
    </row>
    <row r="496" spans="107:113" x14ac:dyDescent="0.25">
      <c r="DC496" s="43" t="s">
        <v>142</v>
      </c>
      <c r="DD496" s="43" t="s">
        <v>60</v>
      </c>
      <c r="DE496" s="43" t="s">
        <v>62</v>
      </c>
      <c r="DF496">
        <v>1</v>
      </c>
      <c r="DG496" t="s">
        <v>330</v>
      </c>
      <c r="DH496" s="43" t="s">
        <v>268</v>
      </c>
      <c r="DI496">
        <v>0</v>
      </c>
    </row>
    <row r="497" spans="107:113" x14ac:dyDescent="0.25">
      <c r="DC497" s="43" t="s">
        <v>142</v>
      </c>
      <c r="DD497" s="43" t="s">
        <v>60</v>
      </c>
      <c r="DE497" s="43" t="s">
        <v>62</v>
      </c>
      <c r="DF497">
        <v>1</v>
      </c>
      <c r="DG497" t="s">
        <v>331</v>
      </c>
      <c r="DH497" s="43" t="s">
        <v>308</v>
      </c>
      <c r="DI497">
        <v>0</v>
      </c>
    </row>
    <row r="498" spans="107:113" x14ac:dyDescent="0.25">
      <c r="DC498" s="43" t="s">
        <v>142</v>
      </c>
      <c r="DD498" s="43" t="s">
        <v>60</v>
      </c>
      <c r="DE498" s="43" t="s">
        <v>62</v>
      </c>
      <c r="DF498">
        <v>1</v>
      </c>
      <c r="DG498" t="s">
        <v>331</v>
      </c>
      <c r="DH498" s="43" t="s">
        <v>309</v>
      </c>
      <c r="DI498">
        <v>0</v>
      </c>
    </row>
    <row r="499" spans="107:113" x14ac:dyDescent="0.25">
      <c r="DC499" s="43" t="s">
        <v>142</v>
      </c>
      <c r="DD499" s="43" t="s">
        <v>60</v>
      </c>
      <c r="DE499" s="43" t="s">
        <v>62</v>
      </c>
      <c r="DF499">
        <v>1</v>
      </c>
      <c r="DG499" t="s">
        <v>331</v>
      </c>
      <c r="DH499" s="43" t="s">
        <v>268</v>
      </c>
      <c r="DI499">
        <v>0</v>
      </c>
    </row>
    <row r="500" spans="107:113" x14ac:dyDescent="0.25">
      <c r="DC500" s="43" t="s">
        <v>142</v>
      </c>
      <c r="DD500" s="43" t="s">
        <v>60</v>
      </c>
      <c r="DE500" s="43" t="s">
        <v>62</v>
      </c>
      <c r="DF500">
        <v>1</v>
      </c>
      <c r="DG500" t="s">
        <v>341</v>
      </c>
      <c r="DH500" s="43" t="s">
        <v>308</v>
      </c>
      <c r="DI500">
        <v>0</v>
      </c>
    </row>
    <row r="501" spans="107:113" x14ac:dyDescent="0.25">
      <c r="DC501" s="43" t="s">
        <v>142</v>
      </c>
      <c r="DD501" s="43" t="s">
        <v>60</v>
      </c>
      <c r="DE501" s="43" t="s">
        <v>62</v>
      </c>
      <c r="DF501">
        <v>1</v>
      </c>
      <c r="DG501" t="s">
        <v>341</v>
      </c>
      <c r="DH501" s="43" t="s">
        <v>309</v>
      </c>
      <c r="DI501">
        <v>0</v>
      </c>
    </row>
    <row r="502" spans="107:113" x14ac:dyDescent="0.25">
      <c r="DC502" s="43" t="s">
        <v>142</v>
      </c>
      <c r="DD502" s="43" t="s">
        <v>60</v>
      </c>
      <c r="DE502" s="43" t="s">
        <v>62</v>
      </c>
      <c r="DF502">
        <v>1</v>
      </c>
      <c r="DG502" t="s">
        <v>341</v>
      </c>
      <c r="DH502" s="43" t="s">
        <v>268</v>
      </c>
      <c r="DI502">
        <v>0</v>
      </c>
    </row>
    <row r="503" spans="107:113" x14ac:dyDescent="0.25">
      <c r="DC503" s="43" t="s">
        <v>142</v>
      </c>
      <c r="DD503" s="43" t="s">
        <v>60</v>
      </c>
      <c r="DE503" s="43" t="s">
        <v>62</v>
      </c>
      <c r="DF503">
        <v>1</v>
      </c>
      <c r="DG503" t="s">
        <v>273</v>
      </c>
      <c r="DH503" s="43" t="s">
        <v>308</v>
      </c>
      <c r="DI503">
        <v>0</v>
      </c>
    </row>
    <row r="504" spans="107:113" x14ac:dyDescent="0.25">
      <c r="DC504" s="43" t="s">
        <v>142</v>
      </c>
      <c r="DD504" s="43" t="s">
        <v>60</v>
      </c>
      <c r="DE504" s="43" t="s">
        <v>62</v>
      </c>
      <c r="DF504">
        <v>1</v>
      </c>
      <c r="DG504" t="s">
        <v>273</v>
      </c>
      <c r="DH504" s="43" t="s">
        <v>309</v>
      </c>
      <c r="DI504">
        <v>0</v>
      </c>
    </row>
    <row r="505" spans="107:113" x14ac:dyDescent="0.25">
      <c r="DC505" s="43" t="s">
        <v>142</v>
      </c>
      <c r="DD505" s="43" t="s">
        <v>60</v>
      </c>
      <c r="DE505" s="43" t="s">
        <v>62</v>
      </c>
      <c r="DF505">
        <v>1</v>
      </c>
      <c r="DG505" t="s">
        <v>273</v>
      </c>
      <c r="DH505" s="43" t="s">
        <v>268</v>
      </c>
      <c r="DI505">
        <v>0</v>
      </c>
    </row>
    <row r="506" spans="107:113" x14ac:dyDescent="0.25">
      <c r="DC506" s="43" t="s">
        <v>132</v>
      </c>
      <c r="DD506" s="43" t="s">
        <v>26</v>
      </c>
      <c r="DE506" s="43" t="s">
        <v>39</v>
      </c>
      <c r="DF506">
        <v>1</v>
      </c>
      <c r="DG506" t="s">
        <v>317</v>
      </c>
      <c r="DH506" s="43" t="s">
        <v>308</v>
      </c>
      <c r="DI506">
        <v>16.7</v>
      </c>
    </row>
    <row r="507" spans="107:113" x14ac:dyDescent="0.25">
      <c r="DC507" s="43" t="s">
        <v>132</v>
      </c>
      <c r="DD507" s="43" t="s">
        <v>26</v>
      </c>
      <c r="DE507" s="43" t="s">
        <v>39</v>
      </c>
      <c r="DF507">
        <v>1</v>
      </c>
      <c r="DG507" t="s">
        <v>317</v>
      </c>
      <c r="DH507" s="43" t="s">
        <v>309</v>
      </c>
      <c r="DI507">
        <v>48.800000000000004</v>
      </c>
    </row>
    <row r="508" spans="107:113" x14ac:dyDescent="0.25">
      <c r="DC508" s="43" t="s">
        <v>132</v>
      </c>
      <c r="DD508" s="43" t="s">
        <v>26</v>
      </c>
      <c r="DE508" s="43" t="s">
        <v>39</v>
      </c>
      <c r="DF508">
        <v>1</v>
      </c>
      <c r="DG508" t="s">
        <v>317</v>
      </c>
      <c r="DH508" s="43" t="s">
        <v>268</v>
      </c>
      <c r="DI508">
        <v>65.5</v>
      </c>
    </row>
    <row r="509" spans="107:113" x14ac:dyDescent="0.25">
      <c r="DC509" s="43" t="s">
        <v>132</v>
      </c>
      <c r="DD509" s="43" t="s">
        <v>26</v>
      </c>
      <c r="DE509" s="43" t="s">
        <v>39</v>
      </c>
      <c r="DF509">
        <v>1</v>
      </c>
      <c r="DG509" t="s">
        <v>325</v>
      </c>
      <c r="DH509" s="43" t="s">
        <v>308</v>
      </c>
      <c r="DI509">
        <v>0</v>
      </c>
    </row>
    <row r="510" spans="107:113" x14ac:dyDescent="0.25">
      <c r="DC510" s="43" t="s">
        <v>132</v>
      </c>
      <c r="DD510" s="43" t="s">
        <v>26</v>
      </c>
      <c r="DE510" s="43" t="s">
        <v>39</v>
      </c>
      <c r="DF510">
        <v>1</v>
      </c>
      <c r="DG510" t="s">
        <v>325</v>
      </c>
      <c r="DH510" s="43" t="s">
        <v>309</v>
      </c>
      <c r="DI510">
        <v>0</v>
      </c>
    </row>
    <row r="511" spans="107:113" x14ac:dyDescent="0.25">
      <c r="DC511" s="43" t="s">
        <v>132</v>
      </c>
      <c r="DD511" s="43" t="s">
        <v>26</v>
      </c>
      <c r="DE511" s="43" t="s">
        <v>39</v>
      </c>
      <c r="DF511">
        <v>1</v>
      </c>
      <c r="DG511" t="s">
        <v>325</v>
      </c>
      <c r="DH511" s="43" t="s">
        <v>268</v>
      </c>
      <c r="DI511">
        <v>0</v>
      </c>
    </row>
    <row r="512" spans="107:113" x14ac:dyDescent="0.25">
      <c r="DC512" s="43" t="s">
        <v>132</v>
      </c>
      <c r="DD512" s="43" t="s">
        <v>26</v>
      </c>
      <c r="DE512" s="43" t="s">
        <v>39</v>
      </c>
      <c r="DF512">
        <v>1</v>
      </c>
      <c r="DG512" t="s">
        <v>330</v>
      </c>
      <c r="DH512" s="43" t="s">
        <v>308</v>
      </c>
      <c r="DI512">
        <v>0</v>
      </c>
    </row>
    <row r="513" spans="107:113" x14ac:dyDescent="0.25">
      <c r="DC513" s="43" t="s">
        <v>132</v>
      </c>
      <c r="DD513" s="43" t="s">
        <v>26</v>
      </c>
      <c r="DE513" s="43" t="s">
        <v>39</v>
      </c>
      <c r="DF513">
        <v>1</v>
      </c>
      <c r="DG513" t="s">
        <v>330</v>
      </c>
      <c r="DH513" s="43" t="s">
        <v>309</v>
      </c>
      <c r="DI513">
        <v>0</v>
      </c>
    </row>
    <row r="514" spans="107:113" x14ac:dyDescent="0.25">
      <c r="DC514" s="43" t="s">
        <v>132</v>
      </c>
      <c r="DD514" s="43" t="s">
        <v>26</v>
      </c>
      <c r="DE514" s="43" t="s">
        <v>39</v>
      </c>
      <c r="DF514">
        <v>1</v>
      </c>
      <c r="DG514" t="s">
        <v>330</v>
      </c>
      <c r="DH514" s="43" t="s">
        <v>268</v>
      </c>
      <c r="DI514">
        <v>0</v>
      </c>
    </row>
    <row r="515" spans="107:113" x14ac:dyDescent="0.25">
      <c r="DC515" s="43" t="s">
        <v>132</v>
      </c>
      <c r="DD515" s="43" t="s">
        <v>26</v>
      </c>
      <c r="DE515" s="43" t="s">
        <v>39</v>
      </c>
      <c r="DF515">
        <v>1</v>
      </c>
      <c r="DG515" t="s">
        <v>331</v>
      </c>
      <c r="DH515" s="43" t="s">
        <v>308</v>
      </c>
      <c r="DI515">
        <v>0</v>
      </c>
    </row>
    <row r="516" spans="107:113" x14ac:dyDescent="0.25">
      <c r="DC516" s="43" t="s">
        <v>132</v>
      </c>
      <c r="DD516" s="43" t="s">
        <v>26</v>
      </c>
      <c r="DE516" s="43" t="s">
        <v>39</v>
      </c>
      <c r="DF516">
        <v>1</v>
      </c>
      <c r="DG516" t="s">
        <v>331</v>
      </c>
      <c r="DH516" s="43" t="s">
        <v>309</v>
      </c>
      <c r="DI516">
        <v>0</v>
      </c>
    </row>
    <row r="517" spans="107:113" x14ac:dyDescent="0.25">
      <c r="DC517" s="43" t="s">
        <v>132</v>
      </c>
      <c r="DD517" s="43" t="s">
        <v>26</v>
      </c>
      <c r="DE517" s="43" t="s">
        <v>39</v>
      </c>
      <c r="DF517">
        <v>1</v>
      </c>
      <c r="DG517" t="s">
        <v>331</v>
      </c>
      <c r="DH517" s="43" t="s">
        <v>268</v>
      </c>
      <c r="DI517">
        <v>0</v>
      </c>
    </row>
    <row r="518" spans="107:113" x14ac:dyDescent="0.25">
      <c r="DC518" s="43" t="s">
        <v>132</v>
      </c>
      <c r="DD518" s="43" t="s">
        <v>26</v>
      </c>
      <c r="DE518" s="43" t="s">
        <v>39</v>
      </c>
      <c r="DF518">
        <v>1</v>
      </c>
      <c r="DG518" t="s">
        <v>341</v>
      </c>
      <c r="DH518" s="43" t="s">
        <v>308</v>
      </c>
      <c r="DI518">
        <v>0</v>
      </c>
    </row>
    <row r="519" spans="107:113" x14ac:dyDescent="0.25">
      <c r="DC519" s="43" t="s">
        <v>132</v>
      </c>
      <c r="DD519" s="43" t="s">
        <v>26</v>
      </c>
      <c r="DE519" s="43" t="s">
        <v>39</v>
      </c>
      <c r="DF519">
        <v>1</v>
      </c>
      <c r="DG519" t="s">
        <v>341</v>
      </c>
      <c r="DH519" s="43" t="s">
        <v>309</v>
      </c>
      <c r="DI519">
        <v>0</v>
      </c>
    </row>
    <row r="520" spans="107:113" x14ac:dyDescent="0.25">
      <c r="DC520" s="43" t="s">
        <v>132</v>
      </c>
      <c r="DD520" s="43" t="s">
        <v>26</v>
      </c>
      <c r="DE520" s="43" t="s">
        <v>39</v>
      </c>
      <c r="DF520">
        <v>1</v>
      </c>
      <c r="DG520" t="s">
        <v>341</v>
      </c>
      <c r="DH520" s="43" t="s">
        <v>268</v>
      </c>
      <c r="DI520">
        <v>0</v>
      </c>
    </row>
    <row r="521" spans="107:113" x14ac:dyDescent="0.25">
      <c r="DC521" s="43" t="s">
        <v>132</v>
      </c>
      <c r="DD521" s="43" t="s">
        <v>26</v>
      </c>
      <c r="DE521" s="43" t="s">
        <v>39</v>
      </c>
      <c r="DF521">
        <v>1</v>
      </c>
      <c r="DG521" t="s">
        <v>273</v>
      </c>
      <c r="DH521" s="43" t="s">
        <v>308</v>
      </c>
      <c r="DI521">
        <v>0</v>
      </c>
    </row>
    <row r="522" spans="107:113" x14ac:dyDescent="0.25">
      <c r="DC522" s="43" t="s">
        <v>132</v>
      </c>
      <c r="DD522" s="43" t="s">
        <v>26</v>
      </c>
      <c r="DE522" s="43" t="s">
        <v>39</v>
      </c>
      <c r="DF522">
        <v>1</v>
      </c>
      <c r="DG522" t="s">
        <v>273</v>
      </c>
      <c r="DH522" s="43" t="s">
        <v>309</v>
      </c>
      <c r="DI522">
        <v>0</v>
      </c>
    </row>
    <row r="523" spans="107:113" x14ac:dyDescent="0.25">
      <c r="DC523" s="43" t="s">
        <v>132</v>
      </c>
      <c r="DD523" s="43" t="s">
        <v>26</v>
      </c>
      <c r="DE523" s="43" t="s">
        <v>39</v>
      </c>
      <c r="DF523">
        <v>1</v>
      </c>
      <c r="DG523" t="s">
        <v>273</v>
      </c>
      <c r="DH523" s="43" t="s">
        <v>268</v>
      </c>
      <c r="DI523">
        <v>0</v>
      </c>
    </row>
    <row r="524" spans="107:113" x14ac:dyDescent="0.25">
      <c r="DC524" s="43" t="s">
        <v>57</v>
      </c>
      <c r="DD524" s="43" t="s">
        <v>26</v>
      </c>
      <c r="DE524" s="43" t="s">
        <v>36</v>
      </c>
      <c r="DF524">
        <v>1</v>
      </c>
      <c r="DG524" t="s">
        <v>317</v>
      </c>
      <c r="DH524" s="43" t="s">
        <v>308</v>
      </c>
      <c r="DI524">
        <v>14.600000000000001</v>
      </c>
    </row>
    <row r="525" spans="107:113" x14ac:dyDescent="0.25">
      <c r="DC525" s="43" t="s">
        <v>57</v>
      </c>
      <c r="DD525" s="43" t="s">
        <v>26</v>
      </c>
      <c r="DE525" s="43" t="s">
        <v>36</v>
      </c>
      <c r="DF525">
        <v>1</v>
      </c>
      <c r="DG525" t="s">
        <v>317</v>
      </c>
      <c r="DH525" s="43" t="s">
        <v>309</v>
      </c>
      <c r="DI525">
        <v>43.9</v>
      </c>
    </row>
    <row r="526" spans="107:113" x14ac:dyDescent="0.25">
      <c r="DC526" s="43" t="s">
        <v>57</v>
      </c>
      <c r="DD526" s="43" t="s">
        <v>26</v>
      </c>
      <c r="DE526" s="43" t="s">
        <v>36</v>
      </c>
      <c r="DF526">
        <v>1</v>
      </c>
      <c r="DG526" t="s">
        <v>317</v>
      </c>
      <c r="DH526" s="43" t="s">
        <v>268</v>
      </c>
      <c r="DI526">
        <v>58.5</v>
      </c>
    </row>
    <row r="527" spans="107:113" x14ac:dyDescent="0.25">
      <c r="DC527" s="43" t="s">
        <v>57</v>
      </c>
      <c r="DD527" s="43" t="s">
        <v>26</v>
      </c>
      <c r="DE527" s="43" t="s">
        <v>36</v>
      </c>
      <c r="DF527">
        <v>1</v>
      </c>
      <c r="DG527" t="s">
        <v>325</v>
      </c>
      <c r="DH527" s="43" t="s">
        <v>308</v>
      </c>
      <c r="DI527">
        <v>0</v>
      </c>
    </row>
    <row r="528" spans="107:113" x14ac:dyDescent="0.25">
      <c r="DC528" s="43" t="s">
        <v>57</v>
      </c>
      <c r="DD528" s="43" t="s">
        <v>26</v>
      </c>
      <c r="DE528" s="43" t="s">
        <v>36</v>
      </c>
      <c r="DF528">
        <v>1</v>
      </c>
      <c r="DG528" t="s">
        <v>325</v>
      </c>
      <c r="DH528" s="43" t="s">
        <v>309</v>
      </c>
      <c r="DI528">
        <v>0</v>
      </c>
    </row>
    <row r="529" spans="107:113" x14ac:dyDescent="0.25">
      <c r="DC529" s="43" t="s">
        <v>57</v>
      </c>
      <c r="DD529" s="43" t="s">
        <v>26</v>
      </c>
      <c r="DE529" s="43" t="s">
        <v>36</v>
      </c>
      <c r="DF529">
        <v>1</v>
      </c>
      <c r="DG529" t="s">
        <v>325</v>
      </c>
      <c r="DH529" s="43" t="s">
        <v>268</v>
      </c>
      <c r="DI529">
        <v>0</v>
      </c>
    </row>
    <row r="530" spans="107:113" x14ac:dyDescent="0.25">
      <c r="DC530" s="43" t="s">
        <v>57</v>
      </c>
      <c r="DD530" s="43" t="s">
        <v>26</v>
      </c>
      <c r="DE530" s="43" t="s">
        <v>36</v>
      </c>
      <c r="DF530">
        <v>1</v>
      </c>
      <c r="DG530" t="s">
        <v>330</v>
      </c>
      <c r="DH530" s="43" t="s">
        <v>308</v>
      </c>
      <c r="DI530">
        <v>0</v>
      </c>
    </row>
    <row r="531" spans="107:113" x14ac:dyDescent="0.25">
      <c r="DC531" s="43" t="s">
        <v>57</v>
      </c>
      <c r="DD531" s="43" t="s">
        <v>26</v>
      </c>
      <c r="DE531" s="43" t="s">
        <v>36</v>
      </c>
      <c r="DF531">
        <v>1</v>
      </c>
      <c r="DG531" t="s">
        <v>330</v>
      </c>
      <c r="DH531" s="43" t="s">
        <v>309</v>
      </c>
      <c r="DI531">
        <v>0</v>
      </c>
    </row>
    <row r="532" spans="107:113" x14ac:dyDescent="0.25">
      <c r="DC532" s="43" t="s">
        <v>57</v>
      </c>
      <c r="DD532" s="43" t="s">
        <v>26</v>
      </c>
      <c r="DE532" s="43" t="s">
        <v>36</v>
      </c>
      <c r="DF532">
        <v>1</v>
      </c>
      <c r="DG532" t="s">
        <v>330</v>
      </c>
      <c r="DH532" s="43" t="s">
        <v>268</v>
      </c>
      <c r="DI532">
        <v>0</v>
      </c>
    </row>
    <row r="533" spans="107:113" x14ac:dyDescent="0.25">
      <c r="DC533" s="43" t="s">
        <v>57</v>
      </c>
      <c r="DD533" s="43" t="s">
        <v>26</v>
      </c>
      <c r="DE533" s="43" t="s">
        <v>36</v>
      </c>
      <c r="DF533">
        <v>1</v>
      </c>
      <c r="DG533" t="s">
        <v>331</v>
      </c>
      <c r="DH533" s="43" t="s">
        <v>308</v>
      </c>
      <c r="DI533">
        <v>0</v>
      </c>
    </row>
    <row r="534" spans="107:113" x14ac:dyDescent="0.25">
      <c r="DC534" s="43" t="s">
        <v>57</v>
      </c>
      <c r="DD534" s="43" t="s">
        <v>26</v>
      </c>
      <c r="DE534" s="43" t="s">
        <v>36</v>
      </c>
      <c r="DF534">
        <v>1</v>
      </c>
      <c r="DG534" t="s">
        <v>331</v>
      </c>
      <c r="DH534" s="43" t="s">
        <v>309</v>
      </c>
      <c r="DI534">
        <v>0</v>
      </c>
    </row>
    <row r="535" spans="107:113" x14ac:dyDescent="0.25">
      <c r="DC535" s="43" t="s">
        <v>57</v>
      </c>
      <c r="DD535" s="43" t="s">
        <v>26</v>
      </c>
      <c r="DE535" s="43" t="s">
        <v>36</v>
      </c>
      <c r="DF535">
        <v>1</v>
      </c>
      <c r="DG535" t="s">
        <v>331</v>
      </c>
      <c r="DH535" s="43" t="s">
        <v>268</v>
      </c>
      <c r="DI535">
        <v>0</v>
      </c>
    </row>
    <row r="536" spans="107:113" x14ac:dyDescent="0.25">
      <c r="DC536" s="43" t="s">
        <v>57</v>
      </c>
      <c r="DD536" s="43" t="s">
        <v>26</v>
      </c>
      <c r="DE536" s="43" t="s">
        <v>36</v>
      </c>
      <c r="DF536">
        <v>1</v>
      </c>
      <c r="DG536" t="s">
        <v>341</v>
      </c>
      <c r="DH536" s="43" t="s">
        <v>308</v>
      </c>
      <c r="DI536">
        <v>0</v>
      </c>
    </row>
    <row r="537" spans="107:113" x14ac:dyDescent="0.25">
      <c r="DC537" s="43" t="s">
        <v>57</v>
      </c>
      <c r="DD537" s="43" t="s">
        <v>26</v>
      </c>
      <c r="DE537" s="43" t="s">
        <v>36</v>
      </c>
      <c r="DF537">
        <v>1</v>
      </c>
      <c r="DG537" t="s">
        <v>341</v>
      </c>
      <c r="DH537" s="43" t="s">
        <v>309</v>
      </c>
      <c r="DI537">
        <v>0</v>
      </c>
    </row>
    <row r="538" spans="107:113" x14ac:dyDescent="0.25">
      <c r="DC538" s="43" t="s">
        <v>57</v>
      </c>
      <c r="DD538" s="43" t="s">
        <v>26</v>
      </c>
      <c r="DE538" s="43" t="s">
        <v>36</v>
      </c>
      <c r="DF538">
        <v>1</v>
      </c>
      <c r="DG538" t="s">
        <v>341</v>
      </c>
      <c r="DH538" s="43" t="s">
        <v>268</v>
      </c>
      <c r="DI538">
        <v>0</v>
      </c>
    </row>
    <row r="539" spans="107:113" x14ac:dyDescent="0.25">
      <c r="DC539" s="43" t="s">
        <v>57</v>
      </c>
      <c r="DD539" s="43" t="s">
        <v>26</v>
      </c>
      <c r="DE539" s="43" t="s">
        <v>36</v>
      </c>
      <c r="DF539">
        <v>1</v>
      </c>
      <c r="DG539" t="s">
        <v>273</v>
      </c>
      <c r="DH539" s="43" t="s">
        <v>308</v>
      </c>
      <c r="DI539">
        <v>0</v>
      </c>
    </row>
    <row r="540" spans="107:113" x14ac:dyDescent="0.25">
      <c r="DC540" s="43" t="s">
        <v>57</v>
      </c>
      <c r="DD540" s="43" t="s">
        <v>26</v>
      </c>
      <c r="DE540" s="43" t="s">
        <v>36</v>
      </c>
      <c r="DF540">
        <v>1</v>
      </c>
      <c r="DG540" t="s">
        <v>273</v>
      </c>
      <c r="DH540" s="43" t="s">
        <v>309</v>
      </c>
      <c r="DI540">
        <v>0</v>
      </c>
    </row>
    <row r="541" spans="107:113" x14ac:dyDescent="0.25">
      <c r="DC541" s="43" t="s">
        <v>57</v>
      </c>
      <c r="DD541" s="43" t="s">
        <v>26</v>
      </c>
      <c r="DE541" s="43" t="s">
        <v>36</v>
      </c>
      <c r="DF541">
        <v>1</v>
      </c>
      <c r="DG541" t="s">
        <v>273</v>
      </c>
      <c r="DH541" s="43" t="s">
        <v>268</v>
      </c>
      <c r="DI541">
        <v>0</v>
      </c>
    </row>
    <row r="542" spans="107:113" x14ac:dyDescent="0.25">
      <c r="DC542" s="43" t="s">
        <v>135</v>
      </c>
      <c r="DD542" s="43" t="s">
        <v>26</v>
      </c>
      <c r="DE542" s="43" t="s">
        <v>124</v>
      </c>
      <c r="DF542">
        <v>1</v>
      </c>
      <c r="DG542" t="s">
        <v>317</v>
      </c>
      <c r="DH542" s="43" t="s">
        <v>308</v>
      </c>
      <c r="DI542">
        <v>11.600000000000001</v>
      </c>
    </row>
    <row r="543" spans="107:113" x14ac:dyDescent="0.25">
      <c r="DC543" s="43" t="s">
        <v>135</v>
      </c>
      <c r="DD543" s="43" t="s">
        <v>26</v>
      </c>
      <c r="DE543" s="43" t="s">
        <v>124</v>
      </c>
      <c r="DF543">
        <v>1</v>
      </c>
      <c r="DG543" t="s">
        <v>317</v>
      </c>
      <c r="DH543" s="43" t="s">
        <v>309</v>
      </c>
      <c r="DI543">
        <v>27.2</v>
      </c>
    </row>
    <row r="544" spans="107:113" x14ac:dyDescent="0.25">
      <c r="DC544" s="43" t="s">
        <v>135</v>
      </c>
      <c r="DD544" s="43" t="s">
        <v>26</v>
      </c>
      <c r="DE544" s="43" t="s">
        <v>124</v>
      </c>
      <c r="DF544">
        <v>1</v>
      </c>
      <c r="DG544" t="s">
        <v>317</v>
      </c>
      <c r="DH544" s="43" t="s">
        <v>268</v>
      </c>
      <c r="DI544">
        <v>38.800000000000004</v>
      </c>
    </row>
    <row r="545" spans="107:113" x14ac:dyDescent="0.25">
      <c r="DC545" s="43" t="s">
        <v>135</v>
      </c>
      <c r="DD545" s="43" t="s">
        <v>26</v>
      </c>
      <c r="DE545" s="43" t="s">
        <v>124</v>
      </c>
      <c r="DF545">
        <v>1</v>
      </c>
      <c r="DG545" t="s">
        <v>325</v>
      </c>
      <c r="DH545" s="43" t="s">
        <v>308</v>
      </c>
      <c r="DI545">
        <v>0</v>
      </c>
    </row>
    <row r="546" spans="107:113" x14ac:dyDescent="0.25">
      <c r="DC546" s="43" t="s">
        <v>135</v>
      </c>
      <c r="DD546" s="43" t="s">
        <v>26</v>
      </c>
      <c r="DE546" s="43" t="s">
        <v>124</v>
      </c>
      <c r="DF546">
        <v>1</v>
      </c>
      <c r="DG546" t="s">
        <v>325</v>
      </c>
      <c r="DH546" s="43" t="s">
        <v>309</v>
      </c>
      <c r="DI546">
        <v>0</v>
      </c>
    </row>
    <row r="547" spans="107:113" x14ac:dyDescent="0.25">
      <c r="DC547" s="43" t="s">
        <v>135</v>
      </c>
      <c r="DD547" s="43" t="s">
        <v>26</v>
      </c>
      <c r="DE547" s="43" t="s">
        <v>124</v>
      </c>
      <c r="DF547">
        <v>1</v>
      </c>
      <c r="DG547" t="s">
        <v>325</v>
      </c>
      <c r="DH547" s="43" t="s">
        <v>268</v>
      </c>
      <c r="DI547">
        <v>0</v>
      </c>
    </row>
    <row r="548" spans="107:113" x14ac:dyDescent="0.25">
      <c r="DC548" s="43" t="s">
        <v>135</v>
      </c>
      <c r="DD548" s="43" t="s">
        <v>26</v>
      </c>
      <c r="DE548" s="43" t="s">
        <v>124</v>
      </c>
      <c r="DF548">
        <v>1</v>
      </c>
      <c r="DG548" t="s">
        <v>330</v>
      </c>
      <c r="DH548" s="43" t="s">
        <v>308</v>
      </c>
      <c r="DI548">
        <v>0</v>
      </c>
    </row>
    <row r="549" spans="107:113" x14ac:dyDescent="0.25">
      <c r="DC549" s="43" t="s">
        <v>135</v>
      </c>
      <c r="DD549" s="43" t="s">
        <v>26</v>
      </c>
      <c r="DE549" s="43" t="s">
        <v>124</v>
      </c>
      <c r="DF549">
        <v>1</v>
      </c>
      <c r="DG549" t="s">
        <v>330</v>
      </c>
      <c r="DH549" s="43" t="s">
        <v>309</v>
      </c>
      <c r="DI549">
        <v>0</v>
      </c>
    </row>
    <row r="550" spans="107:113" x14ac:dyDescent="0.25">
      <c r="DC550" s="43" t="s">
        <v>135</v>
      </c>
      <c r="DD550" s="43" t="s">
        <v>26</v>
      </c>
      <c r="DE550" s="43" t="s">
        <v>124</v>
      </c>
      <c r="DF550">
        <v>1</v>
      </c>
      <c r="DG550" t="s">
        <v>330</v>
      </c>
      <c r="DH550" s="43" t="s">
        <v>268</v>
      </c>
      <c r="DI550">
        <v>0</v>
      </c>
    </row>
    <row r="551" spans="107:113" x14ac:dyDescent="0.25">
      <c r="DC551" s="43" t="s">
        <v>135</v>
      </c>
      <c r="DD551" s="43" t="s">
        <v>26</v>
      </c>
      <c r="DE551" s="43" t="s">
        <v>124</v>
      </c>
      <c r="DF551">
        <v>1</v>
      </c>
      <c r="DG551" t="s">
        <v>331</v>
      </c>
      <c r="DH551" s="43" t="s">
        <v>308</v>
      </c>
      <c r="DI551">
        <v>0</v>
      </c>
    </row>
    <row r="552" spans="107:113" x14ac:dyDescent="0.25">
      <c r="DC552" s="43" t="s">
        <v>135</v>
      </c>
      <c r="DD552" s="43" t="s">
        <v>26</v>
      </c>
      <c r="DE552" s="43" t="s">
        <v>124</v>
      </c>
      <c r="DF552">
        <v>1</v>
      </c>
      <c r="DG552" t="s">
        <v>331</v>
      </c>
      <c r="DH552" s="43" t="s">
        <v>309</v>
      </c>
      <c r="DI552">
        <v>0</v>
      </c>
    </row>
    <row r="553" spans="107:113" x14ac:dyDescent="0.25">
      <c r="DC553" s="43" t="s">
        <v>135</v>
      </c>
      <c r="DD553" s="43" t="s">
        <v>26</v>
      </c>
      <c r="DE553" s="43" t="s">
        <v>124</v>
      </c>
      <c r="DF553">
        <v>1</v>
      </c>
      <c r="DG553" t="s">
        <v>331</v>
      </c>
      <c r="DH553" s="43" t="s">
        <v>268</v>
      </c>
      <c r="DI553">
        <v>0</v>
      </c>
    </row>
    <row r="554" spans="107:113" x14ac:dyDescent="0.25">
      <c r="DC554" s="43" t="s">
        <v>135</v>
      </c>
      <c r="DD554" s="43" t="s">
        <v>26</v>
      </c>
      <c r="DE554" s="43" t="s">
        <v>124</v>
      </c>
      <c r="DF554">
        <v>1</v>
      </c>
      <c r="DG554" t="s">
        <v>341</v>
      </c>
      <c r="DH554" s="43" t="s">
        <v>308</v>
      </c>
      <c r="DI554">
        <v>0</v>
      </c>
    </row>
    <row r="555" spans="107:113" x14ac:dyDescent="0.25">
      <c r="DC555" s="43" t="s">
        <v>135</v>
      </c>
      <c r="DD555" s="43" t="s">
        <v>26</v>
      </c>
      <c r="DE555" s="43" t="s">
        <v>124</v>
      </c>
      <c r="DF555">
        <v>1</v>
      </c>
      <c r="DG555" t="s">
        <v>341</v>
      </c>
      <c r="DH555" s="43" t="s">
        <v>309</v>
      </c>
      <c r="DI555">
        <v>0</v>
      </c>
    </row>
    <row r="556" spans="107:113" x14ac:dyDescent="0.25">
      <c r="DC556" s="43" t="s">
        <v>135</v>
      </c>
      <c r="DD556" s="43" t="s">
        <v>26</v>
      </c>
      <c r="DE556" s="43" t="s">
        <v>124</v>
      </c>
      <c r="DF556">
        <v>1</v>
      </c>
      <c r="DG556" t="s">
        <v>341</v>
      </c>
      <c r="DH556" s="43" t="s">
        <v>268</v>
      </c>
      <c r="DI556">
        <v>0</v>
      </c>
    </row>
    <row r="557" spans="107:113" x14ac:dyDescent="0.25">
      <c r="DC557" s="43" t="s">
        <v>135</v>
      </c>
      <c r="DD557" s="43" t="s">
        <v>26</v>
      </c>
      <c r="DE557" s="43" t="s">
        <v>124</v>
      </c>
      <c r="DF557">
        <v>1</v>
      </c>
      <c r="DG557" t="s">
        <v>273</v>
      </c>
      <c r="DH557" s="43" t="s">
        <v>308</v>
      </c>
      <c r="DI557">
        <v>0</v>
      </c>
    </row>
    <row r="558" spans="107:113" x14ac:dyDescent="0.25">
      <c r="DC558" s="43" t="s">
        <v>135</v>
      </c>
      <c r="DD558" s="43" t="s">
        <v>26</v>
      </c>
      <c r="DE558" s="43" t="s">
        <v>124</v>
      </c>
      <c r="DF558">
        <v>1</v>
      </c>
      <c r="DG558" t="s">
        <v>273</v>
      </c>
      <c r="DH558" s="43" t="s">
        <v>309</v>
      </c>
      <c r="DI558">
        <v>0</v>
      </c>
    </row>
    <row r="559" spans="107:113" x14ac:dyDescent="0.25">
      <c r="DC559" s="43" t="s">
        <v>135</v>
      </c>
      <c r="DD559" s="43" t="s">
        <v>26</v>
      </c>
      <c r="DE559" s="43" t="s">
        <v>124</v>
      </c>
      <c r="DF559">
        <v>1</v>
      </c>
      <c r="DG559" t="s">
        <v>273</v>
      </c>
      <c r="DH559" s="43" t="s">
        <v>268</v>
      </c>
      <c r="DI559">
        <v>0</v>
      </c>
    </row>
    <row r="560" spans="107:113" x14ac:dyDescent="0.25">
      <c r="DC560" s="43" t="s">
        <v>137</v>
      </c>
      <c r="DD560" s="43" t="s">
        <v>26</v>
      </c>
      <c r="DE560" s="43" t="s">
        <v>124</v>
      </c>
      <c r="DF560">
        <v>1</v>
      </c>
      <c r="DG560" t="s">
        <v>317</v>
      </c>
      <c r="DH560" s="43" t="s">
        <v>308</v>
      </c>
      <c r="DI560">
        <v>8.1999999999999993</v>
      </c>
    </row>
    <row r="561" spans="107:113" x14ac:dyDescent="0.25">
      <c r="DC561" s="43" t="s">
        <v>137</v>
      </c>
      <c r="DD561" s="43" t="s">
        <v>26</v>
      </c>
      <c r="DE561" s="43" t="s">
        <v>124</v>
      </c>
      <c r="DF561">
        <v>1</v>
      </c>
      <c r="DG561" t="s">
        <v>317</v>
      </c>
      <c r="DH561" s="43" t="s">
        <v>309</v>
      </c>
      <c r="DI561">
        <v>24.450000000000003</v>
      </c>
    </row>
    <row r="562" spans="107:113" x14ac:dyDescent="0.25">
      <c r="DC562" s="43" t="s">
        <v>137</v>
      </c>
      <c r="DD562" s="43" t="s">
        <v>26</v>
      </c>
      <c r="DE562" s="43" t="s">
        <v>124</v>
      </c>
      <c r="DF562">
        <v>1</v>
      </c>
      <c r="DG562" t="s">
        <v>317</v>
      </c>
      <c r="DH562" s="43" t="s">
        <v>268</v>
      </c>
      <c r="DI562">
        <v>32.65</v>
      </c>
    </row>
    <row r="563" spans="107:113" x14ac:dyDescent="0.25">
      <c r="DC563" s="43" t="s">
        <v>137</v>
      </c>
      <c r="DD563" s="43" t="s">
        <v>26</v>
      </c>
      <c r="DE563" s="43" t="s">
        <v>124</v>
      </c>
      <c r="DF563">
        <v>1</v>
      </c>
      <c r="DG563" t="s">
        <v>325</v>
      </c>
      <c r="DH563" s="43" t="s">
        <v>308</v>
      </c>
      <c r="DI563">
        <v>0</v>
      </c>
    </row>
    <row r="564" spans="107:113" x14ac:dyDescent="0.25">
      <c r="DC564" s="43" t="s">
        <v>137</v>
      </c>
      <c r="DD564" s="43" t="s">
        <v>26</v>
      </c>
      <c r="DE564" s="43" t="s">
        <v>124</v>
      </c>
      <c r="DF564">
        <v>1</v>
      </c>
      <c r="DG564" t="s">
        <v>325</v>
      </c>
      <c r="DH564" s="43" t="s">
        <v>309</v>
      </c>
      <c r="DI564">
        <v>0</v>
      </c>
    </row>
    <row r="565" spans="107:113" x14ac:dyDescent="0.25">
      <c r="DC565" s="43" t="s">
        <v>137</v>
      </c>
      <c r="DD565" s="43" t="s">
        <v>26</v>
      </c>
      <c r="DE565" s="43" t="s">
        <v>124</v>
      </c>
      <c r="DF565">
        <v>1</v>
      </c>
      <c r="DG565" t="s">
        <v>325</v>
      </c>
      <c r="DH565" s="43" t="s">
        <v>268</v>
      </c>
      <c r="DI565">
        <v>0</v>
      </c>
    </row>
    <row r="566" spans="107:113" x14ac:dyDescent="0.25">
      <c r="DC566" s="43" t="s">
        <v>137</v>
      </c>
      <c r="DD566" s="43" t="s">
        <v>26</v>
      </c>
      <c r="DE566" s="43" t="s">
        <v>124</v>
      </c>
      <c r="DF566">
        <v>1</v>
      </c>
      <c r="DG566" t="s">
        <v>330</v>
      </c>
      <c r="DH566" s="43" t="s">
        <v>308</v>
      </c>
      <c r="DI566">
        <v>0</v>
      </c>
    </row>
    <row r="567" spans="107:113" x14ac:dyDescent="0.25">
      <c r="DC567" s="43" t="s">
        <v>137</v>
      </c>
      <c r="DD567" s="43" t="s">
        <v>26</v>
      </c>
      <c r="DE567" s="43" t="s">
        <v>124</v>
      </c>
      <c r="DF567">
        <v>1</v>
      </c>
      <c r="DG567" t="s">
        <v>330</v>
      </c>
      <c r="DH567" s="43" t="s">
        <v>309</v>
      </c>
      <c r="DI567">
        <v>0</v>
      </c>
    </row>
    <row r="568" spans="107:113" x14ac:dyDescent="0.25">
      <c r="DC568" s="43" t="s">
        <v>137</v>
      </c>
      <c r="DD568" s="43" t="s">
        <v>26</v>
      </c>
      <c r="DE568" s="43" t="s">
        <v>124</v>
      </c>
      <c r="DF568">
        <v>1</v>
      </c>
      <c r="DG568" t="s">
        <v>330</v>
      </c>
      <c r="DH568" s="43" t="s">
        <v>268</v>
      </c>
      <c r="DI568">
        <v>0</v>
      </c>
    </row>
    <row r="569" spans="107:113" x14ac:dyDescent="0.25">
      <c r="DC569" s="43" t="s">
        <v>137</v>
      </c>
      <c r="DD569" s="43" t="s">
        <v>26</v>
      </c>
      <c r="DE569" s="43" t="s">
        <v>124</v>
      </c>
      <c r="DF569">
        <v>1</v>
      </c>
      <c r="DG569" t="s">
        <v>331</v>
      </c>
      <c r="DH569" s="43" t="s">
        <v>308</v>
      </c>
      <c r="DI569">
        <v>0</v>
      </c>
    </row>
    <row r="570" spans="107:113" x14ac:dyDescent="0.25">
      <c r="DC570" s="43" t="s">
        <v>137</v>
      </c>
      <c r="DD570" s="43" t="s">
        <v>26</v>
      </c>
      <c r="DE570" s="43" t="s">
        <v>124</v>
      </c>
      <c r="DF570">
        <v>1</v>
      </c>
      <c r="DG570" t="s">
        <v>331</v>
      </c>
      <c r="DH570" s="43" t="s">
        <v>309</v>
      </c>
      <c r="DI570">
        <v>0</v>
      </c>
    </row>
    <row r="571" spans="107:113" x14ac:dyDescent="0.25">
      <c r="DC571" s="43" t="s">
        <v>137</v>
      </c>
      <c r="DD571" s="43" t="s">
        <v>26</v>
      </c>
      <c r="DE571" s="43" t="s">
        <v>124</v>
      </c>
      <c r="DF571">
        <v>1</v>
      </c>
      <c r="DG571" t="s">
        <v>331</v>
      </c>
      <c r="DH571" s="43" t="s">
        <v>268</v>
      </c>
      <c r="DI571">
        <v>0</v>
      </c>
    </row>
    <row r="572" spans="107:113" x14ac:dyDescent="0.25">
      <c r="DC572" s="43" t="s">
        <v>137</v>
      </c>
      <c r="DD572" s="43" t="s">
        <v>26</v>
      </c>
      <c r="DE572" s="43" t="s">
        <v>124</v>
      </c>
      <c r="DF572">
        <v>1</v>
      </c>
      <c r="DG572" t="s">
        <v>341</v>
      </c>
      <c r="DH572" s="43" t="s">
        <v>308</v>
      </c>
      <c r="DI572">
        <v>0</v>
      </c>
    </row>
    <row r="573" spans="107:113" x14ac:dyDescent="0.25">
      <c r="DC573" s="43" t="s">
        <v>137</v>
      </c>
      <c r="DD573" s="43" t="s">
        <v>26</v>
      </c>
      <c r="DE573" s="43" t="s">
        <v>124</v>
      </c>
      <c r="DF573">
        <v>1</v>
      </c>
      <c r="DG573" t="s">
        <v>341</v>
      </c>
      <c r="DH573" s="43" t="s">
        <v>309</v>
      </c>
      <c r="DI573">
        <v>0</v>
      </c>
    </row>
    <row r="574" spans="107:113" x14ac:dyDescent="0.25">
      <c r="DC574" s="43" t="s">
        <v>137</v>
      </c>
      <c r="DD574" s="43" t="s">
        <v>26</v>
      </c>
      <c r="DE574" s="43" t="s">
        <v>124</v>
      </c>
      <c r="DF574">
        <v>1</v>
      </c>
      <c r="DG574" t="s">
        <v>341</v>
      </c>
      <c r="DH574" s="43" t="s">
        <v>268</v>
      </c>
      <c r="DI574">
        <v>0</v>
      </c>
    </row>
    <row r="575" spans="107:113" x14ac:dyDescent="0.25">
      <c r="DC575" s="43" t="s">
        <v>137</v>
      </c>
      <c r="DD575" s="43" t="s">
        <v>26</v>
      </c>
      <c r="DE575" s="43" t="s">
        <v>124</v>
      </c>
      <c r="DF575">
        <v>1</v>
      </c>
      <c r="DG575" t="s">
        <v>273</v>
      </c>
      <c r="DH575" s="43" t="s">
        <v>308</v>
      </c>
      <c r="DI575">
        <v>0</v>
      </c>
    </row>
    <row r="576" spans="107:113" x14ac:dyDescent="0.25">
      <c r="DC576" s="43" t="s">
        <v>137</v>
      </c>
      <c r="DD576" s="43" t="s">
        <v>26</v>
      </c>
      <c r="DE576" s="43" t="s">
        <v>124</v>
      </c>
      <c r="DF576">
        <v>1</v>
      </c>
      <c r="DG576" t="s">
        <v>273</v>
      </c>
      <c r="DH576" s="43" t="s">
        <v>309</v>
      </c>
      <c r="DI576">
        <v>0</v>
      </c>
    </row>
    <row r="577" spans="107:113" x14ac:dyDescent="0.25">
      <c r="DC577" s="43" t="s">
        <v>137</v>
      </c>
      <c r="DD577" s="43" t="s">
        <v>26</v>
      </c>
      <c r="DE577" s="43" t="s">
        <v>124</v>
      </c>
      <c r="DF577">
        <v>1</v>
      </c>
      <c r="DG577" t="s">
        <v>273</v>
      </c>
      <c r="DH577" s="43" t="s">
        <v>268</v>
      </c>
      <c r="DI577">
        <v>0</v>
      </c>
    </row>
    <row r="578" spans="107:113" x14ac:dyDescent="0.25">
      <c r="DC578" s="43" t="s">
        <v>86</v>
      </c>
      <c r="DD578" s="43" t="s">
        <v>60</v>
      </c>
      <c r="DE578" s="43" t="s">
        <v>72</v>
      </c>
      <c r="DF578">
        <v>0</v>
      </c>
      <c r="DG578" t="s">
        <v>317</v>
      </c>
      <c r="DH578" s="43" t="s">
        <v>308</v>
      </c>
      <c r="DI578">
        <v>16.900000000000002</v>
      </c>
    </row>
    <row r="579" spans="107:113" x14ac:dyDescent="0.25">
      <c r="DC579" s="43" t="s">
        <v>86</v>
      </c>
      <c r="DD579" s="43" t="s">
        <v>60</v>
      </c>
      <c r="DE579" s="43" t="s">
        <v>72</v>
      </c>
      <c r="DF579">
        <v>0</v>
      </c>
      <c r="DG579" t="s">
        <v>317</v>
      </c>
      <c r="DH579" s="43" t="s">
        <v>309</v>
      </c>
      <c r="DI579">
        <v>37.25</v>
      </c>
    </row>
    <row r="580" spans="107:113" x14ac:dyDescent="0.25">
      <c r="DC580" s="43" t="s">
        <v>86</v>
      </c>
      <c r="DD580" s="43" t="s">
        <v>60</v>
      </c>
      <c r="DE580" s="43" t="s">
        <v>72</v>
      </c>
      <c r="DF580">
        <v>0</v>
      </c>
      <c r="DG580" t="s">
        <v>317</v>
      </c>
      <c r="DH580" s="43" t="s">
        <v>268</v>
      </c>
      <c r="DI580">
        <v>54.150000000000006</v>
      </c>
    </row>
    <row r="581" spans="107:113" x14ac:dyDescent="0.25">
      <c r="DC581" s="43" t="s">
        <v>86</v>
      </c>
      <c r="DD581" s="43" t="s">
        <v>60</v>
      </c>
      <c r="DE581" s="43" t="s">
        <v>72</v>
      </c>
      <c r="DF581">
        <v>0</v>
      </c>
      <c r="DG581" t="s">
        <v>325</v>
      </c>
      <c r="DH581" s="43" t="s">
        <v>308</v>
      </c>
      <c r="DI581">
        <v>13.3</v>
      </c>
    </row>
    <row r="582" spans="107:113" x14ac:dyDescent="0.25">
      <c r="DC582" s="43" t="s">
        <v>86</v>
      </c>
      <c r="DD582" s="43" t="s">
        <v>60</v>
      </c>
      <c r="DE582" s="43" t="s">
        <v>72</v>
      </c>
      <c r="DF582">
        <v>0</v>
      </c>
      <c r="DG582" t="s">
        <v>325</v>
      </c>
      <c r="DH582" s="43" t="s">
        <v>309</v>
      </c>
      <c r="DI582">
        <v>26.3</v>
      </c>
    </row>
    <row r="583" spans="107:113" x14ac:dyDescent="0.25">
      <c r="DC583" s="43" t="s">
        <v>86</v>
      </c>
      <c r="DD583" s="43" t="s">
        <v>60</v>
      </c>
      <c r="DE583" s="43" t="s">
        <v>72</v>
      </c>
      <c r="DF583">
        <v>0</v>
      </c>
      <c r="DG583" t="s">
        <v>325</v>
      </c>
      <c r="DH583" s="43" t="s">
        <v>268</v>
      </c>
      <c r="DI583">
        <v>39.600000000000009</v>
      </c>
    </row>
    <row r="584" spans="107:113" x14ac:dyDescent="0.25">
      <c r="DC584" s="43" t="s">
        <v>86</v>
      </c>
      <c r="DD584" s="43" t="s">
        <v>60</v>
      </c>
      <c r="DE584" s="43" t="s">
        <v>72</v>
      </c>
      <c r="DF584">
        <v>0</v>
      </c>
      <c r="DG584" t="s">
        <v>330</v>
      </c>
      <c r="DH584" s="43" t="s">
        <v>308</v>
      </c>
      <c r="DI584">
        <v>11.3</v>
      </c>
    </row>
    <row r="585" spans="107:113" x14ac:dyDescent="0.25">
      <c r="DC585" s="43" t="s">
        <v>86</v>
      </c>
      <c r="DD585" s="43" t="s">
        <v>60</v>
      </c>
      <c r="DE585" s="43" t="s">
        <v>72</v>
      </c>
      <c r="DF585">
        <v>0</v>
      </c>
      <c r="DG585" t="s">
        <v>330</v>
      </c>
      <c r="DH585" s="43" t="s">
        <v>309</v>
      </c>
      <c r="DI585">
        <v>22.75</v>
      </c>
    </row>
    <row r="586" spans="107:113" x14ac:dyDescent="0.25">
      <c r="DC586" s="43" t="s">
        <v>86</v>
      </c>
      <c r="DD586" s="43" t="s">
        <v>60</v>
      </c>
      <c r="DE586" s="43" t="s">
        <v>72</v>
      </c>
      <c r="DF586">
        <v>0</v>
      </c>
      <c r="DG586" t="s">
        <v>330</v>
      </c>
      <c r="DH586" s="43" t="s">
        <v>268</v>
      </c>
      <c r="DI586">
        <v>34.049999999999997</v>
      </c>
    </row>
    <row r="587" spans="107:113" x14ac:dyDescent="0.25">
      <c r="DC587" s="43" t="s">
        <v>86</v>
      </c>
      <c r="DD587" s="43" t="s">
        <v>60</v>
      </c>
      <c r="DE587" s="43" t="s">
        <v>72</v>
      </c>
      <c r="DF587">
        <v>0</v>
      </c>
      <c r="DG587" t="s">
        <v>331</v>
      </c>
      <c r="DH587" s="43" t="s">
        <v>308</v>
      </c>
      <c r="DI587">
        <v>15.6</v>
      </c>
    </row>
    <row r="588" spans="107:113" x14ac:dyDescent="0.25">
      <c r="DC588" s="43" t="s">
        <v>86</v>
      </c>
      <c r="DD588" s="43" t="s">
        <v>60</v>
      </c>
      <c r="DE588" s="43" t="s">
        <v>72</v>
      </c>
      <c r="DF588">
        <v>0</v>
      </c>
      <c r="DG588" t="s">
        <v>331</v>
      </c>
      <c r="DH588" s="43" t="s">
        <v>309</v>
      </c>
      <c r="DI588">
        <v>33.1</v>
      </c>
    </row>
    <row r="589" spans="107:113" x14ac:dyDescent="0.25">
      <c r="DC589" s="43" t="s">
        <v>86</v>
      </c>
      <c r="DD589" s="43" t="s">
        <v>60</v>
      </c>
      <c r="DE589" s="43" t="s">
        <v>72</v>
      </c>
      <c r="DF589">
        <v>0</v>
      </c>
      <c r="DG589" t="s">
        <v>331</v>
      </c>
      <c r="DH589" s="43" t="s">
        <v>268</v>
      </c>
      <c r="DI589">
        <v>48.699999999999996</v>
      </c>
    </row>
    <row r="590" spans="107:113" x14ac:dyDescent="0.25">
      <c r="DC590" s="43" t="s">
        <v>86</v>
      </c>
      <c r="DD590" s="43" t="s">
        <v>60</v>
      </c>
      <c r="DE590" s="43" t="s">
        <v>72</v>
      </c>
      <c r="DF590">
        <v>0</v>
      </c>
      <c r="DG590" t="s">
        <v>341</v>
      </c>
      <c r="DH590" s="43" t="s">
        <v>308</v>
      </c>
      <c r="DI590">
        <v>0</v>
      </c>
    </row>
    <row r="591" spans="107:113" x14ac:dyDescent="0.25">
      <c r="DC591" s="43" t="s">
        <v>86</v>
      </c>
      <c r="DD591" s="43" t="s">
        <v>60</v>
      </c>
      <c r="DE591" s="43" t="s">
        <v>72</v>
      </c>
      <c r="DF591">
        <v>0</v>
      </c>
      <c r="DG591" t="s">
        <v>341</v>
      </c>
      <c r="DH591" s="43" t="s">
        <v>309</v>
      </c>
      <c r="DI591">
        <v>0</v>
      </c>
    </row>
    <row r="592" spans="107:113" x14ac:dyDescent="0.25">
      <c r="DC592" s="43" t="s">
        <v>86</v>
      </c>
      <c r="DD592" s="43" t="s">
        <v>60</v>
      </c>
      <c r="DE592" s="43" t="s">
        <v>72</v>
      </c>
      <c r="DF592">
        <v>0</v>
      </c>
      <c r="DG592" t="s">
        <v>341</v>
      </c>
      <c r="DH592" s="43" t="s">
        <v>268</v>
      </c>
      <c r="DI592">
        <v>0</v>
      </c>
    </row>
    <row r="593" spans="107:113" x14ac:dyDescent="0.25">
      <c r="DC593" s="43" t="s">
        <v>86</v>
      </c>
      <c r="DD593" s="43" t="s">
        <v>60</v>
      </c>
      <c r="DE593" s="43" t="s">
        <v>72</v>
      </c>
      <c r="DF593">
        <v>0</v>
      </c>
      <c r="DG593" t="s">
        <v>273</v>
      </c>
      <c r="DH593" s="43" t="s">
        <v>308</v>
      </c>
      <c r="DI593">
        <v>0</v>
      </c>
    </row>
    <row r="594" spans="107:113" x14ac:dyDescent="0.25">
      <c r="DC594" s="43" t="s">
        <v>86</v>
      </c>
      <c r="DD594" s="43" t="s">
        <v>60</v>
      </c>
      <c r="DE594" s="43" t="s">
        <v>72</v>
      </c>
      <c r="DF594">
        <v>0</v>
      </c>
      <c r="DG594" t="s">
        <v>273</v>
      </c>
      <c r="DH594" s="43" t="s">
        <v>309</v>
      </c>
      <c r="DI594">
        <v>0</v>
      </c>
    </row>
    <row r="595" spans="107:113" x14ac:dyDescent="0.25">
      <c r="DC595" s="43" t="s">
        <v>86</v>
      </c>
      <c r="DD595" s="43" t="s">
        <v>60</v>
      </c>
      <c r="DE595" s="43" t="s">
        <v>72</v>
      </c>
      <c r="DF595">
        <v>0</v>
      </c>
      <c r="DG595" t="s">
        <v>273</v>
      </c>
      <c r="DH595" s="43" t="s">
        <v>268</v>
      </c>
      <c r="DI595">
        <v>0</v>
      </c>
    </row>
    <row r="596" spans="107:113" x14ac:dyDescent="0.25">
      <c r="DC596" s="43" t="s">
        <v>90</v>
      </c>
      <c r="DD596" s="43" t="s">
        <v>60</v>
      </c>
      <c r="DE596" s="43" t="s">
        <v>36</v>
      </c>
      <c r="DF596">
        <v>0</v>
      </c>
      <c r="DG596" t="s">
        <v>317</v>
      </c>
      <c r="DH596" s="43" t="s">
        <v>308</v>
      </c>
      <c r="DI596">
        <v>0</v>
      </c>
    </row>
    <row r="597" spans="107:113" x14ac:dyDescent="0.25">
      <c r="DC597" s="43" t="s">
        <v>90</v>
      </c>
      <c r="DD597" s="43" t="s">
        <v>60</v>
      </c>
      <c r="DE597" s="43" t="s">
        <v>36</v>
      </c>
      <c r="DF597">
        <v>0</v>
      </c>
      <c r="DG597" t="s">
        <v>317</v>
      </c>
      <c r="DH597" s="43" t="s">
        <v>309</v>
      </c>
      <c r="DI597">
        <v>0</v>
      </c>
    </row>
    <row r="598" spans="107:113" x14ac:dyDescent="0.25">
      <c r="DC598" s="43" t="s">
        <v>90</v>
      </c>
      <c r="DD598" s="43" t="s">
        <v>60</v>
      </c>
      <c r="DE598" s="43" t="s">
        <v>36</v>
      </c>
      <c r="DF598">
        <v>0</v>
      </c>
      <c r="DG598" t="s">
        <v>317</v>
      </c>
      <c r="DH598" s="43" t="s">
        <v>268</v>
      </c>
      <c r="DI598">
        <v>0</v>
      </c>
    </row>
    <row r="599" spans="107:113" x14ac:dyDescent="0.25">
      <c r="DC599" s="43" t="s">
        <v>90</v>
      </c>
      <c r="DD599" s="43" t="s">
        <v>60</v>
      </c>
      <c r="DE599" s="43" t="s">
        <v>36</v>
      </c>
      <c r="DF599">
        <v>0</v>
      </c>
      <c r="DG599" t="s">
        <v>325</v>
      </c>
      <c r="DH599" s="43" t="s">
        <v>308</v>
      </c>
      <c r="DI599">
        <v>14.399999999999999</v>
      </c>
    </row>
    <row r="600" spans="107:113" x14ac:dyDescent="0.25">
      <c r="DC600" s="43" t="s">
        <v>90</v>
      </c>
      <c r="DD600" s="43" t="s">
        <v>60</v>
      </c>
      <c r="DE600" s="43" t="s">
        <v>36</v>
      </c>
      <c r="DF600">
        <v>0</v>
      </c>
      <c r="DG600" t="s">
        <v>325</v>
      </c>
      <c r="DH600" s="43" t="s">
        <v>309</v>
      </c>
      <c r="DI600">
        <v>23.25</v>
      </c>
    </row>
    <row r="601" spans="107:113" x14ac:dyDescent="0.25">
      <c r="DC601" s="43" t="s">
        <v>90</v>
      </c>
      <c r="DD601" s="43" t="s">
        <v>60</v>
      </c>
      <c r="DE601" s="43" t="s">
        <v>36</v>
      </c>
      <c r="DF601">
        <v>0</v>
      </c>
      <c r="DG601" t="s">
        <v>325</v>
      </c>
      <c r="DH601" s="43" t="s">
        <v>268</v>
      </c>
      <c r="DI601">
        <v>37.65</v>
      </c>
    </row>
    <row r="602" spans="107:113" x14ac:dyDescent="0.25">
      <c r="DC602" s="43" t="s">
        <v>90</v>
      </c>
      <c r="DD602" s="43" t="s">
        <v>60</v>
      </c>
      <c r="DE602" s="43" t="s">
        <v>36</v>
      </c>
      <c r="DF602">
        <v>0</v>
      </c>
      <c r="DG602" t="s">
        <v>330</v>
      </c>
      <c r="DH602" s="43" t="s">
        <v>308</v>
      </c>
      <c r="DI602">
        <v>16.8</v>
      </c>
    </row>
    <row r="603" spans="107:113" x14ac:dyDescent="0.25">
      <c r="DC603" s="43" t="s">
        <v>90</v>
      </c>
      <c r="DD603" s="43" t="s">
        <v>60</v>
      </c>
      <c r="DE603" s="43" t="s">
        <v>36</v>
      </c>
      <c r="DF603">
        <v>0</v>
      </c>
      <c r="DG603" t="s">
        <v>330</v>
      </c>
      <c r="DH603" s="43" t="s">
        <v>309</v>
      </c>
      <c r="DI603">
        <v>37</v>
      </c>
    </row>
    <row r="604" spans="107:113" x14ac:dyDescent="0.25">
      <c r="DC604" s="43" t="s">
        <v>90</v>
      </c>
      <c r="DD604" s="43" t="s">
        <v>60</v>
      </c>
      <c r="DE604" s="43" t="s">
        <v>36</v>
      </c>
      <c r="DF604">
        <v>0</v>
      </c>
      <c r="DG604" t="s">
        <v>330</v>
      </c>
      <c r="DH604" s="43" t="s">
        <v>268</v>
      </c>
      <c r="DI604">
        <v>53.8</v>
      </c>
    </row>
    <row r="605" spans="107:113" x14ac:dyDescent="0.25">
      <c r="DC605" s="43" t="s">
        <v>90</v>
      </c>
      <c r="DD605" s="43" t="s">
        <v>60</v>
      </c>
      <c r="DE605" s="43" t="s">
        <v>36</v>
      </c>
      <c r="DF605">
        <v>0</v>
      </c>
      <c r="DG605" t="s">
        <v>331</v>
      </c>
      <c r="DH605" s="43" t="s">
        <v>308</v>
      </c>
      <c r="DI605">
        <v>11</v>
      </c>
    </row>
    <row r="606" spans="107:113" x14ac:dyDescent="0.25">
      <c r="DC606" s="43" t="s">
        <v>90</v>
      </c>
      <c r="DD606" s="43" t="s">
        <v>60</v>
      </c>
      <c r="DE606" s="43" t="s">
        <v>36</v>
      </c>
      <c r="DF606">
        <v>0</v>
      </c>
      <c r="DG606" t="s">
        <v>331</v>
      </c>
      <c r="DH606" s="43" t="s">
        <v>309</v>
      </c>
      <c r="DI606">
        <v>23</v>
      </c>
    </row>
    <row r="607" spans="107:113" x14ac:dyDescent="0.25">
      <c r="DC607" s="43" t="s">
        <v>90</v>
      </c>
      <c r="DD607" s="43" t="s">
        <v>60</v>
      </c>
      <c r="DE607" s="43" t="s">
        <v>36</v>
      </c>
      <c r="DF607">
        <v>0</v>
      </c>
      <c r="DG607" t="s">
        <v>331</v>
      </c>
      <c r="DH607" s="43" t="s">
        <v>268</v>
      </c>
      <c r="DI607">
        <v>34</v>
      </c>
    </row>
    <row r="608" spans="107:113" x14ac:dyDescent="0.25">
      <c r="DC608" s="43" t="s">
        <v>90</v>
      </c>
      <c r="DD608" s="43" t="s">
        <v>60</v>
      </c>
      <c r="DE608" s="43" t="s">
        <v>36</v>
      </c>
      <c r="DF608">
        <v>0</v>
      </c>
      <c r="DG608" t="s">
        <v>341</v>
      </c>
      <c r="DH608" s="43" t="s">
        <v>308</v>
      </c>
      <c r="DI608">
        <v>0</v>
      </c>
    </row>
    <row r="609" spans="107:113" x14ac:dyDescent="0.25">
      <c r="DC609" s="43" t="s">
        <v>90</v>
      </c>
      <c r="DD609" s="43" t="s">
        <v>60</v>
      </c>
      <c r="DE609" s="43" t="s">
        <v>36</v>
      </c>
      <c r="DF609">
        <v>0</v>
      </c>
      <c r="DG609" t="s">
        <v>341</v>
      </c>
      <c r="DH609" s="43" t="s">
        <v>309</v>
      </c>
      <c r="DI609">
        <v>0</v>
      </c>
    </row>
    <row r="610" spans="107:113" x14ac:dyDescent="0.25">
      <c r="DC610" s="43" t="s">
        <v>90</v>
      </c>
      <c r="DD610" s="43" t="s">
        <v>60</v>
      </c>
      <c r="DE610" s="43" t="s">
        <v>36</v>
      </c>
      <c r="DF610">
        <v>0</v>
      </c>
      <c r="DG610" t="s">
        <v>341</v>
      </c>
      <c r="DH610" s="43" t="s">
        <v>268</v>
      </c>
      <c r="DI610">
        <v>0</v>
      </c>
    </row>
    <row r="611" spans="107:113" x14ac:dyDescent="0.25">
      <c r="DC611" s="43" t="s">
        <v>90</v>
      </c>
      <c r="DD611" s="43" t="s">
        <v>60</v>
      </c>
      <c r="DE611" s="43" t="s">
        <v>36</v>
      </c>
      <c r="DF611">
        <v>0</v>
      </c>
      <c r="DG611" t="s">
        <v>273</v>
      </c>
      <c r="DH611" s="43" t="s">
        <v>308</v>
      </c>
      <c r="DI611">
        <v>0</v>
      </c>
    </row>
    <row r="612" spans="107:113" x14ac:dyDescent="0.25">
      <c r="DC612" s="43" t="s">
        <v>90</v>
      </c>
      <c r="DD612" s="43" t="s">
        <v>60</v>
      </c>
      <c r="DE612" s="43" t="s">
        <v>36</v>
      </c>
      <c r="DF612">
        <v>0</v>
      </c>
      <c r="DG612" t="s">
        <v>273</v>
      </c>
      <c r="DH612" s="43" t="s">
        <v>309</v>
      </c>
      <c r="DI612">
        <v>0</v>
      </c>
    </row>
    <row r="613" spans="107:113" x14ac:dyDescent="0.25">
      <c r="DC613" s="43" t="s">
        <v>90</v>
      </c>
      <c r="DD613" s="43" t="s">
        <v>60</v>
      </c>
      <c r="DE613" s="43" t="s">
        <v>36</v>
      </c>
      <c r="DF613">
        <v>0</v>
      </c>
      <c r="DG613" t="s">
        <v>273</v>
      </c>
      <c r="DH613" s="43" t="s">
        <v>268</v>
      </c>
      <c r="DI613">
        <v>0</v>
      </c>
    </row>
    <row r="614" spans="107:113" x14ac:dyDescent="0.25">
      <c r="DC614" s="43" t="s">
        <v>92</v>
      </c>
      <c r="DD614" s="43" t="s">
        <v>60</v>
      </c>
      <c r="DE614" s="43" t="s">
        <v>39</v>
      </c>
      <c r="DF614">
        <v>0</v>
      </c>
      <c r="DG614" t="s">
        <v>317</v>
      </c>
      <c r="DH614" s="43" t="s">
        <v>308</v>
      </c>
      <c r="DI614">
        <v>4</v>
      </c>
    </row>
    <row r="615" spans="107:113" x14ac:dyDescent="0.25">
      <c r="DC615" s="43" t="s">
        <v>92</v>
      </c>
      <c r="DD615" s="43" t="s">
        <v>60</v>
      </c>
      <c r="DE615" s="43" t="s">
        <v>39</v>
      </c>
      <c r="DF615">
        <v>0</v>
      </c>
      <c r="DG615" t="s">
        <v>317</v>
      </c>
      <c r="DH615" s="43" t="s">
        <v>309</v>
      </c>
      <c r="DI615">
        <v>8.65</v>
      </c>
    </row>
    <row r="616" spans="107:113" x14ac:dyDescent="0.25">
      <c r="DC616" s="43" t="s">
        <v>92</v>
      </c>
      <c r="DD616" s="43" t="s">
        <v>60</v>
      </c>
      <c r="DE616" s="43" t="s">
        <v>39</v>
      </c>
      <c r="DF616">
        <v>0</v>
      </c>
      <c r="DG616" t="s">
        <v>317</v>
      </c>
      <c r="DH616" s="43" t="s">
        <v>268</v>
      </c>
      <c r="DI616">
        <v>12.65</v>
      </c>
    </row>
    <row r="617" spans="107:113" x14ac:dyDescent="0.25">
      <c r="DC617" s="43" t="s">
        <v>92</v>
      </c>
      <c r="DD617" s="43" t="s">
        <v>60</v>
      </c>
      <c r="DE617" s="43" t="s">
        <v>39</v>
      </c>
      <c r="DF617">
        <v>0</v>
      </c>
      <c r="DG617" t="s">
        <v>325</v>
      </c>
      <c r="DH617" s="43" t="s">
        <v>308</v>
      </c>
      <c r="DI617">
        <v>11.4</v>
      </c>
    </row>
    <row r="618" spans="107:113" x14ac:dyDescent="0.25">
      <c r="DC618" s="43" t="s">
        <v>92</v>
      </c>
      <c r="DD618" s="43" t="s">
        <v>60</v>
      </c>
      <c r="DE618" s="43" t="s">
        <v>39</v>
      </c>
      <c r="DF618">
        <v>0</v>
      </c>
      <c r="DG618" t="s">
        <v>325</v>
      </c>
      <c r="DH618" s="43" t="s">
        <v>309</v>
      </c>
      <c r="DI618">
        <v>25.450000000000003</v>
      </c>
    </row>
    <row r="619" spans="107:113" x14ac:dyDescent="0.25">
      <c r="DC619" s="43" t="s">
        <v>92</v>
      </c>
      <c r="DD619" s="43" t="s">
        <v>60</v>
      </c>
      <c r="DE619" s="43" t="s">
        <v>39</v>
      </c>
      <c r="DF619">
        <v>0</v>
      </c>
      <c r="DG619" t="s">
        <v>325</v>
      </c>
      <c r="DH619" s="43" t="s">
        <v>268</v>
      </c>
      <c r="DI619">
        <v>36.85</v>
      </c>
    </row>
    <row r="620" spans="107:113" x14ac:dyDescent="0.25">
      <c r="DC620" s="43" t="s">
        <v>92</v>
      </c>
      <c r="DD620" s="43" t="s">
        <v>60</v>
      </c>
      <c r="DE620" s="43" t="s">
        <v>39</v>
      </c>
      <c r="DF620">
        <v>0</v>
      </c>
      <c r="DG620" t="s">
        <v>330</v>
      </c>
      <c r="DH620" s="43" t="s">
        <v>308</v>
      </c>
      <c r="DI620">
        <v>12.2</v>
      </c>
    </row>
    <row r="621" spans="107:113" x14ac:dyDescent="0.25">
      <c r="DC621" s="43" t="s">
        <v>92</v>
      </c>
      <c r="DD621" s="43" t="s">
        <v>60</v>
      </c>
      <c r="DE621" s="43" t="s">
        <v>39</v>
      </c>
      <c r="DF621">
        <v>0</v>
      </c>
      <c r="DG621" t="s">
        <v>330</v>
      </c>
      <c r="DH621" s="43" t="s">
        <v>309</v>
      </c>
      <c r="DI621">
        <v>26.15</v>
      </c>
    </row>
    <row r="622" spans="107:113" x14ac:dyDescent="0.25">
      <c r="DC622" s="43" t="s">
        <v>92</v>
      </c>
      <c r="DD622" s="43" t="s">
        <v>60</v>
      </c>
      <c r="DE622" s="43" t="s">
        <v>39</v>
      </c>
      <c r="DF622">
        <v>0</v>
      </c>
      <c r="DG622" t="s">
        <v>330</v>
      </c>
      <c r="DH622" s="43" t="s">
        <v>268</v>
      </c>
      <c r="DI622">
        <v>38.35</v>
      </c>
    </row>
    <row r="623" spans="107:113" x14ac:dyDescent="0.25">
      <c r="DC623" s="43" t="s">
        <v>92</v>
      </c>
      <c r="DD623" s="43" t="s">
        <v>60</v>
      </c>
      <c r="DE623" s="43" t="s">
        <v>39</v>
      </c>
      <c r="DF623">
        <v>0</v>
      </c>
      <c r="DG623" t="s">
        <v>331</v>
      </c>
      <c r="DH623" s="43" t="s">
        <v>308</v>
      </c>
      <c r="DI623">
        <v>0</v>
      </c>
    </row>
    <row r="624" spans="107:113" x14ac:dyDescent="0.25">
      <c r="DC624" s="43" t="s">
        <v>92</v>
      </c>
      <c r="DD624" s="43" t="s">
        <v>60</v>
      </c>
      <c r="DE624" s="43" t="s">
        <v>39</v>
      </c>
      <c r="DF624">
        <v>0</v>
      </c>
      <c r="DG624" t="s">
        <v>331</v>
      </c>
      <c r="DH624" s="43" t="s">
        <v>309</v>
      </c>
      <c r="DI624">
        <v>0</v>
      </c>
    </row>
    <row r="625" spans="107:113" x14ac:dyDescent="0.25">
      <c r="DC625" s="43" t="s">
        <v>92</v>
      </c>
      <c r="DD625" s="43" t="s">
        <v>60</v>
      </c>
      <c r="DE625" s="43" t="s">
        <v>39</v>
      </c>
      <c r="DF625">
        <v>0</v>
      </c>
      <c r="DG625" t="s">
        <v>331</v>
      </c>
      <c r="DH625" s="43" t="s">
        <v>268</v>
      </c>
      <c r="DI625">
        <v>0</v>
      </c>
    </row>
    <row r="626" spans="107:113" x14ac:dyDescent="0.25">
      <c r="DC626" s="43" t="s">
        <v>92</v>
      </c>
      <c r="DD626" s="43" t="s">
        <v>60</v>
      </c>
      <c r="DE626" s="43" t="s">
        <v>39</v>
      </c>
      <c r="DF626">
        <v>0</v>
      </c>
      <c r="DG626" t="s">
        <v>341</v>
      </c>
      <c r="DH626" s="43" t="s">
        <v>308</v>
      </c>
      <c r="DI626">
        <v>0</v>
      </c>
    </row>
    <row r="627" spans="107:113" x14ac:dyDescent="0.25">
      <c r="DC627" s="43" t="s">
        <v>92</v>
      </c>
      <c r="DD627" s="43" t="s">
        <v>60</v>
      </c>
      <c r="DE627" s="43" t="s">
        <v>39</v>
      </c>
      <c r="DF627">
        <v>0</v>
      </c>
      <c r="DG627" t="s">
        <v>341</v>
      </c>
      <c r="DH627" s="43" t="s">
        <v>309</v>
      </c>
      <c r="DI627">
        <v>0</v>
      </c>
    </row>
    <row r="628" spans="107:113" x14ac:dyDescent="0.25">
      <c r="DC628" s="43" t="s">
        <v>92</v>
      </c>
      <c r="DD628" s="43" t="s">
        <v>60</v>
      </c>
      <c r="DE628" s="43" t="s">
        <v>39</v>
      </c>
      <c r="DF628">
        <v>0</v>
      </c>
      <c r="DG628" t="s">
        <v>341</v>
      </c>
      <c r="DH628" s="43" t="s">
        <v>268</v>
      </c>
      <c r="DI628">
        <v>0</v>
      </c>
    </row>
    <row r="629" spans="107:113" x14ac:dyDescent="0.25">
      <c r="DC629" s="43" t="s">
        <v>92</v>
      </c>
      <c r="DD629" s="43" t="s">
        <v>60</v>
      </c>
      <c r="DE629" s="43" t="s">
        <v>39</v>
      </c>
      <c r="DF629">
        <v>0</v>
      </c>
      <c r="DG629" t="s">
        <v>273</v>
      </c>
      <c r="DH629" s="43" t="s">
        <v>308</v>
      </c>
      <c r="DI629">
        <v>0</v>
      </c>
    </row>
    <row r="630" spans="107:113" x14ac:dyDescent="0.25">
      <c r="DC630" s="43" t="s">
        <v>92</v>
      </c>
      <c r="DD630" s="43" t="s">
        <v>60</v>
      </c>
      <c r="DE630" s="43" t="s">
        <v>39</v>
      </c>
      <c r="DF630">
        <v>0</v>
      </c>
      <c r="DG630" t="s">
        <v>273</v>
      </c>
      <c r="DH630" s="43" t="s">
        <v>309</v>
      </c>
      <c r="DI630">
        <v>0</v>
      </c>
    </row>
    <row r="631" spans="107:113" x14ac:dyDescent="0.25">
      <c r="DC631" s="43" t="s">
        <v>92</v>
      </c>
      <c r="DD631" s="43" t="s">
        <v>60</v>
      </c>
      <c r="DE631" s="43" t="s">
        <v>39</v>
      </c>
      <c r="DF631">
        <v>0</v>
      </c>
      <c r="DG631" t="s">
        <v>273</v>
      </c>
      <c r="DH631" s="43" t="s">
        <v>268</v>
      </c>
      <c r="DI631">
        <v>0</v>
      </c>
    </row>
    <row r="632" spans="107:113" x14ac:dyDescent="0.25">
      <c r="DC632" s="43" t="s">
        <v>94</v>
      </c>
      <c r="DD632" s="43" t="s">
        <v>60</v>
      </c>
      <c r="DE632" s="43" t="s">
        <v>72</v>
      </c>
      <c r="DF632">
        <v>0</v>
      </c>
      <c r="DG632" t="s">
        <v>317</v>
      </c>
      <c r="DH632" s="43" t="s">
        <v>308</v>
      </c>
      <c r="DI632">
        <v>0</v>
      </c>
    </row>
    <row r="633" spans="107:113" x14ac:dyDescent="0.25">
      <c r="DC633" s="43" t="s">
        <v>94</v>
      </c>
      <c r="DD633" s="43" t="s">
        <v>60</v>
      </c>
      <c r="DE633" s="43" t="s">
        <v>72</v>
      </c>
      <c r="DF633">
        <v>0</v>
      </c>
      <c r="DG633" t="s">
        <v>317</v>
      </c>
      <c r="DH633" s="43" t="s">
        <v>309</v>
      </c>
      <c r="DI633">
        <v>0</v>
      </c>
    </row>
    <row r="634" spans="107:113" x14ac:dyDescent="0.25">
      <c r="DC634" s="43" t="s">
        <v>94</v>
      </c>
      <c r="DD634" s="43" t="s">
        <v>60</v>
      </c>
      <c r="DE634" s="43" t="s">
        <v>72</v>
      </c>
      <c r="DF634">
        <v>0</v>
      </c>
      <c r="DG634" t="s">
        <v>317</v>
      </c>
      <c r="DH634" s="43" t="s">
        <v>268</v>
      </c>
      <c r="DI634">
        <v>0</v>
      </c>
    </row>
    <row r="635" spans="107:113" x14ac:dyDescent="0.25">
      <c r="DC635" s="43" t="s">
        <v>94</v>
      </c>
      <c r="DD635" s="43" t="s">
        <v>60</v>
      </c>
      <c r="DE635" s="43" t="s">
        <v>72</v>
      </c>
      <c r="DF635">
        <v>0</v>
      </c>
      <c r="DG635" t="s">
        <v>325</v>
      </c>
      <c r="DH635" s="43" t="s">
        <v>308</v>
      </c>
      <c r="DI635">
        <v>9.9</v>
      </c>
    </row>
    <row r="636" spans="107:113" x14ac:dyDescent="0.25">
      <c r="DC636" s="43" t="s">
        <v>94</v>
      </c>
      <c r="DD636" s="43" t="s">
        <v>60</v>
      </c>
      <c r="DE636" s="43" t="s">
        <v>72</v>
      </c>
      <c r="DF636">
        <v>0</v>
      </c>
      <c r="DG636" t="s">
        <v>325</v>
      </c>
      <c r="DH636" s="43" t="s">
        <v>309</v>
      </c>
      <c r="DI636">
        <v>26.65</v>
      </c>
    </row>
    <row r="637" spans="107:113" x14ac:dyDescent="0.25">
      <c r="DC637" s="43" t="s">
        <v>94</v>
      </c>
      <c r="DD637" s="43" t="s">
        <v>60</v>
      </c>
      <c r="DE637" s="43" t="s">
        <v>72</v>
      </c>
      <c r="DF637">
        <v>0</v>
      </c>
      <c r="DG637" t="s">
        <v>325</v>
      </c>
      <c r="DH637" s="43" t="s">
        <v>268</v>
      </c>
      <c r="DI637">
        <v>36.549999999999997</v>
      </c>
    </row>
    <row r="638" spans="107:113" x14ac:dyDescent="0.25">
      <c r="DC638" s="43" t="s">
        <v>94</v>
      </c>
      <c r="DD638" s="43" t="s">
        <v>60</v>
      </c>
      <c r="DE638" s="43" t="s">
        <v>72</v>
      </c>
      <c r="DF638">
        <v>0</v>
      </c>
      <c r="DG638" t="s">
        <v>330</v>
      </c>
      <c r="DH638" s="43" t="s">
        <v>308</v>
      </c>
      <c r="DI638">
        <v>10</v>
      </c>
    </row>
    <row r="639" spans="107:113" x14ac:dyDescent="0.25">
      <c r="DC639" s="43" t="s">
        <v>94</v>
      </c>
      <c r="DD639" s="43" t="s">
        <v>60</v>
      </c>
      <c r="DE639" s="43" t="s">
        <v>72</v>
      </c>
      <c r="DF639">
        <v>0</v>
      </c>
      <c r="DG639" t="s">
        <v>330</v>
      </c>
      <c r="DH639" s="43" t="s">
        <v>309</v>
      </c>
      <c r="DI639">
        <v>25.1</v>
      </c>
    </row>
    <row r="640" spans="107:113" x14ac:dyDescent="0.25">
      <c r="DC640" s="43" t="s">
        <v>94</v>
      </c>
      <c r="DD640" s="43" t="s">
        <v>60</v>
      </c>
      <c r="DE640" s="43" t="s">
        <v>72</v>
      </c>
      <c r="DF640">
        <v>0</v>
      </c>
      <c r="DG640" t="s">
        <v>330</v>
      </c>
      <c r="DH640" s="43" t="s">
        <v>268</v>
      </c>
      <c r="DI640">
        <v>35.1</v>
      </c>
    </row>
    <row r="641" spans="107:113" x14ac:dyDescent="0.25">
      <c r="DC641" s="43" t="s">
        <v>94</v>
      </c>
      <c r="DD641" s="43" t="s">
        <v>60</v>
      </c>
      <c r="DE641" s="43" t="s">
        <v>72</v>
      </c>
      <c r="DF641">
        <v>0</v>
      </c>
      <c r="DG641" t="s">
        <v>331</v>
      </c>
      <c r="DH641" s="43" t="s">
        <v>308</v>
      </c>
      <c r="DI641">
        <v>4.3</v>
      </c>
    </row>
    <row r="642" spans="107:113" x14ac:dyDescent="0.25">
      <c r="DC642" s="43" t="s">
        <v>94</v>
      </c>
      <c r="DD642" s="43" t="s">
        <v>60</v>
      </c>
      <c r="DE642" s="43" t="s">
        <v>72</v>
      </c>
      <c r="DF642">
        <v>0</v>
      </c>
      <c r="DG642" t="s">
        <v>331</v>
      </c>
      <c r="DH642" s="43" t="s">
        <v>309</v>
      </c>
      <c r="DI642">
        <v>7.2</v>
      </c>
    </row>
    <row r="643" spans="107:113" x14ac:dyDescent="0.25">
      <c r="DC643" s="43" t="s">
        <v>94</v>
      </c>
      <c r="DD643" s="43" t="s">
        <v>60</v>
      </c>
      <c r="DE643" s="43" t="s">
        <v>72</v>
      </c>
      <c r="DF643">
        <v>0</v>
      </c>
      <c r="DG643" t="s">
        <v>331</v>
      </c>
      <c r="DH643" s="43" t="s">
        <v>268</v>
      </c>
      <c r="DI643">
        <v>11.5</v>
      </c>
    </row>
    <row r="644" spans="107:113" x14ac:dyDescent="0.25">
      <c r="DC644" s="43" t="s">
        <v>94</v>
      </c>
      <c r="DD644" s="43" t="s">
        <v>60</v>
      </c>
      <c r="DE644" s="43" t="s">
        <v>72</v>
      </c>
      <c r="DF644">
        <v>0</v>
      </c>
      <c r="DG644" t="s">
        <v>341</v>
      </c>
      <c r="DH644" s="43" t="s">
        <v>308</v>
      </c>
      <c r="DI644">
        <v>0</v>
      </c>
    </row>
    <row r="645" spans="107:113" x14ac:dyDescent="0.25">
      <c r="DC645" s="43" t="s">
        <v>94</v>
      </c>
      <c r="DD645" s="43" t="s">
        <v>60</v>
      </c>
      <c r="DE645" s="43" t="s">
        <v>72</v>
      </c>
      <c r="DF645">
        <v>0</v>
      </c>
      <c r="DG645" t="s">
        <v>341</v>
      </c>
      <c r="DH645" s="43" t="s">
        <v>309</v>
      </c>
      <c r="DI645">
        <v>0</v>
      </c>
    </row>
    <row r="646" spans="107:113" x14ac:dyDescent="0.25">
      <c r="DC646" s="43" t="s">
        <v>94</v>
      </c>
      <c r="DD646" s="43" t="s">
        <v>60</v>
      </c>
      <c r="DE646" s="43" t="s">
        <v>72</v>
      </c>
      <c r="DF646">
        <v>0</v>
      </c>
      <c r="DG646" t="s">
        <v>341</v>
      </c>
      <c r="DH646" s="43" t="s">
        <v>268</v>
      </c>
      <c r="DI646">
        <v>0</v>
      </c>
    </row>
    <row r="647" spans="107:113" x14ac:dyDescent="0.25">
      <c r="DC647" s="43" t="s">
        <v>94</v>
      </c>
      <c r="DD647" s="43" t="s">
        <v>60</v>
      </c>
      <c r="DE647" s="43" t="s">
        <v>72</v>
      </c>
      <c r="DF647">
        <v>0</v>
      </c>
      <c r="DG647" t="s">
        <v>273</v>
      </c>
      <c r="DH647" s="43" t="s">
        <v>308</v>
      </c>
      <c r="DI647">
        <v>0</v>
      </c>
    </row>
    <row r="648" spans="107:113" x14ac:dyDescent="0.25">
      <c r="DC648" s="43" t="s">
        <v>94</v>
      </c>
      <c r="DD648" s="43" t="s">
        <v>60</v>
      </c>
      <c r="DE648" s="43" t="s">
        <v>72</v>
      </c>
      <c r="DF648">
        <v>0</v>
      </c>
      <c r="DG648" t="s">
        <v>273</v>
      </c>
      <c r="DH648" s="43" t="s">
        <v>309</v>
      </c>
      <c r="DI648">
        <v>0</v>
      </c>
    </row>
    <row r="649" spans="107:113" x14ac:dyDescent="0.25">
      <c r="DC649" s="43" t="s">
        <v>94</v>
      </c>
      <c r="DD649" s="43" t="s">
        <v>60</v>
      </c>
      <c r="DE649" s="43" t="s">
        <v>72</v>
      </c>
      <c r="DF649">
        <v>0</v>
      </c>
      <c r="DG649" t="s">
        <v>273</v>
      </c>
      <c r="DH649" s="43" t="s">
        <v>268</v>
      </c>
      <c r="DI649">
        <v>0</v>
      </c>
    </row>
    <row r="650" spans="107:113" x14ac:dyDescent="0.25">
      <c r="DC650" s="43" t="s">
        <v>106</v>
      </c>
      <c r="DD650" s="43" t="s">
        <v>60</v>
      </c>
      <c r="DE650" s="43" t="s">
        <v>31</v>
      </c>
      <c r="DF650">
        <v>0</v>
      </c>
      <c r="DG650" t="s">
        <v>317</v>
      </c>
      <c r="DH650" s="43" t="s">
        <v>308</v>
      </c>
      <c r="DI650">
        <v>8.6999999999999993</v>
      </c>
    </row>
    <row r="651" spans="107:113" x14ac:dyDescent="0.25">
      <c r="DC651" s="43" t="s">
        <v>106</v>
      </c>
      <c r="DD651" s="43" t="s">
        <v>60</v>
      </c>
      <c r="DE651" s="43" t="s">
        <v>31</v>
      </c>
      <c r="DF651">
        <v>0</v>
      </c>
      <c r="DG651" t="s">
        <v>317</v>
      </c>
      <c r="DH651" s="43" t="s">
        <v>309</v>
      </c>
      <c r="DI651">
        <v>17.850000000000001</v>
      </c>
    </row>
    <row r="652" spans="107:113" x14ac:dyDescent="0.25">
      <c r="DC652" s="43" t="s">
        <v>106</v>
      </c>
      <c r="DD652" s="43" t="s">
        <v>60</v>
      </c>
      <c r="DE652" s="43" t="s">
        <v>31</v>
      </c>
      <c r="DF652">
        <v>0</v>
      </c>
      <c r="DG652" t="s">
        <v>317</v>
      </c>
      <c r="DH652" s="43" t="s">
        <v>268</v>
      </c>
      <c r="DI652">
        <v>26.55</v>
      </c>
    </row>
    <row r="653" spans="107:113" x14ac:dyDescent="0.25">
      <c r="DC653" s="43" t="s">
        <v>106</v>
      </c>
      <c r="DD653" s="43" t="s">
        <v>60</v>
      </c>
      <c r="DE653" s="43" t="s">
        <v>31</v>
      </c>
      <c r="DF653">
        <v>0</v>
      </c>
      <c r="DG653" t="s">
        <v>325</v>
      </c>
      <c r="DH653" s="43" t="s">
        <v>308</v>
      </c>
      <c r="DI653">
        <v>7.2</v>
      </c>
    </row>
    <row r="654" spans="107:113" x14ac:dyDescent="0.25">
      <c r="DC654" s="43" t="s">
        <v>106</v>
      </c>
      <c r="DD654" s="43" t="s">
        <v>60</v>
      </c>
      <c r="DE654" s="43" t="s">
        <v>31</v>
      </c>
      <c r="DF654">
        <v>0</v>
      </c>
      <c r="DG654" t="s">
        <v>325</v>
      </c>
      <c r="DH654" s="43" t="s">
        <v>309</v>
      </c>
      <c r="DI654">
        <v>15.05</v>
      </c>
    </row>
    <row r="655" spans="107:113" x14ac:dyDescent="0.25">
      <c r="DC655" s="43" t="s">
        <v>106</v>
      </c>
      <c r="DD655" s="43" t="s">
        <v>60</v>
      </c>
      <c r="DE655" s="43" t="s">
        <v>31</v>
      </c>
      <c r="DF655">
        <v>0</v>
      </c>
      <c r="DG655" t="s">
        <v>325</v>
      </c>
      <c r="DH655" s="43" t="s">
        <v>268</v>
      </c>
      <c r="DI655">
        <v>22.25</v>
      </c>
    </row>
    <row r="656" spans="107:113" x14ac:dyDescent="0.25">
      <c r="DC656" s="43" t="s">
        <v>106</v>
      </c>
      <c r="DD656" s="43" t="s">
        <v>60</v>
      </c>
      <c r="DE656" s="43" t="s">
        <v>31</v>
      </c>
      <c r="DF656">
        <v>0</v>
      </c>
      <c r="DG656" t="s">
        <v>330</v>
      </c>
      <c r="DH656" s="43" t="s">
        <v>308</v>
      </c>
      <c r="DI656">
        <v>7</v>
      </c>
    </row>
    <row r="657" spans="107:113" x14ac:dyDescent="0.25">
      <c r="DC657" s="43" t="s">
        <v>106</v>
      </c>
      <c r="DD657" s="43" t="s">
        <v>60</v>
      </c>
      <c r="DE657" s="43" t="s">
        <v>31</v>
      </c>
      <c r="DF657">
        <v>0</v>
      </c>
      <c r="DG657" t="s">
        <v>330</v>
      </c>
      <c r="DH657" s="43" t="s">
        <v>309</v>
      </c>
      <c r="DI657">
        <v>14.850000000000001</v>
      </c>
    </row>
    <row r="658" spans="107:113" x14ac:dyDescent="0.25">
      <c r="DC658" s="43" t="s">
        <v>106</v>
      </c>
      <c r="DD658" s="43" t="s">
        <v>60</v>
      </c>
      <c r="DE658" s="43" t="s">
        <v>31</v>
      </c>
      <c r="DF658">
        <v>0</v>
      </c>
      <c r="DG658" t="s">
        <v>330</v>
      </c>
      <c r="DH658" s="43" t="s">
        <v>268</v>
      </c>
      <c r="DI658">
        <v>21.85</v>
      </c>
    </row>
    <row r="659" spans="107:113" x14ac:dyDescent="0.25">
      <c r="DC659" s="43" t="s">
        <v>106</v>
      </c>
      <c r="DD659" s="43" t="s">
        <v>60</v>
      </c>
      <c r="DE659" s="43" t="s">
        <v>31</v>
      </c>
      <c r="DF659">
        <v>0</v>
      </c>
      <c r="DG659" t="s">
        <v>331</v>
      </c>
      <c r="DH659" s="43" t="s">
        <v>308</v>
      </c>
      <c r="DI659">
        <v>0</v>
      </c>
    </row>
    <row r="660" spans="107:113" x14ac:dyDescent="0.25">
      <c r="DC660" s="43" t="s">
        <v>106</v>
      </c>
      <c r="DD660" s="43" t="s">
        <v>60</v>
      </c>
      <c r="DE660" s="43" t="s">
        <v>31</v>
      </c>
      <c r="DF660">
        <v>0</v>
      </c>
      <c r="DG660" t="s">
        <v>331</v>
      </c>
      <c r="DH660" s="43" t="s">
        <v>309</v>
      </c>
      <c r="DI660">
        <v>0</v>
      </c>
    </row>
    <row r="661" spans="107:113" x14ac:dyDescent="0.25">
      <c r="DC661" s="43" t="s">
        <v>106</v>
      </c>
      <c r="DD661" s="43" t="s">
        <v>60</v>
      </c>
      <c r="DE661" s="43" t="s">
        <v>31</v>
      </c>
      <c r="DF661">
        <v>0</v>
      </c>
      <c r="DG661" t="s">
        <v>331</v>
      </c>
      <c r="DH661" s="43" t="s">
        <v>268</v>
      </c>
      <c r="DI661">
        <v>0</v>
      </c>
    </row>
    <row r="662" spans="107:113" x14ac:dyDescent="0.25">
      <c r="DC662" s="43" t="s">
        <v>106</v>
      </c>
      <c r="DD662" s="43" t="s">
        <v>60</v>
      </c>
      <c r="DE662" s="43" t="s">
        <v>31</v>
      </c>
      <c r="DF662">
        <v>0</v>
      </c>
      <c r="DG662" t="s">
        <v>341</v>
      </c>
      <c r="DH662" s="43" t="s">
        <v>308</v>
      </c>
      <c r="DI662">
        <v>0</v>
      </c>
    </row>
    <row r="663" spans="107:113" x14ac:dyDescent="0.25">
      <c r="DC663" s="43" t="s">
        <v>106</v>
      </c>
      <c r="DD663" s="43" t="s">
        <v>60</v>
      </c>
      <c r="DE663" s="43" t="s">
        <v>31</v>
      </c>
      <c r="DF663">
        <v>0</v>
      </c>
      <c r="DG663" t="s">
        <v>341</v>
      </c>
      <c r="DH663" s="43" t="s">
        <v>309</v>
      </c>
      <c r="DI663">
        <v>0</v>
      </c>
    </row>
    <row r="664" spans="107:113" x14ac:dyDescent="0.25">
      <c r="DC664" s="43" t="s">
        <v>106</v>
      </c>
      <c r="DD664" s="43" t="s">
        <v>60</v>
      </c>
      <c r="DE664" s="43" t="s">
        <v>31</v>
      </c>
      <c r="DF664">
        <v>0</v>
      </c>
      <c r="DG664" t="s">
        <v>341</v>
      </c>
      <c r="DH664" s="43" t="s">
        <v>268</v>
      </c>
      <c r="DI664">
        <v>0</v>
      </c>
    </row>
    <row r="665" spans="107:113" x14ac:dyDescent="0.25">
      <c r="DC665" s="43" t="s">
        <v>106</v>
      </c>
      <c r="DD665" s="43" t="s">
        <v>60</v>
      </c>
      <c r="DE665" s="43" t="s">
        <v>31</v>
      </c>
      <c r="DF665">
        <v>0</v>
      </c>
      <c r="DG665" t="s">
        <v>273</v>
      </c>
      <c r="DH665" s="43" t="s">
        <v>308</v>
      </c>
      <c r="DI665">
        <v>0</v>
      </c>
    </row>
    <row r="666" spans="107:113" x14ac:dyDescent="0.25">
      <c r="DC666" s="43" t="s">
        <v>106</v>
      </c>
      <c r="DD666" s="43" t="s">
        <v>60</v>
      </c>
      <c r="DE666" s="43" t="s">
        <v>31</v>
      </c>
      <c r="DF666">
        <v>0</v>
      </c>
      <c r="DG666" t="s">
        <v>273</v>
      </c>
      <c r="DH666" s="43" t="s">
        <v>309</v>
      </c>
      <c r="DI666">
        <v>0</v>
      </c>
    </row>
    <row r="667" spans="107:113" x14ac:dyDescent="0.25">
      <c r="DC667" s="43" t="s">
        <v>106</v>
      </c>
      <c r="DD667" s="43" t="s">
        <v>60</v>
      </c>
      <c r="DE667" s="43" t="s">
        <v>31</v>
      </c>
      <c r="DF667">
        <v>0</v>
      </c>
      <c r="DG667" t="s">
        <v>273</v>
      </c>
      <c r="DH667" s="43" t="s">
        <v>268</v>
      </c>
      <c r="DI667">
        <v>0</v>
      </c>
    </row>
    <row r="668" spans="107:113" x14ac:dyDescent="0.25">
      <c r="DC668" s="43" t="s">
        <v>98</v>
      </c>
      <c r="DD668" s="43" t="s">
        <v>60</v>
      </c>
      <c r="DE668" s="43" t="s">
        <v>72</v>
      </c>
      <c r="DF668">
        <v>0</v>
      </c>
      <c r="DG668" t="s">
        <v>317</v>
      </c>
      <c r="DH668" s="43" t="s">
        <v>308</v>
      </c>
      <c r="DI668">
        <v>0</v>
      </c>
    </row>
    <row r="669" spans="107:113" x14ac:dyDescent="0.25">
      <c r="DC669" s="43" t="s">
        <v>98</v>
      </c>
      <c r="DD669" s="43" t="s">
        <v>60</v>
      </c>
      <c r="DE669" s="43" t="s">
        <v>72</v>
      </c>
      <c r="DF669">
        <v>0</v>
      </c>
      <c r="DG669" t="s">
        <v>317</v>
      </c>
      <c r="DH669" s="43" t="s">
        <v>309</v>
      </c>
      <c r="DI669">
        <v>0</v>
      </c>
    </row>
    <row r="670" spans="107:113" x14ac:dyDescent="0.25">
      <c r="DC670" s="43" t="s">
        <v>98</v>
      </c>
      <c r="DD670" s="43" t="s">
        <v>60</v>
      </c>
      <c r="DE670" s="43" t="s">
        <v>72</v>
      </c>
      <c r="DF670">
        <v>0</v>
      </c>
      <c r="DG670" t="s">
        <v>317</v>
      </c>
      <c r="DH670" s="43" t="s">
        <v>268</v>
      </c>
      <c r="DI670">
        <v>0</v>
      </c>
    </row>
    <row r="671" spans="107:113" x14ac:dyDescent="0.25">
      <c r="DC671" s="43" t="s">
        <v>98</v>
      </c>
      <c r="DD671" s="43" t="s">
        <v>60</v>
      </c>
      <c r="DE671" s="43" t="s">
        <v>72</v>
      </c>
      <c r="DF671">
        <v>0</v>
      </c>
      <c r="DG671" t="s">
        <v>325</v>
      </c>
      <c r="DH671" s="43" t="s">
        <v>308</v>
      </c>
      <c r="DI671">
        <v>8.6999999999999993</v>
      </c>
    </row>
    <row r="672" spans="107:113" x14ac:dyDescent="0.25">
      <c r="DC672" s="43" t="s">
        <v>98</v>
      </c>
      <c r="DD672" s="43" t="s">
        <v>60</v>
      </c>
      <c r="DE672" s="43" t="s">
        <v>72</v>
      </c>
      <c r="DF672">
        <v>0</v>
      </c>
      <c r="DG672" t="s">
        <v>325</v>
      </c>
      <c r="DH672" s="43" t="s">
        <v>309</v>
      </c>
      <c r="DI672">
        <v>22.299999999999997</v>
      </c>
    </row>
    <row r="673" spans="107:113" x14ac:dyDescent="0.25">
      <c r="DC673" s="43" t="s">
        <v>98</v>
      </c>
      <c r="DD673" s="43" t="s">
        <v>60</v>
      </c>
      <c r="DE673" s="43" t="s">
        <v>72</v>
      </c>
      <c r="DF673">
        <v>0</v>
      </c>
      <c r="DG673" t="s">
        <v>325</v>
      </c>
      <c r="DH673" s="43" t="s">
        <v>268</v>
      </c>
      <c r="DI673">
        <v>31</v>
      </c>
    </row>
    <row r="674" spans="107:113" x14ac:dyDescent="0.25">
      <c r="DC674" s="43" t="s">
        <v>98</v>
      </c>
      <c r="DD674" s="43" t="s">
        <v>60</v>
      </c>
      <c r="DE674" s="43" t="s">
        <v>72</v>
      </c>
      <c r="DF674">
        <v>0</v>
      </c>
      <c r="DG674" t="s">
        <v>330</v>
      </c>
      <c r="DH674" s="43" t="s">
        <v>308</v>
      </c>
      <c r="DI674">
        <v>10.9</v>
      </c>
    </row>
    <row r="675" spans="107:113" x14ac:dyDescent="0.25">
      <c r="DC675" s="43" t="s">
        <v>98</v>
      </c>
      <c r="DD675" s="43" t="s">
        <v>60</v>
      </c>
      <c r="DE675" s="43" t="s">
        <v>72</v>
      </c>
      <c r="DF675">
        <v>0</v>
      </c>
      <c r="DG675" t="s">
        <v>330</v>
      </c>
      <c r="DH675" s="43" t="s">
        <v>309</v>
      </c>
      <c r="DI675">
        <v>26.349999999999998</v>
      </c>
    </row>
    <row r="676" spans="107:113" x14ac:dyDescent="0.25">
      <c r="DC676" s="43" t="s">
        <v>98</v>
      </c>
      <c r="DD676" s="43" t="s">
        <v>60</v>
      </c>
      <c r="DE676" s="43" t="s">
        <v>72</v>
      </c>
      <c r="DF676">
        <v>0</v>
      </c>
      <c r="DG676" t="s">
        <v>330</v>
      </c>
      <c r="DH676" s="43" t="s">
        <v>268</v>
      </c>
      <c r="DI676">
        <v>37.25</v>
      </c>
    </row>
    <row r="677" spans="107:113" x14ac:dyDescent="0.25">
      <c r="DC677" s="43" t="s">
        <v>98</v>
      </c>
      <c r="DD677" s="43" t="s">
        <v>60</v>
      </c>
      <c r="DE677" s="43" t="s">
        <v>72</v>
      </c>
      <c r="DF677">
        <v>0</v>
      </c>
      <c r="DG677" t="s">
        <v>331</v>
      </c>
      <c r="DH677" s="43" t="s">
        <v>308</v>
      </c>
      <c r="DI677">
        <v>0</v>
      </c>
    </row>
    <row r="678" spans="107:113" x14ac:dyDescent="0.25">
      <c r="DC678" s="43" t="s">
        <v>98</v>
      </c>
      <c r="DD678" s="43" t="s">
        <v>60</v>
      </c>
      <c r="DE678" s="43" t="s">
        <v>72</v>
      </c>
      <c r="DF678">
        <v>0</v>
      </c>
      <c r="DG678" t="s">
        <v>331</v>
      </c>
      <c r="DH678" s="43" t="s">
        <v>309</v>
      </c>
      <c r="DI678">
        <v>0</v>
      </c>
    </row>
    <row r="679" spans="107:113" x14ac:dyDescent="0.25">
      <c r="DC679" s="43" t="s">
        <v>98</v>
      </c>
      <c r="DD679" s="43" t="s">
        <v>60</v>
      </c>
      <c r="DE679" s="43" t="s">
        <v>72</v>
      </c>
      <c r="DF679">
        <v>0</v>
      </c>
      <c r="DG679" t="s">
        <v>331</v>
      </c>
      <c r="DH679" s="43" t="s">
        <v>268</v>
      </c>
      <c r="DI679">
        <v>0</v>
      </c>
    </row>
    <row r="680" spans="107:113" x14ac:dyDescent="0.25">
      <c r="DC680" s="43" t="s">
        <v>98</v>
      </c>
      <c r="DD680" s="43" t="s">
        <v>60</v>
      </c>
      <c r="DE680" s="43" t="s">
        <v>72</v>
      </c>
      <c r="DF680">
        <v>0</v>
      </c>
      <c r="DG680" t="s">
        <v>341</v>
      </c>
      <c r="DH680" s="43" t="s">
        <v>308</v>
      </c>
      <c r="DI680">
        <v>0</v>
      </c>
    </row>
    <row r="681" spans="107:113" x14ac:dyDescent="0.25">
      <c r="DC681" s="43" t="s">
        <v>98</v>
      </c>
      <c r="DD681" s="43" t="s">
        <v>60</v>
      </c>
      <c r="DE681" s="43" t="s">
        <v>72</v>
      </c>
      <c r="DF681">
        <v>0</v>
      </c>
      <c r="DG681" t="s">
        <v>341</v>
      </c>
      <c r="DH681" s="43" t="s">
        <v>309</v>
      </c>
      <c r="DI681">
        <v>0</v>
      </c>
    </row>
    <row r="682" spans="107:113" x14ac:dyDescent="0.25">
      <c r="DC682" s="43" t="s">
        <v>98</v>
      </c>
      <c r="DD682" s="43" t="s">
        <v>60</v>
      </c>
      <c r="DE682" s="43" t="s">
        <v>72</v>
      </c>
      <c r="DF682">
        <v>0</v>
      </c>
      <c r="DG682" t="s">
        <v>341</v>
      </c>
      <c r="DH682" s="43" t="s">
        <v>268</v>
      </c>
      <c r="DI682">
        <v>0</v>
      </c>
    </row>
    <row r="683" spans="107:113" x14ac:dyDescent="0.25">
      <c r="DC683" s="43" t="s">
        <v>98</v>
      </c>
      <c r="DD683" s="43" t="s">
        <v>60</v>
      </c>
      <c r="DE683" s="43" t="s">
        <v>72</v>
      </c>
      <c r="DF683">
        <v>0</v>
      </c>
      <c r="DG683" t="s">
        <v>273</v>
      </c>
      <c r="DH683" s="43" t="s">
        <v>308</v>
      </c>
      <c r="DI683">
        <v>0</v>
      </c>
    </row>
    <row r="684" spans="107:113" x14ac:dyDescent="0.25">
      <c r="DC684" s="43" t="s">
        <v>98</v>
      </c>
      <c r="DD684" s="43" t="s">
        <v>60</v>
      </c>
      <c r="DE684" s="43" t="s">
        <v>72</v>
      </c>
      <c r="DF684">
        <v>0</v>
      </c>
      <c r="DG684" t="s">
        <v>273</v>
      </c>
      <c r="DH684" s="43" t="s">
        <v>309</v>
      </c>
      <c r="DI684">
        <v>0</v>
      </c>
    </row>
    <row r="685" spans="107:113" x14ac:dyDescent="0.25">
      <c r="DC685" s="43" t="s">
        <v>98</v>
      </c>
      <c r="DD685" s="43" t="s">
        <v>60</v>
      </c>
      <c r="DE685" s="43" t="s">
        <v>72</v>
      </c>
      <c r="DF685">
        <v>0</v>
      </c>
      <c r="DG685" t="s">
        <v>273</v>
      </c>
      <c r="DH685" s="43" t="s">
        <v>268</v>
      </c>
      <c r="DI685">
        <v>0</v>
      </c>
    </row>
    <row r="686" spans="107:113" x14ac:dyDescent="0.25">
      <c r="DC686" s="43" t="s">
        <v>96</v>
      </c>
      <c r="DD686" s="43" t="s">
        <v>60</v>
      </c>
      <c r="DE686" s="43" t="s">
        <v>62</v>
      </c>
      <c r="DF686">
        <v>0</v>
      </c>
      <c r="DG686" t="s">
        <v>317</v>
      </c>
      <c r="DH686" s="43" t="s">
        <v>308</v>
      </c>
      <c r="DI686">
        <v>0</v>
      </c>
    </row>
    <row r="687" spans="107:113" x14ac:dyDescent="0.25">
      <c r="DC687" s="43" t="s">
        <v>96</v>
      </c>
      <c r="DD687" s="43" t="s">
        <v>60</v>
      </c>
      <c r="DE687" s="43" t="s">
        <v>62</v>
      </c>
      <c r="DF687">
        <v>0</v>
      </c>
      <c r="DG687" t="s">
        <v>317</v>
      </c>
      <c r="DH687" s="43" t="s">
        <v>309</v>
      </c>
      <c r="DI687">
        <v>0</v>
      </c>
    </row>
    <row r="688" spans="107:113" x14ac:dyDescent="0.25">
      <c r="DC688" s="43" t="s">
        <v>96</v>
      </c>
      <c r="DD688" s="43" t="s">
        <v>60</v>
      </c>
      <c r="DE688" s="43" t="s">
        <v>62</v>
      </c>
      <c r="DF688">
        <v>0</v>
      </c>
      <c r="DG688" t="s">
        <v>317</v>
      </c>
      <c r="DH688" s="43" t="s">
        <v>268</v>
      </c>
      <c r="DI688">
        <v>0</v>
      </c>
    </row>
    <row r="689" spans="107:113" x14ac:dyDescent="0.25">
      <c r="DC689" s="43" t="s">
        <v>96</v>
      </c>
      <c r="DD689" s="43" t="s">
        <v>60</v>
      </c>
      <c r="DE689" s="43" t="s">
        <v>62</v>
      </c>
      <c r="DF689">
        <v>0</v>
      </c>
      <c r="DG689" t="s">
        <v>325</v>
      </c>
      <c r="DH689" s="43" t="s">
        <v>308</v>
      </c>
      <c r="DI689">
        <v>13.1</v>
      </c>
    </row>
    <row r="690" spans="107:113" x14ac:dyDescent="0.25">
      <c r="DC690" s="43" t="s">
        <v>96</v>
      </c>
      <c r="DD690" s="43" t="s">
        <v>60</v>
      </c>
      <c r="DE690" s="43" t="s">
        <v>62</v>
      </c>
      <c r="DF690">
        <v>0</v>
      </c>
      <c r="DG690" t="s">
        <v>325</v>
      </c>
      <c r="DH690" s="43" t="s">
        <v>309</v>
      </c>
      <c r="DI690">
        <v>22</v>
      </c>
    </row>
    <row r="691" spans="107:113" x14ac:dyDescent="0.25">
      <c r="DC691" s="43" t="s">
        <v>96</v>
      </c>
      <c r="DD691" s="43" t="s">
        <v>60</v>
      </c>
      <c r="DE691" s="43" t="s">
        <v>62</v>
      </c>
      <c r="DF691">
        <v>0</v>
      </c>
      <c r="DG691" t="s">
        <v>325</v>
      </c>
      <c r="DH691" s="43" t="s">
        <v>268</v>
      </c>
      <c r="DI691">
        <v>35.1</v>
      </c>
    </row>
    <row r="692" spans="107:113" x14ac:dyDescent="0.25">
      <c r="DC692" s="43" t="s">
        <v>96</v>
      </c>
      <c r="DD692" s="43" t="s">
        <v>60</v>
      </c>
      <c r="DE692" s="43" t="s">
        <v>62</v>
      </c>
      <c r="DF692">
        <v>0</v>
      </c>
      <c r="DG692" t="s">
        <v>330</v>
      </c>
      <c r="DH692" s="43" t="s">
        <v>308</v>
      </c>
      <c r="DI692">
        <v>12.7</v>
      </c>
    </row>
    <row r="693" spans="107:113" x14ac:dyDescent="0.25">
      <c r="DC693" s="43" t="s">
        <v>96</v>
      </c>
      <c r="DD693" s="43" t="s">
        <v>60</v>
      </c>
      <c r="DE693" s="43" t="s">
        <v>62</v>
      </c>
      <c r="DF693">
        <v>0</v>
      </c>
      <c r="DG693" t="s">
        <v>330</v>
      </c>
      <c r="DH693" s="43" t="s">
        <v>309</v>
      </c>
      <c r="DI693">
        <v>22.5</v>
      </c>
    </row>
    <row r="694" spans="107:113" x14ac:dyDescent="0.25">
      <c r="DC694" s="43" t="s">
        <v>96</v>
      </c>
      <c r="DD694" s="43" t="s">
        <v>60</v>
      </c>
      <c r="DE694" s="43" t="s">
        <v>62</v>
      </c>
      <c r="DF694">
        <v>0</v>
      </c>
      <c r="DG694" t="s">
        <v>330</v>
      </c>
      <c r="DH694" s="43" t="s">
        <v>268</v>
      </c>
      <c r="DI694">
        <v>35.200000000000003</v>
      </c>
    </row>
    <row r="695" spans="107:113" x14ac:dyDescent="0.25">
      <c r="DC695" s="43" t="s">
        <v>96</v>
      </c>
      <c r="DD695" s="43" t="s">
        <v>60</v>
      </c>
      <c r="DE695" s="43" t="s">
        <v>62</v>
      </c>
      <c r="DF695">
        <v>0</v>
      </c>
      <c r="DG695" t="s">
        <v>331</v>
      </c>
      <c r="DH695" s="43" t="s">
        <v>308</v>
      </c>
      <c r="DI695">
        <v>0</v>
      </c>
    </row>
    <row r="696" spans="107:113" x14ac:dyDescent="0.25">
      <c r="DC696" s="43" t="s">
        <v>96</v>
      </c>
      <c r="DD696" s="43" t="s">
        <v>60</v>
      </c>
      <c r="DE696" s="43" t="s">
        <v>62</v>
      </c>
      <c r="DF696">
        <v>0</v>
      </c>
      <c r="DG696" t="s">
        <v>331</v>
      </c>
      <c r="DH696" s="43" t="s">
        <v>309</v>
      </c>
      <c r="DI696">
        <v>0</v>
      </c>
    </row>
    <row r="697" spans="107:113" x14ac:dyDescent="0.25">
      <c r="DC697" s="43" t="s">
        <v>96</v>
      </c>
      <c r="DD697" s="43" t="s">
        <v>60</v>
      </c>
      <c r="DE697" s="43" t="s">
        <v>62</v>
      </c>
      <c r="DF697">
        <v>0</v>
      </c>
      <c r="DG697" t="s">
        <v>331</v>
      </c>
      <c r="DH697" s="43" t="s">
        <v>268</v>
      </c>
      <c r="DI697">
        <v>0</v>
      </c>
    </row>
    <row r="698" spans="107:113" x14ac:dyDescent="0.25">
      <c r="DC698" s="43" t="s">
        <v>96</v>
      </c>
      <c r="DD698" s="43" t="s">
        <v>60</v>
      </c>
      <c r="DE698" s="43" t="s">
        <v>62</v>
      </c>
      <c r="DF698">
        <v>0</v>
      </c>
      <c r="DG698" t="s">
        <v>341</v>
      </c>
      <c r="DH698" s="43" t="s">
        <v>308</v>
      </c>
      <c r="DI698">
        <v>0</v>
      </c>
    </row>
    <row r="699" spans="107:113" x14ac:dyDescent="0.25">
      <c r="DC699" s="43" t="s">
        <v>96</v>
      </c>
      <c r="DD699" s="43" t="s">
        <v>60</v>
      </c>
      <c r="DE699" s="43" t="s">
        <v>62</v>
      </c>
      <c r="DF699">
        <v>0</v>
      </c>
      <c r="DG699" t="s">
        <v>341</v>
      </c>
      <c r="DH699" s="43" t="s">
        <v>309</v>
      </c>
      <c r="DI699">
        <v>0</v>
      </c>
    </row>
    <row r="700" spans="107:113" x14ac:dyDescent="0.25">
      <c r="DC700" s="43" t="s">
        <v>96</v>
      </c>
      <c r="DD700" s="43" t="s">
        <v>60</v>
      </c>
      <c r="DE700" s="43" t="s">
        <v>62</v>
      </c>
      <c r="DF700">
        <v>0</v>
      </c>
      <c r="DG700" t="s">
        <v>341</v>
      </c>
      <c r="DH700" s="43" t="s">
        <v>268</v>
      </c>
      <c r="DI700">
        <v>0</v>
      </c>
    </row>
    <row r="701" spans="107:113" x14ac:dyDescent="0.25">
      <c r="DC701" s="43" t="s">
        <v>96</v>
      </c>
      <c r="DD701" s="43" t="s">
        <v>60</v>
      </c>
      <c r="DE701" s="43" t="s">
        <v>62</v>
      </c>
      <c r="DF701">
        <v>0</v>
      </c>
      <c r="DG701" t="s">
        <v>273</v>
      </c>
      <c r="DH701" s="43" t="s">
        <v>308</v>
      </c>
      <c r="DI701">
        <v>0</v>
      </c>
    </row>
    <row r="702" spans="107:113" x14ac:dyDescent="0.25">
      <c r="DC702" s="43" t="s">
        <v>96</v>
      </c>
      <c r="DD702" s="43" t="s">
        <v>60</v>
      </c>
      <c r="DE702" s="43" t="s">
        <v>62</v>
      </c>
      <c r="DF702">
        <v>0</v>
      </c>
      <c r="DG702" t="s">
        <v>273</v>
      </c>
      <c r="DH702" s="43" t="s">
        <v>309</v>
      </c>
      <c r="DI702">
        <v>0</v>
      </c>
    </row>
    <row r="703" spans="107:113" x14ac:dyDescent="0.25">
      <c r="DC703" s="43" t="s">
        <v>96</v>
      </c>
      <c r="DD703" s="43" t="s">
        <v>60</v>
      </c>
      <c r="DE703" s="43" t="s">
        <v>62</v>
      </c>
      <c r="DF703">
        <v>0</v>
      </c>
      <c r="DG703" t="s">
        <v>273</v>
      </c>
      <c r="DH703" s="43" t="s">
        <v>268</v>
      </c>
      <c r="DI703">
        <v>0</v>
      </c>
    </row>
    <row r="704" spans="107:113" x14ac:dyDescent="0.25">
      <c r="DC704" s="43" t="s">
        <v>108</v>
      </c>
      <c r="DD704" s="43" t="s">
        <v>60</v>
      </c>
      <c r="DE704" s="43" t="s">
        <v>62</v>
      </c>
      <c r="DF704">
        <v>0</v>
      </c>
      <c r="DG704" t="s">
        <v>317</v>
      </c>
      <c r="DH704" s="43" t="s">
        <v>308</v>
      </c>
      <c r="DI704">
        <v>0</v>
      </c>
    </row>
    <row r="705" spans="107:113" x14ac:dyDescent="0.25">
      <c r="DC705" s="43" t="s">
        <v>108</v>
      </c>
      <c r="DD705" s="43" t="s">
        <v>60</v>
      </c>
      <c r="DE705" s="43" t="s">
        <v>62</v>
      </c>
      <c r="DF705">
        <v>0</v>
      </c>
      <c r="DG705" t="s">
        <v>317</v>
      </c>
      <c r="DH705" s="43" t="s">
        <v>309</v>
      </c>
      <c r="DI705">
        <v>0</v>
      </c>
    </row>
    <row r="706" spans="107:113" x14ac:dyDescent="0.25">
      <c r="DC706" s="43" t="s">
        <v>108</v>
      </c>
      <c r="DD706" s="43" t="s">
        <v>60</v>
      </c>
      <c r="DE706" s="43" t="s">
        <v>62</v>
      </c>
      <c r="DF706">
        <v>0</v>
      </c>
      <c r="DG706" t="s">
        <v>317</v>
      </c>
      <c r="DH706" s="43" t="s">
        <v>268</v>
      </c>
      <c r="DI706">
        <v>0</v>
      </c>
    </row>
    <row r="707" spans="107:113" x14ac:dyDescent="0.25">
      <c r="DC707" s="43" t="s">
        <v>108</v>
      </c>
      <c r="DD707" s="43" t="s">
        <v>60</v>
      </c>
      <c r="DE707" s="43" t="s">
        <v>62</v>
      </c>
      <c r="DF707">
        <v>0</v>
      </c>
      <c r="DG707" t="s">
        <v>325</v>
      </c>
      <c r="DH707" s="43" t="s">
        <v>308</v>
      </c>
      <c r="DI707">
        <v>5.9</v>
      </c>
    </row>
    <row r="708" spans="107:113" x14ac:dyDescent="0.25">
      <c r="DC708" s="43" t="s">
        <v>108</v>
      </c>
      <c r="DD708" s="43" t="s">
        <v>60</v>
      </c>
      <c r="DE708" s="43" t="s">
        <v>62</v>
      </c>
      <c r="DF708">
        <v>0</v>
      </c>
      <c r="DG708" t="s">
        <v>325</v>
      </c>
      <c r="DH708" s="43" t="s">
        <v>309</v>
      </c>
      <c r="DI708">
        <v>10.1</v>
      </c>
    </row>
    <row r="709" spans="107:113" x14ac:dyDescent="0.25">
      <c r="DC709" s="43" t="s">
        <v>108</v>
      </c>
      <c r="DD709" s="43" t="s">
        <v>60</v>
      </c>
      <c r="DE709" s="43" t="s">
        <v>62</v>
      </c>
      <c r="DF709">
        <v>0</v>
      </c>
      <c r="DG709" t="s">
        <v>325</v>
      </c>
      <c r="DH709" s="43" t="s">
        <v>268</v>
      </c>
      <c r="DI709">
        <v>16</v>
      </c>
    </row>
    <row r="710" spans="107:113" x14ac:dyDescent="0.25">
      <c r="DC710" s="43" t="s">
        <v>108</v>
      </c>
      <c r="DD710" s="43" t="s">
        <v>60</v>
      </c>
      <c r="DE710" s="43" t="s">
        <v>62</v>
      </c>
      <c r="DF710">
        <v>0</v>
      </c>
      <c r="DG710" t="s">
        <v>330</v>
      </c>
      <c r="DH710" s="43" t="s">
        <v>308</v>
      </c>
      <c r="DI710">
        <v>6.4</v>
      </c>
    </row>
    <row r="711" spans="107:113" x14ac:dyDescent="0.25">
      <c r="DC711" s="43" t="s">
        <v>108</v>
      </c>
      <c r="DD711" s="43" t="s">
        <v>60</v>
      </c>
      <c r="DE711" s="43" t="s">
        <v>62</v>
      </c>
      <c r="DF711">
        <v>0</v>
      </c>
      <c r="DG711" t="s">
        <v>330</v>
      </c>
      <c r="DH711" s="43" t="s">
        <v>309</v>
      </c>
      <c r="DI711">
        <v>13.2</v>
      </c>
    </row>
    <row r="712" spans="107:113" x14ac:dyDescent="0.25">
      <c r="DC712" s="43" t="s">
        <v>108</v>
      </c>
      <c r="DD712" s="43" t="s">
        <v>60</v>
      </c>
      <c r="DE712" s="43" t="s">
        <v>62</v>
      </c>
      <c r="DF712">
        <v>0</v>
      </c>
      <c r="DG712" t="s">
        <v>330</v>
      </c>
      <c r="DH712" s="43" t="s">
        <v>268</v>
      </c>
      <c r="DI712">
        <v>19.600000000000001</v>
      </c>
    </row>
    <row r="713" spans="107:113" x14ac:dyDescent="0.25">
      <c r="DC713" s="43" t="s">
        <v>108</v>
      </c>
      <c r="DD713" s="43" t="s">
        <v>60</v>
      </c>
      <c r="DE713" s="43" t="s">
        <v>62</v>
      </c>
      <c r="DF713">
        <v>0</v>
      </c>
      <c r="DG713" t="s">
        <v>331</v>
      </c>
      <c r="DH713" s="43" t="s">
        <v>308</v>
      </c>
      <c r="DI713">
        <v>0</v>
      </c>
    </row>
    <row r="714" spans="107:113" x14ac:dyDescent="0.25">
      <c r="DC714" s="43" t="s">
        <v>108</v>
      </c>
      <c r="DD714" s="43" t="s">
        <v>60</v>
      </c>
      <c r="DE714" s="43" t="s">
        <v>62</v>
      </c>
      <c r="DF714">
        <v>0</v>
      </c>
      <c r="DG714" t="s">
        <v>331</v>
      </c>
      <c r="DH714" s="43" t="s">
        <v>309</v>
      </c>
      <c r="DI714">
        <v>0</v>
      </c>
    </row>
    <row r="715" spans="107:113" x14ac:dyDescent="0.25">
      <c r="DC715" s="43" t="s">
        <v>108</v>
      </c>
      <c r="DD715" s="43" t="s">
        <v>60</v>
      </c>
      <c r="DE715" s="43" t="s">
        <v>62</v>
      </c>
      <c r="DF715">
        <v>0</v>
      </c>
      <c r="DG715" t="s">
        <v>331</v>
      </c>
      <c r="DH715" s="43" t="s">
        <v>268</v>
      </c>
      <c r="DI715">
        <v>0</v>
      </c>
    </row>
    <row r="716" spans="107:113" x14ac:dyDescent="0.25">
      <c r="DC716" s="43" t="s">
        <v>108</v>
      </c>
      <c r="DD716" s="43" t="s">
        <v>60</v>
      </c>
      <c r="DE716" s="43" t="s">
        <v>62</v>
      </c>
      <c r="DF716">
        <v>0</v>
      </c>
      <c r="DG716" t="s">
        <v>341</v>
      </c>
      <c r="DH716" s="43" t="s">
        <v>308</v>
      </c>
      <c r="DI716">
        <v>0</v>
      </c>
    </row>
    <row r="717" spans="107:113" x14ac:dyDescent="0.25">
      <c r="DC717" s="43" t="s">
        <v>108</v>
      </c>
      <c r="DD717" s="43" t="s">
        <v>60</v>
      </c>
      <c r="DE717" s="43" t="s">
        <v>62</v>
      </c>
      <c r="DF717">
        <v>0</v>
      </c>
      <c r="DG717" t="s">
        <v>341</v>
      </c>
      <c r="DH717" s="43" t="s">
        <v>309</v>
      </c>
      <c r="DI717">
        <v>0</v>
      </c>
    </row>
    <row r="718" spans="107:113" x14ac:dyDescent="0.25">
      <c r="DC718" s="43" t="s">
        <v>108</v>
      </c>
      <c r="DD718" s="43" t="s">
        <v>60</v>
      </c>
      <c r="DE718" s="43" t="s">
        <v>62</v>
      </c>
      <c r="DF718">
        <v>0</v>
      </c>
      <c r="DG718" t="s">
        <v>341</v>
      </c>
      <c r="DH718" s="43" t="s">
        <v>268</v>
      </c>
      <c r="DI718">
        <v>0</v>
      </c>
    </row>
    <row r="719" spans="107:113" x14ac:dyDescent="0.25">
      <c r="DC719" s="43" t="s">
        <v>108</v>
      </c>
      <c r="DD719" s="43" t="s">
        <v>60</v>
      </c>
      <c r="DE719" s="43" t="s">
        <v>62</v>
      </c>
      <c r="DF719">
        <v>0</v>
      </c>
      <c r="DG719" t="s">
        <v>273</v>
      </c>
      <c r="DH719" s="43" t="s">
        <v>308</v>
      </c>
      <c r="DI719">
        <v>0</v>
      </c>
    </row>
    <row r="720" spans="107:113" x14ac:dyDescent="0.25">
      <c r="DC720" s="43" t="s">
        <v>108</v>
      </c>
      <c r="DD720" s="43" t="s">
        <v>60</v>
      </c>
      <c r="DE720" s="43" t="s">
        <v>62</v>
      </c>
      <c r="DF720">
        <v>0</v>
      </c>
      <c r="DG720" t="s">
        <v>273</v>
      </c>
      <c r="DH720" s="43" t="s">
        <v>309</v>
      </c>
      <c r="DI720">
        <v>0</v>
      </c>
    </row>
    <row r="721" spans="107:113" x14ac:dyDescent="0.25">
      <c r="DC721" s="43" t="s">
        <v>108</v>
      </c>
      <c r="DD721" s="43" t="s">
        <v>60</v>
      </c>
      <c r="DE721" s="43" t="s">
        <v>62</v>
      </c>
      <c r="DF721">
        <v>0</v>
      </c>
      <c r="DG721" t="s">
        <v>273</v>
      </c>
      <c r="DH721" s="43" t="s">
        <v>268</v>
      </c>
      <c r="DI721">
        <v>0</v>
      </c>
    </row>
    <row r="722" spans="107:113" x14ac:dyDescent="0.25">
      <c r="DC722" s="43" t="s">
        <v>104</v>
      </c>
      <c r="DD722" s="43" t="s">
        <v>60</v>
      </c>
      <c r="DE722" s="43" t="s">
        <v>28</v>
      </c>
      <c r="DF722">
        <v>0</v>
      </c>
      <c r="DG722" t="s">
        <v>317</v>
      </c>
      <c r="DH722" s="43" t="s">
        <v>308</v>
      </c>
      <c r="DI722">
        <v>0</v>
      </c>
    </row>
    <row r="723" spans="107:113" x14ac:dyDescent="0.25">
      <c r="DC723" s="43" t="s">
        <v>104</v>
      </c>
      <c r="DD723" s="43" t="s">
        <v>60</v>
      </c>
      <c r="DE723" s="43" t="s">
        <v>28</v>
      </c>
      <c r="DF723">
        <v>0</v>
      </c>
      <c r="DG723" t="s">
        <v>317</v>
      </c>
      <c r="DH723" s="43" t="s">
        <v>309</v>
      </c>
      <c r="DI723">
        <v>0</v>
      </c>
    </row>
    <row r="724" spans="107:113" x14ac:dyDescent="0.25">
      <c r="DC724" s="43" t="s">
        <v>104</v>
      </c>
      <c r="DD724" s="43" t="s">
        <v>60</v>
      </c>
      <c r="DE724" s="43" t="s">
        <v>28</v>
      </c>
      <c r="DF724">
        <v>0</v>
      </c>
      <c r="DG724" t="s">
        <v>317</v>
      </c>
      <c r="DH724" s="43" t="s">
        <v>268</v>
      </c>
      <c r="DI724">
        <v>0</v>
      </c>
    </row>
    <row r="725" spans="107:113" x14ac:dyDescent="0.25">
      <c r="DC725" s="43" t="s">
        <v>104</v>
      </c>
      <c r="DD725" s="43" t="s">
        <v>60</v>
      </c>
      <c r="DE725" s="43" t="s">
        <v>28</v>
      </c>
      <c r="DF725">
        <v>0</v>
      </c>
      <c r="DG725" t="s">
        <v>325</v>
      </c>
      <c r="DH725" s="43" t="s">
        <v>308</v>
      </c>
      <c r="DI725">
        <v>7.7</v>
      </c>
    </row>
    <row r="726" spans="107:113" x14ac:dyDescent="0.25">
      <c r="DC726" s="43" t="s">
        <v>104</v>
      </c>
      <c r="DD726" s="43" t="s">
        <v>60</v>
      </c>
      <c r="DE726" s="43" t="s">
        <v>28</v>
      </c>
      <c r="DF726">
        <v>0</v>
      </c>
      <c r="DG726" t="s">
        <v>325</v>
      </c>
      <c r="DH726" s="43" t="s">
        <v>309</v>
      </c>
      <c r="DI726">
        <v>15</v>
      </c>
    </row>
    <row r="727" spans="107:113" x14ac:dyDescent="0.25">
      <c r="DC727" s="43" t="s">
        <v>104</v>
      </c>
      <c r="DD727" s="43" t="s">
        <v>60</v>
      </c>
      <c r="DE727" s="43" t="s">
        <v>28</v>
      </c>
      <c r="DF727">
        <v>0</v>
      </c>
      <c r="DG727" t="s">
        <v>325</v>
      </c>
      <c r="DH727" s="43" t="s">
        <v>268</v>
      </c>
      <c r="DI727">
        <v>22.7</v>
      </c>
    </row>
    <row r="728" spans="107:113" x14ac:dyDescent="0.25">
      <c r="DC728" s="43" t="s">
        <v>104</v>
      </c>
      <c r="DD728" s="43" t="s">
        <v>60</v>
      </c>
      <c r="DE728" s="43" t="s">
        <v>28</v>
      </c>
      <c r="DF728">
        <v>0</v>
      </c>
      <c r="DG728" t="s">
        <v>330</v>
      </c>
      <c r="DH728" s="43" t="s">
        <v>308</v>
      </c>
      <c r="DI728">
        <v>0</v>
      </c>
    </row>
    <row r="729" spans="107:113" x14ac:dyDescent="0.25">
      <c r="DC729" s="43" t="s">
        <v>104</v>
      </c>
      <c r="DD729" s="43" t="s">
        <v>60</v>
      </c>
      <c r="DE729" s="43" t="s">
        <v>28</v>
      </c>
      <c r="DF729">
        <v>0</v>
      </c>
      <c r="DG729" t="s">
        <v>330</v>
      </c>
      <c r="DH729" s="43" t="s">
        <v>309</v>
      </c>
      <c r="DI729">
        <v>0</v>
      </c>
    </row>
    <row r="730" spans="107:113" x14ac:dyDescent="0.25">
      <c r="DC730" s="43" t="s">
        <v>104</v>
      </c>
      <c r="DD730" s="43" t="s">
        <v>60</v>
      </c>
      <c r="DE730" s="43" t="s">
        <v>28</v>
      </c>
      <c r="DF730">
        <v>0</v>
      </c>
      <c r="DG730" t="s">
        <v>330</v>
      </c>
      <c r="DH730" s="43" t="s">
        <v>268</v>
      </c>
      <c r="DI730">
        <v>0</v>
      </c>
    </row>
    <row r="731" spans="107:113" x14ac:dyDescent="0.25">
      <c r="DC731" s="43" t="s">
        <v>104</v>
      </c>
      <c r="DD731" s="43" t="s">
        <v>60</v>
      </c>
      <c r="DE731" s="43" t="s">
        <v>28</v>
      </c>
      <c r="DF731">
        <v>0</v>
      </c>
      <c r="DG731" t="s">
        <v>331</v>
      </c>
      <c r="DH731" s="43" t="s">
        <v>308</v>
      </c>
      <c r="DI731">
        <v>4.4000000000000004</v>
      </c>
    </row>
    <row r="732" spans="107:113" x14ac:dyDescent="0.25">
      <c r="DC732" s="43" t="s">
        <v>104</v>
      </c>
      <c r="DD732" s="43" t="s">
        <v>60</v>
      </c>
      <c r="DE732" s="43" t="s">
        <v>28</v>
      </c>
      <c r="DF732">
        <v>0</v>
      </c>
      <c r="DG732" t="s">
        <v>331</v>
      </c>
      <c r="DH732" s="43" t="s">
        <v>309</v>
      </c>
      <c r="DI732">
        <v>4.5</v>
      </c>
    </row>
    <row r="733" spans="107:113" x14ac:dyDescent="0.25">
      <c r="DC733" s="43" t="s">
        <v>104</v>
      </c>
      <c r="DD733" s="43" t="s">
        <v>60</v>
      </c>
      <c r="DE733" s="43" t="s">
        <v>28</v>
      </c>
      <c r="DF733">
        <v>0</v>
      </c>
      <c r="DG733" t="s">
        <v>331</v>
      </c>
      <c r="DH733" s="43" t="s">
        <v>268</v>
      </c>
      <c r="DI733">
        <v>8.9</v>
      </c>
    </row>
    <row r="734" spans="107:113" x14ac:dyDescent="0.25">
      <c r="DC734" s="43" t="s">
        <v>104</v>
      </c>
      <c r="DD734" s="43" t="s">
        <v>60</v>
      </c>
      <c r="DE734" s="43" t="s">
        <v>28</v>
      </c>
      <c r="DF734">
        <v>0</v>
      </c>
      <c r="DG734" t="s">
        <v>341</v>
      </c>
      <c r="DH734" s="43" t="s">
        <v>308</v>
      </c>
      <c r="DI734">
        <v>0</v>
      </c>
    </row>
    <row r="735" spans="107:113" x14ac:dyDescent="0.25">
      <c r="DC735" s="43" t="s">
        <v>104</v>
      </c>
      <c r="DD735" s="43" t="s">
        <v>60</v>
      </c>
      <c r="DE735" s="43" t="s">
        <v>28</v>
      </c>
      <c r="DF735">
        <v>0</v>
      </c>
      <c r="DG735" t="s">
        <v>341</v>
      </c>
      <c r="DH735" s="43" t="s">
        <v>309</v>
      </c>
      <c r="DI735">
        <v>0</v>
      </c>
    </row>
    <row r="736" spans="107:113" x14ac:dyDescent="0.25">
      <c r="DC736" s="43" t="s">
        <v>104</v>
      </c>
      <c r="DD736" s="43" t="s">
        <v>60</v>
      </c>
      <c r="DE736" s="43" t="s">
        <v>28</v>
      </c>
      <c r="DF736">
        <v>0</v>
      </c>
      <c r="DG736" t="s">
        <v>341</v>
      </c>
      <c r="DH736" s="43" t="s">
        <v>268</v>
      </c>
      <c r="DI736">
        <v>0</v>
      </c>
    </row>
    <row r="737" spans="107:113" x14ac:dyDescent="0.25">
      <c r="DC737" s="43" t="s">
        <v>104</v>
      </c>
      <c r="DD737" s="43" t="s">
        <v>60</v>
      </c>
      <c r="DE737" s="43" t="s">
        <v>28</v>
      </c>
      <c r="DF737">
        <v>0</v>
      </c>
      <c r="DG737" t="s">
        <v>273</v>
      </c>
      <c r="DH737" s="43" t="s">
        <v>308</v>
      </c>
      <c r="DI737">
        <v>0</v>
      </c>
    </row>
    <row r="738" spans="107:113" x14ac:dyDescent="0.25">
      <c r="DC738" s="43" t="s">
        <v>104</v>
      </c>
      <c r="DD738" s="43" t="s">
        <v>60</v>
      </c>
      <c r="DE738" s="43" t="s">
        <v>28</v>
      </c>
      <c r="DF738">
        <v>0</v>
      </c>
      <c r="DG738" t="s">
        <v>273</v>
      </c>
      <c r="DH738" s="43" t="s">
        <v>309</v>
      </c>
      <c r="DI738">
        <v>0</v>
      </c>
    </row>
    <row r="739" spans="107:113" x14ac:dyDescent="0.25">
      <c r="DC739" s="43" t="s">
        <v>104</v>
      </c>
      <c r="DD739" s="43" t="s">
        <v>60</v>
      </c>
      <c r="DE739" s="43" t="s">
        <v>28</v>
      </c>
      <c r="DF739">
        <v>0</v>
      </c>
      <c r="DG739" t="s">
        <v>273</v>
      </c>
      <c r="DH739" s="43" t="s">
        <v>268</v>
      </c>
      <c r="DI739">
        <v>0</v>
      </c>
    </row>
    <row r="740" spans="107:113" x14ac:dyDescent="0.25">
      <c r="DC740" s="43" t="s">
        <v>129</v>
      </c>
      <c r="DD740" s="43" t="s">
        <v>60</v>
      </c>
      <c r="DE740" s="43" t="s">
        <v>72</v>
      </c>
      <c r="DF740">
        <v>0</v>
      </c>
      <c r="DG740" t="s">
        <v>317</v>
      </c>
      <c r="DH740" s="43" t="s">
        <v>308</v>
      </c>
      <c r="DI740">
        <v>0</v>
      </c>
    </row>
    <row r="741" spans="107:113" x14ac:dyDescent="0.25">
      <c r="DC741" s="43" t="s">
        <v>129</v>
      </c>
      <c r="DD741" s="43" t="s">
        <v>60</v>
      </c>
      <c r="DE741" s="43" t="s">
        <v>72</v>
      </c>
      <c r="DF741">
        <v>0</v>
      </c>
      <c r="DG741" t="s">
        <v>317</v>
      </c>
      <c r="DH741" s="43" t="s">
        <v>309</v>
      </c>
      <c r="DI741">
        <v>0</v>
      </c>
    </row>
    <row r="742" spans="107:113" x14ac:dyDescent="0.25">
      <c r="DC742" s="43" t="s">
        <v>129</v>
      </c>
      <c r="DD742" s="43" t="s">
        <v>60</v>
      </c>
      <c r="DE742" s="43" t="s">
        <v>72</v>
      </c>
      <c r="DF742">
        <v>0</v>
      </c>
      <c r="DG742" t="s">
        <v>317</v>
      </c>
      <c r="DH742" s="43" t="s">
        <v>268</v>
      </c>
      <c r="DI742">
        <v>0</v>
      </c>
    </row>
    <row r="743" spans="107:113" x14ac:dyDescent="0.25">
      <c r="DC743" s="43" t="s">
        <v>129</v>
      </c>
      <c r="DD743" s="43" t="s">
        <v>60</v>
      </c>
      <c r="DE743" s="43" t="s">
        <v>72</v>
      </c>
      <c r="DF743">
        <v>0</v>
      </c>
      <c r="DG743" t="s">
        <v>325</v>
      </c>
      <c r="DH743" s="43" t="s">
        <v>308</v>
      </c>
      <c r="DI743">
        <v>0</v>
      </c>
    </row>
    <row r="744" spans="107:113" x14ac:dyDescent="0.25">
      <c r="DC744" s="43" t="s">
        <v>129</v>
      </c>
      <c r="DD744" s="43" t="s">
        <v>60</v>
      </c>
      <c r="DE744" s="43" t="s">
        <v>72</v>
      </c>
      <c r="DF744">
        <v>0</v>
      </c>
      <c r="DG744" t="s">
        <v>325</v>
      </c>
      <c r="DH744" s="43" t="s">
        <v>309</v>
      </c>
      <c r="DI744">
        <v>0</v>
      </c>
    </row>
    <row r="745" spans="107:113" x14ac:dyDescent="0.25">
      <c r="DC745" s="43" t="s">
        <v>129</v>
      </c>
      <c r="DD745" s="43" t="s">
        <v>60</v>
      </c>
      <c r="DE745" s="43" t="s">
        <v>72</v>
      </c>
      <c r="DF745">
        <v>0</v>
      </c>
      <c r="DG745" t="s">
        <v>325</v>
      </c>
      <c r="DH745" s="43" t="s">
        <v>268</v>
      </c>
      <c r="DI745">
        <v>0</v>
      </c>
    </row>
    <row r="746" spans="107:113" x14ac:dyDescent="0.25">
      <c r="DC746" s="43" t="s">
        <v>129</v>
      </c>
      <c r="DD746" s="43" t="s">
        <v>60</v>
      </c>
      <c r="DE746" s="43" t="s">
        <v>72</v>
      </c>
      <c r="DF746">
        <v>0</v>
      </c>
      <c r="DG746" t="s">
        <v>330</v>
      </c>
      <c r="DH746" s="43" t="s">
        <v>308</v>
      </c>
      <c r="DI746">
        <v>9.9</v>
      </c>
    </row>
    <row r="747" spans="107:113" x14ac:dyDescent="0.25">
      <c r="DC747" s="43" t="s">
        <v>129</v>
      </c>
      <c r="DD747" s="43" t="s">
        <v>60</v>
      </c>
      <c r="DE747" s="43" t="s">
        <v>72</v>
      </c>
      <c r="DF747">
        <v>0</v>
      </c>
      <c r="DG747" t="s">
        <v>330</v>
      </c>
      <c r="DH747" s="43" t="s">
        <v>309</v>
      </c>
      <c r="DI747">
        <v>24.150000000000002</v>
      </c>
    </row>
    <row r="748" spans="107:113" x14ac:dyDescent="0.25">
      <c r="DC748" s="43" t="s">
        <v>129</v>
      </c>
      <c r="DD748" s="43" t="s">
        <v>60</v>
      </c>
      <c r="DE748" s="43" t="s">
        <v>72</v>
      </c>
      <c r="DF748">
        <v>0</v>
      </c>
      <c r="DG748" t="s">
        <v>330</v>
      </c>
      <c r="DH748" s="43" t="s">
        <v>268</v>
      </c>
      <c r="DI748">
        <v>34.049999999999997</v>
      </c>
    </row>
    <row r="749" spans="107:113" x14ac:dyDescent="0.25">
      <c r="DC749" s="43" t="s">
        <v>129</v>
      </c>
      <c r="DD749" s="43" t="s">
        <v>60</v>
      </c>
      <c r="DE749" s="43" t="s">
        <v>72</v>
      </c>
      <c r="DF749">
        <v>0</v>
      </c>
      <c r="DG749" t="s">
        <v>331</v>
      </c>
      <c r="DH749" s="43" t="s">
        <v>308</v>
      </c>
      <c r="DI749">
        <v>0</v>
      </c>
    </row>
    <row r="750" spans="107:113" x14ac:dyDescent="0.25">
      <c r="DC750" s="43" t="s">
        <v>129</v>
      </c>
      <c r="DD750" s="43" t="s">
        <v>60</v>
      </c>
      <c r="DE750" s="43" t="s">
        <v>72</v>
      </c>
      <c r="DF750">
        <v>0</v>
      </c>
      <c r="DG750" t="s">
        <v>331</v>
      </c>
      <c r="DH750" s="43" t="s">
        <v>309</v>
      </c>
      <c r="DI750">
        <v>0</v>
      </c>
    </row>
    <row r="751" spans="107:113" x14ac:dyDescent="0.25">
      <c r="DC751" s="43" t="s">
        <v>129</v>
      </c>
      <c r="DD751" s="43" t="s">
        <v>60</v>
      </c>
      <c r="DE751" s="43" t="s">
        <v>72</v>
      </c>
      <c r="DF751">
        <v>0</v>
      </c>
      <c r="DG751" t="s">
        <v>331</v>
      </c>
      <c r="DH751" s="43" t="s">
        <v>268</v>
      </c>
      <c r="DI751">
        <v>0</v>
      </c>
    </row>
    <row r="752" spans="107:113" x14ac:dyDescent="0.25">
      <c r="DC752" s="43" t="s">
        <v>129</v>
      </c>
      <c r="DD752" s="43" t="s">
        <v>60</v>
      </c>
      <c r="DE752" s="43" t="s">
        <v>72</v>
      </c>
      <c r="DF752">
        <v>0</v>
      </c>
      <c r="DG752" t="s">
        <v>341</v>
      </c>
      <c r="DH752" s="43" t="s">
        <v>308</v>
      </c>
      <c r="DI752">
        <v>0</v>
      </c>
    </row>
    <row r="753" spans="107:113" x14ac:dyDescent="0.25">
      <c r="DC753" s="43" t="s">
        <v>129</v>
      </c>
      <c r="DD753" s="43" t="s">
        <v>60</v>
      </c>
      <c r="DE753" s="43" t="s">
        <v>72</v>
      </c>
      <c r="DF753">
        <v>0</v>
      </c>
      <c r="DG753" t="s">
        <v>341</v>
      </c>
      <c r="DH753" s="43" t="s">
        <v>309</v>
      </c>
      <c r="DI753">
        <v>0</v>
      </c>
    </row>
    <row r="754" spans="107:113" x14ac:dyDescent="0.25">
      <c r="DC754" s="43" t="s">
        <v>129</v>
      </c>
      <c r="DD754" s="43" t="s">
        <v>60</v>
      </c>
      <c r="DE754" s="43" t="s">
        <v>72</v>
      </c>
      <c r="DF754">
        <v>0</v>
      </c>
      <c r="DG754" t="s">
        <v>341</v>
      </c>
      <c r="DH754" s="43" t="s">
        <v>268</v>
      </c>
      <c r="DI754">
        <v>0</v>
      </c>
    </row>
    <row r="755" spans="107:113" x14ac:dyDescent="0.25">
      <c r="DC755" s="43" t="s">
        <v>129</v>
      </c>
      <c r="DD755" s="43" t="s">
        <v>60</v>
      </c>
      <c r="DE755" s="43" t="s">
        <v>72</v>
      </c>
      <c r="DF755">
        <v>0</v>
      </c>
      <c r="DG755" t="s">
        <v>273</v>
      </c>
      <c r="DH755" s="43" t="s">
        <v>308</v>
      </c>
      <c r="DI755">
        <v>0</v>
      </c>
    </row>
    <row r="756" spans="107:113" x14ac:dyDescent="0.25">
      <c r="DC756" s="43" t="s">
        <v>129</v>
      </c>
      <c r="DD756" s="43" t="s">
        <v>60</v>
      </c>
      <c r="DE756" s="43" t="s">
        <v>72</v>
      </c>
      <c r="DF756">
        <v>0</v>
      </c>
      <c r="DG756" t="s">
        <v>273</v>
      </c>
      <c r="DH756" s="43" t="s">
        <v>309</v>
      </c>
      <c r="DI756">
        <v>0</v>
      </c>
    </row>
    <row r="757" spans="107:113" x14ac:dyDescent="0.25">
      <c r="DC757" s="43" t="s">
        <v>129</v>
      </c>
      <c r="DD757" s="43" t="s">
        <v>60</v>
      </c>
      <c r="DE757" s="43" t="s">
        <v>72</v>
      </c>
      <c r="DF757">
        <v>0</v>
      </c>
      <c r="DG757" t="s">
        <v>273</v>
      </c>
      <c r="DH757" s="43" t="s">
        <v>268</v>
      </c>
      <c r="DI757">
        <v>0</v>
      </c>
    </row>
    <row r="758" spans="107:113" x14ac:dyDescent="0.25">
      <c r="DC758" s="43" t="s">
        <v>110</v>
      </c>
      <c r="DD758" s="43" t="s">
        <v>60</v>
      </c>
      <c r="DE758" s="43" t="s">
        <v>36</v>
      </c>
      <c r="DF758">
        <v>0</v>
      </c>
      <c r="DG758" t="s">
        <v>317</v>
      </c>
      <c r="DH758" s="43" t="s">
        <v>308</v>
      </c>
      <c r="DI758">
        <v>0</v>
      </c>
    </row>
    <row r="759" spans="107:113" x14ac:dyDescent="0.25">
      <c r="DC759" s="43" t="s">
        <v>110</v>
      </c>
      <c r="DD759" s="43" t="s">
        <v>60</v>
      </c>
      <c r="DE759" s="43" t="s">
        <v>36</v>
      </c>
      <c r="DF759">
        <v>0</v>
      </c>
      <c r="DG759" t="s">
        <v>317</v>
      </c>
      <c r="DH759" s="43" t="s">
        <v>309</v>
      </c>
      <c r="DI759">
        <v>0</v>
      </c>
    </row>
    <row r="760" spans="107:113" x14ac:dyDescent="0.25">
      <c r="DC760" s="43" t="s">
        <v>110</v>
      </c>
      <c r="DD760" s="43" t="s">
        <v>60</v>
      </c>
      <c r="DE760" s="43" t="s">
        <v>36</v>
      </c>
      <c r="DF760">
        <v>0</v>
      </c>
      <c r="DG760" t="s">
        <v>317</v>
      </c>
      <c r="DH760" s="43" t="s">
        <v>268</v>
      </c>
      <c r="DI760">
        <v>0</v>
      </c>
    </row>
    <row r="761" spans="107:113" x14ac:dyDescent="0.25">
      <c r="DC761" s="43" t="s">
        <v>110</v>
      </c>
      <c r="DD761" s="43" t="s">
        <v>60</v>
      </c>
      <c r="DE761" s="43" t="s">
        <v>36</v>
      </c>
      <c r="DF761">
        <v>0</v>
      </c>
      <c r="DG761" t="s">
        <v>325</v>
      </c>
      <c r="DH761" s="43" t="s">
        <v>308</v>
      </c>
      <c r="DI761">
        <v>3.1</v>
      </c>
    </row>
    <row r="762" spans="107:113" x14ac:dyDescent="0.25">
      <c r="DC762" s="43" t="s">
        <v>110</v>
      </c>
      <c r="DD762" s="43" t="s">
        <v>60</v>
      </c>
      <c r="DE762" s="43" t="s">
        <v>36</v>
      </c>
      <c r="DF762">
        <v>0</v>
      </c>
      <c r="DG762" t="s">
        <v>325</v>
      </c>
      <c r="DH762" s="43" t="s">
        <v>309</v>
      </c>
      <c r="DI762">
        <v>6</v>
      </c>
    </row>
    <row r="763" spans="107:113" x14ac:dyDescent="0.25">
      <c r="DC763" s="43" t="s">
        <v>110</v>
      </c>
      <c r="DD763" s="43" t="s">
        <v>60</v>
      </c>
      <c r="DE763" s="43" t="s">
        <v>36</v>
      </c>
      <c r="DF763">
        <v>0</v>
      </c>
      <c r="DG763" t="s">
        <v>325</v>
      </c>
      <c r="DH763" s="43" t="s">
        <v>268</v>
      </c>
      <c r="DI763">
        <v>9.1</v>
      </c>
    </row>
    <row r="764" spans="107:113" x14ac:dyDescent="0.25">
      <c r="DC764" s="43" t="s">
        <v>110</v>
      </c>
      <c r="DD764" s="43" t="s">
        <v>60</v>
      </c>
      <c r="DE764" s="43" t="s">
        <v>36</v>
      </c>
      <c r="DF764">
        <v>0</v>
      </c>
      <c r="DG764" t="s">
        <v>330</v>
      </c>
      <c r="DH764" s="43" t="s">
        <v>308</v>
      </c>
      <c r="DI764">
        <v>3.5</v>
      </c>
    </row>
    <row r="765" spans="107:113" x14ac:dyDescent="0.25">
      <c r="DC765" s="43" t="s">
        <v>110</v>
      </c>
      <c r="DD765" s="43" t="s">
        <v>60</v>
      </c>
      <c r="DE765" s="43" t="s">
        <v>36</v>
      </c>
      <c r="DF765">
        <v>0</v>
      </c>
      <c r="DG765" t="s">
        <v>330</v>
      </c>
      <c r="DH765" s="43" t="s">
        <v>309</v>
      </c>
      <c r="DI765">
        <v>5.6</v>
      </c>
    </row>
    <row r="766" spans="107:113" x14ac:dyDescent="0.25">
      <c r="DC766" s="43" t="s">
        <v>110</v>
      </c>
      <c r="DD766" s="43" t="s">
        <v>60</v>
      </c>
      <c r="DE766" s="43" t="s">
        <v>36</v>
      </c>
      <c r="DF766">
        <v>0</v>
      </c>
      <c r="DG766" t="s">
        <v>330</v>
      </c>
      <c r="DH766" s="43" t="s">
        <v>268</v>
      </c>
      <c r="DI766">
        <v>9.1</v>
      </c>
    </row>
    <row r="767" spans="107:113" x14ac:dyDescent="0.25">
      <c r="DC767" s="43" t="s">
        <v>110</v>
      </c>
      <c r="DD767" s="43" t="s">
        <v>60</v>
      </c>
      <c r="DE767" s="43" t="s">
        <v>36</v>
      </c>
      <c r="DF767">
        <v>0</v>
      </c>
      <c r="DG767" t="s">
        <v>331</v>
      </c>
      <c r="DH767" s="43" t="s">
        <v>308</v>
      </c>
      <c r="DI767">
        <v>0</v>
      </c>
    </row>
    <row r="768" spans="107:113" x14ac:dyDescent="0.25">
      <c r="DC768" s="43" t="s">
        <v>110</v>
      </c>
      <c r="DD768" s="43" t="s">
        <v>60</v>
      </c>
      <c r="DE768" s="43" t="s">
        <v>36</v>
      </c>
      <c r="DF768">
        <v>0</v>
      </c>
      <c r="DG768" t="s">
        <v>331</v>
      </c>
      <c r="DH768" s="43" t="s">
        <v>309</v>
      </c>
      <c r="DI768">
        <v>0</v>
      </c>
    </row>
    <row r="769" spans="107:113" x14ac:dyDescent="0.25">
      <c r="DC769" s="43" t="s">
        <v>110</v>
      </c>
      <c r="DD769" s="43" t="s">
        <v>60</v>
      </c>
      <c r="DE769" s="43" t="s">
        <v>36</v>
      </c>
      <c r="DF769">
        <v>0</v>
      </c>
      <c r="DG769" t="s">
        <v>331</v>
      </c>
      <c r="DH769" s="43" t="s">
        <v>268</v>
      </c>
      <c r="DI769">
        <v>0</v>
      </c>
    </row>
    <row r="770" spans="107:113" x14ac:dyDescent="0.25">
      <c r="DC770" s="43" t="s">
        <v>110</v>
      </c>
      <c r="DD770" s="43" t="s">
        <v>60</v>
      </c>
      <c r="DE770" s="43" t="s">
        <v>36</v>
      </c>
      <c r="DF770">
        <v>0</v>
      </c>
      <c r="DG770" t="s">
        <v>341</v>
      </c>
      <c r="DH770" s="43" t="s">
        <v>308</v>
      </c>
      <c r="DI770">
        <v>0</v>
      </c>
    </row>
    <row r="771" spans="107:113" x14ac:dyDescent="0.25">
      <c r="DC771" s="43" t="s">
        <v>110</v>
      </c>
      <c r="DD771" s="43" t="s">
        <v>60</v>
      </c>
      <c r="DE771" s="43" t="s">
        <v>36</v>
      </c>
      <c r="DF771">
        <v>0</v>
      </c>
      <c r="DG771" t="s">
        <v>341</v>
      </c>
      <c r="DH771" s="43" t="s">
        <v>309</v>
      </c>
      <c r="DI771">
        <v>0</v>
      </c>
    </row>
    <row r="772" spans="107:113" x14ac:dyDescent="0.25">
      <c r="DC772" s="43" t="s">
        <v>110</v>
      </c>
      <c r="DD772" s="43" t="s">
        <v>60</v>
      </c>
      <c r="DE772" s="43" t="s">
        <v>36</v>
      </c>
      <c r="DF772">
        <v>0</v>
      </c>
      <c r="DG772" t="s">
        <v>341</v>
      </c>
      <c r="DH772" s="43" t="s">
        <v>268</v>
      </c>
      <c r="DI772">
        <v>0</v>
      </c>
    </row>
    <row r="773" spans="107:113" x14ac:dyDescent="0.25">
      <c r="DC773" s="43" t="s">
        <v>110</v>
      </c>
      <c r="DD773" s="43" t="s">
        <v>60</v>
      </c>
      <c r="DE773" s="43" t="s">
        <v>36</v>
      </c>
      <c r="DF773">
        <v>0</v>
      </c>
      <c r="DG773" t="s">
        <v>273</v>
      </c>
      <c r="DH773" s="43" t="s">
        <v>308</v>
      </c>
      <c r="DI773">
        <v>0</v>
      </c>
    </row>
    <row r="774" spans="107:113" x14ac:dyDescent="0.25">
      <c r="DC774" s="43" t="s">
        <v>110</v>
      </c>
      <c r="DD774" s="43" t="s">
        <v>60</v>
      </c>
      <c r="DE774" s="43" t="s">
        <v>36</v>
      </c>
      <c r="DF774">
        <v>0</v>
      </c>
      <c r="DG774" t="s">
        <v>273</v>
      </c>
      <c r="DH774" s="43" t="s">
        <v>309</v>
      </c>
      <c r="DI774">
        <v>0</v>
      </c>
    </row>
    <row r="775" spans="107:113" x14ac:dyDescent="0.25">
      <c r="DC775" s="43" t="s">
        <v>110</v>
      </c>
      <c r="DD775" s="43" t="s">
        <v>60</v>
      </c>
      <c r="DE775" s="43" t="s">
        <v>36</v>
      </c>
      <c r="DF775">
        <v>0</v>
      </c>
      <c r="DG775" t="s">
        <v>273</v>
      </c>
      <c r="DH775" s="43" t="s">
        <v>268</v>
      </c>
      <c r="DI775">
        <v>0</v>
      </c>
    </row>
    <row r="776" spans="107:113" x14ac:dyDescent="0.25">
      <c r="DC776" s="43" t="s">
        <v>102</v>
      </c>
      <c r="DD776" s="43" t="s">
        <v>60</v>
      </c>
      <c r="DE776" s="43" t="s">
        <v>31</v>
      </c>
      <c r="DF776">
        <v>0</v>
      </c>
      <c r="DG776" t="s">
        <v>317</v>
      </c>
      <c r="DH776" s="43" t="s">
        <v>308</v>
      </c>
      <c r="DI776">
        <v>0</v>
      </c>
    </row>
    <row r="777" spans="107:113" x14ac:dyDescent="0.25">
      <c r="DC777" s="43" t="s">
        <v>102</v>
      </c>
      <c r="DD777" s="43" t="s">
        <v>60</v>
      </c>
      <c r="DE777" s="43" t="s">
        <v>31</v>
      </c>
      <c r="DF777">
        <v>0</v>
      </c>
      <c r="DG777" t="s">
        <v>317</v>
      </c>
      <c r="DH777" s="43" t="s">
        <v>309</v>
      </c>
      <c r="DI777">
        <v>0</v>
      </c>
    </row>
    <row r="778" spans="107:113" x14ac:dyDescent="0.25">
      <c r="DC778" s="43" t="s">
        <v>102</v>
      </c>
      <c r="DD778" s="43" t="s">
        <v>60</v>
      </c>
      <c r="DE778" s="43" t="s">
        <v>31</v>
      </c>
      <c r="DF778">
        <v>0</v>
      </c>
      <c r="DG778" t="s">
        <v>317</v>
      </c>
      <c r="DH778" s="43" t="s">
        <v>268</v>
      </c>
      <c r="DI778">
        <v>0</v>
      </c>
    </row>
    <row r="779" spans="107:113" x14ac:dyDescent="0.25">
      <c r="DC779" s="43" t="s">
        <v>102</v>
      </c>
      <c r="DD779" s="43" t="s">
        <v>60</v>
      </c>
      <c r="DE779" s="43" t="s">
        <v>31</v>
      </c>
      <c r="DF779">
        <v>0</v>
      </c>
      <c r="DG779" t="s">
        <v>325</v>
      </c>
      <c r="DH779" s="43" t="s">
        <v>308</v>
      </c>
      <c r="DI779">
        <v>7.2</v>
      </c>
    </row>
    <row r="780" spans="107:113" x14ac:dyDescent="0.25">
      <c r="DC780" s="43" t="s">
        <v>102</v>
      </c>
      <c r="DD780" s="43" t="s">
        <v>60</v>
      </c>
      <c r="DE780" s="43" t="s">
        <v>31</v>
      </c>
      <c r="DF780">
        <v>0</v>
      </c>
      <c r="DG780" t="s">
        <v>325</v>
      </c>
      <c r="DH780" s="43" t="s">
        <v>309</v>
      </c>
      <c r="DI780">
        <v>15.75</v>
      </c>
    </row>
    <row r="781" spans="107:113" x14ac:dyDescent="0.25">
      <c r="DC781" s="43" t="s">
        <v>102</v>
      </c>
      <c r="DD781" s="43" t="s">
        <v>60</v>
      </c>
      <c r="DE781" s="43" t="s">
        <v>31</v>
      </c>
      <c r="DF781">
        <v>0</v>
      </c>
      <c r="DG781" t="s">
        <v>325</v>
      </c>
      <c r="DH781" s="43" t="s">
        <v>268</v>
      </c>
      <c r="DI781">
        <v>22.95</v>
      </c>
    </row>
    <row r="782" spans="107:113" x14ac:dyDescent="0.25">
      <c r="DC782" s="43" t="s">
        <v>102</v>
      </c>
      <c r="DD782" s="43" t="s">
        <v>60</v>
      </c>
      <c r="DE782" s="43" t="s">
        <v>31</v>
      </c>
      <c r="DF782">
        <v>0</v>
      </c>
      <c r="DG782" t="s">
        <v>330</v>
      </c>
      <c r="DH782" s="43" t="s">
        <v>308</v>
      </c>
      <c r="DI782">
        <v>0</v>
      </c>
    </row>
    <row r="783" spans="107:113" x14ac:dyDescent="0.25">
      <c r="DC783" s="43" t="s">
        <v>102</v>
      </c>
      <c r="DD783" s="43" t="s">
        <v>60</v>
      </c>
      <c r="DE783" s="43" t="s">
        <v>31</v>
      </c>
      <c r="DF783">
        <v>0</v>
      </c>
      <c r="DG783" t="s">
        <v>330</v>
      </c>
      <c r="DH783" s="43" t="s">
        <v>309</v>
      </c>
      <c r="DI783">
        <v>0</v>
      </c>
    </row>
    <row r="784" spans="107:113" x14ac:dyDescent="0.25">
      <c r="DC784" s="43" t="s">
        <v>102</v>
      </c>
      <c r="DD784" s="43" t="s">
        <v>60</v>
      </c>
      <c r="DE784" s="43" t="s">
        <v>31</v>
      </c>
      <c r="DF784">
        <v>0</v>
      </c>
      <c r="DG784" t="s">
        <v>330</v>
      </c>
      <c r="DH784" s="43" t="s">
        <v>268</v>
      </c>
      <c r="DI784">
        <v>0</v>
      </c>
    </row>
    <row r="785" spans="107:113" x14ac:dyDescent="0.25">
      <c r="DC785" s="43" t="s">
        <v>102</v>
      </c>
      <c r="DD785" s="43" t="s">
        <v>60</v>
      </c>
      <c r="DE785" s="43" t="s">
        <v>31</v>
      </c>
      <c r="DF785">
        <v>0</v>
      </c>
      <c r="DG785" t="s">
        <v>331</v>
      </c>
      <c r="DH785" s="43" t="s">
        <v>308</v>
      </c>
      <c r="DI785">
        <v>0</v>
      </c>
    </row>
    <row r="786" spans="107:113" x14ac:dyDescent="0.25">
      <c r="DC786" s="43" t="s">
        <v>102</v>
      </c>
      <c r="DD786" s="43" t="s">
        <v>60</v>
      </c>
      <c r="DE786" s="43" t="s">
        <v>31</v>
      </c>
      <c r="DF786">
        <v>0</v>
      </c>
      <c r="DG786" t="s">
        <v>331</v>
      </c>
      <c r="DH786" s="43" t="s">
        <v>309</v>
      </c>
      <c r="DI786">
        <v>0</v>
      </c>
    </row>
    <row r="787" spans="107:113" x14ac:dyDescent="0.25">
      <c r="DC787" s="43" t="s">
        <v>102</v>
      </c>
      <c r="DD787" s="43" t="s">
        <v>60</v>
      </c>
      <c r="DE787" s="43" t="s">
        <v>31</v>
      </c>
      <c r="DF787">
        <v>0</v>
      </c>
      <c r="DG787" t="s">
        <v>331</v>
      </c>
      <c r="DH787" s="43" t="s">
        <v>268</v>
      </c>
      <c r="DI787">
        <v>0</v>
      </c>
    </row>
    <row r="788" spans="107:113" x14ac:dyDescent="0.25">
      <c r="DC788" s="43" t="s">
        <v>102</v>
      </c>
      <c r="DD788" s="43" t="s">
        <v>60</v>
      </c>
      <c r="DE788" s="43" t="s">
        <v>31</v>
      </c>
      <c r="DF788">
        <v>0</v>
      </c>
      <c r="DG788" t="s">
        <v>341</v>
      </c>
      <c r="DH788" s="43" t="s">
        <v>308</v>
      </c>
      <c r="DI788">
        <v>0</v>
      </c>
    </row>
    <row r="789" spans="107:113" x14ac:dyDescent="0.25">
      <c r="DC789" s="43" t="s">
        <v>102</v>
      </c>
      <c r="DD789" s="43" t="s">
        <v>60</v>
      </c>
      <c r="DE789" s="43" t="s">
        <v>31</v>
      </c>
      <c r="DF789">
        <v>0</v>
      </c>
      <c r="DG789" t="s">
        <v>341</v>
      </c>
      <c r="DH789" s="43" t="s">
        <v>309</v>
      </c>
      <c r="DI789">
        <v>0</v>
      </c>
    </row>
    <row r="790" spans="107:113" x14ac:dyDescent="0.25">
      <c r="DC790" s="43" t="s">
        <v>102</v>
      </c>
      <c r="DD790" s="43" t="s">
        <v>60</v>
      </c>
      <c r="DE790" s="43" t="s">
        <v>31</v>
      </c>
      <c r="DF790">
        <v>0</v>
      </c>
      <c r="DG790" t="s">
        <v>341</v>
      </c>
      <c r="DH790" s="43" t="s">
        <v>268</v>
      </c>
      <c r="DI790">
        <v>0</v>
      </c>
    </row>
    <row r="791" spans="107:113" x14ac:dyDescent="0.25">
      <c r="DC791" s="43" t="s">
        <v>102</v>
      </c>
      <c r="DD791" s="43" t="s">
        <v>60</v>
      </c>
      <c r="DE791" s="43" t="s">
        <v>31</v>
      </c>
      <c r="DF791">
        <v>0</v>
      </c>
      <c r="DG791" t="s">
        <v>273</v>
      </c>
      <c r="DH791" s="43" t="s">
        <v>308</v>
      </c>
      <c r="DI791">
        <v>0</v>
      </c>
    </row>
    <row r="792" spans="107:113" x14ac:dyDescent="0.25">
      <c r="DC792" s="43" t="s">
        <v>102</v>
      </c>
      <c r="DD792" s="43" t="s">
        <v>60</v>
      </c>
      <c r="DE792" s="43" t="s">
        <v>31</v>
      </c>
      <c r="DF792">
        <v>0</v>
      </c>
      <c r="DG792" t="s">
        <v>273</v>
      </c>
      <c r="DH792" s="43" t="s">
        <v>309</v>
      </c>
      <c r="DI792">
        <v>0</v>
      </c>
    </row>
    <row r="793" spans="107:113" x14ac:dyDescent="0.25">
      <c r="DC793" s="43" t="s">
        <v>102</v>
      </c>
      <c r="DD793" s="43" t="s">
        <v>60</v>
      </c>
      <c r="DE793" s="43" t="s">
        <v>31</v>
      </c>
      <c r="DF793">
        <v>0</v>
      </c>
      <c r="DG793" t="s">
        <v>273</v>
      </c>
      <c r="DH793" s="43" t="s">
        <v>268</v>
      </c>
      <c r="DI793">
        <v>0</v>
      </c>
    </row>
    <row r="794" spans="107:113" x14ac:dyDescent="0.25">
      <c r="DC794" s="43" t="s">
        <v>114</v>
      </c>
      <c r="DD794" s="43" t="s">
        <v>26</v>
      </c>
      <c r="DE794" s="43" t="s">
        <v>36</v>
      </c>
      <c r="DF794">
        <v>0</v>
      </c>
      <c r="DG794" t="s">
        <v>317</v>
      </c>
      <c r="DH794" s="43" t="s">
        <v>308</v>
      </c>
      <c r="DI794">
        <v>9.2000000000000011</v>
      </c>
    </row>
    <row r="795" spans="107:113" x14ac:dyDescent="0.25">
      <c r="DC795" s="43" t="s">
        <v>114</v>
      </c>
      <c r="DD795" s="43" t="s">
        <v>26</v>
      </c>
      <c r="DE795" s="43" t="s">
        <v>36</v>
      </c>
      <c r="DF795">
        <v>0</v>
      </c>
      <c r="DG795" t="s">
        <v>317</v>
      </c>
      <c r="DH795" s="43" t="s">
        <v>309</v>
      </c>
      <c r="DI795">
        <v>29.8</v>
      </c>
    </row>
    <row r="796" spans="107:113" x14ac:dyDescent="0.25">
      <c r="DC796" s="43" t="s">
        <v>114</v>
      </c>
      <c r="DD796" s="43" t="s">
        <v>26</v>
      </c>
      <c r="DE796" s="43" t="s">
        <v>36</v>
      </c>
      <c r="DF796">
        <v>0</v>
      </c>
      <c r="DG796" t="s">
        <v>317</v>
      </c>
      <c r="DH796" s="43" t="s">
        <v>268</v>
      </c>
      <c r="DI796">
        <v>39</v>
      </c>
    </row>
    <row r="797" spans="107:113" x14ac:dyDescent="0.25">
      <c r="DC797" s="43" t="s">
        <v>114</v>
      </c>
      <c r="DD797" s="43" t="s">
        <v>26</v>
      </c>
      <c r="DE797" s="43" t="s">
        <v>36</v>
      </c>
      <c r="DF797">
        <v>0</v>
      </c>
      <c r="DG797" t="s">
        <v>325</v>
      </c>
      <c r="DH797" s="43" t="s">
        <v>308</v>
      </c>
      <c r="DI797">
        <v>0</v>
      </c>
    </row>
    <row r="798" spans="107:113" x14ac:dyDescent="0.25">
      <c r="DC798" s="43" t="s">
        <v>114</v>
      </c>
      <c r="DD798" s="43" t="s">
        <v>26</v>
      </c>
      <c r="DE798" s="43" t="s">
        <v>36</v>
      </c>
      <c r="DF798">
        <v>0</v>
      </c>
      <c r="DG798" t="s">
        <v>325</v>
      </c>
      <c r="DH798" s="43" t="s">
        <v>309</v>
      </c>
      <c r="DI798">
        <v>0</v>
      </c>
    </row>
    <row r="799" spans="107:113" x14ac:dyDescent="0.25">
      <c r="DC799" s="43" t="s">
        <v>114</v>
      </c>
      <c r="DD799" s="43" t="s">
        <v>26</v>
      </c>
      <c r="DE799" s="43" t="s">
        <v>36</v>
      </c>
      <c r="DF799">
        <v>0</v>
      </c>
      <c r="DG799" t="s">
        <v>325</v>
      </c>
      <c r="DH799" s="43" t="s">
        <v>268</v>
      </c>
      <c r="DI799">
        <v>0</v>
      </c>
    </row>
    <row r="800" spans="107:113" x14ac:dyDescent="0.25">
      <c r="DC800" s="43" t="s">
        <v>114</v>
      </c>
      <c r="DD800" s="43" t="s">
        <v>26</v>
      </c>
      <c r="DE800" s="43" t="s">
        <v>36</v>
      </c>
      <c r="DF800">
        <v>0</v>
      </c>
      <c r="DG800" t="s">
        <v>330</v>
      </c>
      <c r="DH800" s="43" t="s">
        <v>308</v>
      </c>
      <c r="DI800">
        <v>10.100000000000001</v>
      </c>
    </row>
    <row r="801" spans="107:113" x14ac:dyDescent="0.25">
      <c r="DC801" s="43" t="s">
        <v>114</v>
      </c>
      <c r="DD801" s="43" t="s">
        <v>26</v>
      </c>
      <c r="DE801" s="43" t="s">
        <v>36</v>
      </c>
      <c r="DF801">
        <v>0</v>
      </c>
      <c r="DG801" t="s">
        <v>330</v>
      </c>
      <c r="DH801" s="43" t="s">
        <v>309</v>
      </c>
      <c r="DI801">
        <v>41.099999999999994</v>
      </c>
    </row>
    <row r="802" spans="107:113" x14ac:dyDescent="0.25">
      <c r="DC802" s="43" t="s">
        <v>114</v>
      </c>
      <c r="DD802" s="43" t="s">
        <v>26</v>
      </c>
      <c r="DE802" s="43" t="s">
        <v>36</v>
      </c>
      <c r="DF802">
        <v>0</v>
      </c>
      <c r="DG802" t="s">
        <v>330</v>
      </c>
      <c r="DH802" s="43" t="s">
        <v>268</v>
      </c>
      <c r="DI802">
        <v>51.2</v>
      </c>
    </row>
    <row r="803" spans="107:113" x14ac:dyDescent="0.25">
      <c r="DC803" s="43" t="s">
        <v>114</v>
      </c>
      <c r="DD803" s="43" t="s">
        <v>26</v>
      </c>
      <c r="DE803" s="43" t="s">
        <v>36</v>
      </c>
      <c r="DF803">
        <v>0</v>
      </c>
      <c r="DG803" t="s">
        <v>331</v>
      </c>
      <c r="DH803" s="43" t="s">
        <v>308</v>
      </c>
      <c r="DI803">
        <v>11.8</v>
      </c>
    </row>
    <row r="804" spans="107:113" x14ac:dyDescent="0.25">
      <c r="DC804" s="43" t="s">
        <v>114</v>
      </c>
      <c r="DD804" s="43" t="s">
        <v>26</v>
      </c>
      <c r="DE804" s="43" t="s">
        <v>36</v>
      </c>
      <c r="DF804">
        <v>0</v>
      </c>
      <c r="DG804" t="s">
        <v>331</v>
      </c>
      <c r="DH804" s="43" t="s">
        <v>309</v>
      </c>
      <c r="DI804">
        <v>39</v>
      </c>
    </row>
    <row r="805" spans="107:113" x14ac:dyDescent="0.25">
      <c r="DC805" s="43" t="s">
        <v>114</v>
      </c>
      <c r="DD805" s="43" t="s">
        <v>26</v>
      </c>
      <c r="DE805" s="43" t="s">
        <v>36</v>
      </c>
      <c r="DF805">
        <v>0</v>
      </c>
      <c r="DG805" t="s">
        <v>331</v>
      </c>
      <c r="DH805" s="43" t="s">
        <v>268</v>
      </c>
      <c r="DI805">
        <v>50.800000000000004</v>
      </c>
    </row>
    <row r="806" spans="107:113" x14ac:dyDescent="0.25">
      <c r="DC806" s="43" t="s">
        <v>114</v>
      </c>
      <c r="DD806" s="43" t="s">
        <v>26</v>
      </c>
      <c r="DE806" s="43" t="s">
        <v>36</v>
      </c>
      <c r="DF806">
        <v>0</v>
      </c>
      <c r="DG806" t="s">
        <v>341</v>
      </c>
      <c r="DH806" s="43" t="s">
        <v>308</v>
      </c>
      <c r="DI806">
        <v>0</v>
      </c>
    </row>
    <row r="807" spans="107:113" x14ac:dyDescent="0.25">
      <c r="DC807" s="43" t="s">
        <v>114</v>
      </c>
      <c r="DD807" s="43" t="s">
        <v>26</v>
      </c>
      <c r="DE807" s="43" t="s">
        <v>36</v>
      </c>
      <c r="DF807">
        <v>0</v>
      </c>
      <c r="DG807" t="s">
        <v>341</v>
      </c>
      <c r="DH807" s="43" t="s">
        <v>309</v>
      </c>
      <c r="DI807">
        <v>0</v>
      </c>
    </row>
    <row r="808" spans="107:113" x14ac:dyDescent="0.25">
      <c r="DC808" s="43" t="s">
        <v>114</v>
      </c>
      <c r="DD808" s="43" t="s">
        <v>26</v>
      </c>
      <c r="DE808" s="43" t="s">
        <v>36</v>
      </c>
      <c r="DF808">
        <v>0</v>
      </c>
      <c r="DG808" t="s">
        <v>341</v>
      </c>
      <c r="DH808" s="43" t="s">
        <v>268</v>
      </c>
      <c r="DI808">
        <v>0</v>
      </c>
    </row>
    <row r="809" spans="107:113" x14ac:dyDescent="0.25">
      <c r="DC809" s="43" t="s">
        <v>114</v>
      </c>
      <c r="DD809" s="43" t="s">
        <v>26</v>
      </c>
      <c r="DE809" s="43" t="s">
        <v>36</v>
      </c>
      <c r="DF809">
        <v>0</v>
      </c>
      <c r="DG809" t="s">
        <v>273</v>
      </c>
      <c r="DH809" s="43" t="s">
        <v>308</v>
      </c>
      <c r="DI809">
        <v>0</v>
      </c>
    </row>
    <row r="810" spans="107:113" x14ac:dyDescent="0.25">
      <c r="DC810" s="43" t="s">
        <v>114</v>
      </c>
      <c r="DD810" s="43" t="s">
        <v>26</v>
      </c>
      <c r="DE810" s="43" t="s">
        <v>36</v>
      </c>
      <c r="DF810">
        <v>0</v>
      </c>
      <c r="DG810" t="s">
        <v>273</v>
      </c>
      <c r="DH810" s="43" t="s">
        <v>309</v>
      </c>
      <c r="DI810">
        <v>0</v>
      </c>
    </row>
    <row r="811" spans="107:113" x14ac:dyDescent="0.25">
      <c r="DC811" s="43" t="s">
        <v>114</v>
      </c>
      <c r="DD811" s="43" t="s">
        <v>26</v>
      </c>
      <c r="DE811" s="43" t="s">
        <v>36</v>
      </c>
      <c r="DF811">
        <v>0</v>
      </c>
      <c r="DG811" t="s">
        <v>273</v>
      </c>
      <c r="DH811" s="43" t="s">
        <v>268</v>
      </c>
      <c r="DI811">
        <v>0</v>
      </c>
    </row>
    <row r="812" spans="107:113" x14ac:dyDescent="0.25">
      <c r="DC812" s="43" t="s">
        <v>52</v>
      </c>
      <c r="DD812" s="43" t="s">
        <v>26</v>
      </c>
      <c r="DE812" s="43" t="s">
        <v>36</v>
      </c>
      <c r="DF812">
        <v>0</v>
      </c>
      <c r="DG812" t="s">
        <v>317</v>
      </c>
      <c r="DH812" s="43" t="s">
        <v>308</v>
      </c>
      <c r="DI812">
        <v>7.6</v>
      </c>
    </row>
    <row r="813" spans="107:113" x14ac:dyDescent="0.25">
      <c r="DC813" s="43" t="s">
        <v>52</v>
      </c>
      <c r="DD813" s="43" t="s">
        <v>26</v>
      </c>
      <c r="DE813" s="43" t="s">
        <v>36</v>
      </c>
      <c r="DF813">
        <v>0</v>
      </c>
      <c r="DG813" t="s">
        <v>317</v>
      </c>
      <c r="DH813" s="43" t="s">
        <v>309</v>
      </c>
      <c r="DI813">
        <v>20.95</v>
      </c>
    </row>
    <row r="814" spans="107:113" x14ac:dyDescent="0.25">
      <c r="DC814" s="43" t="s">
        <v>52</v>
      </c>
      <c r="DD814" s="43" t="s">
        <v>26</v>
      </c>
      <c r="DE814" s="43" t="s">
        <v>36</v>
      </c>
      <c r="DF814">
        <v>0</v>
      </c>
      <c r="DG814" t="s">
        <v>317</v>
      </c>
      <c r="DH814" s="43" t="s">
        <v>268</v>
      </c>
      <c r="DI814">
        <v>28.549999999999997</v>
      </c>
    </row>
    <row r="815" spans="107:113" x14ac:dyDescent="0.25">
      <c r="DC815" s="43" t="s">
        <v>52</v>
      </c>
      <c r="DD815" s="43" t="s">
        <v>26</v>
      </c>
      <c r="DE815" s="43" t="s">
        <v>36</v>
      </c>
      <c r="DF815">
        <v>0</v>
      </c>
      <c r="DG815" t="s">
        <v>325</v>
      </c>
      <c r="DH815" s="43" t="s">
        <v>308</v>
      </c>
      <c r="DI815">
        <v>5.3000000000000007</v>
      </c>
    </row>
    <row r="816" spans="107:113" x14ac:dyDescent="0.25">
      <c r="DC816" s="43" t="s">
        <v>52</v>
      </c>
      <c r="DD816" s="43" t="s">
        <v>26</v>
      </c>
      <c r="DE816" s="43" t="s">
        <v>36</v>
      </c>
      <c r="DF816">
        <v>0</v>
      </c>
      <c r="DG816" t="s">
        <v>325</v>
      </c>
      <c r="DH816" s="43" t="s">
        <v>309</v>
      </c>
      <c r="DI816">
        <v>14.5</v>
      </c>
    </row>
    <row r="817" spans="107:113" x14ac:dyDescent="0.25">
      <c r="DC817" s="43" t="s">
        <v>52</v>
      </c>
      <c r="DD817" s="43" t="s">
        <v>26</v>
      </c>
      <c r="DE817" s="43" t="s">
        <v>36</v>
      </c>
      <c r="DF817">
        <v>0</v>
      </c>
      <c r="DG817" t="s">
        <v>325</v>
      </c>
      <c r="DH817" s="43" t="s">
        <v>268</v>
      </c>
      <c r="DI817">
        <v>19.799999999999997</v>
      </c>
    </row>
    <row r="818" spans="107:113" x14ac:dyDescent="0.25">
      <c r="DC818" s="43" t="s">
        <v>52</v>
      </c>
      <c r="DD818" s="43" t="s">
        <v>26</v>
      </c>
      <c r="DE818" s="43" t="s">
        <v>36</v>
      </c>
      <c r="DF818">
        <v>0</v>
      </c>
      <c r="DG818" t="s">
        <v>330</v>
      </c>
      <c r="DH818" s="43" t="s">
        <v>308</v>
      </c>
      <c r="DI818">
        <v>6.2</v>
      </c>
    </row>
    <row r="819" spans="107:113" x14ac:dyDescent="0.25">
      <c r="DC819" s="43" t="s">
        <v>52</v>
      </c>
      <c r="DD819" s="43" t="s">
        <v>26</v>
      </c>
      <c r="DE819" s="43" t="s">
        <v>36</v>
      </c>
      <c r="DF819">
        <v>0</v>
      </c>
      <c r="DG819" t="s">
        <v>330</v>
      </c>
      <c r="DH819" s="43" t="s">
        <v>309</v>
      </c>
      <c r="DI819">
        <v>24.75</v>
      </c>
    </row>
    <row r="820" spans="107:113" x14ac:dyDescent="0.25">
      <c r="DC820" s="43" t="s">
        <v>52</v>
      </c>
      <c r="DD820" s="43" t="s">
        <v>26</v>
      </c>
      <c r="DE820" s="43" t="s">
        <v>36</v>
      </c>
      <c r="DF820">
        <v>0</v>
      </c>
      <c r="DG820" t="s">
        <v>330</v>
      </c>
      <c r="DH820" s="43" t="s">
        <v>268</v>
      </c>
      <c r="DI820">
        <v>30.950000000000003</v>
      </c>
    </row>
    <row r="821" spans="107:113" x14ac:dyDescent="0.25">
      <c r="DC821" s="43" t="s">
        <v>52</v>
      </c>
      <c r="DD821" s="43" t="s">
        <v>26</v>
      </c>
      <c r="DE821" s="43" t="s">
        <v>36</v>
      </c>
      <c r="DF821">
        <v>0</v>
      </c>
      <c r="DG821" t="s">
        <v>331</v>
      </c>
      <c r="DH821" s="43" t="s">
        <v>308</v>
      </c>
      <c r="DI821">
        <v>10</v>
      </c>
    </row>
    <row r="822" spans="107:113" x14ac:dyDescent="0.25">
      <c r="DC822" s="43" t="s">
        <v>52</v>
      </c>
      <c r="DD822" s="43" t="s">
        <v>26</v>
      </c>
      <c r="DE822" s="43" t="s">
        <v>36</v>
      </c>
      <c r="DF822">
        <v>0</v>
      </c>
      <c r="DG822" t="s">
        <v>331</v>
      </c>
      <c r="DH822" s="43" t="s">
        <v>309</v>
      </c>
      <c r="DI822">
        <v>27.1</v>
      </c>
    </row>
    <row r="823" spans="107:113" x14ac:dyDescent="0.25">
      <c r="DC823" s="43" t="s">
        <v>52</v>
      </c>
      <c r="DD823" s="43" t="s">
        <v>26</v>
      </c>
      <c r="DE823" s="43" t="s">
        <v>36</v>
      </c>
      <c r="DF823">
        <v>0</v>
      </c>
      <c r="DG823" t="s">
        <v>331</v>
      </c>
      <c r="DH823" s="43" t="s">
        <v>268</v>
      </c>
      <c r="DI823">
        <v>37.1</v>
      </c>
    </row>
    <row r="824" spans="107:113" x14ac:dyDescent="0.25">
      <c r="DC824" s="43" t="s">
        <v>52</v>
      </c>
      <c r="DD824" s="43" t="s">
        <v>26</v>
      </c>
      <c r="DE824" s="43" t="s">
        <v>36</v>
      </c>
      <c r="DF824">
        <v>0</v>
      </c>
      <c r="DG824" t="s">
        <v>341</v>
      </c>
      <c r="DH824" s="43" t="s">
        <v>308</v>
      </c>
      <c r="DI824">
        <v>0</v>
      </c>
    </row>
    <row r="825" spans="107:113" x14ac:dyDescent="0.25">
      <c r="DC825" s="43" t="s">
        <v>52</v>
      </c>
      <c r="DD825" s="43" t="s">
        <v>26</v>
      </c>
      <c r="DE825" s="43" t="s">
        <v>36</v>
      </c>
      <c r="DF825">
        <v>0</v>
      </c>
      <c r="DG825" t="s">
        <v>341</v>
      </c>
      <c r="DH825" s="43" t="s">
        <v>309</v>
      </c>
      <c r="DI825">
        <v>0</v>
      </c>
    </row>
    <row r="826" spans="107:113" x14ac:dyDescent="0.25">
      <c r="DC826" s="43" t="s">
        <v>52</v>
      </c>
      <c r="DD826" s="43" t="s">
        <v>26</v>
      </c>
      <c r="DE826" s="43" t="s">
        <v>36</v>
      </c>
      <c r="DF826">
        <v>0</v>
      </c>
      <c r="DG826" t="s">
        <v>341</v>
      </c>
      <c r="DH826" s="43" t="s">
        <v>268</v>
      </c>
      <c r="DI826">
        <v>0</v>
      </c>
    </row>
    <row r="827" spans="107:113" x14ac:dyDescent="0.25">
      <c r="DC827" s="43" t="s">
        <v>52</v>
      </c>
      <c r="DD827" s="43" t="s">
        <v>26</v>
      </c>
      <c r="DE827" s="43" t="s">
        <v>36</v>
      </c>
      <c r="DF827">
        <v>0</v>
      </c>
      <c r="DG827" t="s">
        <v>273</v>
      </c>
      <c r="DH827" s="43" t="s">
        <v>308</v>
      </c>
      <c r="DI827">
        <v>0</v>
      </c>
    </row>
    <row r="828" spans="107:113" x14ac:dyDescent="0.25">
      <c r="DC828" s="43" t="s">
        <v>52</v>
      </c>
      <c r="DD828" s="43" t="s">
        <v>26</v>
      </c>
      <c r="DE828" s="43" t="s">
        <v>36</v>
      </c>
      <c r="DF828">
        <v>0</v>
      </c>
      <c r="DG828" t="s">
        <v>273</v>
      </c>
      <c r="DH828" s="43" t="s">
        <v>309</v>
      </c>
      <c r="DI828">
        <v>0</v>
      </c>
    </row>
    <row r="829" spans="107:113" x14ac:dyDescent="0.25">
      <c r="DC829" s="43" t="s">
        <v>52</v>
      </c>
      <c r="DD829" s="43" t="s">
        <v>26</v>
      </c>
      <c r="DE829" s="43" t="s">
        <v>36</v>
      </c>
      <c r="DF829">
        <v>0</v>
      </c>
      <c r="DG829" t="s">
        <v>273</v>
      </c>
      <c r="DH829" s="43" t="s">
        <v>268</v>
      </c>
      <c r="DI829">
        <v>0</v>
      </c>
    </row>
    <row r="830" spans="107:113" x14ac:dyDescent="0.25">
      <c r="DC830" s="43" t="s">
        <v>120</v>
      </c>
      <c r="DD830" s="43" t="s">
        <v>26</v>
      </c>
      <c r="DE830" s="43" t="s">
        <v>39</v>
      </c>
      <c r="DF830">
        <v>0</v>
      </c>
      <c r="DG830" t="s">
        <v>317</v>
      </c>
      <c r="DH830" s="43" t="s">
        <v>308</v>
      </c>
      <c r="DI830">
        <v>14.799999999999999</v>
      </c>
    </row>
    <row r="831" spans="107:113" x14ac:dyDescent="0.25">
      <c r="DC831" s="43" t="s">
        <v>120</v>
      </c>
      <c r="DD831" s="43" t="s">
        <v>26</v>
      </c>
      <c r="DE831" s="43" t="s">
        <v>39</v>
      </c>
      <c r="DF831">
        <v>0</v>
      </c>
      <c r="DG831" t="s">
        <v>317</v>
      </c>
      <c r="DH831" s="43" t="s">
        <v>309</v>
      </c>
      <c r="DI831">
        <v>35.85</v>
      </c>
    </row>
    <row r="832" spans="107:113" x14ac:dyDescent="0.25">
      <c r="DC832" s="43" t="s">
        <v>120</v>
      </c>
      <c r="DD832" s="43" t="s">
        <v>26</v>
      </c>
      <c r="DE832" s="43" t="s">
        <v>39</v>
      </c>
      <c r="DF832">
        <v>0</v>
      </c>
      <c r="DG832" t="s">
        <v>317</v>
      </c>
      <c r="DH832" s="43" t="s">
        <v>268</v>
      </c>
      <c r="DI832">
        <v>50.649999999999991</v>
      </c>
    </row>
    <row r="833" spans="107:113" x14ac:dyDescent="0.25">
      <c r="DC833" s="43" t="s">
        <v>120</v>
      </c>
      <c r="DD833" s="43" t="s">
        <v>26</v>
      </c>
      <c r="DE833" s="43" t="s">
        <v>39</v>
      </c>
      <c r="DF833">
        <v>0</v>
      </c>
      <c r="DG833" t="s">
        <v>325</v>
      </c>
      <c r="DH833" s="43" t="s">
        <v>308</v>
      </c>
      <c r="DI833">
        <v>0</v>
      </c>
    </row>
    <row r="834" spans="107:113" x14ac:dyDescent="0.25">
      <c r="DC834" s="43" t="s">
        <v>120</v>
      </c>
      <c r="DD834" s="43" t="s">
        <v>26</v>
      </c>
      <c r="DE834" s="43" t="s">
        <v>39</v>
      </c>
      <c r="DF834">
        <v>0</v>
      </c>
      <c r="DG834" t="s">
        <v>325</v>
      </c>
      <c r="DH834" s="43" t="s">
        <v>309</v>
      </c>
      <c r="DI834">
        <v>0</v>
      </c>
    </row>
    <row r="835" spans="107:113" x14ac:dyDescent="0.25">
      <c r="DC835" s="43" t="s">
        <v>120</v>
      </c>
      <c r="DD835" s="43" t="s">
        <v>26</v>
      </c>
      <c r="DE835" s="43" t="s">
        <v>39</v>
      </c>
      <c r="DF835">
        <v>0</v>
      </c>
      <c r="DG835" t="s">
        <v>325</v>
      </c>
      <c r="DH835" s="43" t="s">
        <v>268</v>
      </c>
      <c r="DI835">
        <v>0</v>
      </c>
    </row>
    <row r="836" spans="107:113" x14ac:dyDescent="0.25">
      <c r="DC836" s="43" t="s">
        <v>120</v>
      </c>
      <c r="DD836" s="43" t="s">
        <v>26</v>
      </c>
      <c r="DE836" s="43" t="s">
        <v>39</v>
      </c>
      <c r="DF836">
        <v>0</v>
      </c>
      <c r="DG836" t="s">
        <v>330</v>
      </c>
      <c r="DH836" s="43" t="s">
        <v>308</v>
      </c>
      <c r="DI836">
        <v>11.5</v>
      </c>
    </row>
    <row r="837" spans="107:113" x14ac:dyDescent="0.25">
      <c r="DC837" s="43" t="s">
        <v>120</v>
      </c>
      <c r="DD837" s="43" t="s">
        <v>26</v>
      </c>
      <c r="DE837" s="43" t="s">
        <v>39</v>
      </c>
      <c r="DF837">
        <v>0</v>
      </c>
      <c r="DG837" t="s">
        <v>330</v>
      </c>
      <c r="DH837" s="43" t="s">
        <v>309</v>
      </c>
      <c r="DI837">
        <v>35.550000000000004</v>
      </c>
    </row>
    <row r="838" spans="107:113" x14ac:dyDescent="0.25">
      <c r="DC838" s="43" t="s">
        <v>120</v>
      </c>
      <c r="DD838" s="43" t="s">
        <v>26</v>
      </c>
      <c r="DE838" s="43" t="s">
        <v>39</v>
      </c>
      <c r="DF838">
        <v>0</v>
      </c>
      <c r="DG838" t="s">
        <v>330</v>
      </c>
      <c r="DH838" s="43" t="s">
        <v>268</v>
      </c>
      <c r="DI838">
        <v>47.05</v>
      </c>
    </row>
    <row r="839" spans="107:113" x14ac:dyDescent="0.25">
      <c r="DC839" s="43" t="s">
        <v>120</v>
      </c>
      <c r="DD839" s="43" t="s">
        <v>26</v>
      </c>
      <c r="DE839" s="43" t="s">
        <v>39</v>
      </c>
      <c r="DF839">
        <v>0</v>
      </c>
      <c r="DG839" t="s">
        <v>331</v>
      </c>
      <c r="DH839" s="43" t="s">
        <v>308</v>
      </c>
      <c r="DI839">
        <v>0</v>
      </c>
    </row>
    <row r="840" spans="107:113" x14ac:dyDescent="0.25">
      <c r="DC840" s="43" t="s">
        <v>120</v>
      </c>
      <c r="DD840" s="43" t="s">
        <v>26</v>
      </c>
      <c r="DE840" s="43" t="s">
        <v>39</v>
      </c>
      <c r="DF840">
        <v>0</v>
      </c>
      <c r="DG840" t="s">
        <v>331</v>
      </c>
      <c r="DH840" s="43" t="s">
        <v>309</v>
      </c>
      <c r="DI840">
        <v>0</v>
      </c>
    </row>
    <row r="841" spans="107:113" x14ac:dyDescent="0.25">
      <c r="DC841" s="43" t="s">
        <v>120</v>
      </c>
      <c r="DD841" s="43" t="s">
        <v>26</v>
      </c>
      <c r="DE841" s="43" t="s">
        <v>39</v>
      </c>
      <c r="DF841">
        <v>0</v>
      </c>
      <c r="DG841" t="s">
        <v>331</v>
      </c>
      <c r="DH841" s="43" t="s">
        <v>268</v>
      </c>
      <c r="DI841">
        <v>0</v>
      </c>
    </row>
    <row r="842" spans="107:113" x14ac:dyDescent="0.25">
      <c r="DC842" s="43" t="s">
        <v>120</v>
      </c>
      <c r="DD842" s="43" t="s">
        <v>26</v>
      </c>
      <c r="DE842" s="43" t="s">
        <v>39</v>
      </c>
      <c r="DF842">
        <v>0</v>
      </c>
      <c r="DG842" t="s">
        <v>341</v>
      </c>
      <c r="DH842" s="43" t="s">
        <v>308</v>
      </c>
      <c r="DI842">
        <v>0</v>
      </c>
    </row>
    <row r="843" spans="107:113" x14ac:dyDescent="0.25">
      <c r="DC843" s="43" t="s">
        <v>120</v>
      </c>
      <c r="DD843" s="43" t="s">
        <v>26</v>
      </c>
      <c r="DE843" s="43" t="s">
        <v>39</v>
      </c>
      <c r="DF843">
        <v>0</v>
      </c>
      <c r="DG843" t="s">
        <v>341</v>
      </c>
      <c r="DH843" s="43" t="s">
        <v>309</v>
      </c>
      <c r="DI843">
        <v>0</v>
      </c>
    </row>
    <row r="844" spans="107:113" x14ac:dyDescent="0.25">
      <c r="DC844" s="43" t="s">
        <v>120</v>
      </c>
      <c r="DD844" s="43" t="s">
        <v>26</v>
      </c>
      <c r="DE844" s="43" t="s">
        <v>39</v>
      </c>
      <c r="DF844">
        <v>0</v>
      </c>
      <c r="DG844" t="s">
        <v>341</v>
      </c>
      <c r="DH844" s="43" t="s">
        <v>268</v>
      </c>
      <c r="DI844">
        <v>0</v>
      </c>
    </row>
    <row r="845" spans="107:113" x14ac:dyDescent="0.25">
      <c r="DC845" s="43" t="s">
        <v>120</v>
      </c>
      <c r="DD845" s="43" t="s">
        <v>26</v>
      </c>
      <c r="DE845" s="43" t="s">
        <v>39</v>
      </c>
      <c r="DF845">
        <v>0</v>
      </c>
      <c r="DG845" t="s">
        <v>273</v>
      </c>
      <c r="DH845" s="43" t="s">
        <v>308</v>
      </c>
      <c r="DI845">
        <v>0</v>
      </c>
    </row>
    <row r="846" spans="107:113" x14ac:dyDescent="0.25">
      <c r="DC846" s="43" t="s">
        <v>120</v>
      </c>
      <c r="DD846" s="43" t="s">
        <v>26</v>
      </c>
      <c r="DE846" s="43" t="s">
        <v>39</v>
      </c>
      <c r="DF846">
        <v>0</v>
      </c>
      <c r="DG846" t="s">
        <v>273</v>
      </c>
      <c r="DH846" s="43" t="s">
        <v>309</v>
      </c>
      <c r="DI846">
        <v>0</v>
      </c>
    </row>
    <row r="847" spans="107:113" x14ac:dyDescent="0.25">
      <c r="DC847" s="43" t="s">
        <v>120</v>
      </c>
      <c r="DD847" s="43" t="s">
        <v>26</v>
      </c>
      <c r="DE847" s="43" t="s">
        <v>39</v>
      </c>
      <c r="DF847">
        <v>0</v>
      </c>
      <c r="DG847" t="s">
        <v>273</v>
      </c>
      <c r="DH847" s="43" t="s">
        <v>268</v>
      </c>
      <c r="DI847">
        <v>0</v>
      </c>
    </row>
    <row r="848" spans="107:113" x14ac:dyDescent="0.25">
      <c r="DC848" s="43" t="s">
        <v>50</v>
      </c>
      <c r="DD848" s="43" t="s">
        <v>26</v>
      </c>
      <c r="DE848" s="43" t="s">
        <v>36</v>
      </c>
      <c r="DF848">
        <v>0</v>
      </c>
      <c r="DG848" t="s">
        <v>317</v>
      </c>
      <c r="DH848" s="43" t="s">
        <v>308</v>
      </c>
      <c r="DI848">
        <v>0</v>
      </c>
    </row>
    <row r="849" spans="107:113" x14ac:dyDescent="0.25">
      <c r="DC849" s="43" t="s">
        <v>50</v>
      </c>
      <c r="DD849" s="43" t="s">
        <v>26</v>
      </c>
      <c r="DE849" s="43" t="s">
        <v>36</v>
      </c>
      <c r="DF849">
        <v>0</v>
      </c>
      <c r="DG849" t="s">
        <v>317</v>
      </c>
      <c r="DH849" s="43" t="s">
        <v>309</v>
      </c>
      <c r="DI849">
        <v>0</v>
      </c>
    </row>
    <row r="850" spans="107:113" x14ac:dyDescent="0.25">
      <c r="DC850" s="43" t="s">
        <v>50</v>
      </c>
      <c r="DD850" s="43" t="s">
        <v>26</v>
      </c>
      <c r="DE850" s="43" t="s">
        <v>36</v>
      </c>
      <c r="DF850">
        <v>0</v>
      </c>
      <c r="DG850" t="s">
        <v>317</v>
      </c>
      <c r="DH850" s="43" t="s">
        <v>268</v>
      </c>
      <c r="DI850">
        <v>0</v>
      </c>
    </row>
    <row r="851" spans="107:113" x14ac:dyDescent="0.25">
      <c r="DC851" s="43" t="s">
        <v>50</v>
      </c>
      <c r="DD851" s="43" t="s">
        <v>26</v>
      </c>
      <c r="DE851" s="43" t="s">
        <v>36</v>
      </c>
      <c r="DF851">
        <v>0</v>
      </c>
      <c r="DG851" t="s">
        <v>325</v>
      </c>
      <c r="DH851" s="43" t="s">
        <v>308</v>
      </c>
      <c r="DI851">
        <v>10.100000000000001</v>
      </c>
    </row>
    <row r="852" spans="107:113" x14ac:dyDescent="0.25">
      <c r="DC852" s="43" t="s">
        <v>50</v>
      </c>
      <c r="DD852" s="43" t="s">
        <v>26</v>
      </c>
      <c r="DE852" s="43" t="s">
        <v>36</v>
      </c>
      <c r="DF852">
        <v>0</v>
      </c>
      <c r="DG852" t="s">
        <v>325</v>
      </c>
      <c r="DH852" s="43" t="s">
        <v>309</v>
      </c>
      <c r="DI852">
        <v>24.4</v>
      </c>
    </row>
    <row r="853" spans="107:113" x14ac:dyDescent="0.25">
      <c r="DC853" s="43" t="s">
        <v>50</v>
      </c>
      <c r="DD853" s="43" t="s">
        <v>26</v>
      </c>
      <c r="DE853" s="43" t="s">
        <v>36</v>
      </c>
      <c r="DF853">
        <v>0</v>
      </c>
      <c r="DG853" t="s">
        <v>325</v>
      </c>
      <c r="DH853" s="43" t="s">
        <v>268</v>
      </c>
      <c r="DI853">
        <v>34.5</v>
      </c>
    </row>
    <row r="854" spans="107:113" x14ac:dyDescent="0.25">
      <c r="DC854" s="43" t="s">
        <v>50</v>
      </c>
      <c r="DD854" s="43" t="s">
        <v>26</v>
      </c>
      <c r="DE854" s="43" t="s">
        <v>36</v>
      </c>
      <c r="DF854">
        <v>0</v>
      </c>
      <c r="DG854" t="s">
        <v>330</v>
      </c>
      <c r="DH854" s="43" t="s">
        <v>308</v>
      </c>
      <c r="DI854">
        <v>10.3</v>
      </c>
    </row>
    <row r="855" spans="107:113" x14ac:dyDescent="0.25">
      <c r="DC855" s="43" t="s">
        <v>50</v>
      </c>
      <c r="DD855" s="43" t="s">
        <v>26</v>
      </c>
      <c r="DE855" s="43" t="s">
        <v>36</v>
      </c>
      <c r="DF855">
        <v>0</v>
      </c>
      <c r="DG855" t="s">
        <v>330</v>
      </c>
      <c r="DH855" s="43" t="s">
        <v>309</v>
      </c>
      <c r="DI855">
        <v>24.25</v>
      </c>
    </row>
    <row r="856" spans="107:113" x14ac:dyDescent="0.25">
      <c r="DC856" s="43" t="s">
        <v>50</v>
      </c>
      <c r="DD856" s="43" t="s">
        <v>26</v>
      </c>
      <c r="DE856" s="43" t="s">
        <v>36</v>
      </c>
      <c r="DF856">
        <v>0</v>
      </c>
      <c r="DG856" t="s">
        <v>330</v>
      </c>
      <c r="DH856" s="43" t="s">
        <v>268</v>
      </c>
      <c r="DI856">
        <v>34.549999999999997</v>
      </c>
    </row>
    <row r="857" spans="107:113" x14ac:dyDescent="0.25">
      <c r="DC857" s="43" t="s">
        <v>50</v>
      </c>
      <c r="DD857" s="43" t="s">
        <v>26</v>
      </c>
      <c r="DE857" s="43" t="s">
        <v>36</v>
      </c>
      <c r="DF857">
        <v>0</v>
      </c>
      <c r="DG857" t="s">
        <v>331</v>
      </c>
      <c r="DH857" s="43" t="s">
        <v>308</v>
      </c>
      <c r="DI857">
        <v>0</v>
      </c>
    </row>
    <row r="858" spans="107:113" x14ac:dyDescent="0.25">
      <c r="DC858" s="43" t="s">
        <v>50</v>
      </c>
      <c r="DD858" s="43" t="s">
        <v>26</v>
      </c>
      <c r="DE858" s="43" t="s">
        <v>36</v>
      </c>
      <c r="DF858">
        <v>0</v>
      </c>
      <c r="DG858" t="s">
        <v>331</v>
      </c>
      <c r="DH858" s="43" t="s">
        <v>309</v>
      </c>
      <c r="DI858">
        <v>0</v>
      </c>
    </row>
    <row r="859" spans="107:113" x14ac:dyDescent="0.25">
      <c r="DC859" s="43" t="s">
        <v>50</v>
      </c>
      <c r="DD859" s="43" t="s">
        <v>26</v>
      </c>
      <c r="DE859" s="43" t="s">
        <v>36</v>
      </c>
      <c r="DF859">
        <v>0</v>
      </c>
      <c r="DG859" t="s">
        <v>331</v>
      </c>
      <c r="DH859" s="43" t="s">
        <v>268</v>
      </c>
      <c r="DI859">
        <v>0</v>
      </c>
    </row>
    <row r="860" spans="107:113" x14ac:dyDescent="0.25">
      <c r="DC860" s="43" t="s">
        <v>50</v>
      </c>
      <c r="DD860" s="43" t="s">
        <v>26</v>
      </c>
      <c r="DE860" s="43" t="s">
        <v>36</v>
      </c>
      <c r="DF860">
        <v>0</v>
      </c>
      <c r="DG860" t="s">
        <v>341</v>
      </c>
      <c r="DH860" s="43" t="s">
        <v>308</v>
      </c>
      <c r="DI860">
        <v>0</v>
      </c>
    </row>
    <row r="861" spans="107:113" x14ac:dyDescent="0.25">
      <c r="DC861" s="43" t="s">
        <v>50</v>
      </c>
      <c r="DD861" s="43" t="s">
        <v>26</v>
      </c>
      <c r="DE861" s="43" t="s">
        <v>36</v>
      </c>
      <c r="DF861">
        <v>0</v>
      </c>
      <c r="DG861" t="s">
        <v>341</v>
      </c>
      <c r="DH861" s="43" t="s">
        <v>309</v>
      </c>
      <c r="DI861">
        <v>0</v>
      </c>
    </row>
    <row r="862" spans="107:113" x14ac:dyDescent="0.25">
      <c r="DC862" s="43" t="s">
        <v>50</v>
      </c>
      <c r="DD862" s="43" t="s">
        <v>26</v>
      </c>
      <c r="DE862" s="43" t="s">
        <v>36</v>
      </c>
      <c r="DF862">
        <v>0</v>
      </c>
      <c r="DG862" t="s">
        <v>341</v>
      </c>
      <c r="DH862" s="43" t="s">
        <v>268</v>
      </c>
      <c r="DI862">
        <v>0</v>
      </c>
    </row>
    <row r="863" spans="107:113" x14ac:dyDescent="0.25">
      <c r="DC863" s="43" t="s">
        <v>50</v>
      </c>
      <c r="DD863" s="43" t="s">
        <v>26</v>
      </c>
      <c r="DE863" s="43" t="s">
        <v>36</v>
      </c>
      <c r="DF863">
        <v>0</v>
      </c>
      <c r="DG863" t="s">
        <v>273</v>
      </c>
      <c r="DH863" s="43" t="s">
        <v>308</v>
      </c>
      <c r="DI863">
        <v>0</v>
      </c>
    </row>
    <row r="864" spans="107:113" x14ac:dyDescent="0.25">
      <c r="DC864" s="43" t="s">
        <v>50</v>
      </c>
      <c r="DD864" s="43" t="s">
        <v>26</v>
      </c>
      <c r="DE864" s="43" t="s">
        <v>36</v>
      </c>
      <c r="DF864">
        <v>0</v>
      </c>
      <c r="DG864" t="s">
        <v>273</v>
      </c>
      <c r="DH864" s="43" t="s">
        <v>309</v>
      </c>
      <c r="DI864">
        <v>0</v>
      </c>
    </row>
    <row r="865" spans="107:113" x14ac:dyDescent="0.25">
      <c r="DC865" s="43" t="s">
        <v>50</v>
      </c>
      <c r="DD865" s="43" t="s">
        <v>26</v>
      </c>
      <c r="DE865" s="43" t="s">
        <v>36</v>
      </c>
      <c r="DF865">
        <v>0</v>
      </c>
      <c r="DG865" t="s">
        <v>273</v>
      </c>
      <c r="DH865" s="43" t="s">
        <v>268</v>
      </c>
      <c r="DI865">
        <v>0</v>
      </c>
    </row>
    <row r="866" spans="107:113" x14ac:dyDescent="0.25">
      <c r="DC866" s="43" t="s">
        <v>139</v>
      </c>
      <c r="DD866" s="43" t="s">
        <v>26</v>
      </c>
      <c r="DE866" s="43" t="s">
        <v>124</v>
      </c>
      <c r="DF866">
        <v>0</v>
      </c>
      <c r="DG866" t="s">
        <v>317</v>
      </c>
      <c r="DH866" s="43" t="s">
        <v>308</v>
      </c>
      <c r="DI866">
        <v>9.6</v>
      </c>
    </row>
    <row r="867" spans="107:113" x14ac:dyDescent="0.25">
      <c r="DC867" s="43" t="s">
        <v>139</v>
      </c>
      <c r="DD867" s="43" t="s">
        <v>26</v>
      </c>
      <c r="DE867" s="43" t="s">
        <v>124</v>
      </c>
      <c r="DF867">
        <v>0</v>
      </c>
      <c r="DG867" t="s">
        <v>317</v>
      </c>
      <c r="DH867" s="43" t="s">
        <v>309</v>
      </c>
      <c r="DI867">
        <v>21.25</v>
      </c>
    </row>
    <row r="868" spans="107:113" x14ac:dyDescent="0.25">
      <c r="DC868" s="43" t="s">
        <v>139</v>
      </c>
      <c r="DD868" s="43" t="s">
        <v>26</v>
      </c>
      <c r="DE868" s="43" t="s">
        <v>124</v>
      </c>
      <c r="DF868">
        <v>0</v>
      </c>
      <c r="DG868" t="s">
        <v>317</v>
      </c>
      <c r="DH868" s="43" t="s">
        <v>268</v>
      </c>
      <c r="DI868">
        <v>30.849999999999994</v>
      </c>
    </row>
    <row r="869" spans="107:113" x14ac:dyDescent="0.25">
      <c r="DC869" s="43" t="s">
        <v>139</v>
      </c>
      <c r="DD869" s="43" t="s">
        <v>26</v>
      </c>
      <c r="DE869" s="43" t="s">
        <v>124</v>
      </c>
      <c r="DF869">
        <v>0</v>
      </c>
      <c r="DG869" t="s">
        <v>325</v>
      </c>
      <c r="DH869" s="43" t="s">
        <v>308</v>
      </c>
      <c r="DI869">
        <v>0</v>
      </c>
    </row>
    <row r="870" spans="107:113" x14ac:dyDescent="0.25">
      <c r="DC870" s="43" t="s">
        <v>139</v>
      </c>
      <c r="DD870" s="43" t="s">
        <v>26</v>
      </c>
      <c r="DE870" s="43" t="s">
        <v>124</v>
      </c>
      <c r="DF870">
        <v>0</v>
      </c>
      <c r="DG870" t="s">
        <v>325</v>
      </c>
      <c r="DH870" s="43" t="s">
        <v>309</v>
      </c>
      <c r="DI870">
        <v>0</v>
      </c>
    </row>
    <row r="871" spans="107:113" x14ac:dyDescent="0.25">
      <c r="DC871" s="43" t="s">
        <v>139</v>
      </c>
      <c r="DD871" s="43" t="s">
        <v>26</v>
      </c>
      <c r="DE871" s="43" t="s">
        <v>124</v>
      </c>
      <c r="DF871">
        <v>0</v>
      </c>
      <c r="DG871" t="s">
        <v>325</v>
      </c>
      <c r="DH871" s="43" t="s">
        <v>268</v>
      </c>
      <c r="DI871">
        <v>0</v>
      </c>
    </row>
    <row r="872" spans="107:113" x14ac:dyDescent="0.25">
      <c r="DC872" s="43" t="s">
        <v>139</v>
      </c>
      <c r="DD872" s="43" t="s">
        <v>26</v>
      </c>
      <c r="DE872" s="43" t="s">
        <v>124</v>
      </c>
      <c r="DF872">
        <v>0</v>
      </c>
      <c r="DG872" t="s">
        <v>330</v>
      </c>
      <c r="DH872" s="43" t="s">
        <v>308</v>
      </c>
      <c r="DI872">
        <v>0</v>
      </c>
    </row>
    <row r="873" spans="107:113" x14ac:dyDescent="0.25">
      <c r="DC873" s="43" t="s">
        <v>139</v>
      </c>
      <c r="DD873" s="43" t="s">
        <v>26</v>
      </c>
      <c r="DE873" s="43" t="s">
        <v>124</v>
      </c>
      <c r="DF873">
        <v>0</v>
      </c>
      <c r="DG873" t="s">
        <v>330</v>
      </c>
      <c r="DH873" s="43" t="s">
        <v>309</v>
      </c>
      <c r="DI873">
        <v>0</v>
      </c>
    </row>
    <row r="874" spans="107:113" x14ac:dyDescent="0.25">
      <c r="DC874" s="43" t="s">
        <v>139</v>
      </c>
      <c r="DD874" s="43" t="s">
        <v>26</v>
      </c>
      <c r="DE874" s="43" t="s">
        <v>124</v>
      </c>
      <c r="DF874">
        <v>0</v>
      </c>
      <c r="DG874" t="s">
        <v>330</v>
      </c>
      <c r="DH874" s="43" t="s">
        <v>268</v>
      </c>
      <c r="DI874">
        <v>0</v>
      </c>
    </row>
    <row r="875" spans="107:113" x14ac:dyDescent="0.25">
      <c r="DC875" s="43" t="s">
        <v>139</v>
      </c>
      <c r="DD875" s="43" t="s">
        <v>26</v>
      </c>
      <c r="DE875" s="43" t="s">
        <v>124</v>
      </c>
      <c r="DF875">
        <v>0</v>
      </c>
      <c r="DG875" t="s">
        <v>331</v>
      </c>
      <c r="DH875" s="43" t="s">
        <v>308</v>
      </c>
      <c r="DI875">
        <v>0</v>
      </c>
    </row>
    <row r="876" spans="107:113" x14ac:dyDescent="0.25">
      <c r="DC876" s="43" t="s">
        <v>139</v>
      </c>
      <c r="DD876" s="43" t="s">
        <v>26</v>
      </c>
      <c r="DE876" s="43" t="s">
        <v>124</v>
      </c>
      <c r="DF876">
        <v>0</v>
      </c>
      <c r="DG876" t="s">
        <v>331</v>
      </c>
      <c r="DH876" s="43" t="s">
        <v>309</v>
      </c>
      <c r="DI876">
        <v>0</v>
      </c>
    </row>
    <row r="877" spans="107:113" x14ac:dyDescent="0.25">
      <c r="DC877" s="43" t="s">
        <v>139</v>
      </c>
      <c r="DD877" s="43" t="s">
        <v>26</v>
      </c>
      <c r="DE877" s="43" t="s">
        <v>124</v>
      </c>
      <c r="DF877">
        <v>0</v>
      </c>
      <c r="DG877" t="s">
        <v>331</v>
      </c>
      <c r="DH877" s="43" t="s">
        <v>268</v>
      </c>
      <c r="DI877">
        <v>0</v>
      </c>
    </row>
    <row r="878" spans="107:113" x14ac:dyDescent="0.25">
      <c r="DC878" s="43" t="s">
        <v>139</v>
      </c>
      <c r="DD878" s="43" t="s">
        <v>26</v>
      </c>
      <c r="DE878" s="43" t="s">
        <v>124</v>
      </c>
      <c r="DF878">
        <v>0</v>
      </c>
      <c r="DG878" t="s">
        <v>341</v>
      </c>
      <c r="DH878" s="43" t="s">
        <v>308</v>
      </c>
      <c r="DI878">
        <v>0</v>
      </c>
    </row>
    <row r="879" spans="107:113" x14ac:dyDescent="0.25">
      <c r="DC879" s="43" t="s">
        <v>139</v>
      </c>
      <c r="DD879" s="43" t="s">
        <v>26</v>
      </c>
      <c r="DE879" s="43" t="s">
        <v>124</v>
      </c>
      <c r="DF879">
        <v>0</v>
      </c>
      <c r="DG879" t="s">
        <v>341</v>
      </c>
      <c r="DH879" s="43" t="s">
        <v>309</v>
      </c>
      <c r="DI879">
        <v>0</v>
      </c>
    </row>
    <row r="880" spans="107:113" x14ac:dyDescent="0.25">
      <c r="DC880" s="43" t="s">
        <v>139</v>
      </c>
      <c r="DD880" s="43" t="s">
        <v>26</v>
      </c>
      <c r="DE880" s="43" t="s">
        <v>124</v>
      </c>
      <c r="DF880">
        <v>0</v>
      </c>
      <c r="DG880" t="s">
        <v>341</v>
      </c>
      <c r="DH880" s="43" t="s">
        <v>268</v>
      </c>
      <c r="DI880">
        <v>0</v>
      </c>
    </row>
    <row r="881" spans="107:113" x14ac:dyDescent="0.25">
      <c r="DC881" s="43" t="s">
        <v>139</v>
      </c>
      <c r="DD881" s="43" t="s">
        <v>26</v>
      </c>
      <c r="DE881" s="43" t="s">
        <v>124</v>
      </c>
      <c r="DF881">
        <v>0</v>
      </c>
      <c r="DG881" t="s">
        <v>273</v>
      </c>
      <c r="DH881" s="43" t="s">
        <v>308</v>
      </c>
      <c r="DI881">
        <v>0</v>
      </c>
    </row>
    <row r="882" spans="107:113" x14ac:dyDescent="0.25">
      <c r="DC882" s="43" t="s">
        <v>139</v>
      </c>
      <c r="DD882" s="43" t="s">
        <v>26</v>
      </c>
      <c r="DE882" s="43" t="s">
        <v>124</v>
      </c>
      <c r="DF882">
        <v>0</v>
      </c>
      <c r="DG882" t="s">
        <v>273</v>
      </c>
      <c r="DH882" s="43" t="s">
        <v>309</v>
      </c>
      <c r="DI882">
        <v>0</v>
      </c>
    </row>
    <row r="883" spans="107:113" x14ac:dyDescent="0.25">
      <c r="DC883" s="43" t="s">
        <v>139</v>
      </c>
      <c r="DD883" s="43" t="s">
        <v>26</v>
      </c>
      <c r="DE883" s="43" t="s">
        <v>124</v>
      </c>
      <c r="DF883">
        <v>0</v>
      </c>
      <c r="DG883" t="s">
        <v>273</v>
      </c>
      <c r="DH883" s="43" t="s">
        <v>268</v>
      </c>
      <c r="DI883">
        <v>0</v>
      </c>
    </row>
    <row r="884" spans="107:113" x14ac:dyDescent="0.25">
      <c r="DC884" s="43" t="s">
        <v>122</v>
      </c>
      <c r="DD884" s="43" t="s">
        <v>26</v>
      </c>
      <c r="DE884" s="43" t="s">
        <v>124</v>
      </c>
      <c r="DF884">
        <v>0</v>
      </c>
      <c r="DG884" t="s">
        <v>317</v>
      </c>
      <c r="DH884" s="43" t="s">
        <v>308</v>
      </c>
      <c r="DI884">
        <v>0</v>
      </c>
    </row>
    <row r="885" spans="107:113" x14ac:dyDescent="0.25">
      <c r="DC885" s="43" t="s">
        <v>122</v>
      </c>
      <c r="DD885" s="43" t="s">
        <v>26</v>
      </c>
      <c r="DE885" s="43" t="s">
        <v>124</v>
      </c>
      <c r="DF885">
        <v>0</v>
      </c>
      <c r="DG885" t="s">
        <v>317</v>
      </c>
      <c r="DH885" s="43" t="s">
        <v>309</v>
      </c>
      <c r="DI885">
        <v>0</v>
      </c>
    </row>
    <row r="886" spans="107:113" x14ac:dyDescent="0.25">
      <c r="DC886" s="43" t="s">
        <v>122</v>
      </c>
      <c r="DD886" s="43" t="s">
        <v>26</v>
      </c>
      <c r="DE886" s="43" t="s">
        <v>124</v>
      </c>
      <c r="DF886">
        <v>0</v>
      </c>
      <c r="DG886" t="s">
        <v>317</v>
      </c>
      <c r="DH886" s="43" t="s">
        <v>268</v>
      </c>
      <c r="DI886">
        <v>0</v>
      </c>
    </row>
    <row r="887" spans="107:113" x14ac:dyDescent="0.25">
      <c r="DC887" s="43" t="s">
        <v>122</v>
      </c>
      <c r="DD887" s="43" t="s">
        <v>26</v>
      </c>
      <c r="DE887" s="43" t="s">
        <v>124</v>
      </c>
      <c r="DF887">
        <v>0</v>
      </c>
      <c r="DG887" t="s">
        <v>325</v>
      </c>
      <c r="DH887" s="43" t="s">
        <v>308</v>
      </c>
      <c r="DI887">
        <v>0</v>
      </c>
    </row>
    <row r="888" spans="107:113" x14ac:dyDescent="0.25">
      <c r="DC888" s="43" t="s">
        <v>122</v>
      </c>
      <c r="DD888" s="43" t="s">
        <v>26</v>
      </c>
      <c r="DE888" s="43" t="s">
        <v>124</v>
      </c>
      <c r="DF888">
        <v>0</v>
      </c>
      <c r="DG888" t="s">
        <v>325</v>
      </c>
      <c r="DH888" s="43" t="s">
        <v>309</v>
      </c>
      <c r="DI888">
        <v>0</v>
      </c>
    </row>
    <row r="889" spans="107:113" x14ac:dyDescent="0.25">
      <c r="DC889" s="43" t="s">
        <v>122</v>
      </c>
      <c r="DD889" s="43" t="s">
        <v>26</v>
      </c>
      <c r="DE889" s="43" t="s">
        <v>124</v>
      </c>
      <c r="DF889">
        <v>0</v>
      </c>
      <c r="DG889" t="s">
        <v>325</v>
      </c>
      <c r="DH889" s="43" t="s">
        <v>268</v>
      </c>
      <c r="DI889">
        <v>0</v>
      </c>
    </row>
    <row r="890" spans="107:113" x14ac:dyDescent="0.25">
      <c r="DC890" s="43" t="s">
        <v>122</v>
      </c>
      <c r="DD890" s="43" t="s">
        <v>26</v>
      </c>
      <c r="DE890" s="43" t="s">
        <v>124</v>
      </c>
      <c r="DF890">
        <v>0</v>
      </c>
      <c r="DG890" t="s">
        <v>330</v>
      </c>
      <c r="DH890" s="43" t="s">
        <v>308</v>
      </c>
      <c r="DI890">
        <v>9.3000000000000007</v>
      </c>
    </row>
    <row r="891" spans="107:113" x14ac:dyDescent="0.25">
      <c r="DC891" s="43" t="s">
        <v>122</v>
      </c>
      <c r="DD891" s="43" t="s">
        <v>26</v>
      </c>
      <c r="DE891" s="43" t="s">
        <v>124</v>
      </c>
      <c r="DF891">
        <v>0</v>
      </c>
      <c r="DG891" t="s">
        <v>330</v>
      </c>
      <c r="DH891" s="43" t="s">
        <v>309</v>
      </c>
      <c r="DI891">
        <v>30.299999999999997</v>
      </c>
    </row>
    <row r="892" spans="107:113" x14ac:dyDescent="0.25">
      <c r="DC892" s="43" t="s">
        <v>122</v>
      </c>
      <c r="DD892" s="43" t="s">
        <v>26</v>
      </c>
      <c r="DE892" s="43" t="s">
        <v>124</v>
      </c>
      <c r="DF892">
        <v>0</v>
      </c>
      <c r="DG892" t="s">
        <v>330</v>
      </c>
      <c r="DH892" s="43" t="s">
        <v>268</v>
      </c>
      <c r="DI892">
        <v>39.6</v>
      </c>
    </row>
    <row r="893" spans="107:113" x14ac:dyDescent="0.25">
      <c r="DC893" s="43" t="s">
        <v>122</v>
      </c>
      <c r="DD893" s="43" t="s">
        <v>26</v>
      </c>
      <c r="DE893" s="43" t="s">
        <v>124</v>
      </c>
      <c r="DF893">
        <v>0</v>
      </c>
      <c r="DG893" t="s">
        <v>331</v>
      </c>
      <c r="DH893" s="43" t="s">
        <v>308</v>
      </c>
      <c r="DI893">
        <v>0</v>
      </c>
    </row>
    <row r="894" spans="107:113" x14ac:dyDescent="0.25">
      <c r="DC894" s="43" t="s">
        <v>122</v>
      </c>
      <c r="DD894" s="43" t="s">
        <v>26</v>
      </c>
      <c r="DE894" s="43" t="s">
        <v>124</v>
      </c>
      <c r="DF894">
        <v>0</v>
      </c>
      <c r="DG894" t="s">
        <v>331</v>
      </c>
      <c r="DH894" s="43" t="s">
        <v>309</v>
      </c>
      <c r="DI894">
        <v>0</v>
      </c>
    </row>
    <row r="895" spans="107:113" x14ac:dyDescent="0.25">
      <c r="DC895" s="43" t="s">
        <v>122</v>
      </c>
      <c r="DD895" s="43" t="s">
        <v>26</v>
      </c>
      <c r="DE895" s="43" t="s">
        <v>124</v>
      </c>
      <c r="DF895">
        <v>0</v>
      </c>
      <c r="DG895" t="s">
        <v>331</v>
      </c>
      <c r="DH895" s="43" t="s">
        <v>268</v>
      </c>
      <c r="DI895">
        <v>0</v>
      </c>
    </row>
    <row r="896" spans="107:113" x14ac:dyDescent="0.25">
      <c r="DC896" s="43" t="s">
        <v>122</v>
      </c>
      <c r="DD896" s="43" t="s">
        <v>26</v>
      </c>
      <c r="DE896" s="43" t="s">
        <v>124</v>
      </c>
      <c r="DF896">
        <v>0</v>
      </c>
      <c r="DG896" t="s">
        <v>341</v>
      </c>
      <c r="DH896" s="43" t="s">
        <v>308</v>
      </c>
      <c r="DI896">
        <v>0</v>
      </c>
    </row>
    <row r="897" spans="107:113" x14ac:dyDescent="0.25">
      <c r="DC897" s="43" t="s">
        <v>122</v>
      </c>
      <c r="DD897" s="43" t="s">
        <v>26</v>
      </c>
      <c r="DE897" s="43" t="s">
        <v>124</v>
      </c>
      <c r="DF897">
        <v>0</v>
      </c>
      <c r="DG897" t="s">
        <v>341</v>
      </c>
      <c r="DH897" s="43" t="s">
        <v>309</v>
      </c>
      <c r="DI897">
        <v>0</v>
      </c>
    </row>
    <row r="898" spans="107:113" x14ac:dyDescent="0.25">
      <c r="DC898" s="43" t="s">
        <v>122</v>
      </c>
      <c r="DD898" s="43" t="s">
        <v>26</v>
      </c>
      <c r="DE898" s="43" t="s">
        <v>124</v>
      </c>
      <c r="DF898">
        <v>0</v>
      </c>
      <c r="DG898" t="s">
        <v>341</v>
      </c>
      <c r="DH898" s="43" t="s">
        <v>268</v>
      </c>
      <c r="DI898">
        <v>0</v>
      </c>
    </row>
    <row r="899" spans="107:113" x14ac:dyDescent="0.25">
      <c r="DC899" s="43" t="s">
        <v>122</v>
      </c>
      <c r="DD899" s="43" t="s">
        <v>26</v>
      </c>
      <c r="DE899" s="43" t="s">
        <v>124</v>
      </c>
      <c r="DF899">
        <v>0</v>
      </c>
      <c r="DG899" t="s">
        <v>273</v>
      </c>
      <c r="DH899" s="43" t="s">
        <v>308</v>
      </c>
      <c r="DI899">
        <v>0</v>
      </c>
    </row>
    <row r="900" spans="107:113" x14ac:dyDescent="0.25">
      <c r="DC900" s="43" t="s">
        <v>122</v>
      </c>
      <c r="DD900" s="43" t="s">
        <v>26</v>
      </c>
      <c r="DE900" s="43" t="s">
        <v>124</v>
      </c>
      <c r="DF900">
        <v>0</v>
      </c>
      <c r="DG900" t="s">
        <v>273</v>
      </c>
      <c r="DH900" s="43" t="s">
        <v>309</v>
      </c>
      <c r="DI900">
        <v>0</v>
      </c>
    </row>
    <row r="901" spans="107:113" x14ac:dyDescent="0.25">
      <c r="DC901" s="43" t="s">
        <v>122</v>
      </c>
      <c r="DD901" s="43" t="s">
        <v>26</v>
      </c>
      <c r="DE901" s="43" t="s">
        <v>124</v>
      </c>
      <c r="DF901">
        <v>0</v>
      </c>
      <c r="DG901" t="s">
        <v>273</v>
      </c>
      <c r="DH901" s="43" t="s">
        <v>268</v>
      </c>
      <c r="DI901">
        <v>0</v>
      </c>
    </row>
    <row r="902" spans="107:113" x14ac:dyDescent="0.25">
      <c r="DC902" s="43" t="s">
        <v>125</v>
      </c>
      <c r="DD902" s="43" t="s">
        <v>26</v>
      </c>
      <c r="DE902" s="43" t="s">
        <v>67</v>
      </c>
      <c r="DF902">
        <v>0</v>
      </c>
      <c r="DG902" t="s">
        <v>317</v>
      </c>
      <c r="DH902" s="43" t="s">
        <v>308</v>
      </c>
      <c r="DI902">
        <v>0</v>
      </c>
    </row>
    <row r="903" spans="107:113" x14ac:dyDescent="0.25">
      <c r="DC903" s="43" t="s">
        <v>125</v>
      </c>
      <c r="DD903" s="43" t="s">
        <v>26</v>
      </c>
      <c r="DE903" s="43" t="s">
        <v>67</v>
      </c>
      <c r="DF903">
        <v>0</v>
      </c>
      <c r="DG903" t="s">
        <v>317</v>
      </c>
      <c r="DH903" s="43" t="s">
        <v>309</v>
      </c>
      <c r="DI903">
        <v>0</v>
      </c>
    </row>
    <row r="904" spans="107:113" x14ac:dyDescent="0.25">
      <c r="DC904" s="43" t="s">
        <v>125</v>
      </c>
      <c r="DD904" s="43" t="s">
        <v>26</v>
      </c>
      <c r="DE904" s="43" t="s">
        <v>67</v>
      </c>
      <c r="DF904">
        <v>0</v>
      </c>
      <c r="DG904" t="s">
        <v>317</v>
      </c>
      <c r="DH904" s="43" t="s">
        <v>268</v>
      </c>
      <c r="DI904">
        <v>0</v>
      </c>
    </row>
    <row r="905" spans="107:113" x14ac:dyDescent="0.25">
      <c r="DC905" s="43" t="s">
        <v>125</v>
      </c>
      <c r="DD905" s="43" t="s">
        <v>26</v>
      </c>
      <c r="DE905" s="43" t="s">
        <v>67</v>
      </c>
      <c r="DF905">
        <v>0</v>
      </c>
      <c r="DG905" t="s">
        <v>325</v>
      </c>
      <c r="DH905" s="43" t="s">
        <v>308</v>
      </c>
      <c r="DI905">
        <v>0</v>
      </c>
    </row>
    <row r="906" spans="107:113" x14ac:dyDescent="0.25">
      <c r="DC906" s="43" t="s">
        <v>125</v>
      </c>
      <c r="DD906" s="43" t="s">
        <v>26</v>
      </c>
      <c r="DE906" s="43" t="s">
        <v>67</v>
      </c>
      <c r="DF906">
        <v>0</v>
      </c>
      <c r="DG906" t="s">
        <v>325</v>
      </c>
      <c r="DH906" s="43" t="s">
        <v>309</v>
      </c>
      <c r="DI906">
        <v>0</v>
      </c>
    </row>
    <row r="907" spans="107:113" x14ac:dyDescent="0.25">
      <c r="DC907" s="43" t="s">
        <v>125</v>
      </c>
      <c r="DD907" s="43" t="s">
        <v>26</v>
      </c>
      <c r="DE907" s="43" t="s">
        <v>67</v>
      </c>
      <c r="DF907">
        <v>0</v>
      </c>
      <c r="DG907" t="s">
        <v>325</v>
      </c>
      <c r="DH907" s="43" t="s">
        <v>268</v>
      </c>
      <c r="DI907">
        <v>0</v>
      </c>
    </row>
    <row r="908" spans="107:113" x14ac:dyDescent="0.25">
      <c r="DC908" s="43" t="s">
        <v>125</v>
      </c>
      <c r="DD908" s="43" t="s">
        <v>26</v>
      </c>
      <c r="DE908" s="43" t="s">
        <v>67</v>
      </c>
      <c r="DF908">
        <v>0</v>
      </c>
      <c r="DG908" t="s">
        <v>330</v>
      </c>
      <c r="DH908" s="43" t="s">
        <v>308</v>
      </c>
      <c r="DI908">
        <v>6.7</v>
      </c>
    </row>
    <row r="909" spans="107:113" x14ac:dyDescent="0.25">
      <c r="DC909" s="43" t="s">
        <v>125</v>
      </c>
      <c r="DD909" s="43" t="s">
        <v>26</v>
      </c>
      <c r="DE909" s="43" t="s">
        <v>67</v>
      </c>
      <c r="DF909">
        <v>0</v>
      </c>
      <c r="DG909" t="s">
        <v>330</v>
      </c>
      <c r="DH909" s="43" t="s">
        <v>309</v>
      </c>
      <c r="DI909">
        <v>16.049999999999997</v>
      </c>
    </row>
    <row r="910" spans="107:113" x14ac:dyDescent="0.25">
      <c r="DC910" s="43" t="s">
        <v>125</v>
      </c>
      <c r="DD910" s="43" t="s">
        <v>26</v>
      </c>
      <c r="DE910" s="43" t="s">
        <v>67</v>
      </c>
      <c r="DF910">
        <v>0</v>
      </c>
      <c r="DG910" t="s">
        <v>330</v>
      </c>
      <c r="DH910" s="43" t="s">
        <v>268</v>
      </c>
      <c r="DI910">
        <v>22.75</v>
      </c>
    </row>
    <row r="911" spans="107:113" x14ac:dyDescent="0.25">
      <c r="DC911" s="43" t="s">
        <v>125</v>
      </c>
      <c r="DD911" s="43" t="s">
        <v>26</v>
      </c>
      <c r="DE911" s="43" t="s">
        <v>67</v>
      </c>
      <c r="DF911">
        <v>0</v>
      </c>
      <c r="DG911" t="s">
        <v>331</v>
      </c>
      <c r="DH911" s="43" t="s">
        <v>308</v>
      </c>
      <c r="DI911">
        <v>0</v>
      </c>
    </row>
    <row r="912" spans="107:113" x14ac:dyDescent="0.25">
      <c r="DC912" s="43" t="s">
        <v>125</v>
      </c>
      <c r="DD912" s="43" t="s">
        <v>26</v>
      </c>
      <c r="DE912" s="43" t="s">
        <v>67</v>
      </c>
      <c r="DF912">
        <v>0</v>
      </c>
      <c r="DG912" t="s">
        <v>331</v>
      </c>
      <c r="DH912" s="43" t="s">
        <v>309</v>
      </c>
      <c r="DI912">
        <v>0</v>
      </c>
    </row>
    <row r="913" spans="107:113" x14ac:dyDescent="0.25">
      <c r="DC913" s="43" t="s">
        <v>125</v>
      </c>
      <c r="DD913" s="43" t="s">
        <v>26</v>
      </c>
      <c r="DE913" s="43" t="s">
        <v>67</v>
      </c>
      <c r="DF913">
        <v>0</v>
      </c>
      <c r="DG913" t="s">
        <v>331</v>
      </c>
      <c r="DH913" s="43" t="s">
        <v>268</v>
      </c>
      <c r="DI913">
        <v>0</v>
      </c>
    </row>
    <row r="914" spans="107:113" x14ac:dyDescent="0.25">
      <c r="DC914" s="43" t="s">
        <v>125</v>
      </c>
      <c r="DD914" s="43" t="s">
        <v>26</v>
      </c>
      <c r="DE914" s="43" t="s">
        <v>67</v>
      </c>
      <c r="DF914">
        <v>0</v>
      </c>
      <c r="DG914" t="s">
        <v>341</v>
      </c>
      <c r="DH914" s="43" t="s">
        <v>308</v>
      </c>
      <c r="DI914">
        <v>0</v>
      </c>
    </row>
    <row r="915" spans="107:113" x14ac:dyDescent="0.25">
      <c r="DC915" s="43" t="s">
        <v>125</v>
      </c>
      <c r="DD915" s="43" t="s">
        <v>26</v>
      </c>
      <c r="DE915" s="43" t="s">
        <v>67</v>
      </c>
      <c r="DF915">
        <v>0</v>
      </c>
      <c r="DG915" t="s">
        <v>341</v>
      </c>
      <c r="DH915" s="43" t="s">
        <v>309</v>
      </c>
      <c r="DI915">
        <v>0</v>
      </c>
    </row>
    <row r="916" spans="107:113" x14ac:dyDescent="0.25">
      <c r="DC916" s="43" t="s">
        <v>125</v>
      </c>
      <c r="DD916" s="43" t="s">
        <v>26</v>
      </c>
      <c r="DE916" s="43" t="s">
        <v>67</v>
      </c>
      <c r="DF916">
        <v>0</v>
      </c>
      <c r="DG916" t="s">
        <v>341</v>
      </c>
      <c r="DH916" s="43" t="s">
        <v>268</v>
      </c>
      <c r="DI916">
        <v>0</v>
      </c>
    </row>
    <row r="917" spans="107:113" x14ac:dyDescent="0.25">
      <c r="DC917" s="43" t="s">
        <v>125</v>
      </c>
      <c r="DD917" s="43" t="s">
        <v>26</v>
      </c>
      <c r="DE917" s="43" t="s">
        <v>67</v>
      </c>
      <c r="DF917">
        <v>0</v>
      </c>
      <c r="DG917" t="s">
        <v>273</v>
      </c>
      <c r="DH917" s="43" t="s">
        <v>308</v>
      </c>
      <c r="DI917">
        <v>0</v>
      </c>
    </row>
    <row r="918" spans="107:113" x14ac:dyDescent="0.25">
      <c r="DC918" s="43" t="s">
        <v>125</v>
      </c>
      <c r="DD918" s="43" t="s">
        <v>26</v>
      </c>
      <c r="DE918" s="43" t="s">
        <v>67</v>
      </c>
      <c r="DF918">
        <v>0</v>
      </c>
      <c r="DG918" t="s">
        <v>273</v>
      </c>
      <c r="DH918" s="43" t="s">
        <v>309</v>
      </c>
      <c r="DI918">
        <v>0</v>
      </c>
    </row>
    <row r="919" spans="107:113" x14ac:dyDescent="0.25">
      <c r="DC919" s="43" t="s">
        <v>125</v>
      </c>
      <c r="DD919" s="43" t="s">
        <v>26</v>
      </c>
      <c r="DE919" s="43" t="s">
        <v>67</v>
      </c>
      <c r="DF919">
        <v>0</v>
      </c>
      <c r="DG919" t="s">
        <v>273</v>
      </c>
      <c r="DH919" s="43" t="s">
        <v>268</v>
      </c>
      <c r="DI919">
        <v>0</v>
      </c>
    </row>
    <row r="920" spans="107:113" x14ac:dyDescent="0.25">
      <c r="DC920" s="43" t="s">
        <v>54</v>
      </c>
      <c r="DD920" s="43" t="s">
        <v>26</v>
      </c>
      <c r="DE920" s="43" t="s">
        <v>56</v>
      </c>
      <c r="DF920">
        <v>0</v>
      </c>
      <c r="DG920" t="s">
        <v>317</v>
      </c>
      <c r="DH920" s="43" t="s">
        <v>308</v>
      </c>
      <c r="DI920">
        <v>0</v>
      </c>
    </row>
    <row r="921" spans="107:113" x14ac:dyDescent="0.25">
      <c r="DC921" s="43" t="s">
        <v>54</v>
      </c>
      <c r="DD921" s="43" t="s">
        <v>26</v>
      </c>
      <c r="DE921" s="43" t="s">
        <v>56</v>
      </c>
      <c r="DF921">
        <v>0</v>
      </c>
      <c r="DG921" t="s">
        <v>317</v>
      </c>
      <c r="DH921" s="43" t="s">
        <v>309</v>
      </c>
      <c r="DI921">
        <v>0</v>
      </c>
    </row>
    <row r="922" spans="107:113" x14ac:dyDescent="0.25">
      <c r="DC922" s="43" t="s">
        <v>54</v>
      </c>
      <c r="DD922" s="43" t="s">
        <v>26</v>
      </c>
      <c r="DE922" s="43" t="s">
        <v>56</v>
      </c>
      <c r="DF922">
        <v>0</v>
      </c>
      <c r="DG922" t="s">
        <v>317</v>
      </c>
      <c r="DH922" s="43" t="s">
        <v>268</v>
      </c>
      <c r="DI922">
        <v>0</v>
      </c>
    </row>
    <row r="923" spans="107:113" x14ac:dyDescent="0.25">
      <c r="DC923" s="43" t="s">
        <v>54</v>
      </c>
      <c r="DD923" s="43" t="s">
        <v>26</v>
      </c>
      <c r="DE923" s="43" t="s">
        <v>56</v>
      </c>
      <c r="DF923">
        <v>0</v>
      </c>
      <c r="DG923" t="s">
        <v>325</v>
      </c>
      <c r="DH923" s="43" t="s">
        <v>308</v>
      </c>
      <c r="DI923">
        <v>1.6</v>
      </c>
    </row>
    <row r="924" spans="107:113" x14ac:dyDescent="0.25">
      <c r="DC924" s="43" t="s">
        <v>54</v>
      </c>
      <c r="DD924" s="43" t="s">
        <v>26</v>
      </c>
      <c r="DE924" s="43" t="s">
        <v>56</v>
      </c>
      <c r="DF924">
        <v>0</v>
      </c>
      <c r="DG924" t="s">
        <v>325</v>
      </c>
      <c r="DH924" s="43" t="s">
        <v>309</v>
      </c>
      <c r="DI924">
        <v>8.3000000000000007</v>
      </c>
    </row>
    <row r="925" spans="107:113" x14ac:dyDescent="0.25">
      <c r="DC925" s="43" t="s">
        <v>54</v>
      </c>
      <c r="DD925" s="43" t="s">
        <v>26</v>
      </c>
      <c r="DE925" s="43" t="s">
        <v>56</v>
      </c>
      <c r="DF925">
        <v>0</v>
      </c>
      <c r="DG925" t="s">
        <v>325</v>
      </c>
      <c r="DH925" s="43" t="s">
        <v>268</v>
      </c>
      <c r="DI925">
        <v>9.9</v>
      </c>
    </row>
    <row r="926" spans="107:113" x14ac:dyDescent="0.25">
      <c r="DC926" s="43" t="s">
        <v>54</v>
      </c>
      <c r="DD926" s="43" t="s">
        <v>26</v>
      </c>
      <c r="DE926" s="43" t="s">
        <v>56</v>
      </c>
      <c r="DF926">
        <v>0</v>
      </c>
      <c r="DG926" t="s">
        <v>330</v>
      </c>
      <c r="DH926" s="43" t="s">
        <v>308</v>
      </c>
      <c r="DI926">
        <v>0</v>
      </c>
    </row>
    <row r="927" spans="107:113" x14ac:dyDescent="0.25">
      <c r="DC927" s="43" t="s">
        <v>54</v>
      </c>
      <c r="DD927" s="43" t="s">
        <v>26</v>
      </c>
      <c r="DE927" s="43" t="s">
        <v>56</v>
      </c>
      <c r="DF927">
        <v>0</v>
      </c>
      <c r="DG927" t="s">
        <v>330</v>
      </c>
      <c r="DH927" s="43" t="s">
        <v>309</v>
      </c>
      <c r="DI927">
        <v>0</v>
      </c>
    </row>
    <row r="928" spans="107:113" x14ac:dyDescent="0.25">
      <c r="DC928" s="43" t="s">
        <v>54</v>
      </c>
      <c r="DD928" s="43" t="s">
        <v>26</v>
      </c>
      <c r="DE928" s="43" t="s">
        <v>56</v>
      </c>
      <c r="DF928">
        <v>0</v>
      </c>
      <c r="DG928" t="s">
        <v>330</v>
      </c>
      <c r="DH928" s="43" t="s">
        <v>268</v>
      </c>
      <c r="DI928">
        <v>0</v>
      </c>
    </row>
    <row r="929" spans="107:113" x14ac:dyDescent="0.25">
      <c r="DC929" s="43" t="s">
        <v>54</v>
      </c>
      <c r="DD929" s="43" t="s">
        <v>26</v>
      </c>
      <c r="DE929" s="43" t="s">
        <v>56</v>
      </c>
      <c r="DF929">
        <v>0</v>
      </c>
      <c r="DG929" t="s">
        <v>331</v>
      </c>
      <c r="DH929" s="43" t="s">
        <v>308</v>
      </c>
      <c r="DI929">
        <v>0</v>
      </c>
    </row>
    <row r="930" spans="107:113" x14ac:dyDescent="0.25">
      <c r="DC930" s="43" t="s">
        <v>54</v>
      </c>
      <c r="DD930" s="43" t="s">
        <v>26</v>
      </c>
      <c r="DE930" s="43" t="s">
        <v>56</v>
      </c>
      <c r="DF930">
        <v>0</v>
      </c>
      <c r="DG930" t="s">
        <v>331</v>
      </c>
      <c r="DH930" s="43" t="s">
        <v>309</v>
      </c>
      <c r="DI930">
        <v>0</v>
      </c>
    </row>
    <row r="931" spans="107:113" x14ac:dyDescent="0.25">
      <c r="DC931" s="43" t="s">
        <v>54</v>
      </c>
      <c r="DD931" s="43" t="s">
        <v>26</v>
      </c>
      <c r="DE931" s="43" t="s">
        <v>56</v>
      </c>
      <c r="DF931">
        <v>0</v>
      </c>
      <c r="DG931" t="s">
        <v>331</v>
      </c>
      <c r="DH931" s="43" t="s">
        <v>268</v>
      </c>
      <c r="DI931">
        <v>0</v>
      </c>
    </row>
    <row r="932" spans="107:113" x14ac:dyDescent="0.25">
      <c r="DC932" s="43" t="s">
        <v>54</v>
      </c>
      <c r="DD932" s="43" t="s">
        <v>26</v>
      </c>
      <c r="DE932" s="43" t="s">
        <v>56</v>
      </c>
      <c r="DF932">
        <v>0</v>
      </c>
      <c r="DG932" t="s">
        <v>341</v>
      </c>
      <c r="DH932" s="43" t="s">
        <v>308</v>
      </c>
      <c r="DI932">
        <v>0</v>
      </c>
    </row>
    <row r="933" spans="107:113" x14ac:dyDescent="0.25">
      <c r="DC933" s="43" t="s">
        <v>54</v>
      </c>
      <c r="DD933" s="43" t="s">
        <v>26</v>
      </c>
      <c r="DE933" s="43" t="s">
        <v>56</v>
      </c>
      <c r="DF933">
        <v>0</v>
      </c>
      <c r="DG933" t="s">
        <v>341</v>
      </c>
      <c r="DH933" s="43" t="s">
        <v>309</v>
      </c>
      <c r="DI933">
        <v>0</v>
      </c>
    </row>
    <row r="934" spans="107:113" x14ac:dyDescent="0.25">
      <c r="DC934" s="43" t="s">
        <v>54</v>
      </c>
      <c r="DD934" s="43" t="s">
        <v>26</v>
      </c>
      <c r="DE934" s="43" t="s">
        <v>56</v>
      </c>
      <c r="DF934">
        <v>0</v>
      </c>
      <c r="DG934" t="s">
        <v>341</v>
      </c>
      <c r="DH934" s="43" t="s">
        <v>268</v>
      </c>
      <c r="DI934">
        <v>0</v>
      </c>
    </row>
    <row r="935" spans="107:113" x14ac:dyDescent="0.25">
      <c r="DC935" s="43" t="s">
        <v>54</v>
      </c>
      <c r="DD935" s="43" t="s">
        <v>26</v>
      </c>
      <c r="DE935" s="43" t="s">
        <v>56</v>
      </c>
      <c r="DF935">
        <v>0</v>
      </c>
      <c r="DG935" t="s">
        <v>273</v>
      </c>
      <c r="DH935" s="43" t="s">
        <v>308</v>
      </c>
      <c r="DI935">
        <v>0</v>
      </c>
    </row>
    <row r="936" spans="107:113" x14ac:dyDescent="0.25">
      <c r="DC936" s="43" t="s">
        <v>54</v>
      </c>
      <c r="DD936" s="43" t="s">
        <v>26</v>
      </c>
      <c r="DE936" s="43" t="s">
        <v>56</v>
      </c>
      <c r="DF936">
        <v>0</v>
      </c>
      <c r="DG936" t="s">
        <v>273</v>
      </c>
      <c r="DH936" s="43" t="s">
        <v>309</v>
      </c>
      <c r="DI936">
        <v>0</v>
      </c>
    </row>
    <row r="937" spans="107:113" x14ac:dyDescent="0.25">
      <c r="DC937" s="43" t="s">
        <v>54</v>
      </c>
      <c r="DD937" s="43" t="s">
        <v>26</v>
      </c>
      <c r="DE937" s="43" t="s">
        <v>56</v>
      </c>
      <c r="DF937">
        <v>0</v>
      </c>
      <c r="DG937" t="s">
        <v>273</v>
      </c>
      <c r="DH937" s="43" t="s">
        <v>268</v>
      </c>
      <c r="DI937">
        <v>0</v>
      </c>
    </row>
  </sheetData>
  <mergeCells count="2">
    <mergeCell ref="CW2:CW7"/>
    <mergeCell ref="CW8:CW13"/>
  </mergeCells>
  <phoneticPr fontId="1" type="noConversion"/>
  <conditionalFormatting sqref="A2:A53">
    <cfRule type="expression" dxfId="492" priority="1">
      <formula>IF($B2="junior",$CR2=LARGE(_xlfn._xlws.FILTER($CR$2:$CR$53,$B$2:$B$53="junior"),1),$CR2=LARGE(_xlfn._xlws.FILTER($CR$2:$CR$53,$B$2:$B$53="senior"),1))</formula>
    </cfRule>
    <cfRule type="expression" dxfId="491" priority="2">
      <formula>IF($B2="junior",$CR2=LARGE(_xlfn._xlws.FILTER($CR$2:$CR$53,$B$2:$B$53="junior"),2),$CR2=LARGE(_xlfn._xlws.FILTER($CR$2:$CR$53,$B$2:$B$53="senior"),2))</formula>
    </cfRule>
    <cfRule type="expression" dxfId="490" priority="3">
      <formula>IF($B2="junior",$CR2=LARGE(_xlfn._xlws.FILTER($CR$2:$CR$53,$B$2:$B$53="junior"),3),$CR2=LARGE(_xlfn._xlws.FILTER($CR$2:$CR$53,$B$2:$B$53="senior"),3))</formula>
    </cfRule>
    <cfRule type="expression" dxfId="489" priority="4">
      <formula>IF($B2="junior",$CP2=MAX(_xlfn._xlws.FILTER($CP$2:$CP$53,$B$2:$B$53="junior")),$CP2=MAX(_xlfn._xlws.FILTER($CP$2:$CP$53,$B$2:$B$53="senior")))</formula>
    </cfRule>
    <cfRule type="expression" dxfId="488" priority="5">
      <formula>IF($B2="junior",$CQ2=MAX(_xlfn._xlws.FILTER($CQ$2:$CQ$53,$B$2:$B$53="junior")),$CQ2=MAX(_xlfn._xlws.FILTER($CQ$2:$CQ$53,$B$2:$B$53="senior")))</formula>
    </cfRule>
  </conditionalFormatting>
  <conditionalFormatting sqref="F57:F63">
    <cfRule type="expression" dxfId="487" priority="25">
      <formula>AND(AND($B3="senior",F57&lt;2.9),F57&gt;0)</formula>
    </cfRule>
    <cfRule type="expression" dxfId="486" priority="26">
      <formula>AND(AND($B3="junior",F57&lt;2.6),F57&gt;0)</formula>
    </cfRule>
  </conditionalFormatting>
  <conditionalFormatting sqref="X2:X53 AT2:AT53 BP2:BP53 CL2:CL53">
    <cfRule type="expression" dxfId="485" priority="17">
      <formula>IF($B2="junior",X2&gt;=($CY$8+$CZ$8),X2&gt;=($CY$2+$CZ$2))</formula>
    </cfRule>
  </conditionalFormatting>
  <conditionalFormatting sqref="X58:X69">
    <cfRule type="expression" dxfId="484" priority="21">
      <formula>AND(AND($B58="senior",X58&lt;2.9),X58&gt;0)</formula>
    </cfRule>
    <cfRule type="expression" dxfId="483" priority="22">
      <formula>AND(AND($B58="junior",X58&lt;2.6),X58&gt;0)</formula>
    </cfRule>
  </conditionalFormatting>
  <conditionalFormatting sqref="Z2:Z53 AV2:AV53 BR2:BR53 CN2:CN53">
    <cfRule type="expression" dxfId="482" priority="14">
      <formula>IF($B2="junior",Z2&gt;=$DA$10,Z2&gt;=$DA$4)</formula>
    </cfRule>
    <cfRule type="expression" dxfId="481" priority="15">
      <formula>IF($B2="junior",Z2&gt;=($CY$10+$CZ$10),Z2&gt;=($CY$4+$CZ$4))</formula>
    </cfRule>
  </conditionalFormatting>
  <conditionalFormatting sqref="AA2:CO2 AA3:CU38 Z39:CU47 F48:CU53 F2:W47">
    <cfRule type="cellIs" dxfId="480" priority="27" operator="equal">
      <formula>0</formula>
    </cfRule>
  </conditionalFormatting>
  <conditionalFormatting sqref="CP2:CP53">
    <cfRule type="expression" dxfId="479" priority="8">
      <formula>IF($B2="junior",CP2&gt;=($CY$11+$CZ$11),CP2&gt;=($CY$5+$CZ$5))</formula>
    </cfRule>
  </conditionalFormatting>
  <conditionalFormatting sqref="CQ2:CQ53">
    <cfRule type="expression" dxfId="478" priority="12">
      <formula>IF($B2="junior",CQ2&gt;=$CY$12+$CZ$12,CQ2&gt;=$CY$6+$CZ$6)</formula>
    </cfRule>
  </conditionalFormatting>
  <conditionalFormatting sqref="CR2:CR53">
    <cfRule type="expression" dxfId="477" priority="7">
      <formula>IF($B2="junior",CR2&gt;=$DA$13,CR2&gt;=$DA$7)</formula>
    </cfRule>
    <cfRule type="expression" dxfId="476" priority="11">
      <formula>IF($B2="junior",CR2&gt;=($CY$13+$CZ$13),CR2&gt;=($CY$7+$CZ$7))</formula>
    </cfRule>
  </conditionalFormatting>
  <conditionalFormatting sqref="CS2:CS53">
    <cfRule type="expression" dxfId="475" priority="9">
      <formula>IF($B2="junior",CS2&gt;=($CY$8+$CZ$8),CS2&gt;=($CY$2+$CZ$2))</formula>
    </cfRule>
  </conditionalFormatting>
  <conditionalFormatting sqref="CT2:CT53">
    <cfRule type="expression" dxfId="474" priority="6">
      <formula>IF($B2="junior",CT2&gt;=$CY$9+$CZ$9,CT2&gt;=$CY$3+$CZ$3)</formula>
    </cfRule>
  </conditionalFormatting>
  <conditionalFormatting sqref="CU2:CU53">
    <cfRule type="expression" dxfId="473" priority="10">
      <formula>IF($B2="junior",CU2&gt;=($CY$10+$CZ$10),CU2&gt;=($CY$4+$CZ$4))</formula>
    </cfRule>
  </conditionalFormatting>
  <pageMargins left="0.7" right="0.7" top="0.75" bottom="0.75" header="0.3" footer="0.3"/>
  <drawing r:id="rId2"/>
  <tableParts count="3">
    <tablePart r:id="rId3"/>
    <tablePart r:id="rId4"/>
    <tablePart r:id="rId5"/>
  </tablePart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856708C9-7F2B-4855-A6AC-D750775BA075}">
  <ds:schemaRefs/>
</ds:datastoreItem>
</file>

<file path=customXml/itemProps2.xml><?xml version="1.0" encoding="utf-8"?>
<ds:datastoreItem xmlns:ds="http://schemas.openxmlformats.org/officeDocument/2006/customXml" ds:itemID="{AC38CF00-B751-4787-B67F-AF2C75F5A33B}">
  <ds:schemaRefs/>
</ds:datastoreItem>
</file>

<file path=customXml/itemProps3.xml><?xml version="1.0" encoding="utf-8"?>
<ds:datastoreItem xmlns:ds="http://schemas.openxmlformats.org/officeDocument/2006/customXml" ds:itemID="{A4A1BC66-34C8-42D8-92A7-2A914CD69B1B}">
  <ds:schemaRefs/>
</ds:datastoreItem>
</file>

<file path=customXml/itemProps4.xml><?xml version="1.0" encoding="utf-8"?>
<ds:datastoreItem xmlns:ds="http://schemas.openxmlformats.org/officeDocument/2006/customXml" ds:itemID="{AD53E95C-FA46-4CE5-B555-9F57D6171E90}">
  <ds:schemaRefs/>
</ds:datastoreItem>
</file>

<file path=customXml/itemProps5.xml><?xml version="1.0" encoding="utf-8"?>
<ds:datastoreItem xmlns:ds="http://schemas.openxmlformats.org/officeDocument/2006/customXml" ds:itemID="{63259269-1694-4D13-B086-92370366CDA5}">
  <ds:schemaRefs/>
</ds:datastoreItem>
</file>

<file path=customXml/itemProps6.xml><?xml version="1.0" encoding="utf-8"?>
<ds:datastoreItem xmlns:ds="http://schemas.openxmlformats.org/officeDocument/2006/customXml" ds:itemID="{B1A8283E-552E-435D-B13B-11809C64C32C}">
  <ds:schemaRefs/>
</ds:datastoreItem>
</file>

<file path=customXml/itemProps7.xml><?xml version="1.0" encoding="utf-8"?>
<ds:datastoreItem xmlns:ds="http://schemas.openxmlformats.org/officeDocument/2006/customXml" ds:itemID="{93F6F53A-003B-4287-960D-8D330F038D4C}">
  <ds:schemaRefs/>
</ds:datastoreItem>
</file>

<file path=customXml/itemProps8.xml><?xml version="1.0" encoding="utf-8"?>
<ds:datastoreItem xmlns:ds="http://schemas.openxmlformats.org/officeDocument/2006/customXml" ds:itemID="{17673791-DFA4-475F-86E6-639BD91F0BCE}">
  <ds:schemaRefs/>
</ds:datastoreItem>
</file>

<file path=customXml/itemProps9.xml><?xml version="1.0" encoding="utf-8"?>
<ds:datastoreItem xmlns:ds="http://schemas.openxmlformats.org/officeDocument/2006/customXml" ds:itemID="{FE441B3B-9C1B-4261-ADB0-C98D3FB54FA1}">
  <ds:schemaRefs/>
</ds:datastoreItem>
</file>

<file path=customXml/itemProps10.xml><?xml version="1.0" encoding="utf-8"?>
<ds:datastoreItem xmlns:ds="http://schemas.openxmlformats.org/officeDocument/2006/customXml" ds:itemID="{1F400C8B-174A-439D-B69D-651B6B018096}">
  <ds:schemaRefs/>
</ds:datastoreItem>
</file>

<file path=customXml/itemProps11.xml><?xml version="1.0" encoding="utf-8"?>
<ds:datastoreItem xmlns:ds="http://schemas.openxmlformats.org/officeDocument/2006/customXml" ds:itemID="{11EEA458-C91C-4C21-AF51-174CADD5E782}">
  <ds:schemaRefs/>
</ds:datastoreItem>
</file>

<file path=customXml/itemProps12.xml><?xml version="1.0" encoding="utf-8"?>
<ds:datastoreItem xmlns:ds="http://schemas.openxmlformats.org/officeDocument/2006/customXml" ds:itemID="{6CCA27B6-3C20-4FED-9893-FF64C51DCB93}">
  <ds:schemaRefs/>
</ds:datastoreItem>
</file>

<file path=customXml/itemProps13.xml><?xml version="1.0" encoding="utf-8"?>
<ds:datastoreItem xmlns:ds="http://schemas.openxmlformats.org/officeDocument/2006/customXml" ds:itemID="{2F0EFD71-8469-456A-AEC7-02F71D85E2E5}">
  <ds:schemaRefs/>
</ds:datastoreItem>
</file>

<file path=customXml/itemProps14.xml><?xml version="1.0" encoding="utf-8"?>
<ds:datastoreItem xmlns:ds="http://schemas.openxmlformats.org/officeDocument/2006/customXml" ds:itemID="{C63D1799-B07E-49E7-AA3D-A3404E67CB05}">
  <ds:schemaRefs/>
</ds:datastoreItem>
</file>

<file path=customXml/itemProps15.xml><?xml version="1.0" encoding="utf-8"?>
<ds:datastoreItem xmlns:ds="http://schemas.openxmlformats.org/officeDocument/2006/customXml" ds:itemID="{E4F0C0C0-C256-431E-9F53-ECAFA2834B90}">
  <ds:schemaRefs/>
</ds:datastoreItem>
</file>

<file path=customXml/itemProps16.xml><?xml version="1.0" encoding="utf-8"?>
<ds:datastoreItem xmlns:ds="http://schemas.openxmlformats.org/officeDocument/2006/customXml" ds:itemID="{09642B97-883D-41BA-9A87-63357A1A6A6A}">
  <ds:schemaRefs/>
</ds:datastoreItem>
</file>

<file path=customXml/itemProps17.xml><?xml version="1.0" encoding="utf-8"?>
<ds:datastoreItem xmlns:ds="http://schemas.openxmlformats.org/officeDocument/2006/customXml" ds:itemID="{9EF5688B-223C-484E-BB4E-FA011DE95E29}">
  <ds:schemaRefs/>
</ds:datastoreItem>
</file>

<file path=customXml/itemProps18.xml><?xml version="1.0" encoding="utf-8"?>
<ds:datastoreItem xmlns:ds="http://schemas.openxmlformats.org/officeDocument/2006/customXml" ds:itemID="{782CE1FE-00EB-FE4E-874F-055C932FA8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13</vt:i4>
      </vt:variant>
    </vt:vector>
  </HeadingPairs>
  <TitlesOfParts>
    <vt:vector size="13" baseType="lpstr">
      <vt:lpstr>Dashboard</vt:lpstr>
      <vt:lpstr>Dashoboard_Data</vt:lpstr>
      <vt:lpstr>Bydgoszcz_2022</vt:lpstr>
      <vt:lpstr>Zabrze_2022</vt:lpstr>
      <vt:lpstr>Cracow_2022</vt:lpstr>
      <vt:lpstr>Gdansk_2022</vt:lpstr>
      <vt:lpstr>FX_2022</vt:lpstr>
      <vt:lpstr>PH_2022</vt:lpstr>
      <vt:lpstr>SR_2022</vt:lpstr>
      <vt:lpstr>VT_2022</vt:lpstr>
      <vt:lpstr>PB_2022</vt:lpstr>
      <vt:lpstr>HB_2022</vt:lpstr>
      <vt:lpstr>AA_2022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Centrum Sterowania Rakietowego</dc:creator>
  <cp:lastModifiedBy>Michał Surdej</cp:lastModifiedBy>
  <dcterms:created xsi:type="dcterms:W3CDTF">2023-07-25T06:15:20Z</dcterms:created>
  <dcterms:modified xsi:type="dcterms:W3CDTF">2023-08-23T13:15:42Z</dcterms:modified>
</cp:coreProperties>
</file>