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lga\Desktop\Sebastian Salgado\Marketing\Redes sociales\Estadisticas redes y web\Estadisticas 2019\"/>
    </mc:Choice>
  </mc:AlternateContent>
  <bookViews>
    <workbookView xWindow="0" yWindow="0" windowWidth="19200" windowHeight="6930"/>
  </bookViews>
  <sheets>
    <sheet name="Resumen donante" sheetId="2" r:id="rId1"/>
    <sheet name="Consolidado" sheetId="1" r:id="rId2"/>
    <sheet name="Página Facebook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xlnm._FilterDatabase" localSheetId="1" hidden="1">Consolidado!$A$3:$L$45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3" i="2" l="1"/>
  <c r="R23" i="2"/>
  <c r="O23" i="2"/>
  <c r="M23" i="2"/>
  <c r="M9" i="2"/>
  <c r="C19" i="2"/>
  <c r="D19" i="2" s="1"/>
  <c r="F5" i="2" l="1"/>
  <c r="F7" i="2"/>
  <c r="G43" i="1"/>
  <c r="I9" i="1" l="1"/>
  <c r="I10" i="1"/>
  <c r="I23" i="1"/>
  <c r="I24" i="1"/>
  <c r="F6" i="2" l="1"/>
  <c r="F36" i="1"/>
  <c r="M36" i="1" s="1"/>
  <c r="F40" i="1"/>
  <c r="L40" i="1" s="1"/>
  <c r="J31" i="1"/>
  <c r="G36" i="1"/>
  <c r="I36" i="1" s="1"/>
  <c r="I38" i="1"/>
  <c r="I31" i="1"/>
  <c r="F8" i="2"/>
  <c r="I43" i="1"/>
  <c r="D6" i="3"/>
  <c r="E6" i="3" s="1"/>
  <c r="F21" i="1"/>
  <c r="J21" i="1" s="1"/>
  <c r="F22" i="1"/>
  <c r="J22" i="1" s="1"/>
  <c r="F23" i="1"/>
  <c r="J23" i="1" s="1"/>
  <c r="F24" i="1"/>
  <c r="J24" i="1" s="1"/>
  <c r="F25" i="1"/>
  <c r="J25" i="1" s="1"/>
  <c r="F26" i="1"/>
  <c r="F4" i="1"/>
  <c r="J4" i="1" s="1"/>
  <c r="F5" i="1"/>
  <c r="J5" i="1" s="1"/>
  <c r="F6" i="1"/>
  <c r="J6" i="1" s="1"/>
  <c r="F7" i="1"/>
  <c r="J7" i="1" s="1"/>
  <c r="F8" i="1"/>
  <c r="J8" i="1" s="1"/>
  <c r="F9" i="1"/>
  <c r="J9" i="1" s="1"/>
  <c r="F10" i="1"/>
  <c r="J10" i="1" s="1"/>
  <c r="F11" i="1"/>
  <c r="F12" i="1"/>
  <c r="J12" i="1" s="1"/>
  <c r="F13" i="1"/>
  <c r="J13" i="1" s="1"/>
  <c r="F14" i="1"/>
  <c r="J14" i="1" s="1"/>
  <c r="F15" i="1"/>
  <c r="D48" i="1" s="1"/>
  <c r="F16" i="1"/>
  <c r="F17" i="1"/>
  <c r="J17" i="1" s="1"/>
  <c r="F18" i="1"/>
  <c r="J18" i="1" s="1"/>
  <c r="F19" i="1"/>
  <c r="J19" i="1" s="1"/>
  <c r="F20" i="1"/>
  <c r="F27" i="1"/>
  <c r="J27" i="1" s="1"/>
  <c r="F28" i="1"/>
  <c r="J28" i="1" s="1"/>
  <c r="F29" i="1"/>
  <c r="J29" i="1" s="1"/>
  <c r="F30" i="1"/>
  <c r="J30" i="1" s="1"/>
  <c r="F31" i="1"/>
  <c r="F32" i="1"/>
  <c r="B6" i="2" s="1"/>
  <c r="F33" i="1"/>
  <c r="F34" i="1"/>
  <c r="J34" i="1" s="1"/>
  <c r="F35" i="1"/>
  <c r="J35" i="1" s="1"/>
  <c r="F37" i="1"/>
  <c r="J37" i="1" s="1"/>
  <c r="F38" i="1"/>
  <c r="J38" i="1" s="1"/>
  <c r="F39" i="1"/>
  <c r="J39" i="1" s="1"/>
  <c r="F41" i="1"/>
  <c r="J41" i="1" s="1"/>
  <c r="F42" i="1"/>
  <c r="B8" i="2" s="1"/>
  <c r="J8" i="2" s="1"/>
  <c r="F43" i="1"/>
  <c r="J43" i="1" s="1"/>
  <c r="F44" i="1"/>
  <c r="J44" i="1" s="1"/>
  <c r="K42" i="1"/>
  <c r="I8" i="2" s="1"/>
  <c r="K43" i="1"/>
  <c r="K44" i="1"/>
  <c r="L44" i="1" s="1"/>
  <c r="G42" i="1"/>
  <c r="D8" i="2" s="1"/>
  <c r="G44" i="1"/>
  <c r="I44" i="1" s="1"/>
  <c r="K39" i="1"/>
  <c r="I7" i="2" s="1"/>
  <c r="K40" i="1"/>
  <c r="K41" i="1"/>
  <c r="L41" i="1" s="1"/>
  <c r="G39" i="1"/>
  <c r="I39" i="1" s="1"/>
  <c r="G40" i="1"/>
  <c r="I40" i="1" s="1"/>
  <c r="G41" i="1"/>
  <c r="I41" i="1" s="1"/>
  <c r="D7" i="2"/>
  <c r="G7" i="2" s="1"/>
  <c r="K31" i="1"/>
  <c r="L31" i="1" s="1"/>
  <c r="K32" i="1"/>
  <c r="K33" i="1"/>
  <c r="K34" i="1"/>
  <c r="L34" i="1" s="1"/>
  <c r="K35" i="1"/>
  <c r="K36" i="1"/>
  <c r="K37" i="1"/>
  <c r="L37" i="1" s="1"/>
  <c r="K38" i="1"/>
  <c r="G32" i="1"/>
  <c r="I32" i="1" s="1"/>
  <c r="G33" i="1"/>
  <c r="I33" i="1" s="1"/>
  <c r="G34" i="1"/>
  <c r="I34" i="1" s="1"/>
  <c r="G35" i="1"/>
  <c r="I35" i="1" s="1"/>
  <c r="G37" i="1"/>
  <c r="I37" i="1" s="1"/>
  <c r="G38" i="1"/>
  <c r="D6" i="2"/>
  <c r="K4" i="1"/>
  <c r="K5" i="1"/>
  <c r="I5" i="2" s="1"/>
  <c r="K6" i="1"/>
  <c r="K7" i="1"/>
  <c r="K8" i="1"/>
  <c r="K9" i="1"/>
  <c r="K10" i="1"/>
  <c r="K11" i="1"/>
  <c r="K12" i="1"/>
  <c r="K13" i="1"/>
  <c r="K14" i="1"/>
  <c r="K15" i="1"/>
  <c r="K16" i="1"/>
  <c r="L16" i="1" s="1"/>
  <c r="K17" i="1"/>
  <c r="K18" i="1"/>
  <c r="K19" i="1"/>
  <c r="K20" i="1"/>
  <c r="K21" i="1"/>
  <c r="K22" i="1"/>
  <c r="K24" i="1"/>
  <c r="K25" i="1"/>
  <c r="K26" i="1"/>
  <c r="K27" i="1"/>
  <c r="L27" i="1" s="1"/>
  <c r="K28" i="1"/>
  <c r="K29" i="1"/>
  <c r="K30" i="1"/>
  <c r="G4" i="1"/>
  <c r="I4" i="1" s="1"/>
  <c r="G5" i="1"/>
  <c r="I5" i="1" s="1"/>
  <c r="G6" i="1"/>
  <c r="I6" i="1" s="1"/>
  <c r="G7" i="1"/>
  <c r="I7" i="1" s="1"/>
  <c r="G8" i="1"/>
  <c r="I8" i="1" s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20" i="1"/>
  <c r="G21" i="1"/>
  <c r="I21" i="1" s="1"/>
  <c r="G22" i="1"/>
  <c r="I22" i="1" s="1"/>
  <c r="G25" i="1"/>
  <c r="I25" i="1" s="1"/>
  <c r="G26" i="1"/>
  <c r="I26" i="1" s="1"/>
  <c r="G28" i="1"/>
  <c r="I28" i="1" s="1"/>
  <c r="G29" i="1"/>
  <c r="I29" i="1" s="1"/>
  <c r="G30" i="1"/>
  <c r="I30" i="1" s="1"/>
  <c r="M5" i="1"/>
  <c r="M8" i="1"/>
  <c r="M9" i="1"/>
  <c r="M42" i="1"/>
  <c r="M33" i="1"/>
  <c r="M12" i="1"/>
  <c r="M43" i="1"/>
  <c r="M14" i="1"/>
  <c r="M16" i="1"/>
  <c r="M17" i="1"/>
  <c r="M44" i="1"/>
  <c r="M34" i="1"/>
  <c r="M35" i="1"/>
  <c r="M21" i="1"/>
  <c r="M22" i="1"/>
  <c r="M23" i="1"/>
  <c r="M24" i="1"/>
  <c r="M25" i="1"/>
  <c r="M40" i="1"/>
  <c r="M37" i="1"/>
  <c r="M41" i="1"/>
  <c r="M31" i="1"/>
  <c r="L30" i="1"/>
  <c r="L28" i="1"/>
  <c r="G27" i="1"/>
  <c r="I27" i="1" s="1"/>
  <c r="L24" i="1"/>
  <c r="L23" i="1"/>
  <c r="L26" i="1"/>
  <c r="L20" i="1"/>
  <c r="L35" i="1"/>
  <c r="L21" i="1"/>
  <c r="L17" i="1"/>
  <c r="L19" i="1"/>
  <c r="L43" i="1"/>
  <c r="L15" i="1"/>
  <c r="L14" i="1"/>
  <c r="L8" i="1"/>
  <c r="L9" i="1"/>
  <c r="L42" i="1"/>
  <c r="L33" i="1"/>
  <c r="L11" i="1"/>
  <c r="L12" i="1"/>
  <c r="L4" i="1"/>
  <c r="L6" i="1"/>
  <c r="L5" i="1"/>
  <c r="F9" i="2" l="1"/>
  <c r="G6" i="2"/>
  <c r="H8" i="2"/>
  <c r="H6" i="2"/>
  <c r="E6" i="2"/>
  <c r="E8" i="2"/>
  <c r="I6" i="2"/>
  <c r="J6" i="2" s="1"/>
  <c r="L13" i="1"/>
  <c r="L36" i="1"/>
  <c r="M30" i="1"/>
  <c r="M26" i="1"/>
  <c r="M18" i="1"/>
  <c r="M13" i="1"/>
  <c r="D5" i="2"/>
  <c r="J36" i="1"/>
  <c r="M29" i="1"/>
  <c r="J42" i="1"/>
  <c r="L39" i="1"/>
  <c r="L7" i="1"/>
  <c r="L25" i="1"/>
  <c r="M28" i="1"/>
  <c r="M39" i="1"/>
  <c r="M7" i="1"/>
  <c r="I42" i="1"/>
  <c r="L38" i="1"/>
  <c r="L29" i="1"/>
  <c r="M38" i="1"/>
  <c r="M11" i="1"/>
  <c r="M6" i="1"/>
  <c r="J40" i="1"/>
  <c r="L32" i="1"/>
  <c r="L22" i="1"/>
  <c r="M27" i="1"/>
  <c r="M15" i="1"/>
  <c r="M32" i="1"/>
  <c r="M4" i="1"/>
  <c r="B7" i="2"/>
  <c r="L10" i="1"/>
  <c r="L18" i="1"/>
  <c r="M19" i="1"/>
  <c r="M10" i="1"/>
  <c r="B5" i="2"/>
  <c r="G8" i="2"/>
  <c r="I9" i="2" l="1"/>
  <c r="G5" i="2"/>
  <c r="D9" i="2"/>
  <c r="G9" i="2" s="1"/>
  <c r="H5" i="2"/>
  <c r="J5" i="2"/>
  <c r="E5" i="2"/>
  <c r="B9" i="2"/>
  <c r="H7" i="2"/>
  <c r="E7" i="2"/>
  <c r="J7" i="2"/>
  <c r="C5" i="2" l="1"/>
  <c r="E9" i="2"/>
  <c r="J9" i="2"/>
  <c r="H9" i="2"/>
  <c r="C7" i="2"/>
  <c r="C8" i="2"/>
  <c r="C6" i="2"/>
  <c r="C9" i="2" l="1"/>
</calcChain>
</file>

<file path=xl/sharedStrings.xml><?xml version="1.0" encoding="utf-8"?>
<sst xmlns="http://schemas.openxmlformats.org/spreadsheetml/2006/main" count="236" uniqueCount="88">
  <si>
    <t>Total</t>
  </si>
  <si>
    <t>Honduras</t>
  </si>
  <si>
    <t>El Salvador</t>
  </si>
  <si>
    <t>Ecuador</t>
  </si>
  <si>
    <t>Bolivia</t>
  </si>
  <si>
    <t>Cost per mediator</t>
  </si>
  <si>
    <t>Enrolled</t>
  </si>
  <si>
    <t>Prospects</t>
  </si>
  <si>
    <t>Investment</t>
  </si>
  <si>
    <t>Country</t>
  </si>
  <si>
    <t>La Paz</t>
  </si>
  <si>
    <t>Montero</t>
  </si>
  <si>
    <t>Santa Cruz</t>
  </si>
  <si>
    <t>Cochabamba</t>
  </si>
  <si>
    <t>Campaign</t>
  </si>
  <si>
    <t>Efectv Enroll vs Prospects</t>
  </si>
  <si>
    <t>Quito - Guayaquil Tena</t>
  </si>
  <si>
    <t>Course</t>
  </si>
  <si>
    <t>Superior</t>
  </si>
  <si>
    <t>Reach</t>
  </si>
  <si>
    <t>El Alto</t>
  </si>
  <si>
    <t>Leads</t>
  </si>
  <si>
    <t>Month</t>
  </si>
  <si>
    <t>January</t>
  </si>
  <si>
    <t>Cochabamba 2</t>
  </si>
  <si>
    <t>February</t>
  </si>
  <si>
    <t>Villamontes</t>
  </si>
  <si>
    <t>San Pedro Sula, Tegucigalpa, La Ceiba</t>
  </si>
  <si>
    <t>Riobamba</t>
  </si>
  <si>
    <t xml:space="preserve">Quito  </t>
  </si>
  <si>
    <t>Cobija</t>
  </si>
  <si>
    <t>March</t>
  </si>
  <si>
    <t>Medio</t>
  </si>
  <si>
    <t>Oruro</t>
  </si>
  <si>
    <t>April</t>
  </si>
  <si>
    <t>Tarija</t>
  </si>
  <si>
    <t>%Effectivness</t>
  </si>
  <si>
    <t>Tegucigalpa, San Pedro Sula, Choluteca y Santa Rosa de Copán</t>
  </si>
  <si>
    <t>May</t>
  </si>
  <si>
    <t>Los Reyes</t>
  </si>
  <si>
    <t>San Salvador, La Libertad, San Miguel</t>
  </si>
  <si>
    <t>Yacuiba, Tarija</t>
  </si>
  <si>
    <t>June</t>
  </si>
  <si>
    <t>Tegucigalpa, San Pedro Sula</t>
  </si>
  <si>
    <t>Quito, Guayaquil, Ambato y Riobamba</t>
  </si>
  <si>
    <t>Trinidad</t>
  </si>
  <si>
    <t>July</t>
  </si>
  <si>
    <t>Quito</t>
  </si>
  <si>
    <t>August</t>
  </si>
  <si>
    <t>Quito. Riobamba</t>
  </si>
  <si>
    <t>Villazon</t>
  </si>
  <si>
    <t>Yacuma</t>
  </si>
  <si>
    <t>September</t>
  </si>
  <si>
    <t xml:space="preserve">San Salvador  </t>
  </si>
  <si>
    <t>Bermejo</t>
  </si>
  <si>
    <t>October</t>
  </si>
  <si>
    <t>Potosi</t>
  </si>
  <si>
    <t>San Salvador</t>
  </si>
  <si>
    <t>Total Investment</t>
  </si>
  <si>
    <t>Cost per prospect</t>
  </si>
  <si>
    <t>Reach cost per 1000</t>
  </si>
  <si>
    <t>%</t>
  </si>
  <si>
    <t>Year 2018</t>
  </si>
  <si>
    <t>Year 2019</t>
  </si>
  <si>
    <t>Growth</t>
  </si>
  <si>
    <t>Cost x mediator</t>
  </si>
  <si>
    <t>Cost x 1000</t>
  </si>
  <si>
    <t>Cost x lead</t>
  </si>
  <si>
    <t>FACEBOOK FOLLOWERS 2019</t>
  </si>
  <si>
    <t>FACEBOOK INVESTMENT 2019</t>
  </si>
  <si>
    <t>FACEBOOK GROWTH 2018 - 2019</t>
  </si>
  <si>
    <t>Interest</t>
  </si>
  <si>
    <t>LEADS WEB JUNE TO NOVEMBER 2019</t>
  </si>
  <si>
    <t>CS, CM, CB</t>
  </si>
  <si>
    <t>CS, CM</t>
  </si>
  <si>
    <t>United States</t>
  </si>
  <si>
    <t>Peru</t>
  </si>
  <si>
    <t>Argentina</t>
  </si>
  <si>
    <t>Colombia</t>
  </si>
  <si>
    <t>Netherlands</t>
  </si>
  <si>
    <t>Mexico</t>
  </si>
  <si>
    <t>Users</t>
  </si>
  <si>
    <t>New Users</t>
  </si>
  <si>
    <t>Sessions</t>
  </si>
  <si>
    <t>Pages / Sessions</t>
  </si>
  <si>
    <t>Session length</t>
  </si>
  <si>
    <t>Reboot %</t>
  </si>
  <si>
    <t>WEB USERS JANUARY TO NOVEMBER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</si>
</sst>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2" applyFont="1" applyBorder="1" applyAlignment="1">
      <alignment horizontal="center"/>
    </xf>
    <xf numFmtId="0" fontId="0" fillId="0" borderId="0" xfId="0" applyBorder="1" applyAlignment="1">
      <alignment horizontal="center"/>
    </xf>
    <xf numFmtId="8" fontId="0" fillId="0" borderId="0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9" fontId="0" fillId="0" borderId="2" xfId="2" applyFont="1" applyBorder="1" applyAlignment="1">
      <alignment horizontal="center"/>
    </xf>
    <xf numFmtId="8" fontId="0" fillId="0" borderId="2" xfId="0" applyNumberFormat="1" applyBorder="1" applyAlignment="1">
      <alignment horizontal="center"/>
    </xf>
    <xf numFmtId="0" fontId="0" fillId="0" borderId="0" xfId="0" applyAlignment="1">
      <alignment wrapText="1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8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8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3" fontId="0" fillId="0" borderId="2" xfId="0" applyNumberFormat="1" applyBorder="1" applyAlignment="1">
      <alignment horizontal="center"/>
    </xf>
    <xf numFmtId="9" fontId="0" fillId="0" borderId="0" xfId="2" applyFont="1"/>
    <xf numFmtId="0" fontId="2" fillId="0" borderId="2" xfId="0" applyFont="1" applyBorder="1"/>
    <xf numFmtId="1" fontId="2" fillId="0" borderId="2" xfId="0" applyNumberFormat="1" applyFont="1" applyBorder="1"/>
    <xf numFmtId="164" fontId="0" fillId="0" borderId="2" xfId="3" applyNumberFormat="1" applyFont="1" applyBorder="1"/>
    <xf numFmtId="164" fontId="0" fillId="0" borderId="0" xfId="0" applyNumberFormat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8" fontId="0" fillId="0" borderId="2" xfId="0" applyNumberFormat="1" applyBorder="1" applyAlignment="1">
      <alignment horizontal="center" vertical="center"/>
    </xf>
    <xf numFmtId="9" fontId="0" fillId="0" borderId="2" xfId="2" applyFont="1" applyBorder="1" applyAlignment="1">
      <alignment horizontal="center" vertical="center"/>
    </xf>
    <xf numFmtId="44" fontId="0" fillId="0" borderId="2" xfId="1" applyFont="1" applyBorder="1" applyAlignment="1">
      <alignment vertical="center"/>
    </xf>
    <xf numFmtId="3" fontId="0" fillId="0" borderId="2" xfId="0" applyNumberForma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8" fontId="0" fillId="0" borderId="2" xfId="0" applyNumberFormat="1" applyFill="1" applyBorder="1" applyAlignment="1">
      <alignment horizontal="center" vertical="center"/>
    </xf>
    <xf numFmtId="3" fontId="0" fillId="0" borderId="2" xfId="0" applyNumberFormat="1" applyFill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9" fontId="0" fillId="0" borderId="2" xfId="2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8" fontId="0" fillId="0" borderId="1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8" fontId="0" fillId="0" borderId="9" xfId="0" applyNumberFormat="1" applyFill="1" applyBorder="1" applyAlignment="1">
      <alignment horizontal="center" vertical="center"/>
    </xf>
    <xf numFmtId="9" fontId="0" fillId="0" borderId="9" xfId="2" applyFont="1" applyBorder="1" applyAlignment="1">
      <alignment horizontal="center" vertical="center"/>
    </xf>
    <xf numFmtId="8" fontId="0" fillId="0" borderId="9" xfId="0" applyNumberFormat="1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8" fontId="0" fillId="0" borderId="7" xfId="0" applyNumberFormat="1" applyBorder="1" applyAlignment="1">
      <alignment horizontal="center" vertical="center"/>
    </xf>
    <xf numFmtId="44" fontId="0" fillId="0" borderId="2" xfId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0" fillId="0" borderId="2" xfId="0" applyNumberFormat="1" applyBorder="1"/>
    <xf numFmtId="0" fontId="2" fillId="0" borderId="0" xfId="0" applyFont="1"/>
    <xf numFmtId="0" fontId="2" fillId="0" borderId="10" xfId="0" applyFont="1" applyBorder="1" applyAlignment="1"/>
    <xf numFmtId="164" fontId="0" fillId="0" borderId="2" xfId="3" applyNumberFormat="1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" xfId="3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44" fontId="0" fillId="0" borderId="0" xfId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wrapText="1"/>
    </xf>
    <xf numFmtId="0" fontId="0" fillId="0" borderId="0" xfId="0" applyAlignment="1"/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10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64" fontId="2" fillId="0" borderId="2" xfId="3" applyNumberFormat="1" applyFont="1" applyBorder="1" applyAlignment="1">
      <alignment horizontal="center"/>
    </xf>
    <xf numFmtId="10" fontId="2" fillId="0" borderId="2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10" xfId="0" applyFont="1" applyBorder="1" applyAlignment="1">
      <alignment horizontal="left"/>
    </xf>
  </cellXfs>
  <cellStyles count="4">
    <cellStyle name="Millares" xfId="3" builtinId="3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Facebook Followers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C85-43AC-B78E-9BF8E34B241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C85-43AC-B78E-9BF8E34B241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C85-43AC-B78E-9BF8E34B241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C85-43AC-B78E-9BF8E34B241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'Resumen donante'!$A$13:$D$13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 formatCode="0">
                  <c:v>2019</c:v>
                </c:pt>
              </c:numCache>
            </c:numRef>
          </c:cat>
          <c:val>
            <c:numRef>
              <c:f>'Resumen donante'!$A$14:$D$14</c:f>
              <c:numCache>
                <c:formatCode>_(* #,##0_);_(* \(#,##0\);_(* "-"??_);_(@_)</c:formatCode>
                <c:ptCount val="4"/>
                <c:pt idx="0">
                  <c:v>5378</c:v>
                </c:pt>
                <c:pt idx="1">
                  <c:v>10454</c:v>
                </c:pt>
                <c:pt idx="2">
                  <c:v>21748</c:v>
                </c:pt>
                <c:pt idx="3">
                  <c:v>30500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12-43EA-9E8F-2AD299C5A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4863151"/>
        <c:axId val="1114871055"/>
      </c:barChart>
      <c:catAx>
        <c:axId val="111486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4871055"/>
        <c:crosses val="autoZero"/>
        <c:auto val="1"/>
        <c:lblAlgn val="ctr"/>
        <c:lblOffset val="100"/>
        <c:noMultiLvlLbl val="0"/>
      </c:catAx>
      <c:valAx>
        <c:axId val="111487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4863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/>
              <a:t>Facebook</a:t>
            </a:r>
            <a:r>
              <a:rPr lang="es-ES" b="1" baseline="0"/>
              <a:t> </a:t>
            </a:r>
            <a:r>
              <a:rPr lang="es-ES" b="1"/>
              <a:t>Followers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EB2-4186-ABF1-98D9FDE9B4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'Página Facebook'!$B$5:$C$5</c:f>
              <c:strCache>
                <c:ptCount val="2"/>
                <c:pt idx="0">
                  <c:v>Year 2018</c:v>
                </c:pt>
                <c:pt idx="1">
                  <c:v>Year 2019</c:v>
                </c:pt>
              </c:strCache>
            </c:strRef>
          </c:cat>
          <c:val>
            <c:numRef>
              <c:f>'Página Facebook'!$B$6:$C$6</c:f>
              <c:numCache>
                <c:formatCode>_(* #,##0_);_(* \(#,##0\);_(* "-"??_);_(@_)</c:formatCode>
                <c:ptCount val="2"/>
                <c:pt idx="0">
                  <c:v>21748</c:v>
                </c:pt>
                <c:pt idx="1">
                  <c:v>30500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2-4186-ABF1-98D9FDE9B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7446527"/>
        <c:axId val="1327446943"/>
      </c:barChart>
      <c:catAx>
        <c:axId val="132744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7446943"/>
        <c:crosses val="autoZero"/>
        <c:auto val="1"/>
        <c:lblAlgn val="ctr"/>
        <c:lblOffset val="100"/>
        <c:noMultiLvlLbl val="0"/>
      </c:catAx>
      <c:valAx>
        <c:axId val="132744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7446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342899</xdr:colOff>
      <xdr:row>10</xdr:row>
      <xdr:rowOff>87629</xdr:rowOff>
    </xdr:from>
    <xdr:to>
      <xdr:col>9</xdr:col>
      <xdr:colOff>314324</xdr:colOff>
      <xdr:row>21</xdr:row>
      <xdr:rowOff>180974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47625</xdr:colOff>
      <xdr:row>24</xdr:row>
      <xdr:rowOff>78086</xdr:rowOff>
    </xdr:from>
    <xdr:to>
      <xdr:col>19</xdr:col>
      <xdr:colOff>586817</xdr:colOff>
      <xdr:row>37</xdr:row>
      <xdr:rowOff>133350</xdr:rowOff>
    </xdr:to>
    <xdr:pic>
      <xdr:nvPicPr>
        <xdr:cNvPr id="6" name="Imagen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0" y="5221586"/>
          <a:ext cx="6739967" cy="25317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104775</xdr:colOff>
      <xdr:row>25</xdr:row>
      <xdr:rowOff>133349</xdr:rowOff>
    </xdr:from>
    <xdr:to>
      <xdr:col>9</xdr:col>
      <xdr:colOff>425074</xdr:colOff>
      <xdr:row>42</xdr:row>
      <xdr:rowOff>180974</xdr:rowOff>
    </xdr:to>
    <xdr:pic>
      <xdr:nvPicPr>
        <xdr:cNvPr id="9" name="Imagen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5467349"/>
          <a:ext cx="6721099" cy="3286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147637</xdr:colOff>
      <xdr:row>11</xdr:row>
      <xdr:rowOff>47625</xdr:rowOff>
    </xdr:from>
    <xdr:to>
      <xdr:col>8</xdr:col>
      <xdr:colOff>147637</xdr:colOff>
      <xdr:row>25</xdr:row>
      <xdr:rowOff>123825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ga/Desktop/Sebastian%20Salgado/Marketing/Redes%20sociales/Fee%20mensual/Informes%202019/Febrero/Informe-PRENATAL%20FEBRERO-2019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ga/Desktop/Sebastian%20Salgado/Marketing/Redes%20sociales/Fee%20mensual/Informes%202019/Octubre/Informe-PRENATAL%20OCTUBRE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ga/Desktop/Sebastian%20Salgado/Marketing/Redes%20sociales/Fee%20mensual/Informes%202019/Enero/Informe-PRENATAL-ENERO-2019%20FIN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ga/Desktop/Sebastian%20Salgado/Marketing/Redes%20sociales/Fee%20mensual/Informes%202019/Marzo/Informe-PRENATAL%20MARZO-201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ga/Desktop/Sebastian%20Salgado/Marketing/Redes%20sociales/Fee%20mensual/Informes%202019/Abril/Informe-PRENATAL%20ABRIL-20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ga/Desktop/Sebastian%20Salgado/Marketing/Redes%20sociales/Fee%20mensual/Informes%202019/Mayo/Copia%20de%20Informe-PRENATAL%20MAYO-2019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ga/Desktop/Sebastian%20Salgado/Marketing/Redes%20sociales/Fee%20mensual/Informes%202019/Junio/Informe-PRENATAL%20JUNIO-2019%20(1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ga/Desktop/Sebastian%20Salgado/Marketing/Redes%20sociales/Fee%20mensual/Informes%202019/Julio/Informe-PRENATAL%20JULIO-2019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ga/Desktop/Sebastian%20Salgado/Marketing/Redes%20sociales/Fee%20mensual/Informes%202019/Agosto/Informe-PRENATAL%20AGOSTO-2019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ga/Desktop/Sebastian%20Salgado/Marketing/Redes%20sociales/Fee%20mensual/Informes%202019/Septiembre/Informe-PRENATAL%20SEPTIEMBRE-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E RESULTADOS"/>
      <sheetName val="INFORME PUBLICACIONES"/>
      <sheetName val="INFORME COSTOS"/>
      <sheetName val="RESPALDO PAUTA"/>
    </sheetNames>
    <sheetDataSet>
      <sheetData sheetId="0"/>
      <sheetData sheetId="1"/>
      <sheetData sheetId="2">
        <row r="6">
          <cell r="E6">
            <v>15.27</v>
          </cell>
          <cell r="F6">
            <v>11716</v>
          </cell>
          <cell r="G6">
            <v>152</v>
          </cell>
        </row>
        <row r="7">
          <cell r="E7">
            <v>14.51</v>
          </cell>
          <cell r="F7">
            <v>18911</v>
          </cell>
          <cell r="G7">
            <v>0</v>
          </cell>
        </row>
        <row r="8">
          <cell r="E8">
            <v>3.65</v>
          </cell>
          <cell r="G8">
            <v>0</v>
          </cell>
        </row>
        <row r="13">
          <cell r="E13">
            <v>10.5</v>
          </cell>
          <cell r="F13">
            <v>7606</v>
          </cell>
          <cell r="G13">
            <v>20</v>
          </cell>
        </row>
        <row r="14">
          <cell r="E14">
            <v>6</v>
          </cell>
          <cell r="F14">
            <v>4727</v>
          </cell>
        </row>
        <row r="19">
          <cell r="E19">
            <v>15</v>
          </cell>
          <cell r="F19">
            <v>13277</v>
          </cell>
        </row>
        <row r="20">
          <cell r="E20">
            <v>25</v>
          </cell>
          <cell r="F20">
            <v>12927</v>
          </cell>
          <cell r="G20">
            <v>31</v>
          </cell>
        </row>
        <row r="21">
          <cell r="E21">
            <v>25</v>
          </cell>
          <cell r="F21">
            <v>12170</v>
          </cell>
          <cell r="G21">
            <v>25</v>
          </cell>
        </row>
        <row r="22">
          <cell r="E22">
            <v>25</v>
          </cell>
          <cell r="F22">
            <v>14199</v>
          </cell>
          <cell r="G22">
            <v>51</v>
          </cell>
        </row>
        <row r="23">
          <cell r="E23">
            <v>30</v>
          </cell>
          <cell r="F23">
            <v>13354</v>
          </cell>
          <cell r="G23">
            <v>20</v>
          </cell>
        </row>
        <row r="24">
          <cell r="E24">
            <v>30</v>
          </cell>
          <cell r="F24">
            <v>10371</v>
          </cell>
          <cell r="G24">
            <v>25</v>
          </cell>
        </row>
      </sheetData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E RESULTADOS"/>
      <sheetName val="INFORME PUBLICACIONES"/>
      <sheetName val="EVOLUCIÓN X MES"/>
      <sheetName val="INFORME IG"/>
      <sheetName val="INFORME COSTOS"/>
      <sheetName val="RESPALDO PAUTA"/>
    </sheetNames>
    <sheetDataSet>
      <sheetData sheetId="0"/>
      <sheetData sheetId="1"/>
      <sheetData sheetId="2"/>
      <sheetData sheetId="3"/>
      <sheetData sheetId="4">
        <row r="6">
          <cell r="D6">
            <v>31.66</v>
          </cell>
          <cell r="G6">
            <v>24032</v>
          </cell>
        </row>
        <row r="7">
          <cell r="D7">
            <v>63.85</v>
          </cell>
          <cell r="G7">
            <v>30296</v>
          </cell>
        </row>
        <row r="8">
          <cell r="D8">
            <v>40</v>
          </cell>
          <cell r="G8">
            <v>53232</v>
          </cell>
        </row>
        <row r="9">
          <cell r="D9">
            <v>60</v>
          </cell>
          <cell r="G9">
            <v>36040</v>
          </cell>
          <cell r="J9">
            <v>191</v>
          </cell>
        </row>
        <row r="10">
          <cell r="D10">
            <v>60</v>
          </cell>
          <cell r="G10">
            <v>40360</v>
          </cell>
        </row>
        <row r="11">
          <cell r="D11">
            <v>60</v>
          </cell>
          <cell r="G11">
            <v>33480</v>
          </cell>
          <cell r="J11">
            <v>52</v>
          </cell>
        </row>
        <row r="12">
          <cell r="D12">
            <v>50</v>
          </cell>
          <cell r="G12">
            <v>29296</v>
          </cell>
          <cell r="J12">
            <v>30</v>
          </cell>
        </row>
        <row r="13">
          <cell r="D13">
            <v>50</v>
          </cell>
          <cell r="G13">
            <v>32065</v>
          </cell>
        </row>
        <row r="14">
          <cell r="D14">
            <v>80</v>
          </cell>
          <cell r="G14">
            <v>30751</v>
          </cell>
          <cell r="J14">
            <v>62</v>
          </cell>
        </row>
        <row r="15">
          <cell r="D15">
            <v>50</v>
          </cell>
          <cell r="G15">
            <v>30608</v>
          </cell>
        </row>
        <row r="16">
          <cell r="D16">
            <v>80</v>
          </cell>
          <cell r="G16">
            <v>26440</v>
          </cell>
          <cell r="J16">
            <v>25</v>
          </cell>
        </row>
        <row r="17">
          <cell r="D17">
            <v>31.62</v>
          </cell>
          <cell r="G17">
            <v>18007</v>
          </cell>
        </row>
        <row r="18">
          <cell r="D18">
            <v>36.92</v>
          </cell>
          <cell r="G18">
            <v>23495</v>
          </cell>
          <cell r="J18">
            <v>55</v>
          </cell>
        </row>
        <row r="19">
          <cell r="D19">
            <v>15.72</v>
          </cell>
          <cell r="H19">
            <v>0</v>
          </cell>
          <cell r="J19">
            <v>0</v>
          </cell>
        </row>
        <row r="20">
          <cell r="D20">
            <v>15.56</v>
          </cell>
          <cell r="G20">
            <v>10824</v>
          </cell>
          <cell r="J20">
            <v>8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E RESULTADOS"/>
      <sheetName val="INFORME PUBLICACIONES"/>
      <sheetName val="INFORME COSTOS"/>
      <sheetName val="RESPALDO PAUTA"/>
    </sheetNames>
    <sheetDataSet>
      <sheetData sheetId="0"/>
      <sheetData sheetId="1"/>
      <sheetData sheetId="2">
        <row r="6">
          <cell r="E6">
            <v>15</v>
          </cell>
          <cell r="F6">
            <v>11716</v>
          </cell>
        </row>
        <row r="7">
          <cell r="E7">
            <v>30</v>
          </cell>
          <cell r="F7">
            <v>18911</v>
          </cell>
        </row>
        <row r="8">
          <cell r="F8">
            <v>13072</v>
          </cell>
        </row>
        <row r="9">
          <cell r="F9">
            <v>10154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E RESULTADOS"/>
      <sheetName val="INFORME PUBLICACIONES"/>
      <sheetName val="INFORME COSTOS"/>
      <sheetName val="RESPALDO PAUTA"/>
    </sheetNames>
    <sheetDataSet>
      <sheetData sheetId="0"/>
      <sheetData sheetId="1"/>
      <sheetData sheetId="2">
        <row r="6">
          <cell r="C6">
            <v>13.76</v>
          </cell>
          <cell r="F6">
            <v>13308</v>
          </cell>
        </row>
        <row r="7">
          <cell r="C7">
            <v>2.57</v>
          </cell>
          <cell r="F7">
            <v>7637</v>
          </cell>
        </row>
        <row r="11">
          <cell r="C11">
            <v>22.5</v>
          </cell>
          <cell r="F11">
            <v>19008</v>
          </cell>
          <cell r="G11">
            <v>215</v>
          </cell>
        </row>
        <row r="12">
          <cell r="C12">
            <v>30</v>
          </cell>
          <cell r="F12">
            <v>13251</v>
          </cell>
        </row>
        <row r="13">
          <cell r="C13">
            <v>30</v>
          </cell>
          <cell r="F13">
            <v>18239</v>
          </cell>
          <cell r="G13">
            <v>60</v>
          </cell>
        </row>
        <row r="14">
          <cell r="C14">
            <v>16.38</v>
          </cell>
          <cell r="F14">
            <v>72830</v>
          </cell>
        </row>
        <row r="15">
          <cell r="C15">
            <v>42</v>
          </cell>
          <cell r="F15">
            <v>60433</v>
          </cell>
        </row>
        <row r="16">
          <cell r="C16">
            <v>42</v>
          </cell>
          <cell r="F16">
            <v>64459</v>
          </cell>
        </row>
        <row r="17">
          <cell r="C17">
            <v>42</v>
          </cell>
          <cell r="F17">
            <v>93854</v>
          </cell>
        </row>
        <row r="18">
          <cell r="C18">
            <v>42</v>
          </cell>
          <cell r="F18">
            <v>53822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E RESULTADOS"/>
      <sheetName val="INFORME PUBLICACIONES"/>
      <sheetName val="INFORME COSTOS"/>
      <sheetName val="RESPALDO PAUTA"/>
    </sheetNames>
    <sheetDataSet>
      <sheetData sheetId="0"/>
      <sheetData sheetId="1"/>
      <sheetData sheetId="2">
        <row r="6">
          <cell r="C6">
            <v>5.61</v>
          </cell>
          <cell r="F6">
            <v>6746</v>
          </cell>
          <cell r="G6">
            <v>21</v>
          </cell>
        </row>
        <row r="7">
          <cell r="F7">
            <v>6794</v>
          </cell>
        </row>
        <row r="8">
          <cell r="C8">
            <v>8.99</v>
          </cell>
          <cell r="F8">
            <v>7420</v>
          </cell>
          <cell r="G8">
            <v>43</v>
          </cell>
        </row>
        <row r="9">
          <cell r="C9">
            <v>15</v>
          </cell>
          <cell r="F9">
            <v>50772</v>
          </cell>
          <cell r="G9">
            <v>100</v>
          </cell>
        </row>
      </sheetData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E RESULTADOS"/>
      <sheetName val="INFORME PUBLICACIONES"/>
      <sheetName val="INFORME COSTOS"/>
      <sheetName val="RESPALDO PAUTA"/>
    </sheetNames>
    <sheetDataSet>
      <sheetData sheetId="0"/>
      <sheetData sheetId="1"/>
      <sheetData sheetId="2">
        <row r="6">
          <cell r="C6">
            <v>18.46</v>
          </cell>
          <cell r="F6">
            <v>19079</v>
          </cell>
          <cell r="G6">
            <v>40</v>
          </cell>
        </row>
        <row r="7">
          <cell r="F7">
            <v>19296</v>
          </cell>
        </row>
        <row r="8">
          <cell r="C8">
            <v>70</v>
          </cell>
          <cell r="F8">
            <v>50826</v>
          </cell>
          <cell r="G8">
            <v>134</v>
          </cell>
        </row>
        <row r="9">
          <cell r="C9">
            <v>1</v>
          </cell>
          <cell r="F9">
            <v>1876</v>
          </cell>
        </row>
        <row r="10">
          <cell r="C10">
            <v>29</v>
          </cell>
          <cell r="F10">
            <v>34447</v>
          </cell>
        </row>
      </sheetData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E RESULTADOS"/>
      <sheetName val="INFORME PUBLICACIONES"/>
      <sheetName val="EVOLUCIÓN X MES"/>
      <sheetName val="INFORME COSTOS"/>
      <sheetName val="RESPALDO PAUTA"/>
    </sheetNames>
    <sheetDataSet>
      <sheetData sheetId="0"/>
      <sheetData sheetId="1"/>
      <sheetData sheetId="2"/>
      <sheetData sheetId="3">
        <row r="6">
          <cell r="C6">
            <v>15.99</v>
          </cell>
          <cell r="F6">
            <v>30772</v>
          </cell>
          <cell r="G6">
            <v>107</v>
          </cell>
        </row>
        <row r="7">
          <cell r="C7">
            <v>16.059999999999999</v>
          </cell>
          <cell r="F7">
            <v>19254</v>
          </cell>
          <cell r="G7">
            <v>22</v>
          </cell>
        </row>
        <row r="8">
          <cell r="C8">
            <v>22.5</v>
          </cell>
          <cell r="F8">
            <v>14004</v>
          </cell>
          <cell r="G8">
            <v>78</v>
          </cell>
        </row>
        <row r="9">
          <cell r="C9">
            <v>15</v>
          </cell>
          <cell r="F9">
            <v>15188</v>
          </cell>
        </row>
        <row r="10">
          <cell r="C10">
            <v>18</v>
          </cell>
          <cell r="F10">
            <v>12964</v>
          </cell>
          <cell r="G10">
            <v>55</v>
          </cell>
        </row>
        <row r="11">
          <cell r="C11">
            <v>9.7899999999999991</v>
          </cell>
          <cell r="F11">
            <v>6812</v>
          </cell>
        </row>
        <row r="12">
          <cell r="C12">
            <v>40</v>
          </cell>
          <cell r="F12">
            <v>18583</v>
          </cell>
          <cell r="G12">
            <v>109</v>
          </cell>
        </row>
        <row r="15">
          <cell r="C15">
            <v>10.5</v>
          </cell>
          <cell r="F15">
            <v>6642</v>
          </cell>
          <cell r="G15">
            <v>16</v>
          </cell>
        </row>
      </sheetData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E FB"/>
      <sheetName val="INFORME PUBLICACIONES FB"/>
      <sheetName val="EVOLUCIÓN X MES FB"/>
      <sheetName val="INFORME IG"/>
      <sheetName val="INFORME COSTOS"/>
      <sheetName val="RESPALDO PAUTA"/>
    </sheetNames>
    <sheetDataSet>
      <sheetData sheetId="0"/>
      <sheetData sheetId="1"/>
      <sheetData sheetId="2"/>
      <sheetData sheetId="3"/>
      <sheetData sheetId="4">
        <row r="6">
          <cell r="C6">
            <v>1.41</v>
          </cell>
          <cell r="F6">
            <v>6642</v>
          </cell>
        </row>
        <row r="7">
          <cell r="C7">
            <v>75</v>
          </cell>
          <cell r="F7">
            <v>22906</v>
          </cell>
          <cell r="H7">
            <v>76</v>
          </cell>
        </row>
        <row r="8">
          <cell r="C8">
            <v>15</v>
          </cell>
          <cell r="F8">
            <v>12851</v>
          </cell>
        </row>
        <row r="9">
          <cell r="C9">
            <v>18</v>
          </cell>
          <cell r="F9">
            <v>8028</v>
          </cell>
          <cell r="H9">
            <v>44</v>
          </cell>
        </row>
        <row r="10">
          <cell r="C10">
            <v>20</v>
          </cell>
          <cell r="F10">
            <v>17271</v>
          </cell>
        </row>
        <row r="11">
          <cell r="C11">
            <v>45</v>
          </cell>
          <cell r="F11">
            <v>20276</v>
          </cell>
          <cell r="H11">
            <v>60</v>
          </cell>
        </row>
      </sheetData>
      <sheetData sheetId="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E RESULTADOS"/>
      <sheetName val="INFORME PUBLICACIONES"/>
      <sheetName val="EVOLUCIÓN X MES"/>
      <sheetName val="INFORME IG"/>
      <sheetName val="INFORME COSTOS"/>
      <sheetName val="RESPALDO PAUTA"/>
    </sheetNames>
    <sheetDataSet>
      <sheetData sheetId="0"/>
      <sheetData sheetId="1"/>
      <sheetData sheetId="2"/>
      <sheetData sheetId="3"/>
      <sheetData sheetId="4">
        <row r="6">
          <cell r="D6">
            <v>10</v>
          </cell>
          <cell r="G6">
            <v>4362</v>
          </cell>
          <cell r="H6">
            <v>173</v>
          </cell>
        </row>
        <row r="7">
          <cell r="D7">
            <v>40</v>
          </cell>
          <cell r="G7">
            <v>11620</v>
          </cell>
        </row>
        <row r="8">
          <cell r="D8">
            <v>0.19</v>
          </cell>
          <cell r="G8">
            <v>170</v>
          </cell>
          <cell r="H8">
            <v>10</v>
          </cell>
        </row>
        <row r="9">
          <cell r="D9">
            <v>30</v>
          </cell>
          <cell r="G9">
            <v>11856</v>
          </cell>
        </row>
        <row r="10">
          <cell r="D10">
            <v>15</v>
          </cell>
          <cell r="G10">
            <v>8898</v>
          </cell>
          <cell r="H10">
            <v>0</v>
          </cell>
        </row>
        <row r="18">
          <cell r="D18">
            <v>9.1199999999999992</v>
          </cell>
        </row>
        <row r="19">
          <cell r="D19">
            <v>4.6100000000000003</v>
          </cell>
        </row>
      </sheetData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E RESULTADOS"/>
      <sheetName val="INFORME PUBLICACIONES"/>
      <sheetName val="EVOLUCIÓN X MES"/>
      <sheetName val="INFORME IG"/>
      <sheetName val="INFORME COSTOS"/>
      <sheetName val="RESPALDO PAUTA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">
          <cell r="D7">
            <v>1.18</v>
          </cell>
          <cell r="G7">
            <v>963</v>
          </cell>
          <cell r="I7">
            <v>2</v>
          </cell>
        </row>
        <row r="8">
          <cell r="D8">
            <v>60</v>
          </cell>
          <cell r="G8">
            <v>19124</v>
          </cell>
          <cell r="I8">
            <v>73</v>
          </cell>
        </row>
        <row r="9">
          <cell r="D9">
            <v>40</v>
          </cell>
          <cell r="G9">
            <v>14240</v>
          </cell>
          <cell r="I9">
            <v>25</v>
          </cell>
        </row>
        <row r="14">
          <cell r="D14">
            <v>20</v>
          </cell>
          <cell r="G14">
            <v>24160</v>
          </cell>
        </row>
        <row r="15">
          <cell r="D15">
            <v>35</v>
          </cell>
          <cell r="G15">
            <v>29776</v>
          </cell>
          <cell r="I15">
            <v>28</v>
          </cell>
        </row>
        <row r="16">
          <cell r="D16">
            <v>8.8000000000000007</v>
          </cell>
          <cell r="G16">
            <v>3187</v>
          </cell>
          <cell r="I16">
            <v>10</v>
          </cell>
        </row>
        <row r="17">
          <cell r="D17">
            <v>20</v>
          </cell>
          <cell r="G17">
            <v>19200</v>
          </cell>
        </row>
        <row r="18">
          <cell r="D18">
            <v>40</v>
          </cell>
          <cell r="G18">
            <v>19580</v>
          </cell>
        </row>
        <row r="19">
          <cell r="D19">
            <v>56.37</v>
          </cell>
          <cell r="G19">
            <v>61382</v>
          </cell>
          <cell r="I19">
            <v>448</v>
          </cell>
        </row>
        <row r="20">
          <cell r="D20">
            <v>50</v>
          </cell>
          <cell r="G20">
            <v>38584</v>
          </cell>
        </row>
        <row r="21">
          <cell r="D21">
            <v>50</v>
          </cell>
          <cell r="G21">
            <v>26360</v>
          </cell>
          <cell r="I21">
            <v>117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25"/>
  <sheetViews>
    <sheetView tabSelected="1" zoomScaleNormal="100" workbookViewId="0">
      <selection activeCell="H51" sqref="H51"/>
    </sheetView>
  </sheetViews>
  <sheetFormatPr baseColWidth="10" defaultRowHeight="15" x14ac:dyDescent="0.25"/>
  <cols>
    <col min="1" max="1" width="10.7109375" customWidth="1"/>
    <col min="2" max="2" width="11.140625" bestFit="1" customWidth="1"/>
    <col min="3" max="3" width="8" bestFit="1" customWidth="1"/>
    <col min="4" max="4" width="9.5703125" bestFit="1" customWidth="1"/>
    <col min="7" max="7" width="12.85546875" customWidth="1"/>
    <col min="8" max="8" width="9.42578125" customWidth="1"/>
    <col min="10" max="10" width="9.85546875" customWidth="1"/>
    <col min="11" max="11" width="4.85546875" customWidth="1"/>
    <col min="12" max="12" width="13" customWidth="1"/>
  </cols>
  <sheetData>
    <row r="3" spans="1:18" x14ac:dyDescent="0.25">
      <c r="A3" s="73" t="s">
        <v>69</v>
      </c>
      <c r="B3" s="73"/>
      <c r="C3" s="73"/>
      <c r="L3" s="50" t="s">
        <v>72</v>
      </c>
    </row>
    <row r="4" spans="1:18" s="8" customFormat="1" ht="45" x14ac:dyDescent="0.25">
      <c r="A4" s="61" t="s">
        <v>9</v>
      </c>
      <c r="B4" s="61" t="s">
        <v>8</v>
      </c>
      <c r="C4" s="61" t="s">
        <v>61</v>
      </c>
      <c r="D4" s="61" t="s">
        <v>7</v>
      </c>
      <c r="E4" s="61" t="s">
        <v>59</v>
      </c>
      <c r="F4" s="61" t="s">
        <v>6</v>
      </c>
      <c r="G4" s="61" t="s">
        <v>15</v>
      </c>
      <c r="H4" s="61" t="s">
        <v>5</v>
      </c>
      <c r="I4" s="61" t="s">
        <v>19</v>
      </c>
      <c r="J4" s="61" t="s">
        <v>60</v>
      </c>
      <c r="L4" s="61" t="s">
        <v>9</v>
      </c>
      <c r="M4" s="61" t="s">
        <v>21</v>
      </c>
      <c r="N4" s="64" t="s">
        <v>71</v>
      </c>
    </row>
    <row r="5" spans="1:18" x14ac:dyDescent="0.25">
      <c r="A5" s="5" t="s">
        <v>4</v>
      </c>
      <c r="B5" s="7">
        <f>SUM(Consolidado!F4:F30)</f>
        <v>1580.69</v>
      </c>
      <c r="C5" s="6">
        <f>+B5/B9</f>
        <v>0.53877301993612536</v>
      </c>
      <c r="D5" s="5">
        <f>SUM(Consolidado!G4:G30)</f>
        <v>2396</v>
      </c>
      <c r="E5" s="47">
        <f>+B5/D5</f>
        <v>0.65972036727879801</v>
      </c>
      <c r="F5" s="5">
        <f>SUM(Consolidado!H4:H30)</f>
        <v>60</v>
      </c>
      <c r="G5" s="6">
        <f>+F5/D5</f>
        <v>2.5041736227045076E-2</v>
      </c>
      <c r="H5" s="7">
        <f>+B5/F5</f>
        <v>26.344833333333334</v>
      </c>
      <c r="I5" s="15">
        <f>SUM(Consolidado!K4:K30)</f>
        <v>1064981</v>
      </c>
      <c r="J5" s="47">
        <f>(B5/I5)*1000</f>
        <v>1.4842424418839397</v>
      </c>
      <c r="L5" s="21" t="s">
        <v>4</v>
      </c>
      <c r="M5" s="21">
        <v>105</v>
      </c>
      <c r="N5" s="65" t="s">
        <v>73</v>
      </c>
    </row>
    <row r="6" spans="1:18" x14ac:dyDescent="0.25">
      <c r="A6" s="5" t="s">
        <v>3</v>
      </c>
      <c r="B6" s="7">
        <f>SUM(Consolidado!F31:F38)</f>
        <v>700.47</v>
      </c>
      <c r="C6" s="6">
        <f>+B6/B9</f>
        <v>0.23875290997896978</v>
      </c>
      <c r="D6" s="5">
        <f>SUM(Consolidado!G31:G38)</f>
        <v>753</v>
      </c>
      <c r="E6" s="47">
        <f>+B6/D6</f>
        <v>0.93023904382470124</v>
      </c>
      <c r="F6" s="5">
        <f>SUM(Consolidado!H31:H38)</f>
        <v>17</v>
      </c>
      <c r="G6" s="6">
        <f>+F6/D6</f>
        <v>2.2576361221779549E-2</v>
      </c>
      <c r="H6" s="7">
        <f>+B6/F6</f>
        <v>41.204117647058823</v>
      </c>
      <c r="I6" s="15">
        <f>SUM(Consolidado!K31:K38)</f>
        <v>368374</v>
      </c>
      <c r="J6" s="47">
        <f>(B6/I6)*1000</f>
        <v>1.9015185653710631</v>
      </c>
      <c r="L6" s="21" t="s">
        <v>3</v>
      </c>
      <c r="M6" s="21">
        <v>54</v>
      </c>
      <c r="N6" s="65" t="s">
        <v>73</v>
      </c>
    </row>
    <row r="7" spans="1:18" x14ac:dyDescent="0.25">
      <c r="A7" s="5" t="s">
        <v>2</v>
      </c>
      <c r="B7" s="7">
        <f>SUM(Consolidado!F39:F41)</f>
        <v>412.92</v>
      </c>
      <c r="C7" s="6">
        <f>+B7/B9</f>
        <v>0.14074243235044498</v>
      </c>
      <c r="D7" s="5">
        <f>SUM(Consolidado!G39:G41)</f>
        <v>232</v>
      </c>
      <c r="E7" s="47">
        <f>+B7/D7</f>
        <v>1.7798275862068966</v>
      </c>
      <c r="F7" s="5">
        <f>SUM(Consolidado!H39:H41)</f>
        <v>92</v>
      </c>
      <c r="G7" s="6">
        <f>+F7/D7</f>
        <v>0.39655172413793105</v>
      </c>
      <c r="H7" s="7">
        <f>+B7/F7</f>
        <v>4.4882608695652175</v>
      </c>
      <c r="I7" s="15">
        <f>SUM(Consolidado!K39:K41)</f>
        <v>483334</v>
      </c>
      <c r="J7" s="47">
        <f>(B7/I7)*1000</f>
        <v>0.85431606301232699</v>
      </c>
      <c r="L7" s="21" t="s">
        <v>2</v>
      </c>
      <c r="M7" s="21">
        <v>21</v>
      </c>
      <c r="N7" s="65" t="s">
        <v>74</v>
      </c>
    </row>
    <row r="8" spans="1:18" x14ac:dyDescent="0.25">
      <c r="A8" s="5" t="s">
        <v>1</v>
      </c>
      <c r="B8" s="7">
        <f>SUM(Consolidado!F42:F44)</f>
        <v>239.79</v>
      </c>
      <c r="C8" s="6">
        <f>+B8/B9</f>
        <v>8.1731637734459947E-2</v>
      </c>
      <c r="D8" s="5">
        <f>SUM(Consolidado!G42:G44)</f>
        <v>350</v>
      </c>
      <c r="E8" s="47">
        <f>+B8/D8</f>
        <v>0.68511428571428568</v>
      </c>
      <c r="F8" s="5">
        <f>+Consolidado!H42+Consolidado!H43+Consolidado!H44</f>
        <v>176</v>
      </c>
      <c r="G8" s="6">
        <f>+F8/D8</f>
        <v>0.50285714285714289</v>
      </c>
      <c r="H8" s="7">
        <f>+B8/F8</f>
        <v>1.3624431818181817</v>
      </c>
      <c r="I8" s="15">
        <f>SUM(Consolidado!K42:K44)</f>
        <v>165117</v>
      </c>
      <c r="J8" s="47">
        <f>(B8/I8)*1000</f>
        <v>1.4522429549955487</v>
      </c>
      <c r="L8" s="21" t="s">
        <v>1</v>
      </c>
      <c r="M8" s="21">
        <v>43</v>
      </c>
      <c r="N8" s="65" t="s">
        <v>74</v>
      </c>
    </row>
    <row r="9" spans="1:18" x14ac:dyDescent="0.25">
      <c r="A9" s="3" t="s">
        <v>0</v>
      </c>
      <c r="B9" s="4">
        <f>SUM(B5:B8)</f>
        <v>2933.87</v>
      </c>
      <c r="C9" s="58">
        <f>SUM(C5:C8)</f>
        <v>1</v>
      </c>
      <c r="D9" s="3">
        <f>SUM(D5:D8)</f>
        <v>3731</v>
      </c>
      <c r="E9" s="59">
        <f>+B9/D9</f>
        <v>0.78634950415438221</v>
      </c>
      <c r="F9" s="3">
        <f>SUM(F5:F8)</f>
        <v>345</v>
      </c>
      <c r="G9" s="2">
        <f>+F9/D9</f>
        <v>9.2468507102653447E-2</v>
      </c>
      <c r="H9" s="4">
        <f>+B9/F9</f>
        <v>8.5039710144927536</v>
      </c>
      <c r="I9" s="60">
        <f>SUM(I5:I8)</f>
        <v>2081806</v>
      </c>
      <c r="J9" s="59">
        <f>(B9/I9)*1000</f>
        <v>1.4092907792560883</v>
      </c>
      <c r="L9" s="66" t="s">
        <v>0</v>
      </c>
      <c r="M9" s="3">
        <f>SUM(M5:M8)</f>
        <v>223</v>
      </c>
      <c r="N9" s="67"/>
    </row>
    <row r="11" spans="1:18" x14ac:dyDescent="0.25">
      <c r="L11" s="51" t="s">
        <v>87</v>
      </c>
      <c r="M11" s="51"/>
      <c r="N11" s="51"/>
      <c r="O11" s="51"/>
      <c r="P11" s="63"/>
      <c r="Q11" s="63"/>
      <c r="R11" s="63"/>
    </row>
    <row r="12" spans="1:18" ht="30" x14ac:dyDescent="0.25">
      <c r="A12" s="51" t="s">
        <v>68</v>
      </c>
      <c r="B12" s="51"/>
      <c r="L12" s="62" t="s">
        <v>9</v>
      </c>
      <c r="M12" s="62" t="s">
        <v>81</v>
      </c>
      <c r="N12" s="62" t="s">
        <v>82</v>
      </c>
      <c r="O12" s="62" t="s">
        <v>83</v>
      </c>
      <c r="P12" s="62" t="s">
        <v>86</v>
      </c>
      <c r="Q12" s="62" t="s">
        <v>84</v>
      </c>
      <c r="R12" s="62" t="s">
        <v>85</v>
      </c>
    </row>
    <row r="13" spans="1:18" x14ac:dyDescent="0.25">
      <c r="A13" s="48">
        <v>2016</v>
      </c>
      <c r="B13" s="48">
        <v>2017</v>
      </c>
      <c r="C13" s="48">
        <v>2018</v>
      </c>
      <c r="D13" s="57">
        <v>2019</v>
      </c>
      <c r="E13" s="54"/>
      <c r="F13" s="54"/>
      <c r="L13" s="5" t="s">
        <v>4</v>
      </c>
      <c r="M13" s="52">
        <v>11776</v>
      </c>
      <c r="N13" s="52">
        <v>11791</v>
      </c>
      <c r="O13" s="52">
        <v>15305</v>
      </c>
      <c r="P13" s="68">
        <v>0.85756288794511593</v>
      </c>
      <c r="Q13" s="69">
        <v>1.310029402156158</v>
      </c>
      <c r="R13" s="69">
        <v>0.45</v>
      </c>
    </row>
    <row r="14" spans="1:18" s="14" customFormat="1" x14ac:dyDescent="0.25">
      <c r="A14" s="52">
        <v>5378</v>
      </c>
      <c r="B14" s="52">
        <v>10454</v>
      </c>
      <c r="C14" s="52">
        <v>21748</v>
      </c>
      <c r="D14" s="56">
        <v>30500</v>
      </c>
      <c r="E14" s="55"/>
      <c r="F14" s="2"/>
      <c r="L14" s="5" t="s">
        <v>3</v>
      </c>
      <c r="M14" s="52">
        <v>7778</v>
      </c>
      <c r="N14" s="52">
        <v>7768</v>
      </c>
      <c r="O14" s="52">
        <v>11550</v>
      </c>
      <c r="P14" s="68">
        <v>0.82683982683982682</v>
      </c>
      <c r="Q14" s="69">
        <v>1.4073593073593074</v>
      </c>
      <c r="R14" s="69">
        <v>1.1000000000000001</v>
      </c>
    </row>
    <row r="15" spans="1:18" x14ac:dyDescent="0.25">
      <c r="A15" s="14"/>
      <c r="B15" s="14"/>
      <c r="C15" s="14"/>
      <c r="D15" s="14"/>
      <c r="L15" s="5" t="s">
        <v>2</v>
      </c>
      <c r="M15" s="52">
        <v>3083</v>
      </c>
      <c r="N15" s="52">
        <v>3080</v>
      </c>
      <c r="O15" s="52">
        <v>6352</v>
      </c>
      <c r="P15" s="68">
        <v>0.80132241813602012</v>
      </c>
      <c r="Q15" s="69">
        <v>1.4397040302267003</v>
      </c>
      <c r="R15" s="69">
        <v>1.39</v>
      </c>
    </row>
    <row r="16" spans="1:18" x14ac:dyDescent="0.25">
      <c r="A16" s="14"/>
      <c r="B16" s="14"/>
      <c r="C16" s="14"/>
      <c r="D16" s="14"/>
      <c r="L16" s="5" t="s">
        <v>1</v>
      </c>
      <c r="M16" s="52">
        <v>2472</v>
      </c>
      <c r="N16" s="52">
        <v>2470</v>
      </c>
      <c r="O16" s="52">
        <v>4923</v>
      </c>
      <c r="P16" s="68">
        <v>0.8035750558602478</v>
      </c>
      <c r="Q16" s="69">
        <v>1.4531789559211863</v>
      </c>
      <c r="R16" s="69">
        <v>1.27</v>
      </c>
    </row>
    <row r="17" spans="1:18" x14ac:dyDescent="0.25">
      <c r="A17" s="74" t="s">
        <v>70</v>
      </c>
      <c r="B17" s="74"/>
      <c r="C17" s="74"/>
      <c r="D17" s="14"/>
      <c r="L17" s="5" t="s">
        <v>75</v>
      </c>
      <c r="M17" s="52">
        <v>842</v>
      </c>
      <c r="N17" s="52">
        <v>833</v>
      </c>
      <c r="O17" s="52">
        <v>852</v>
      </c>
      <c r="P17" s="68">
        <v>0.965962441314554</v>
      </c>
      <c r="Q17" s="69">
        <v>1.1056338028169015</v>
      </c>
      <c r="R17" s="69">
        <v>0.1</v>
      </c>
    </row>
    <row r="18" spans="1:18" x14ac:dyDescent="0.25">
      <c r="A18" s="48" t="s">
        <v>62</v>
      </c>
      <c r="B18" s="57" t="s">
        <v>63</v>
      </c>
      <c r="C18" s="48" t="s">
        <v>64</v>
      </c>
      <c r="D18" s="48" t="s">
        <v>61</v>
      </c>
      <c r="L18" s="5" t="s">
        <v>76</v>
      </c>
      <c r="M18" s="52">
        <v>233</v>
      </c>
      <c r="N18" s="52">
        <v>232</v>
      </c>
      <c r="O18" s="52">
        <v>295</v>
      </c>
      <c r="P18" s="68">
        <v>0.66440677966101691</v>
      </c>
      <c r="Q18" s="69">
        <v>2.0135593220338981</v>
      </c>
      <c r="R18" s="69">
        <v>2.11</v>
      </c>
    </row>
    <row r="19" spans="1:18" x14ac:dyDescent="0.25">
      <c r="A19" s="52">
        <v>21748</v>
      </c>
      <c r="B19" s="52">
        <v>30500</v>
      </c>
      <c r="C19" s="53">
        <f>+B19-A19</f>
        <v>8752</v>
      </c>
      <c r="D19" s="6">
        <f>+C19/A19</f>
        <v>0.40242780945374285</v>
      </c>
      <c r="L19" s="5" t="s">
        <v>77</v>
      </c>
      <c r="M19" s="52">
        <v>112</v>
      </c>
      <c r="N19" s="52">
        <v>109</v>
      </c>
      <c r="O19" s="52">
        <v>127</v>
      </c>
      <c r="P19" s="68">
        <v>0.88976377952755903</v>
      </c>
      <c r="Q19" s="69">
        <v>1.1653543307086613</v>
      </c>
      <c r="R19" s="69">
        <v>0.52</v>
      </c>
    </row>
    <row r="20" spans="1:18" x14ac:dyDescent="0.25">
      <c r="A20" s="14"/>
      <c r="B20" s="14"/>
      <c r="C20" s="14"/>
      <c r="D20" s="14"/>
      <c r="L20" s="5" t="s">
        <v>78</v>
      </c>
      <c r="M20" s="52">
        <v>95</v>
      </c>
      <c r="N20" s="52">
        <v>95</v>
      </c>
      <c r="O20" s="52">
        <v>106</v>
      </c>
      <c r="P20" s="68">
        <v>0.71698113207547165</v>
      </c>
      <c r="Q20" s="69">
        <v>1.4245283018867925</v>
      </c>
      <c r="R20" s="69">
        <v>1.1599999999999999</v>
      </c>
    </row>
    <row r="21" spans="1:18" x14ac:dyDescent="0.25">
      <c r="L21" s="5" t="s">
        <v>79</v>
      </c>
      <c r="M21" s="52">
        <v>95</v>
      </c>
      <c r="N21" s="52">
        <v>95</v>
      </c>
      <c r="O21" s="52">
        <v>117</v>
      </c>
      <c r="P21" s="68">
        <v>0.41880341880341881</v>
      </c>
      <c r="Q21" s="69">
        <v>2.9401709401709404</v>
      </c>
      <c r="R21" s="69">
        <v>2.4300000000000002</v>
      </c>
    </row>
    <row r="22" spans="1:18" x14ac:dyDescent="0.25">
      <c r="L22" s="5" t="s">
        <v>80</v>
      </c>
      <c r="M22" s="52">
        <v>87</v>
      </c>
      <c r="N22" s="52">
        <v>86</v>
      </c>
      <c r="O22" s="52">
        <v>95</v>
      </c>
      <c r="P22" s="68">
        <v>0.73684210526315785</v>
      </c>
      <c r="Q22" s="69">
        <v>1.4842105263157894</v>
      </c>
      <c r="R22" s="69">
        <v>1.24</v>
      </c>
    </row>
    <row r="23" spans="1:18" x14ac:dyDescent="0.25">
      <c r="L23" s="48" t="s">
        <v>0</v>
      </c>
      <c r="M23" s="70">
        <f>SUM(M13:M22)</f>
        <v>26573</v>
      </c>
      <c r="N23" s="70">
        <v>27228</v>
      </c>
      <c r="O23" s="70">
        <f>SUM(O13:O22)</f>
        <v>39722</v>
      </c>
      <c r="P23" s="71">
        <v>0.83140333660451426</v>
      </c>
      <c r="Q23" s="72">
        <f>AVERAGE(Q13:Q22)</f>
        <v>1.5743728919596338</v>
      </c>
      <c r="R23" s="72">
        <f>AVERAGE(R13:R22)</f>
        <v>1.177</v>
      </c>
    </row>
    <row r="25" spans="1:18" s="8" customFormat="1" x14ac:dyDescent="0.25">
      <c r="A25" s="50" t="s">
        <v>87</v>
      </c>
    </row>
  </sheetData>
  <mergeCells count="2">
    <mergeCell ref="A3:C3"/>
    <mergeCell ref="A17:C17"/>
  </mergeCells>
  <pageMargins left="0.7" right="0.7" top="0.75" bottom="0.75" header="0.3" footer="0.3"/>
  <pageSetup scale="74" orientation="portrait" horizontalDpi="0" verticalDpi="0" r:id="rId1"/>
  <colBreaks count="1" manualBreakCount="1">
    <brk id="10" max="1048575" man="1"/>
  </colBreaks>
  <ignoredErrors>
    <ignoredError sqref="F5:F7" formulaRange="1"/>
    <ignoredError sqref="E9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48"/>
  <sheetViews>
    <sheetView zoomScaleNormal="100" workbookViewId="0">
      <selection activeCell="C57" sqref="C57"/>
    </sheetView>
  </sheetViews>
  <sheetFormatPr baseColWidth="10" defaultColWidth="11.42578125" defaultRowHeight="15" x14ac:dyDescent="0.25"/>
  <cols>
    <col min="1" max="1" width="5.7109375" style="1" customWidth="1"/>
    <col min="2" max="2" width="11.42578125" style="1"/>
    <col min="3" max="3" width="31.28515625" style="12" customWidth="1"/>
    <col min="4" max="4" width="10.85546875" style="1" customWidth="1"/>
    <col min="5" max="5" width="11.42578125" style="1" customWidth="1"/>
    <col min="6" max="6" width="13.7109375" style="1" customWidth="1"/>
    <col min="7" max="7" width="9.5703125" style="1" customWidth="1"/>
    <col min="8" max="8" width="8.42578125" style="1" customWidth="1"/>
    <col min="9" max="9" width="13.28515625" style="1" customWidth="1"/>
    <col min="10" max="10" width="16.7109375" style="1" customWidth="1"/>
    <col min="11" max="11" width="7.5703125" style="1" customWidth="1"/>
    <col min="12" max="12" width="13.5703125" style="1" customWidth="1"/>
    <col min="13" max="13" width="15" style="1" customWidth="1"/>
    <col min="14" max="16384" width="11.42578125" style="1"/>
  </cols>
  <sheetData>
    <row r="2" spans="1:13" ht="15.75" thickBot="1" x14ac:dyDescent="0.3"/>
    <row r="3" spans="1:13" s="10" customFormat="1" x14ac:dyDescent="0.25">
      <c r="B3" s="33" t="s">
        <v>9</v>
      </c>
      <c r="C3" s="9" t="s">
        <v>14</v>
      </c>
      <c r="D3" s="34" t="s">
        <v>22</v>
      </c>
      <c r="E3" s="34" t="s">
        <v>17</v>
      </c>
      <c r="F3" s="34" t="s">
        <v>8</v>
      </c>
      <c r="G3" s="34" t="s">
        <v>21</v>
      </c>
      <c r="H3" s="34" t="s">
        <v>6</v>
      </c>
      <c r="I3" s="34" t="s">
        <v>36</v>
      </c>
      <c r="J3" s="34" t="s">
        <v>65</v>
      </c>
      <c r="K3" s="34" t="s">
        <v>19</v>
      </c>
      <c r="L3" s="34" t="s">
        <v>66</v>
      </c>
      <c r="M3" s="35" t="s">
        <v>67</v>
      </c>
    </row>
    <row r="4" spans="1:13" x14ac:dyDescent="0.25">
      <c r="A4" s="1">
        <v>1</v>
      </c>
      <c r="B4" s="36" t="s">
        <v>4</v>
      </c>
      <c r="C4" s="22" t="s">
        <v>13</v>
      </c>
      <c r="D4" s="21" t="s">
        <v>23</v>
      </c>
      <c r="E4" s="21" t="s">
        <v>18</v>
      </c>
      <c r="F4" s="23">
        <f>26.35+'[1]INFORME COSTOS'!$E$8</f>
        <v>30</v>
      </c>
      <c r="G4" s="21">
        <f>45+'[1]INFORME COSTOS'!$G$8</f>
        <v>45</v>
      </c>
      <c r="H4" s="5">
        <v>4</v>
      </c>
      <c r="I4" s="24">
        <f>+H4/G4</f>
        <v>8.8888888888888892E-2</v>
      </c>
      <c r="J4" s="25">
        <f>+F4/H4</f>
        <v>7.5</v>
      </c>
      <c r="K4" s="26">
        <f>+'[2]INFORME COSTOS'!$F$8+'[2]INFORME COSTOS'!$F$9</f>
        <v>23226</v>
      </c>
      <c r="L4" s="23">
        <f t="shared" ref="L4:L44" si="0">+(F4/K4)*1000</f>
        <v>1.2916559028674761</v>
      </c>
      <c r="M4" s="37">
        <f t="shared" ref="M4:M19" si="1">+F4/G4</f>
        <v>0.66666666666666663</v>
      </c>
    </row>
    <row r="5" spans="1:13" x14ac:dyDescent="0.25">
      <c r="A5" s="1">
        <v>2</v>
      </c>
      <c r="B5" s="36" t="s">
        <v>4</v>
      </c>
      <c r="C5" s="22" t="s">
        <v>20</v>
      </c>
      <c r="D5" s="21" t="s">
        <v>23</v>
      </c>
      <c r="E5" s="21" t="s">
        <v>18</v>
      </c>
      <c r="F5" s="23">
        <f>24.73+'[1]INFORME COSTOS'!$E$6</f>
        <v>40</v>
      </c>
      <c r="G5" s="26">
        <f>135+'[1]INFORME COSTOS'!$G$6</f>
        <v>287</v>
      </c>
      <c r="H5" s="5">
        <v>2</v>
      </c>
      <c r="I5" s="24">
        <f t="shared" ref="I5:I30" si="2">+H5/G5</f>
        <v>6.9686411149825784E-3</v>
      </c>
      <c r="J5" s="25">
        <f t="shared" ref="J5:J30" si="3">+F5/H5</f>
        <v>20</v>
      </c>
      <c r="K5" s="26">
        <f>10261+'[1]INFORME COSTOS'!$F$6</f>
        <v>21977</v>
      </c>
      <c r="L5" s="23">
        <f t="shared" si="0"/>
        <v>1.8200846339354779</v>
      </c>
      <c r="M5" s="37">
        <f t="shared" si="1"/>
        <v>0.13937282229965156</v>
      </c>
    </row>
    <row r="6" spans="1:13" x14ac:dyDescent="0.25">
      <c r="A6" s="1">
        <v>3</v>
      </c>
      <c r="B6" s="38" t="s">
        <v>4</v>
      </c>
      <c r="C6" s="28" t="s">
        <v>12</v>
      </c>
      <c r="D6" s="21" t="s">
        <v>23</v>
      </c>
      <c r="E6" s="27" t="s">
        <v>18</v>
      </c>
      <c r="F6" s="29">
        <f>25.39+'[1]INFORME COSTOS'!$E$7</f>
        <v>39.9</v>
      </c>
      <c r="G6" s="30">
        <f>40+'[1]INFORME COSTOS'!$G$7</f>
        <v>40</v>
      </c>
      <c r="H6" s="5">
        <v>2</v>
      </c>
      <c r="I6" s="24">
        <f t="shared" si="2"/>
        <v>0.05</v>
      </c>
      <c r="J6" s="25">
        <f t="shared" si="3"/>
        <v>19.95</v>
      </c>
      <c r="K6" s="26">
        <f>6964+'[1]INFORME COSTOS'!$F$7</f>
        <v>25875</v>
      </c>
      <c r="L6" s="23">
        <f t="shared" si="0"/>
        <v>1.5420289855072462</v>
      </c>
      <c r="M6" s="37">
        <f t="shared" si="1"/>
        <v>0.99749999999999994</v>
      </c>
    </row>
    <row r="7" spans="1:13" x14ac:dyDescent="0.25">
      <c r="A7" s="1">
        <v>4</v>
      </c>
      <c r="B7" s="38" t="s">
        <v>4</v>
      </c>
      <c r="C7" s="28" t="s">
        <v>24</v>
      </c>
      <c r="D7" s="27" t="s">
        <v>25</v>
      </c>
      <c r="E7" s="27" t="s">
        <v>32</v>
      </c>
      <c r="F7" s="29">
        <f>45.56+'[3]INFORME COSTOS'!$C$11</f>
        <v>68.06</v>
      </c>
      <c r="G7" s="27">
        <f>29+'[3]INFORME COSTOS'!$G$11</f>
        <v>244</v>
      </c>
      <c r="H7" s="5">
        <v>4</v>
      </c>
      <c r="I7" s="24">
        <f t="shared" si="2"/>
        <v>1.6393442622950821E-2</v>
      </c>
      <c r="J7" s="25">
        <f t="shared" si="3"/>
        <v>17.015000000000001</v>
      </c>
      <c r="K7" s="26">
        <f>42338+'[3]INFORME COSTOS'!$F$11</f>
        <v>61346</v>
      </c>
      <c r="L7" s="23">
        <f t="shared" si="0"/>
        <v>1.1094447885762724</v>
      </c>
      <c r="M7" s="37">
        <f t="shared" si="1"/>
        <v>0.2789344262295082</v>
      </c>
    </row>
    <row r="8" spans="1:13" x14ac:dyDescent="0.25">
      <c r="A8" s="1">
        <v>5</v>
      </c>
      <c r="B8" s="38" t="s">
        <v>4</v>
      </c>
      <c r="C8" s="28" t="s">
        <v>12</v>
      </c>
      <c r="D8" s="27" t="s">
        <v>25</v>
      </c>
      <c r="E8" s="27" t="s">
        <v>18</v>
      </c>
      <c r="F8" s="29">
        <f>+'[1]INFORME COSTOS'!$E$13+'[1]INFORME COSTOS'!$E$14</f>
        <v>16.5</v>
      </c>
      <c r="G8" s="27">
        <f>+'[1]INFORME COSTOS'!$G$13</f>
        <v>20</v>
      </c>
      <c r="H8" s="5">
        <v>1</v>
      </c>
      <c r="I8" s="24">
        <f t="shared" si="2"/>
        <v>0.05</v>
      </c>
      <c r="J8" s="25">
        <f t="shared" si="3"/>
        <v>16.5</v>
      </c>
      <c r="K8" s="26">
        <f>+'[1]INFORME COSTOS'!$F$13+'[1]INFORME COSTOS'!$F$14</f>
        <v>12333</v>
      </c>
      <c r="L8" s="23">
        <f t="shared" si="0"/>
        <v>1.3378739965945026</v>
      </c>
      <c r="M8" s="37">
        <f t="shared" si="1"/>
        <v>0.82499999999999996</v>
      </c>
    </row>
    <row r="9" spans="1:13" x14ac:dyDescent="0.25">
      <c r="A9" s="1">
        <v>6</v>
      </c>
      <c r="B9" s="38" t="s">
        <v>4</v>
      </c>
      <c r="C9" s="28" t="s">
        <v>26</v>
      </c>
      <c r="D9" s="27" t="s">
        <v>25</v>
      </c>
      <c r="E9" s="27" t="s">
        <v>18</v>
      </c>
      <c r="F9" s="29">
        <f>21.43+'[3]INFORME COSTOS'!$C$7</f>
        <v>24</v>
      </c>
      <c r="G9" s="27">
        <v>28</v>
      </c>
      <c r="H9" s="5">
        <v>1</v>
      </c>
      <c r="I9" s="24">
        <f t="shared" si="2"/>
        <v>3.5714285714285712E-2</v>
      </c>
      <c r="J9" s="25">
        <f t="shared" si="3"/>
        <v>24</v>
      </c>
      <c r="K9" s="26">
        <f>11078+'[3]INFORME COSTOS'!$F$7</f>
        <v>18715</v>
      </c>
      <c r="L9" s="23">
        <f t="shared" si="0"/>
        <v>1.2823938017632917</v>
      </c>
      <c r="M9" s="37">
        <f t="shared" si="1"/>
        <v>0.8571428571428571</v>
      </c>
    </row>
    <row r="10" spans="1:13" x14ac:dyDescent="0.25">
      <c r="A10" s="1">
        <v>7</v>
      </c>
      <c r="B10" s="38" t="s">
        <v>4</v>
      </c>
      <c r="C10" s="28" t="s">
        <v>11</v>
      </c>
      <c r="D10" s="27" t="s">
        <v>25</v>
      </c>
      <c r="E10" s="27" t="s">
        <v>18</v>
      </c>
      <c r="F10" s="29">
        <f>24.24+'[3]INFORME COSTOS'!$C$6</f>
        <v>38</v>
      </c>
      <c r="G10" s="27">
        <v>45</v>
      </c>
      <c r="H10" s="5">
        <v>1</v>
      </c>
      <c r="I10" s="24">
        <f t="shared" si="2"/>
        <v>2.2222222222222223E-2</v>
      </c>
      <c r="J10" s="25">
        <f t="shared" si="3"/>
        <v>38</v>
      </c>
      <c r="K10" s="26">
        <f>6556+'[3]INFORME COSTOS'!$F$6</f>
        <v>19864</v>
      </c>
      <c r="L10" s="23">
        <f t="shared" si="0"/>
        <v>1.9130084575110753</v>
      </c>
      <c r="M10" s="37">
        <f t="shared" si="1"/>
        <v>0.84444444444444444</v>
      </c>
    </row>
    <row r="11" spans="1:13" x14ac:dyDescent="0.25">
      <c r="A11" s="1">
        <v>8</v>
      </c>
      <c r="B11" s="38" t="s">
        <v>4</v>
      </c>
      <c r="C11" s="28" t="s">
        <v>30</v>
      </c>
      <c r="D11" s="27" t="s">
        <v>31</v>
      </c>
      <c r="E11" s="27" t="s">
        <v>32</v>
      </c>
      <c r="F11" s="29">
        <f>10.7+'[4]INFORME COSTOS'!$C$6</f>
        <v>16.309999999999999</v>
      </c>
      <c r="G11" s="27">
        <f>14+'[4]INFORME COSTOS'!$G$6</f>
        <v>35</v>
      </c>
      <c r="H11" s="5">
        <v>0</v>
      </c>
      <c r="I11" s="24">
        <f t="shared" si="2"/>
        <v>0</v>
      </c>
      <c r="J11" s="25">
        <v>0</v>
      </c>
      <c r="K11" s="26">
        <f>+'[4]INFORME COSTOS'!$F$6+'[4]INFORME COSTOS'!$F$7</f>
        <v>13540</v>
      </c>
      <c r="L11" s="23">
        <f t="shared" si="0"/>
        <v>1.2045790251107826</v>
      </c>
      <c r="M11" s="37">
        <f t="shared" si="1"/>
        <v>0.46599999999999997</v>
      </c>
    </row>
    <row r="12" spans="1:13" x14ac:dyDescent="0.25">
      <c r="A12" s="1">
        <v>9</v>
      </c>
      <c r="B12" s="38" t="s">
        <v>4</v>
      </c>
      <c r="C12" s="28" t="s">
        <v>33</v>
      </c>
      <c r="D12" s="27" t="s">
        <v>34</v>
      </c>
      <c r="E12" s="27" t="s">
        <v>32</v>
      </c>
      <c r="F12" s="29">
        <f>+'[4]INFORME COSTOS'!$C$8+'[4]INFORME COSTOS'!$C$9</f>
        <v>23.990000000000002</v>
      </c>
      <c r="G12" s="27">
        <f>+'[4]INFORME COSTOS'!$G$8+'[4]INFORME COSTOS'!$G$9</f>
        <v>143</v>
      </c>
      <c r="H12" s="5">
        <v>5</v>
      </c>
      <c r="I12" s="24">
        <f t="shared" si="2"/>
        <v>3.4965034965034968E-2</v>
      </c>
      <c r="J12" s="25">
        <f t="shared" si="3"/>
        <v>4.798</v>
      </c>
      <c r="K12" s="26">
        <f>+'[4]INFORME COSTOS'!$F$8+'[4]INFORME COSTOS'!$F$9</f>
        <v>58192</v>
      </c>
      <c r="L12" s="23">
        <f t="shared" si="0"/>
        <v>0.41225598020346443</v>
      </c>
      <c r="M12" s="37">
        <f t="shared" si="1"/>
        <v>0.16776223776223778</v>
      </c>
    </row>
    <row r="13" spans="1:13" x14ac:dyDescent="0.25">
      <c r="A13" s="1">
        <v>10</v>
      </c>
      <c r="B13" s="36" t="s">
        <v>4</v>
      </c>
      <c r="C13" s="22" t="s">
        <v>35</v>
      </c>
      <c r="D13" s="21" t="s">
        <v>34</v>
      </c>
      <c r="E13" s="21" t="s">
        <v>18</v>
      </c>
      <c r="F13" s="29">
        <f>30.41+'[5]INFORME COSTOS'!$C$6</f>
        <v>48.870000000000005</v>
      </c>
      <c r="G13" s="21">
        <f>+'[5]INFORME COSTOS'!$G$6</f>
        <v>40</v>
      </c>
      <c r="H13" s="5">
        <v>1</v>
      </c>
      <c r="I13" s="24">
        <f t="shared" si="2"/>
        <v>2.5000000000000001E-2</v>
      </c>
      <c r="J13" s="25">
        <f t="shared" si="3"/>
        <v>48.870000000000005</v>
      </c>
      <c r="K13" s="26">
        <f>+'[5]INFORME COSTOS'!$F$6+'[5]INFORME COSTOS'!$F$7</f>
        <v>38375</v>
      </c>
      <c r="L13" s="23">
        <f t="shared" si="0"/>
        <v>1.2734853420195442</v>
      </c>
      <c r="M13" s="37">
        <f t="shared" si="1"/>
        <v>1.2217500000000001</v>
      </c>
    </row>
    <row r="14" spans="1:13" x14ac:dyDescent="0.25">
      <c r="A14" s="1">
        <v>11</v>
      </c>
      <c r="B14" s="36" t="s">
        <v>4</v>
      </c>
      <c r="C14" s="22" t="s">
        <v>10</v>
      </c>
      <c r="D14" s="21" t="s">
        <v>38</v>
      </c>
      <c r="E14" s="21" t="s">
        <v>32</v>
      </c>
      <c r="F14" s="29">
        <f>54+'[6]INFORME COSTOS'!$C$6</f>
        <v>69.989999999999995</v>
      </c>
      <c r="G14" s="21">
        <f>241+'[6]INFORME COSTOS'!$G$6</f>
        <v>348</v>
      </c>
      <c r="H14" s="5">
        <v>2</v>
      </c>
      <c r="I14" s="24">
        <f t="shared" si="2"/>
        <v>5.7471264367816091E-3</v>
      </c>
      <c r="J14" s="25">
        <f t="shared" si="3"/>
        <v>34.994999999999997</v>
      </c>
      <c r="K14" s="26">
        <f>57799+'[6]INFORME COSTOS'!$F$6</f>
        <v>88571</v>
      </c>
      <c r="L14" s="23">
        <f t="shared" si="0"/>
        <v>0.79021350103306942</v>
      </c>
      <c r="M14" s="37">
        <f t="shared" si="1"/>
        <v>0.20112068965517241</v>
      </c>
    </row>
    <row r="15" spans="1:13" x14ac:dyDescent="0.25">
      <c r="A15" s="1">
        <v>12</v>
      </c>
      <c r="B15" s="36" t="s">
        <v>4</v>
      </c>
      <c r="C15" s="22" t="s">
        <v>39</v>
      </c>
      <c r="D15" s="21" t="s">
        <v>38</v>
      </c>
      <c r="E15" s="21" t="s">
        <v>18</v>
      </c>
      <c r="F15" s="29">
        <f>41.94+'[6]INFORME COSTOS'!$C$7</f>
        <v>58</v>
      </c>
      <c r="G15" s="21">
        <f>24+'[6]INFORME COSTOS'!$G$7</f>
        <v>46</v>
      </c>
      <c r="H15" s="5">
        <v>0</v>
      </c>
      <c r="I15" s="24">
        <f t="shared" si="2"/>
        <v>0</v>
      </c>
      <c r="J15" s="25">
        <v>0</v>
      </c>
      <c r="K15" s="26">
        <f>35650+'[6]INFORME COSTOS'!$F$7</f>
        <v>54904</v>
      </c>
      <c r="L15" s="23">
        <f t="shared" si="0"/>
        <v>1.0563893341104473</v>
      </c>
      <c r="M15" s="37">
        <f t="shared" si="1"/>
        <v>1.2608695652173914</v>
      </c>
    </row>
    <row r="16" spans="1:13" x14ac:dyDescent="0.25">
      <c r="A16" s="1">
        <v>13</v>
      </c>
      <c r="B16" s="36" t="s">
        <v>4</v>
      </c>
      <c r="C16" s="22" t="s">
        <v>41</v>
      </c>
      <c r="D16" s="21" t="s">
        <v>42</v>
      </c>
      <c r="E16" s="21" t="s">
        <v>32</v>
      </c>
      <c r="F16" s="29">
        <f>+'[6]INFORME COSTOS'!$C$8</f>
        <v>22.5</v>
      </c>
      <c r="G16" s="26">
        <f>+'[6]INFORME COSTOS'!$G$8</f>
        <v>78</v>
      </c>
      <c r="H16" s="5">
        <v>0</v>
      </c>
      <c r="I16" s="24">
        <f t="shared" si="2"/>
        <v>0</v>
      </c>
      <c r="J16" s="25">
        <v>0</v>
      </c>
      <c r="K16" s="26">
        <f>+'[6]INFORME COSTOS'!$F$8</f>
        <v>14004</v>
      </c>
      <c r="L16" s="23">
        <f t="shared" si="0"/>
        <v>1.6066838046272494</v>
      </c>
      <c r="M16" s="37">
        <f t="shared" si="1"/>
        <v>0.28846153846153844</v>
      </c>
    </row>
    <row r="17" spans="1:13" x14ac:dyDescent="0.25">
      <c r="A17" s="1">
        <v>14</v>
      </c>
      <c r="B17" s="36" t="s">
        <v>4</v>
      </c>
      <c r="C17" s="22" t="s">
        <v>13</v>
      </c>
      <c r="D17" s="21" t="s">
        <v>42</v>
      </c>
      <c r="E17" s="21" t="s">
        <v>18</v>
      </c>
      <c r="F17" s="29">
        <f>+'[6]INFORME COSTOS'!$C$9+'[6]INFORME COSTOS'!$C$10+'[6]INFORME COSTOS'!$C$15</f>
        <v>43.5</v>
      </c>
      <c r="G17" s="21">
        <f>+'[6]INFORME COSTOS'!$G$10+'[6]INFORME COSTOS'!$G$15</f>
        <v>71</v>
      </c>
      <c r="H17" s="5">
        <v>4</v>
      </c>
      <c r="I17" s="24">
        <f t="shared" si="2"/>
        <v>5.6338028169014086E-2</v>
      </c>
      <c r="J17" s="25">
        <f t="shared" si="3"/>
        <v>10.875</v>
      </c>
      <c r="K17" s="26">
        <f>+'[6]INFORME COSTOS'!$F$9+'[6]INFORME COSTOS'!$F$10+'[6]INFORME COSTOS'!$F$15</f>
        <v>34794</v>
      </c>
      <c r="L17" s="23">
        <f t="shared" si="0"/>
        <v>1.2502155544059321</v>
      </c>
      <c r="M17" s="37">
        <f t="shared" si="1"/>
        <v>0.61267605633802813</v>
      </c>
    </row>
    <row r="18" spans="1:13" x14ac:dyDescent="0.25">
      <c r="A18" s="1">
        <v>15</v>
      </c>
      <c r="B18" s="36" t="s">
        <v>4</v>
      </c>
      <c r="C18" s="22" t="s">
        <v>45</v>
      </c>
      <c r="D18" s="21" t="s">
        <v>46</v>
      </c>
      <c r="E18" s="21" t="s">
        <v>32</v>
      </c>
      <c r="F18" s="29">
        <f>+'[7]INFORME COSTOS'!$C$8+'[7]INFORME COSTOS'!$C$9</f>
        <v>33</v>
      </c>
      <c r="G18" s="21">
        <f>+'[7]INFORME COSTOS'!$H$9</f>
        <v>44</v>
      </c>
      <c r="H18" s="5">
        <v>5</v>
      </c>
      <c r="I18" s="24">
        <f t="shared" si="2"/>
        <v>0.11363636363636363</v>
      </c>
      <c r="J18" s="25">
        <f t="shared" si="3"/>
        <v>6.6</v>
      </c>
      <c r="K18" s="26">
        <f>+'[7]INFORME COSTOS'!$F$8+'[7]INFORME COSTOS'!$F$9</f>
        <v>20879</v>
      </c>
      <c r="L18" s="23">
        <f t="shared" si="0"/>
        <v>1.5805354662579625</v>
      </c>
      <c r="M18" s="37">
        <f t="shared" si="1"/>
        <v>0.75</v>
      </c>
    </row>
    <row r="19" spans="1:13" x14ac:dyDescent="0.25">
      <c r="A19" s="1">
        <v>16</v>
      </c>
      <c r="B19" s="36" t="s">
        <v>4</v>
      </c>
      <c r="C19" s="22" t="s">
        <v>10</v>
      </c>
      <c r="D19" s="21" t="s">
        <v>46</v>
      </c>
      <c r="E19" s="21" t="s">
        <v>32</v>
      </c>
      <c r="F19" s="29">
        <f>+'[7]INFORME COSTOS'!$C$10+'[7]INFORME COSTOS'!$C$11</f>
        <v>65</v>
      </c>
      <c r="G19" s="21">
        <f>+'[7]INFORME COSTOS'!$H$11</f>
        <v>60</v>
      </c>
      <c r="H19" s="5">
        <v>1</v>
      </c>
      <c r="I19" s="24">
        <f t="shared" si="2"/>
        <v>1.6666666666666666E-2</v>
      </c>
      <c r="J19" s="25">
        <f t="shared" si="3"/>
        <v>65</v>
      </c>
      <c r="K19" s="26">
        <f>+'[7]INFORME COSTOS'!$F$10+'[7]INFORME COSTOS'!$F$11</f>
        <v>37547</v>
      </c>
      <c r="L19" s="23">
        <f t="shared" si="0"/>
        <v>1.7311636082776254</v>
      </c>
      <c r="M19" s="37">
        <f t="shared" si="1"/>
        <v>1.0833333333333333</v>
      </c>
    </row>
    <row r="20" spans="1:13" x14ac:dyDescent="0.25">
      <c r="A20" s="1">
        <v>17</v>
      </c>
      <c r="B20" s="36" t="s">
        <v>4</v>
      </c>
      <c r="C20" s="22" t="s">
        <v>50</v>
      </c>
      <c r="D20" s="21" t="s">
        <v>48</v>
      </c>
      <c r="E20" s="21" t="s">
        <v>32</v>
      </c>
      <c r="F20" s="29">
        <f>+'[8]INFORME COSTOS'!$D$10</f>
        <v>15</v>
      </c>
      <c r="G20" s="21">
        <f>+'[8]INFORME COSTOS'!$H$10</f>
        <v>0</v>
      </c>
      <c r="H20" s="5">
        <v>0</v>
      </c>
      <c r="I20" s="24">
        <v>0</v>
      </c>
      <c r="J20" s="25">
        <v>0</v>
      </c>
      <c r="K20" s="26">
        <f>+'[8]INFORME COSTOS'!$G$10</f>
        <v>8898</v>
      </c>
      <c r="L20" s="23">
        <f t="shared" si="0"/>
        <v>1.6857720836142953</v>
      </c>
      <c r="M20" s="37">
        <v>0</v>
      </c>
    </row>
    <row r="21" spans="1:13" x14ac:dyDescent="0.25">
      <c r="A21" s="1">
        <v>18</v>
      </c>
      <c r="B21" s="36" t="s">
        <v>4</v>
      </c>
      <c r="C21" s="22" t="s">
        <v>10</v>
      </c>
      <c r="D21" s="21" t="s">
        <v>48</v>
      </c>
      <c r="E21" s="21" t="s">
        <v>18</v>
      </c>
      <c r="F21" s="29">
        <f>124.47+'[9]INFORME COSTOS'!$D$14+'[9]INFORME COSTOS'!$D$15</f>
        <v>179.47</v>
      </c>
      <c r="G21" s="26">
        <f>27+'[9]INFORME COSTOS'!$I$15</f>
        <v>55</v>
      </c>
      <c r="H21" s="5">
        <v>1</v>
      </c>
      <c r="I21" s="24">
        <f t="shared" si="2"/>
        <v>1.8181818181818181E-2</v>
      </c>
      <c r="J21" s="25">
        <f t="shared" si="3"/>
        <v>179.47</v>
      </c>
      <c r="K21" s="26">
        <f>86608+'[9]INFORME COSTOS'!$G$14+'[9]INFORME COSTOS'!$G$15</f>
        <v>140544</v>
      </c>
      <c r="L21" s="23">
        <f t="shared" si="0"/>
        <v>1.2769666438979963</v>
      </c>
      <c r="M21" s="37">
        <f t="shared" ref="M21:M44" si="4">+F21/G21</f>
        <v>3.2630909090909093</v>
      </c>
    </row>
    <row r="22" spans="1:13" x14ac:dyDescent="0.25">
      <c r="A22" s="1">
        <v>19</v>
      </c>
      <c r="B22" s="36" t="s">
        <v>4</v>
      </c>
      <c r="C22" s="22" t="s">
        <v>20</v>
      </c>
      <c r="D22" s="21" t="s">
        <v>48</v>
      </c>
      <c r="E22" s="21" t="s">
        <v>32</v>
      </c>
      <c r="F22" s="29">
        <f>22.81+'[9]INFORME COSTOS'!$D$19</f>
        <v>79.179999999999993</v>
      </c>
      <c r="G22" s="26">
        <f>+'[9]INFORME COSTOS'!$I$19</f>
        <v>448</v>
      </c>
      <c r="H22" s="5">
        <v>1</v>
      </c>
      <c r="I22" s="24">
        <f t="shared" si="2"/>
        <v>2.232142857142857E-3</v>
      </c>
      <c r="J22" s="25">
        <f t="shared" si="3"/>
        <v>79.179999999999993</v>
      </c>
      <c r="K22" s="26">
        <f>+'[9]INFORME COSTOS'!$G$19</f>
        <v>61382</v>
      </c>
      <c r="L22" s="23">
        <f t="shared" si="0"/>
        <v>1.289954709849793</v>
      </c>
      <c r="M22" s="37">
        <f t="shared" si="4"/>
        <v>0.1767410714285714</v>
      </c>
    </row>
    <row r="23" spans="1:13" x14ac:dyDescent="0.25">
      <c r="A23" s="1">
        <v>20</v>
      </c>
      <c r="B23" s="36" t="s">
        <v>4</v>
      </c>
      <c r="C23" s="22" t="s">
        <v>30</v>
      </c>
      <c r="D23" s="21" t="s">
        <v>48</v>
      </c>
      <c r="E23" s="21" t="s">
        <v>18</v>
      </c>
      <c r="F23" s="29">
        <f>+'[8]INFORME COSTOS'!$D$18+'[8]INFORME COSTOS'!$D$19</f>
        <v>13.73</v>
      </c>
      <c r="G23" s="21">
        <v>11</v>
      </c>
      <c r="H23" s="5">
        <v>1</v>
      </c>
      <c r="I23" s="24">
        <f t="shared" si="2"/>
        <v>9.0909090909090912E-2</v>
      </c>
      <c r="J23" s="25">
        <f t="shared" si="3"/>
        <v>13.73</v>
      </c>
      <c r="K23" s="26">
        <v>4010</v>
      </c>
      <c r="L23" s="23">
        <f t="shared" si="0"/>
        <v>3.4239401496259352</v>
      </c>
      <c r="M23" s="37">
        <f t="shared" si="4"/>
        <v>1.2481818181818183</v>
      </c>
    </row>
    <row r="24" spans="1:13" x14ac:dyDescent="0.25">
      <c r="A24" s="1">
        <v>21</v>
      </c>
      <c r="B24" s="36" t="s">
        <v>4</v>
      </c>
      <c r="C24" s="22" t="s">
        <v>33</v>
      </c>
      <c r="D24" s="21" t="s">
        <v>48</v>
      </c>
      <c r="E24" s="21" t="s">
        <v>18</v>
      </c>
      <c r="F24" s="29">
        <f>33.23+'[9]INFORME COSTOS'!$D$17+'[9]INFORME COSTOS'!$D$18</f>
        <v>93.22999999999999</v>
      </c>
      <c r="G24" s="21">
        <v>17</v>
      </c>
      <c r="H24" s="5">
        <v>8</v>
      </c>
      <c r="I24" s="24">
        <f t="shared" si="2"/>
        <v>0.47058823529411764</v>
      </c>
      <c r="J24" s="25">
        <f t="shared" si="3"/>
        <v>11.653749999999999</v>
      </c>
      <c r="K24" s="26">
        <f>18468+'[9]INFORME COSTOS'!$G$17+'[9]INFORME COSTOS'!$G$18</f>
        <v>57248</v>
      </c>
      <c r="L24" s="23">
        <f t="shared" si="0"/>
        <v>1.6285285075461149</v>
      </c>
      <c r="M24" s="37">
        <f t="shared" si="4"/>
        <v>5.4841176470588229</v>
      </c>
    </row>
    <row r="25" spans="1:13" x14ac:dyDescent="0.25">
      <c r="A25" s="1">
        <v>22</v>
      </c>
      <c r="B25" s="36" t="s">
        <v>4</v>
      </c>
      <c r="C25" s="22" t="s">
        <v>12</v>
      </c>
      <c r="D25" s="21" t="s">
        <v>48</v>
      </c>
      <c r="E25" s="21" t="s">
        <v>18</v>
      </c>
      <c r="F25" s="29">
        <f>+'[9]INFORME COSTOS'!$D$7+'[9]INFORME COSTOS'!$D$8</f>
        <v>61.18</v>
      </c>
      <c r="G25" s="26">
        <f>+'[9]INFORME COSTOS'!$I$7+'[9]INFORME COSTOS'!$I$8</f>
        <v>75</v>
      </c>
      <c r="H25" s="5">
        <v>6</v>
      </c>
      <c r="I25" s="24">
        <f t="shared" si="2"/>
        <v>0.08</v>
      </c>
      <c r="J25" s="25">
        <f t="shared" si="3"/>
        <v>10.196666666666667</v>
      </c>
      <c r="K25" s="26">
        <f>+'[9]INFORME COSTOS'!$G$7+'[9]INFORME COSTOS'!$G$8</f>
        <v>20087</v>
      </c>
      <c r="L25" s="23">
        <f t="shared" si="0"/>
        <v>3.0457509832229799</v>
      </c>
      <c r="M25" s="37">
        <f t="shared" si="4"/>
        <v>0.81573333333333331</v>
      </c>
    </row>
    <row r="26" spans="1:13" x14ac:dyDescent="0.25">
      <c r="A26" s="1">
        <v>23</v>
      </c>
      <c r="B26" s="36" t="s">
        <v>4</v>
      </c>
      <c r="C26" s="22" t="s">
        <v>51</v>
      </c>
      <c r="D26" s="21" t="s">
        <v>52</v>
      </c>
      <c r="E26" s="21" t="s">
        <v>32</v>
      </c>
      <c r="F26" s="29">
        <f>+'[9]INFORME COSTOS'!$D$9</f>
        <v>40</v>
      </c>
      <c r="G26" s="26">
        <f>+'[9]INFORME COSTOS'!$I$9</f>
        <v>25</v>
      </c>
      <c r="H26" s="5">
        <v>1</v>
      </c>
      <c r="I26" s="24">
        <f t="shared" si="2"/>
        <v>0.04</v>
      </c>
      <c r="J26" s="25">
        <v>0</v>
      </c>
      <c r="K26" s="26">
        <f>+'[9]INFORME COSTOS'!$G$9</f>
        <v>14240</v>
      </c>
      <c r="L26" s="23">
        <f t="shared" si="0"/>
        <v>2.8089887640449436</v>
      </c>
      <c r="M26" s="37">
        <f t="shared" si="4"/>
        <v>1.6</v>
      </c>
    </row>
    <row r="27" spans="1:13" x14ac:dyDescent="0.25">
      <c r="A27" s="1">
        <v>24</v>
      </c>
      <c r="B27" s="36" t="s">
        <v>4</v>
      </c>
      <c r="C27" s="22" t="s">
        <v>54</v>
      </c>
      <c r="D27" s="21" t="s">
        <v>52</v>
      </c>
      <c r="E27" s="21" t="s">
        <v>18</v>
      </c>
      <c r="F27" s="29">
        <f>24.49+'[10]INFORME COSTOS'!$D$6+'[10]INFORME COSTOS'!$D$7</f>
        <v>120</v>
      </c>
      <c r="G27" s="26">
        <f>27+39</f>
        <v>66</v>
      </c>
      <c r="H27" s="5">
        <v>1</v>
      </c>
      <c r="I27" s="24">
        <f t="shared" si="2"/>
        <v>1.5151515151515152E-2</v>
      </c>
      <c r="J27" s="25">
        <f t="shared" si="3"/>
        <v>120</v>
      </c>
      <c r="K27" s="26">
        <f>118+'[10]INFORME COSTOS'!$G$6+'[10]INFORME COSTOS'!$G$7</f>
        <v>54446</v>
      </c>
      <c r="L27" s="23">
        <f t="shared" si="0"/>
        <v>2.204018660691327</v>
      </c>
      <c r="M27" s="37">
        <f t="shared" si="4"/>
        <v>1.8181818181818181</v>
      </c>
    </row>
    <row r="28" spans="1:13" x14ac:dyDescent="0.25">
      <c r="A28" s="1">
        <v>25</v>
      </c>
      <c r="B28" s="36" t="s">
        <v>4</v>
      </c>
      <c r="C28" s="22" t="s">
        <v>12</v>
      </c>
      <c r="D28" s="21" t="s">
        <v>55</v>
      </c>
      <c r="E28" s="21" t="s">
        <v>18</v>
      </c>
      <c r="F28" s="29">
        <f>+'[10]INFORME COSTOS'!$D$12</f>
        <v>50</v>
      </c>
      <c r="G28" s="26">
        <f>+'[10]INFORME COSTOS'!$J$12</f>
        <v>30</v>
      </c>
      <c r="H28" s="5">
        <v>1</v>
      </c>
      <c r="I28" s="24">
        <f t="shared" si="2"/>
        <v>3.3333333333333333E-2</v>
      </c>
      <c r="J28" s="25">
        <f t="shared" si="3"/>
        <v>50</v>
      </c>
      <c r="K28" s="26">
        <f>+'[10]INFORME COSTOS'!$G$12</f>
        <v>29296</v>
      </c>
      <c r="L28" s="23">
        <f t="shared" si="0"/>
        <v>1.7067176406335336</v>
      </c>
      <c r="M28" s="37">
        <f t="shared" si="4"/>
        <v>1.6666666666666667</v>
      </c>
    </row>
    <row r="29" spans="1:13" x14ac:dyDescent="0.25">
      <c r="A29" s="1">
        <v>26</v>
      </c>
      <c r="B29" s="36" t="s">
        <v>4</v>
      </c>
      <c r="C29" s="22" t="s">
        <v>56</v>
      </c>
      <c r="D29" s="21" t="s">
        <v>55</v>
      </c>
      <c r="E29" s="21" t="s">
        <v>18</v>
      </c>
      <c r="F29" s="29">
        <f>+'[10]INFORME COSTOS'!$D$13+'[10]INFORME COSTOS'!$D$14+'[10]INFORME COSTOS'!$D$19</f>
        <v>145.72</v>
      </c>
      <c r="G29" s="21">
        <f>+'[10]INFORME COSTOS'!$J$14+'[10]INFORME COSTOS'!$J$19</f>
        <v>62</v>
      </c>
      <c r="H29" s="5">
        <v>6</v>
      </c>
      <c r="I29" s="24">
        <f t="shared" si="2"/>
        <v>9.6774193548387094E-2</v>
      </c>
      <c r="J29" s="25">
        <f t="shared" si="3"/>
        <v>24.286666666666665</v>
      </c>
      <c r="K29" s="31">
        <f>+'[10]INFORME COSTOS'!$G$13+'[10]INFORME COSTOS'!$G$14+'[10]INFORME COSTOS'!$H$19</f>
        <v>62816</v>
      </c>
      <c r="L29" s="23">
        <f t="shared" si="0"/>
        <v>2.3197911360163013</v>
      </c>
      <c r="M29" s="37">
        <f t="shared" si="4"/>
        <v>2.3503225806451611</v>
      </c>
    </row>
    <row r="30" spans="1:13" x14ac:dyDescent="0.25">
      <c r="A30" s="1">
        <v>27</v>
      </c>
      <c r="B30" s="36" t="s">
        <v>4</v>
      </c>
      <c r="C30" s="22" t="s">
        <v>35</v>
      </c>
      <c r="D30" s="21" t="s">
        <v>55</v>
      </c>
      <c r="E30" s="21" t="s">
        <v>18</v>
      </c>
      <c r="F30" s="29">
        <f>+'[10]INFORME COSTOS'!$D$15+'[10]INFORME COSTOS'!$D$16+'[10]INFORME COSTOS'!$D$20</f>
        <v>145.56</v>
      </c>
      <c r="G30" s="21">
        <f>+'[10]INFORME COSTOS'!$J$16+'[10]INFORME COSTOS'!$J$20</f>
        <v>33</v>
      </c>
      <c r="H30" s="5">
        <v>1</v>
      </c>
      <c r="I30" s="24">
        <f t="shared" si="2"/>
        <v>3.0303030303030304E-2</v>
      </c>
      <c r="J30" s="25">
        <f t="shared" si="3"/>
        <v>145.56</v>
      </c>
      <c r="K30" s="31">
        <f>+'[10]INFORME COSTOS'!$G$15+'[10]INFORME COSTOS'!$G$16+'[10]INFORME COSTOS'!$G$20</f>
        <v>67872</v>
      </c>
      <c r="L30" s="23">
        <f t="shared" si="0"/>
        <v>2.1446251768033946</v>
      </c>
      <c r="M30" s="37">
        <f t="shared" si="4"/>
        <v>4.4109090909090911</v>
      </c>
    </row>
    <row r="31" spans="1:13" x14ac:dyDescent="0.25">
      <c r="A31" s="1">
        <v>28</v>
      </c>
      <c r="B31" s="36" t="s">
        <v>3</v>
      </c>
      <c r="C31" s="22" t="s">
        <v>16</v>
      </c>
      <c r="D31" s="21" t="s">
        <v>23</v>
      </c>
      <c r="E31" s="21" t="s">
        <v>18</v>
      </c>
      <c r="F31" s="23">
        <f>+'[2]INFORME COSTOS'!$E$6+'[2]INFORME COSTOS'!$E$7</f>
        <v>45</v>
      </c>
      <c r="G31" s="21">
        <v>46</v>
      </c>
      <c r="H31" s="21">
        <v>2</v>
      </c>
      <c r="I31" s="24">
        <f>+H31/G31</f>
        <v>4.3478260869565216E-2</v>
      </c>
      <c r="J31" s="23">
        <f>+F31/H31</f>
        <v>22.5</v>
      </c>
      <c r="K31" s="26">
        <f>+'[2]INFORME COSTOS'!$F$6+'[2]INFORME COSTOS'!$F$7</f>
        <v>30627</v>
      </c>
      <c r="L31" s="23">
        <f t="shared" si="0"/>
        <v>1.4692918013517484</v>
      </c>
      <c r="M31" s="37">
        <f t="shared" si="4"/>
        <v>0.97826086956521741</v>
      </c>
    </row>
    <row r="32" spans="1:13" x14ac:dyDescent="0.25">
      <c r="A32" s="1">
        <v>29</v>
      </c>
      <c r="B32" s="38" t="s">
        <v>3</v>
      </c>
      <c r="C32" s="28" t="s">
        <v>28</v>
      </c>
      <c r="D32" s="27" t="s">
        <v>25</v>
      </c>
      <c r="E32" s="27" t="s">
        <v>18</v>
      </c>
      <c r="F32" s="29">
        <f>+'[1]INFORME COSTOS'!$E$23</f>
        <v>30</v>
      </c>
      <c r="G32" s="27">
        <f>+'[1]INFORME COSTOS'!$G$23</f>
        <v>20</v>
      </c>
      <c r="H32" s="27">
        <v>0</v>
      </c>
      <c r="I32" s="24">
        <f t="shared" ref="I32:I41" si="5">+H32/G32</f>
        <v>0</v>
      </c>
      <c r="J32" s="23">
        <v>30</v>
      </c>
      <c r="K32" s="26">
        <f>+'[1]INFORME COSTOS'!$F$23</f>
        <v>13354</v>
      </c>
      <c r="L32" s="23">
        <f t="shared" si="0"/>
        <v>2.2465178972592481</v>
      </c>
      <c r="M32" s="37">
        <f t="shared" si="4"/>
        <v>1.5</v>
      </c>
    </row>
    <row r="33" spans="1:13" x14ac:dyDescent="0.25">
      <c r="A33" s="1">
        <v>30</v>
      </c>
      <c r="B33" s="38" t="s">
        <v>3</v>
      </c>
      <c r="C33" s="28" t="s">
        <v>29</v>
      </c>
      <c r="D33" s="27" t="s">
        <v>25</v>
      </c>
      <c r="E33" s="27" t="s">
        <v>18</v>
      </c>
      <c r="F33" s="29">
        <f>+'[1]INFORME COSTOS'!$E$24</f>
        <v>30</v>
      </c>
      <c r="G33" s="27">
        <f>+'[1]INFORME COSTOS'!$G$24</f>
        <v>25</v>
      </c>
      <c r="H33" s="27">
        <v>0</v>
      </c>
      <c r="I33" s="24">
        <f t="shared" si="5"/>
        <v>0</v>
      </c>
      <c r="J33" s="23">
        <v>30</v>
      </c>
      <c r="K33" s="26">
        <f>+'[1]INFORME COSTOS'!$F$24</f>
        <v>10371</v>
      </c>
      <c r="L33" s="23">
        <f t="shared" si="0"/>
        <v>2.8926815157651147</v>
      </c>
      <c r="M33" s="37">
        <f t="shared" si="4"/>
        <v>1.2</v>
      </c>
    </row>
    <row r="34" spans="1:13" ht="30" x14ac:dyDescent="0.25">
      <c r="A34" s="1">
        <v>31</v>
      </c>
      <c r="B34" s="36" t="s">
        <v>3</v>
      </c>
      <c r="C34" s="22" t="s">
        <v>44</v>
      </c>
      <c r="D34" s="21" t="s">
        <v>42</v>
      </c>
      <c r="E34" s="21" t="s">
        <v>18</v>
      </c>
      <c r="F34" s="29">
        <f>136.5+'[7]INFORME COSTOS'!$C$6+'[7]INFORME COSTOS'!$C$7</f>
        <v>212.91</v>
      </c>
      <c r="G34" s="21">
        <f>84+'[7]INFORME COSTOS'!$H$7</f>
        <v>160</v>
      </c>
      <c r="H34" s="21">
        <v>5</v>
      </c>
      <c r="I34" s="24">
        <f t="shared" si="5"/>
        <v>3.125E-2</v>
      </c>
      <c r="J34" s="23">
        <f t="shared" ref="J34:J44" si="6">+F34/H34</f>
        <v>42.582000000000001</v>
      </c>
      <c r="K34" s="26">
        <f>53176+'[7]INFORME COSTOS'!$F$6+'[7]INFORME COSTOS'!$F$7</f>
        <v>82724</v>
      </c>
      <c r="L34" s="23">
        <f t="shared" si="0"/>
        <v>2.5737391808906724</v>
      </c>
      <c r="M34" s="37">
        <f t="shared" si="4"/>
        <v>1.3306875</v>
      </c>
    </row>
    <row r="35" spans="1:13" x14ac:dyDescent="0.25">
      <c r="A35" s="1">
        <v>32</v>
      </c>
      <c r="B35" s="36" t="s">
        <v>3</v>
      </c>
      <c r="C35" s="22" t="s">
        <v>49</v>
      </c>
      <c r="D35" s="21" t="s">
        <v>48</v>
      </c>
      <c r="E35" s="21" t="s">
        <v>18</v>
      </c>
      <c r="F35" s="29">
        <f>+'[8]INFORME COSTOS'!$D$6+'[8]INFORME COSTOS'!$D$7+'[8]INFORME COSTOS'!$D$8+'[8]INFORME COSTOS'!$D$9</f>
        <v>80.19</v>
      </c>
      <c r="G35" s="21">
        <f>+'[8]INFORME COSTOS'!$H$8+'[8]INFORME COSTOS'!$H$6</f>
        <v>183</v>
      </c>
      <c r="H35" s="21">
        <v>1</v>
      </c>
      <c r="I35" s="24">
        <f t="shared" si="5"/>
        <v>5.4644808743169399E-3</v>
      </c>
      <c r="J35" s="23">
        <f t="shared" si="6"/>
        <v>80.19</v>
      </c>
      <c r="K35" s="26">
        <f>+'[8]INFORME COSTOS'!$G$6+'[8]INFORME COSTOS'!$G$7+'[8]INFORME COSTOS'!$G$8+'[8]INFORME COSTOS'!$G$9</f>
        <v>28008</v>
      </c>
      <c r="L35" s="23">
        <f t="shared" si="0"/>
        <v>2.8631105398457581</v>
      </c>
      <c r="M35" s="37">
        <f t="shared" si="4"/>
        <v>0.43819672131147541</v>
      </c>
    </row>
    <row r="36" spans="1:13" x14ac:dyDescent="0.25">
      <c r="A36" s="1">
        <v>33</v>
      </c>
      <c r="B36" s="36" t="s">
        <v>3</v>
      </c>
      <c r="C36" s="22" t="s">
        <v>47</v>
      </c>
      <c r="D36" s="21" t="s">
        <v>52</v>
      </c>
      <c r="E36" s="21" t="s">
        <v>32</v>
      </c>
      <c r="F36" s="29">
        <f>73.57+'[9]INFORME COSTOS'!$D$16</f>
        <v>82.36999999999999</v>
      </c>
      <c r="G36" s="26">
        <f>66+'[9]INFORME COSTOS'!$I$16</f>
        <v>76</v>
      </c>
      <c r="H36" s="21">
        <v>2</v>
      </c>
      <c r="I36" s="24">
        <f t="shared" si="5"/>
        <v>2.6315789473684209E-2</v>
      </c>
      <c r="J36" s="23">
        <f t="shared" si="6"/>
        <v>41.184999999999995</v>
      </c>
      <c r="K36" s="26">
        <f>36991+'[9]INFORME COSTOS'!$G$16</f>
        <v>40178</v>
      </c>
      <c r="L36" s="23">
        <f t="shared" si="0"/>
        <v>2.0501269351386329</v>
      </c>
      <c r="M36" s="37">
        <f t="shared" si="4"/>
        <v>1.0838157894736842</v>
      </c>
    </row>
    <row r="37" spans="1:13" x14ac:dyDescent="0.25">
      <c r="A37" s="1">
        <v>34</v>
      </c>
      <c r="B37" s="36" t="s">
        <v>3</v>
      </c>
      <c r="C37" s="22" t="s">
        <v>47</v>
      </c>
      <c r="D37" s="21" t="s">
        <v>55</v>
      </c>
      <c r="E37" s="21" t="s">
        <v>32</v>
      </c>
      <c r="F37" s="29">
        <f>+'[10]INFORME COSTOS'!$D$8+'[10]INFORME COSTOS'!$D$9</f>
        <v>100</v>
      </c>
      <c r="G37" s="26">
        <f>+'[10]INFORME COSTOS'!$J$9</f>
        <v>191</v>
      </c>
      <c r="H37" s="21">
        <v>3</v>
      </c>
      <c r="I37" s="24">
        <f t="shared" si="5"/>
        <v>1.5706806282722512E-2</v>
      </c>
      <c r="J37" s="23">
        <f t="shared" si="6"/>
        <v>33.333333333333336</v>
      </c>
      <c r="K37" s="26">
        <f>+'[10]INFORME COSTOS'!$G$8+'[10]INFORME COSTOS'!$G$9</f>
        <v>89272</v>
      </c>
      <c r="L37" s="23">
        <f t="shared" si="0"/>
        <v>1.1201720584281747</v>
      </c>
      <c r="M37" s="37">
        <f t="shared" si="4"/>
        <v>0.52356020942408377</v>
      </c>
    </row>
    <row r="38" spans="1:13" x14ac:dyDescent="0.25">
      <c r="A38" s="1">
        <v>35</v>
      </c>
      <c r="B38" s="36" t="s">
        <v>3</v>
      </c>
      <c r="C38" s="22" t="s">
        <v>28</v>
      </c>
      <c r="D38" s="21" t="s">
        <v>55</v>
      </c>
      <c r="E38" s="21" t="s">
        <v>18</v>
      </c>
      <c r="F38" s="29">
        <f>+'[10]INFORME COSTOS'!$D$10+'[10]INFORME COSTOS'!$D$11</f>
        <v>120</v>
      </c>
      <c r="G38" s="26">
        <f>+'[10]INFORME COSTOS'!$J$11</f>
        <v>52</v>
      </c>
      <c r="H38" s="21">
        <v>4</v>
      </c>
      <c r="I38" s="24">
        <f t="shared" si="5"/>
        <v>7.6923076923076927E-2</v>
      </c>
      <c r="J38" s="23">
        <f t="shared" si="6"/>
        <v>30</v>
      </c>
      <c r="K38" s="26">
        <f>+'[10]INFORME COSTOS'!$G$11+'[10]INFORME COSTOS'!$G$10</f>
        <v>73840</v>
      </c>
      <c r="L38" s="23">
        <f t="shared" si="0"/>
        <v>1.6251354279523293</v>
      </c>
      <c r="M38" s="37">
        <f t="shared" si="4"/>
        <v>2.3076923076923075</v>
      </c>
    </row>
    <row r="39" spans="1:13" ht="30" x14ac:dyDescent="0.25">
      <c r="A39" s="1">
        <v>36</v>
      </c>
      <c r="B39" s="38" t="s">
        <v>2</v>
      </c>
      <c r="C39" s="28" t="s">
        <v>40</v>
      </c>
      <c r="D39" s="27" t="s">
        <v>31</v>
      </c>
      <c r="E39" s="27" t="s">
        <v>18</v>
      </c>
      <c r="F39" s="29">
        <f>+'[3]INFORME COSTOS'!$C$12+'[3]INFORME COSTOS'!$C$13+'[3]INFORME COSTOS'!$C$14+'[3]INFORME COSTOS'!$C$15+'[3]INFORME COSTOS'!$C$16+'[3]INFORME COSTOS'!$C$17+'[3]INFORME COSTOS'!$C$18</f>
        <v>244.38</v>
      </c>
      <c r="G39" s="27">
        <f>+'[3]INFORME COSTOS'!$G$13</f>
        <v>60</v>
      </c>
      <c r="H39" s="27">
        <v>28</v>
      </c>
      <c r="I39" s="32">
        <f t="shared" si="5"/>
        <v>0.46666666666666667</v>
      </c>
      <c r="J39" s="23">
        <f t="shared" si="6"/>
        <v>8.7278571428571432</v>
      </c>
      <c r="K39" s="26">
        <f>+'[3]INFORME COSTOS'!$F$12+'[3]INFORME COSTOS'!$F$13+'[3]INFORME COSTOS'!$F$14+'[3]INFORME COSTOS'!$F$15+'[3]INFORME COSTOS'!$F$16+'[3]INFORME COSTOS'!$F$17+'[3]INFORME COSTOS'!$F$18</f>
        <v>376888</v>
      </c>
      <c r="L39" s="23">
        <f t="shared" si="0"/>
        <v>0.64841544437604803</v>
      </c>
      <c r="M39" s="37">
        <f t="shared" si="4"/>
        <v>4.0729999999999995</v>
      </c>
    </row>
    <row r="40" spans="1:13" x14ac:dyDescent="0.25">
      <c r="A40" s="1">
        <v>37</v>
      </c>
      <c r="B40" s="36" t="s">
        <v>2</v>
      </c>
      <c r="C40" s="22" t="s">
        <v>53</v>
      </c>
      <c r="D40" s="21" t="s">
        <v>52</v>
      </c>
      <c r="E40" s="21" t="s">
        <v>18</v>
      </c>
      <c r="F40" s="29">
        <f>+'[9]INFORME COSTOS'!$D$20+'[9]INFORME COSTOS'!$D$21</f>
        <v>100</v>
      </c>
      <c r="G40" s="26">
        <f>+'[9]INFORME COSTOS'!$I$21</f>
        <v>117</v>
      </c>
      <c r="H40" s="21">
        <v>58</v>
      </c>
      <c r="I40" s="32">
        <f t="shared" si="5"/>
        <v>0.49572649572649574</v>
      </c>
      <c r="J40" s="23">
        <f t="shared" si="6"/>
        <v>1.7241379310344827</v>
      </c>
      <c r="K40" s="26">
        <f>+'[9]INFORME COSTOS'!$G$20+'[9]INFORME COSTOS'!$G$21</f>
        <v>64944</v>
      </c>
      <c r="L40" s="23">
        <f t="shared" si="0"/>
        <v>1.5397881251539789</v>
      </c>
      <c r="M40" s="37">
        <f t="shared" si="4"/>
        <v>0.85470085470085466</v>
      </c>
    </row>
    <row r="41" spans="1:13" x14ac:dyDescent="0.25">
      <c r="A41" s="1">
        <v>38</v>
      </c>
      <c r="B41" s="36" t="s">
        <v>2</v>
      </c>
      <c r="C41" s="22" t="s">
        <v>57</v>
      </c>
      <c r="D41" s="21" t="s">
        <v>55</v>
      </c>
      <c r="E41" s="21" t="s">
        <v>32</v>
      </c>
      <c r="F41" s="29">
        <f>+'[10]INFORME COSTOS'!$D$17+'[10]INFORME COSTOS'!$D$18</f>
        <v>68.540000000000006</v>
      </c>
      <c r="G41" s="21">
        <f>+'[10]INFORME COSTOS'!$J$18</f>
        <v>55</v>
      </c>
      <c r="H41" s="21">
        <v>6</v>
      </c>
      <c r="I41" s="32">
        <f t="shared" si="5"/>
        <v>0.10909090909090909</v>
      </c>
      <c r="J41" s="23">
        <f t="shared" si="6"/>
        <v>11.423333333333334</v>
      </c>
      <c r="K41" s="31">
        <f>+'[10]INFORME COSTOS'!$G$17+'[10]INFORME COSTOS'!$G$18</f>
        <v>41502</v>
      </c>
      <c r="L41" s="23">
        <f t="shared" si="0"/>
        <v>1.6514866753409476</v>
      </c>
      <c r="M41" s="37">
        <f t="shared" si="4"/>
        <v>1.2461818181818183</v>
      </c>
    </row>
    <row r="42" spans="1:13" ht="30" x14ac:dyDescent="0.25">
      <c r="A42" s="1">
        <v>39</v>
      </c>
      <c r="B42" s="38" t="s">
        <v>1</v>
      </c>
      <c r="C42" s="28" t="s">
        <v>27</v>
      </c>
      <c r="D42" s="27" t="s">
        <v>25</v>
      </c>
      <c r="E42" s="27" t="s">
        <v>32</v>
      </c>
      <c r="F42" s="29">
        <f>+'[1]INFORME COSTOS'!$E$19+'[1]INFORME COSTOS'!$E$20+'[1]INFORME COSTOS'!$E$21+'[1]INFORME COSTOS'!$E$22</f>
        <v>90</v>
      </c>
      <c r="G42" s="27">
        <f>+'[1]INFORME COSTOS'!$G$20+'[1]INFORME COSTOS'!$G$21+'[1]INFORME COSTOS'!$G$22</f>
        <v>107</v>
      </c>
      <c r="H42" s="27">
        <v>52</v>
      </c>
      <c r="I42" s="24">
        <f>+H42/G42</f>
        <v>0.48598130841121495</v>
      </c>
      <c r="J42" s="23">
        <f t="shared" si="6"/>
        <v>1.7307692307692308</v>
      </c>
      <c r="K42" s="26">
        <f>+'[1]INFORME COSTOS'!$F$19+'[1]INFORME COSTOS'!$F$20+'[1]INFORME COSTOS'!$F$21+'[1]INFORME COSTOS'!$F$22</f>
        <v>52573</v>
      </c>
      <c r="L42" s="23">
        <f t="shared" si="0"/>
        <v>1.7119053506552793</v>
      </c>
      <c r="M42" s="37">
        <f t="shared" si="4"/>
        <v>0.84112149532710279</v>
      </c>
    </row>
    <row r="43" spans="1:13" ht="30" x14ac:dyDescent="0.25">
      <c r="A43" s="1">
        <v>40</v>
      </c>
      <c r="B43" s="36" t="s">
        <v>1</v>
      </c>
      <c r="C43" s="22" t="s">
        <v>37</v>
      </c>
      <c r="D43" s="21" t="s">
        <v>38</v>
      </c>
      <c r="E43" s="21" t="s">
        <v>18</v>
      </c>
      <c r="F43" s="29">
        <f>+'[5]INFORME COSTOS'!$C$8+'[5]INFORME COSTOS'!$C$9+'[5]INFORME COSTOS'!$C$10</f>
        <v>100</v>
      </c>
      <c r="G43" s="21">
        <f>+'[5]INFORME COSTOS'!$G$8</f>
        <v>134</v>
      </c>
      <c r="H43" s="21">
        <v>62</v>
      </c>
      <c r="I43" s="24">
        <f>+H43/G43</f>
        <v>0.46268656716417911</v>
      </c>
      <c r="J43" s="23">
        <f t="shared" si="6"/>
        <v>1.6129032258064515</v>
      </c>
      <c r="K43" s="26">
        <f>+'[5]INFORME COSTOS'!$F$8+'[5]INFORME COSTOS'!$F$9+'[5]INFORME COSTOS'!$F$10</f>
        <v>87149</v>
      </c>
      <c r="L43" s="23">
        <f t="shared" si="0"/>
        <v>1.1474600970751243</v>
      </c>
      <c r="M43" s="37">
        <f t="shared" si="4"/>
        <v>0.74626865671641796</v>
      </c>
    </row>
    <row r="44" spans="1:13" ht="15.75" thickBot="1" x14ac:dyDescent="0.3">
      <c r="A44" s="1">
        <v>41</v>
      </c>
      <c r="B44" s="39" t="s">
        <v>1</v>
      </c>
      <c r="C44" s="40" t="s">
        <v>43</v>
      </c>
      <c r="D44" s="41" t="s">
        <v>42</v>
      </c>
      <c r="E44" s="41" t="s">
        <v>18</v>
      </c>
      <c r="F44" s="42">
        <f>+'[6]INFORME COSTOS'!$C$11+'[6]INFORME COSTOS'!$C$12</f>
        <v>49.79</v>
      </c>
      <c r="G44" s="41">
        <f>+'[6]INFORME COSTOS'!$G$12</f>
        <v>109</v>
      </c>
      <c r="H44" s="41">
        <v>62</v>
      </c>
      <c r="I44" s="43">
        <f>+H44/G44</f>
        <v>0.56880733944954132</v>
      </c>
      <c r="J44" s="44">
        <f t="shared" si="6"/>
        <v>0.80306451612903229</v>
      </c>
      <c r="K44" s="45">
        <f>+'[6]INFORME COSTOS'!$F$11+'[6]INFORME COSTOS'!$F$12</f>
        <v>25395</v>
      </c>
      <c r="L44" s="44">
        <f t="shared" si="0"/>
        <v>1.9606221697184485</v>
      </c>
      <c r="M44" s="46">
        <f t="shared" si="4"/>
        <v>0.45678899082568808</v>
      </c>
    </row>
    <row r="45" spans="1:13" x14ac:dyDescent="0.25">
      <c r="L45" s="11"/>
    </row>
    <row r="48" spans="1:13" x14ac:dyDescent="0.25">
      <c r="C48" s="12" t="s">
        <v>58</v>
      </c>
      <c r="D48" s="13">
        <f>SUM(F4:F44)</f>
        <v>2933.8700000000003</v>
      </c>
    </row>
  </sheetData>
  <autoFilter ref="A3:L45"/>
  <sortState ref="A4:M44">
    <sortCondition ref="B4:B44"/>
  </sortState>
  <pageMargins left="0" right="0" top="0" bottom="0" header="0.3" footer="0.3"/>
  <pageSetup scale="72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F7"/>
  <sheetViews>
    <sheetView workbookViewId="0">
      <selection activeCell="B5" sqref="B5:E6"/>
    </sheetView>
  </sheetViews>
  <sheetFormatPr baseColWidth="10" defaultRowHeight="15" x14ac:dyDescent="0.25"/>
  <sheetData>
    <row r="5" spans="2:6" x14ac:dyDescent="0.25">
      <c r="B5" s="17" t="s">
        <v>62</v>
      </c>
      <c r="C5" s="18" t="s">
        <v>63</v>
      </c>
      <c r="D5" s="48" t="s">
        <v>64</v>
      </c>
      <c r="E5" s="48" t="s">
        <v>61</v>
      </c>
    </row>
    <row r="6" spans="2:6" x14ac:dyDescent="0.25">
      <c r="B6" s="19">
        <v>21748</v>
      </c>
      <c r="C6" s="19">
        <v>30500</v>
      </c>
      <c r="D6" s="49">
        <f>+C6-B6</f>
        <v>8752</v>
      </c>
      <c r="E6" s="6">
        <f>+D6/B6</f>
        <v>0.40242780945374285</v>
      </c>
      <c r="F6" s="20"/>
    </row>
    <row r="7" spans="2:6" x14ac:dyDescent="0.25">
      <c r="D7" s="16"/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Resumen donante</vt:lpstr>
      <vt:lpstr>Consolidado</vt:lpstr>
      <vt:lpstr>Página Facebook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Salgado Troya</dc:creator>
  <cp:lastModifiedBy>Sebastian Salgado Troya</cp:lastModifiedBy>
  <cp:lastPrinted>2019-12-03T23:31:51Z</cp:lastPrinted>
  <dcterms:created xsi:type="dcterms:W3CDTF">2019-11-15T16:54:11Z</dcterms:created>
  <dcterms:modified xsi:type="dcterms:W3CDTF">2019-12-04T15:55:16Z</dcterms:modified>
</cp:coreProperties>
</file>