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nsulting\Apendix\"/>
    </mc:Choice>
  </mc:AlternateContent>
  <xr:revisionPtr revIDLastSave="0" documentId="13_ncr:1_{E6578333-C722-4CED-92DE-E09C287029CD}" xr6:coauthVersionLast="47" xr6:coauthVersionMax="47" xr10:uidLastSave="{00000000-0000-0000-0000-000000000000}"/>
  <bookViews>
    <workbookView xWindow="2710" yWindow="2020" windowWidth="18430" windowHeight="13120" activeTab="1" xr2:uid="{00000000-000D-0000-FFFF-FFFF00000000}"/>
  </bookViews>
  <sheets>
    <sheet name="Model" sheetId="1" r:id="rId1"/>
    <sheet name="Data" sheetId="2" r:id="rId2"/>
    <sheet name="Data Adjust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4" i="1"/>
  <c r="L3" i="1"/>
  <c r="P4" i="1"/>
  <c r="P6" i="1"/>
  <c r="P7" i="1"/>
  <c r="P3" i="1"/>
  <c r="N4" i="1"/>
  <c r="Q4" i="1" s="1"/>
  <c r="N6" i="1"/>
  <c r="Q6" i="1" s="1"/>
  <c r="N7" i="1"/>
  <c r="Q7" i="1" s="1"/>
  <c r="N3" i="1"/>
  <c r="Q3" i="1" s="1"/>
  <c r="G3" i="1"/>
  <c r="F3" i="1"/>
  <c r="U4" i="1"/>
  <c r="U6" i="1"/>
  <c r="U7" i="1"/>
  <c r="U3" i="1"/>
  <c r="H7" i="1" l="1"/>
  <c r="H6" i="1"/>
  <c r="H4" i="1"/>
  <c r="H3" i="1"/>
  <c r="I4" i="1"/>
  <c r="J4" i="1" s="1"/>
  <c r="I6" i="1"/>
  <c r="J6" i="1" s="1"/>
  <c r="I7" i="1"/>
  <c r="J7" i="1" s="1"/>
  <c r="I3" i="1"/>
  <c r="J3" i="1" s="1"/>
  <c r="R3" i="1"/>
  <c r="R7" i="1"/>
  <c r="R6" i="1"/>
  <c r="R4" i="1"/>
  <c r="W4" i="1" l="1"/>
  <c r="E14" i="1" s="1"/>
  <c r="V4" i="1"/>
  <c r="D14" i="1" s="1"/>
  <c r="X4" i="1"/>
  <c r="F14" i="1" s="1"/>
  <c r="W6" i="1"/>
  <c r="E16" i="1" s="1"/>
  <c r="V6" i="1"/>
  <c r="D16" i="1" s="1"/>
  <c r="X6" i="1"/>
  <c r="F16" i="1" s="1"/>
  <c r="W7" i="1"/>
  <c r="E17" i="1" s="1"/>
  <c r="V7" i="1"/>
  <c r="D17" i="1" s="1"/>
  <c r="X7" i="1"/>
  <c r="F17" i="1" s="1"/>
  <c r="W3" i="1"/>
  <c r="E13" i="1" s="1"/>
  <c r="V3" i="1"/>
  <c r="D13" i="1" s="1"/>
  <c r="X3" i="1"/>
  <c r="F13" i="1" s="1"/>
  <c r="G17" i="1" l="1"/>
  <c r="G16" i="1"/>
  <c r="G14" i="1"/>
  <c r="G13" i="1"/>
  <c r="H14" i="1" s="1"/>
  <c r="H17" i="1" l="1"/>
</calcChain>
</file>

<file path=xl/sharedStrings.xml><?xml version="1.0" encoding="utf-8"?>
<sst xmlns="http://schemas.openxmlformats.org/spreadsheetml/2006/main" count="109" uniqueCount="79">
  <si>
    <t>Length of Stay(Days)</t>
  </si>
  <si>
    <t>Cost per day</t>
  </si>
  <si>
    <t>Cost per stay</t>
  </si>
  <si>
    <t>Total cost of stay</t>
  </si>
  <si>
    <t xml:space="preserve">other cost </t>
  </si>
  <si>
    <t>Total other cost</t>
  </si>
  <si>
    <t>Other cost + lenth of stay cost</t>
  </si>
  <si>
    <t>Outcome Probability</t>
  </si>
  <si>
    <t>Cost of Outcome</t>
  </si>
  <si>
    <t>ICU</t>
  </si>
  <si>
    <t xml:space="preserve">Ventilator Support </t>
  </si>
  <si>
    <t xml:space="preserve"> Ventilator support </t>
  </si>
  <si>
    <t>Ventilator support</t>
  </si>
  <si>
    <t xml:space="preserve">Vasoactive support </t>
  </si>
  <si>
    <t>Associated cost( days in ICU)</t>
  </si>
  <si>
    <t>Accute Renal Faliure</t>
  </si>
  <si>
    <t>Associated cost</t>
  </si>
  <si>
    <t>Renal Replacement Therapy</t>
  </si>
  <si>
    <t>Death</t>
  </si>
  <si>
    <t>Discharged Home</t>
  </si>
  <si>
    <t>Discharged to rehab</t>
  </si>
  <si>
    <t>Discharged to rehabilitation</t>
  </si>
  <si>
    <t xml:space="preserve">Trauma injury survivors </t>
  </si>
  <si>
    <t>All Occlution</t>
  </si>
  <si>
    <t>p-REBOA</t>
  </si>
  <si>
    <t>C-REBOA</t>
  </si>
  <si>
    <t>Long Occlution</t>
  </si>
  <si>
    <t>Cost by outcome</t>
  </si>
  <si>
    <t>Total</t>
  </si>
  <si>
    <t>Savings</t>
  </si>
  <si>
    <t>Target market  - Australia  n =</t>
  </si>
  <si>
    <t xml:space="preserve">Death </t>
  </si>
  <si>
    <t>Discharge Home</t>
  </si>
  <si>
    <t>Discharge to Rehabilitation</t>
  </si>
  <si>
    <t>Datapoint</t>
  </si>
  <si>
    <t>Data</t>
  </si>
  <si>
    <t>Link to the source</t>
  </si>
  <si>
    <t xml:space="preserve">Retrived On </t>
  </si>
  <si>
    <t>Data Type</t>
  </si>
  <si>
    <t xml:space="preserve">Data recorded on </t>
  </si>
  <si>
    <t>Notes</t>
  </si>
  <si>
    <t>Cost for ICU (Cost per day)</t>
  </si>
  <si>
    <t>Daily cost of an intensive care unit day: The contribution of mechanical ventilation * (ovid.com)</t>
  </si>
  <si>
    <t>USD</t>
  </si>
  <si>
    <t>Cost Of MV in ICU (Cost per day)</t>
  </si>
  <si>
    <t xml:space="preserve">Severe injuries in Australia </t>
  </si>
  <si>
    <t>ATR_Annual-Report_20-21.pdf (squarespace.com)</t>
  </si>
  <si>
    <t>Numeric</t>
  </si>
  <si>
    <t xml:space="preserve">May be different from the general pettern due to impact of covid </t>
  </si>
  <si>
    <t>Cost of a Hospital stay with Accute renal faliure</t>
  </si>
  <si>
    <t>Acute Renal Failure Hospitalizations, 2005-2014 #231 (ahrq.gov)</t>
  </si>
  <si>
    <t>Hemodialysis (HD) Avg Anual Cost</t>
  </si>
  <si>
    <t>U.S. Renal Data System (USRDS)</t>
  </si>
  <si>
    <t>Patients usually undergo hemodialysis three times a week, equating to roughly 156 sessions a year.
Per session cost: $89,000 / 156 = ~$570
Per day cost (averaged over 365 days): $89,000 / 365 = ~$244</t>
  </si>
  <si>
    <t>Peritoneal Dialysis (PD)  Avg Anual Cost</t>
  </si>
  <si>
    <t>PD is generally performed every day, either manually multiple times a day or using an automated system overnight.
Per day cost: $72,000 / 365 = ~$197</t>
  </si>
  <si>
    <t>Rehabilitation Cost Estimate</t>
  </si>
  <si>
    <t>Home - Centers for Medicare &amp; Medicaid Services | CMS</t>
  </si>
  <si>
    <t xml:space="preserve">
Type and Duration of Rehabilitation: Rehab could include physical therapy, occupational therapy, and other specialized services. Let's assume the patient requires 3 months of inpatient rehabilitation followed by 3 months of outpatient therapy.
Extent of Required Rehabilitation: The specific injuries and health conditions of the patient can influence the intensity and frequency of therapy sessions. Let's assume a moderate level of rehabilitation intensity.
With these assumptions, we can make some broad cost estimates based on 2021 numbers:
Inpatient Rehabilitation: This is a comprehensive rehab that often takes place in specialized hospitals or units. In the U.S., the cost can vary from $1,000 to $2,500 per day. Taking an average of $1,750 per day for 90 days, we get $157,500.
Outpatient Rehabilitation: After inpatient rehab, a patient might need outpatient services, which could range from $50 to $350 per session, depending on the type and location. Assuming 3 sessions a week at an average of $200 per session for 12 weeks, the total is $7,200.
Additional Costs: This might include medications, specialized equipment, transportation, and other unforeseen expenses. This can be a wild card, but let's estimate $5,000 for this period of rehab.
Adding these together, our rough estimate is:
$157,500 + $7,200 + $5,000 = $169,700</t>
  </si>
  <si>
    <t xml:space="preserve">Recovery at home oppotunity cost </t>
  </si>
  <si>
    <t xml:space="preserve">Duration of Recovery: The patient needs 3 months (or 90 days) to recover at home.
Employment Status: The patient is employed and earns an average U.S. salary. According to the U.S. Bureau of Labor Statistics in 2021, the median usual weekly earnings of full-time wage and salary workers were about $990.
Work Week: The patient works 5 days a week, so 4.33 weeks a month.
Home Care: The patient needs professional home care assistance for 2 hours per day, which costs about $25 per hour.
Based on these assumptions:
Lost Wages:
Weekly: $990
Monthly: $990 x 4.33 = $4,286.70
For 3 months: $4,286.70 x 3 = $12,860.10
Home Care Costs:
Daily: 2 hours x $25 = $50
For 3 months (90 days): $50 x 90 = $4,500
Adding these together:
$12,860.10 (lost wages) + $4,500 (home care) = $17,360.10
So, the opportunity cost of the patient recovering at home for 3 months, considering lost wages and the cost of professional home care, is approximately $17,360.10.
</t>
  </si>
  <si>
    <t>Vasoactive Drug cost</t>
  </si>
  <si>
    <t>Drug Costs: The average daily cost of vasoactive drugs was assumed to be $200. This includes the cost of vasoactive agents such as norepinephrine, epinephrine, vasopressin, etc.                                                                                                                                      
Monitoring Costs: This is the cost associated with continuously monitoring a patient on vasoactive support. This includes invasive blood pressure monitoring, laboratory tests, and other associated costs. Based on our assumptions, this is $500 per day.
Given the duration of the patient's stay in the ICU (ICU_days), the total additional costs are:
Total Additional Cost=(Vasoactive Drug Costs+Monitoring Costs)×ICU_days
So, for each day in the ICU, the combined cost of vasoactive drugs and monitoring is $700.</t>
  </si>
  <si>
    <t>New Data Point</t>
  </si>
  <si>
    <t>Data Points Used</t>
  </si>
  <si>
    <t>Adjsutmetn Made</t>
  </si>
  <si>
    <t>Cost for ICU (Cost per day) adjusted for inflation</t>
  </si>
  <si>
    <t>Adjusted for inflation for 20122 at a cumilative inflation rate of 62.7% from 2002</t>
  </si>
  <si>
    <t>Cost Of MV in ICU (Cost per day) adjusted for inflation</t>
  </si>
  <si>
    <t>Cost of a Hospital stay with Accute renal faliure adjusted for inflation</t>
  </si>
  <si>
    <t>Adjusted for inflation for 2022 at a cumilative inflation rate of 23.6% from 2014</t>
  </si>
  <si>
    <t>RRT Cost Estimate</t>
  </si>
  <si>
    <t>Hemodialysis (HD) Avg Anual Cost,Peritoneal Dialysis (PD)  Avg Anual Cost</t>
  </si>
  <si>
    <t>HD + PD/ 2 and Adjusted for inflation for 2022 at a cumulative inflation rate of 8.0% from 2021</t>
  </si>
  <si>
    <t xml:space="preserve">Rehabilitation Cost Estimate adjusted for inflation </t>
  </si>
  <si>
    <t xml:space="preserve"> Adjusted for inflation for 2022 at a cumulative inflation rate of 8.0% from 2021</t>
  </si>
  <si>
    <t>Recovery at home oppotunity cost adjusted for inflation</t>
  </si>
  <si>
    <t xml:space="preserve">Base mode data </t>
  </si>
  <si>
    <t>Table 2 | A feasibility study of partial REBOA data in a high-volume trauma center | SpringerLink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</si>
</sst>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ck">
        <color rgb="FF000000"/>
      </right>
      <top/>
      <bottom/>
      <diagonal/>
    </border>
    <border>
      <left style="thin">
        <color indexed="64"/>
      </left>
      <right style="thick">
        <color rgb="FF00000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ck">
        <color indexed="64"/>
      </left>
      <right/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/>
      <right style="thick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18" xfId="1" applyNumberFormat="1" applyFont="1" applyBorder="1"/>
    <xf numFmtId="164" fontId="0" fillId="0" borderId="13" xfId="1" applyNumberFormat="1" applyFont="1" applyBorder="1"/>
    <xf numFmtId="164" fontId="0" fillId="2" borderId="2" xfId="1" applyNumberFormat="1" applyFont="1" applyFill="1" applyBorder="1"/>
    <xf numFmtId="0" fontId="0" fillId="0" borderId="15" xfId="0" applyBorder="1"/>
    <xf numFmtId="10" fontId="0" fillId="0" borderId="16" xfId="1" applyNumberFormat="1" applyFont="1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0" fillId="0" borderId="23" xfId="0" applyBorder="1"/>
    <xf numFmtId="0" fontId="3" fillId="0" borderId="0" xfId="2"/>
    <xf numFmtId="14" fontId="0" fillId="0" borderId="10" xfId="0" applyNumberFormat="1" applyBorder="1"/>
    <xf numFmtId="6" fontId="0" fillId="0" borderId="10" xfId="0" applyNumberFormat="1" applyBorder="1"/>
    <xf numFmtId="165" fontId="0" fillId="0" borderId="10" xfId="0" applyNumberFormat="1" applyBorder="1"/>
    <xf numFmtId="0" fontId="0" fillId="0" borderId="24" xfId="0" applyBorder="1"/>
    <xf numFmtId="8" fontId="0" fillId="0" borderId="10" xfId="0" applyNumberFormat="1" applyBorder="1"/>
    <xf numFmtId="0" fontId="0" fillId="0" borderId="25" xfId="0" applyBorder="1"/>
    <xf numFmtId="0" fontId="0" fillId="0" borderId="26" xfId="0" applyBorder="1"/>
    <xf numFmtId="165" fontId="0" fillId="0" borderId="26" xfId="0" applyNumberFormat="1" applyBorder="1"/>
    <xf numFmtId="4" fontId="0" fillId="0" borderId="26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64" fontId="0" fillId="0" borderId="19" xfId="1" applyNumberFormat="1" applyFont="1" applyBorder="1"/>
    <xf numFmtId="164" fontId="0" fillId="0" borderId="14" xfId="1" applyNumberFormat="1" applyFont="1" applyBorder="1"/>
    <xf numFmtId="164" fontId="0" fillId="2" borderId="1" xfId="1" applyNumberFormat="1" applyFont="1" applyFill="1" applyBorder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0" fontId="0" fillId="0" borderId="37" xfId="1" applyNumberFormat="1" applyFont="1" applyBorder="1" applyAlignment="1">
      <alignment horizontal="center" vertical="center"/>
    </xf>
    <xf numFmtId="10" fontId="0" fillId="0" borderId="38" xfId="1" applyNumberFormat="1" applyFont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10" fontId="0" fillId="0" borderId="43" xfId="0" applyNumberFormat="1" applyBorder="1" applyAlignment="1">
      <alignment horizontal="center" vertical="center"/>
    </xf>
    <xf numFmtId="164" fontId="0" fillId="0" borderId="45" xfId="0" applyNumberFormat="1" applyBorder="1"/>
    <xf numFmtId="164" fontId="0" fillId="0" borderId="46" xfId="0" applyNumberFormat="1" applyBorder="1"/>
    <xf numFmtId="164" fontId="0" fillId="2" borderId="46" xfId="0" applyNumberFormat="1" applyFill="1" applyBorder="1"/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0" fillId="5" borderId="47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2" xfId="0" applyFill="1" applyBorder="1"/>
    <xf numFmtId="10" fontId="0" fillId="0" borderId="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5" fontId="0" fillId="0" borderId="0" xfId="0" applyNumberFormat="1"/>
    <xf numFmtId="165" fontId="0" fillId="0" borderId="31" xfId="0" applyNumberFormat="1" applyBorder="1"/>
    <xf numFmtId="165" fontId="0" fillId="6" borderId="31" xfId="0" applyNumberFormat="1" applyFill="1" applyBorder="1"/>
    <xf numFmtId="165" fontId="0" fillId="0" borderId="26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6" borderId="44" xfId="0" applyNumberFormat="1" applyFill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6" borderId="43" xfId="0" applyNumberFormat="1" applyFill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5" fontId="0" fillId="6" borderId="36" xfId="0" applyNumberFormat="1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1" xfId="0" applyNumberFormat="1" applyBorder="1"/>
    <xf numFmtId="0" fontId="0" fillId="2" borderId="53" xfId="0" applyFill="1" applyBorder="1"/>
    <xf numFmtId="165" fontId="0" fillId="0" borderId="54" xfId="0" applyNumberFormat="1" applyBorder="1"/>
    <xf numFmtId="0" fontId="0" fillId="0" borderId="55" xfId="0" applyBorder="1"/>
    <xf numFmtId="0" fontId="0" fillId="0" borderId="56" xfId="0" applyBorder="1"/>
    <xf numFmtId="0" fontId="0" fillId="0" borderId="55" xfId="0" applyBorder="1" applyAlignment="1">
      <alignment wrapText="1"/>
    </xf>
    <xf numFmtId="0" fontId="0" fillId="6" borderId="0" xfId="0" applyFill="1" applyAlignment="1">
      <alignment horizontal="center" vertical="center"/>
    </xf>
    <xf numFmtId="165" fontId="0" fillId="0" borderId="34" xfId="0" applyNumberFormat="1" applyBorder="1"/>
    <xf numFmtId="165" fontId="0" fillId="0" borderId="35" xfId="0" applyNumberFormat="1" applyBorder="1"/>
    <xf numFmtId="165" fontId="0" fillId="0" borderId="58" xfId="0" applyNumberFormat="1" applyBorder="1"/>
    <xf numFmtId="165" fontId="0" fillId="0" borderId="59" xfId="0" applyNumberFormat="1" applyBorder="1"/>
    <xf numFmtId="0" fontId="0" fillId="0" borderId="57" xfId="0" applyBorder="1" applyAlignment="1">
      <alignment horizontal="center" vertical="center"/>
    </xf>
    <xf numFmtId="0" fontId="0" fillId="0" borderId="34" xfId="0" applyBorder="1"/>
    <xf numFmtId="0" fontId="0" fillId="0" borderId="6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1" xfId="0" applyBorder="1"/>
    <xf numFmtId="0" fontId="0" fillId="0" borderId="59" xfId="0" applyBorder="1"/>
    <xf numFmtId="0" fontId="0" fillId="0" borderId="35" xfId="0" applyBorder="1" applyAlignment="1">
      <alignment horizontal="center" vertical="center"/>
    </xf>
    <xf numFmtId="165" fontId="0" fillId="6" borderId="60" xfId="0" applyNumberFormat="1" applyFill="1" applyBorder="1"/>
    <xf numFmtId="0" fontId="0" fillId="6" borderId="60" xfId="0" applyFill="1" applyBorder="1"/>
    <xf numFmtId="0" fontId="0" fillId="6" borderId="63" xfId="0" applyFill="1" applyBorder="1"/>
    <xf numFmtId="0" fontId="0" fillId="6" borderId="6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73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ic1.squarespace.com/static/5b761ed3f93fd491065f7839/t/639a85aa5aac7405c9cd89ee/1671071179741/ATR_Annual-Report_20-21.pdf" TargetMode="External"/><Relationship Id="rId2" Type="http://schemas.openxmlformats.org/officeDocument/2006/relationships/hyperlink" Target="https://oce.ovid.com/article/00003246-200506000-00013/HTML" TargetMode="External"/><Relationship Id="rId1" Type="http://schemas.openxmlformats.org/officeDocument/2006/relationships/hyperlink" Target="https://oce.ovid.com/article/00003246-200506000-00013/HTML" TargetMode="External"/><Relationship Id="rId6" Type="http://schemas.openxmlformats.org/officeDocument/2006/relationships/hyperlink" Target="https://link.springer.com/article/10.1007/s00068-020-01561-4/tables/2" TargetMode="External"/><Relationship Id="rId5" Type="http://schemas.openxmlformats.org/officeDocument/2006/relationships/hyperlink" Target="https://www.cms.gov/" TargetMode="External"/><Relationship Id="rId4" Type="http://schemas.openxmlformats.org/officeDocument/2006/relationships/hyperlink" Target="https://hcup-us.ahrq.gov/reports/statbriefs/sb231-Acute-Renal-Failure-Hospitalization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zoomScale="120" zoomScaleNormal="120"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L15" sqref="L15"/>
    </sheetView>
  </sheetViews>
  <sheetFormatPr defaultRowHeight="14.5" x14ac:dyDescent="0.35"/>
  <cols>
    <col min="1" max="1" width="21.81640625" customWidth="1"/>
    <col min="2" max="2" width="26.54296875" customWidth="1"/>
    <col min="3" max="3" width="9.1796875" customWidth="1"/>
    <col min="4" max="4" width="18.54296875" customWidth="1"/>
    <col min="5" max="5" width="21.54296875" customWidth="1"/>
    <col min="6" max="6" width="24.1796875" customWidth="1"/>
    <col min="7" max="7" width="17.1796875" customWidth="1"/>
    <col min="8" max="8" width="18.81640625" customWidth="1"/>
    <col min="9" max="9" width="16.54296875" customWidth="1"/>
    <col min="10" max="10" width="17.7265625" customWidth="1"/>
    <col min="11" max="11" width="20.7265625" customWidth="1"/>
    <col min="12" max="12" width="26.54296875" customWidth="1"/>
    <col min="13" max="13" width="20.54296875" customWidth="1"/>
    <col min="14" max="14" width="16.26953125" customWidth="1"/>
    <col min="15" max="15" width="29" customWidth="1"/>
    <col min="16" max="16" width="14.81640625" customWidth="1"/>
    <col min="17" max="17" width="13.54296875" customWidth="1"/>
    <col min="18" max="18" width="26.453125" customWidth="1"/>
    <col min="20" max="20" width="16.1796875" customWidth="1"/>
    <col min="21" max="21" width="18.453125" customWidth="1"/>
    <col min="22" max="22" width="17.1796875" customWidth="1"/>
    <col min="23" max="23" width="16.81640625" customWidth="1"/>
    <col min="24" max="24" width="27.1796875" customWidth="1"/>
  </cols>
  <sheetData>
    <row r="1" spans="1:27" x14ac:dyDescent="0.35">
      <c r="A1" s="1"/>
      <c r="B1" s="1"/>
      <c r="C1" s="1"/>
      <c r="D1" s="124" t="s">
        <v>0</v>
      </c>
      <c r="E1" s="125"/>
      <c r="F1" s="122" t="s">
        <v>1</v>
      </c>
      <c r="G1" s="123"/>
      <c r="H1" s="122" t="s">
        <v>2</v>
      </c>
      <c r="I1" s="123"/>
      <c r="J1" s="127" t="s">
        <v>3</v>
      </c>
      <c r="K1" s="124" t="s">
        <v>4</v>
      </c>
      <c r="L1" s="126"/>
      <c r="M1" s="126"/>
      <c r="N1" s="126"/>
      <c r="O1" s="126"/>
      <c r="P1" s="125"/>
      <c r="Q1" s="127" t="s">
        <v>5</v>
      </c>
      <c r="R1" s="127" t="s">
        <v>6</v>
      </c>
      <c r="S1" s="116" t="s">
        <v>7</v>
      </c>
      <c r="T1" s="117"/>
      <c r="U1" s="118"/>
      <c r="V1" s="119" t="s">
        <v>8</v>
      </c>
      <c r="W1" s="120"/>
      <c r="X1" s="121"/>
      <c r="Y1" s="38"/>
      <c r="Z1" s="37"/>
      <c r="AA1" s="37"/>
    </row>
    <row r="2" spans="1:27" x14ac:dyDescent="0.35">
      <c r="A2" s="1"/>
      <c r="B2" s="1"/>
      <c r="C2" s="1"/>
      <c r="D2" s="49" t="s">
        <v>9</v>
      </c>
      <c r="E2" s="32" t="s">
        <v>10</v>
      </c>
      <c r="F2" s="49" t="s">
        <v>9</v>
      </c>
      <c r="G2" s="32" t="s">
        <v>11</v>
      </c>
      <c r="H2" s="49" t="s">
        <v>9</v>
      </c>
      <c r="I2" s="32" t="s">
        <v>12</v>
      </c>
      <c r="J2" s="128"/>
      <c r="K2" s="50" t="s">
        <v>13</v>
      </c>
      <c r="L2" s="51" t="s">
        <v>14</v>
      </c>
      <c r="M2" s="52" t="s">
        <v>15</v>
      </c>
      <c r="N2" s="51" t="s">
        <v>16</v>
      </c>
      <c r="O2" s="52" t="s">
        <v>17</v>
      </c>
      <c r="P2" s="53" t="s">
        <v>16</v>
      </c>
      <c r="Q2" s="128"/>
      <c r="R2" s="128"/>
      <c r="S2" s="54" t="s">
        <v>18</v>
      </c>
      <c r="T2" s="55" t="s">
        <v>19</v>
      </c>
      <c r="U2" s="56" t="s">
        <v>20</v>
      </c>
      <c r="V2" s="57" t="s">
        <v>18</v>
      </c>
      <c r="W2" s="55" t="s">
        <v>19</v>
      </c>
      <c r="X2" s="58" t="s">
        <v>21</v>
      </c>
    </row>
    <row r="3" spans="1:27" x14ac:dyDescent="0.35">
      <c r="A3" s="129" t="s">
        <v>22</v>
      </c>
      <c r="B3" s="112" t="s">
        <v>23</v>
      </c>
      <c r="C3" s="6" t="s">
        <v>24</v>
      </c>
      <c r="D3" s="30">
        <v>17.03</v>
      </c>
      <c r="E3" s="31">
        <v>7</v>
      </c>
      <c r="F3" s="132">
        <f>'Data Adjustments'!B2</f>
        <v>5287</v>
      </c>
      <c r="G3" s="134">
        <f>'Data Adjustments'!B3</f>
        <v>2475.94</v>
      </c>
      <c r="H3" s="77">
        <f>F3*D3</f>
        <v>90037.61</v>
      </c>
      <c r="I3" s="78">
        <f>$G$3*E3</f>
        <v>17331.580000000002</v>
      </c>
      <c r="J3" s="73">
        <f>I3+H3</f>
        <v>107369.19</v>
      </c>
      <c r="K3" s="59">
        <v>0.439</v>
      </c>
      <c r="L3" s="108">
        <f>700*$D3</f>
        <v>11921</v>
      </c>
      <c r="M3" s="60">
        <v>0.28599999999999998</v>
      </c>
      <c r="N3" s="70">
        <f>'Data Adjustments'!$B$4*M3</f>
        <v>3288.0676399999998</v>
      </c>
      <c r="O3" s="61">
        <v>0.25</v>
      </c>
      <c r="P3" s="67">
        <f>'Data Adjustments'!$B$5 *O3</f>
        <v>21735.55</v>
      </c>
      <c r="Q3" s="67">
        <f>L3+N3+P3</f>
        <v>36944.617639999997</v>
      </c>
      <c r="R3" s="67">
        <f>Q3+J3</f>
        <v>144313.80764000001</v>
      </c>
      <c r="S3" s="62">
        <v>0.28599999999999998</v>
      </c>
      <c r="T3" s="63">
        <v>0.44</v>
      </c>
      <c r="U3" s="46">
        <f>100%-(S3+T3)</f>
        <v>0.27400000000000002</v>
      </c>
      <c r="V3" s="64">
        <f>R3</f>
        <v>144313.80764000001</v>
      </c>
      <c r="W3" s="64">
        <f>R3+'Data Adjustments'!$B$7</f>
        <v>163063.18764000002</v>
      </c>
      <c r="X3" s="84">
        <f>'Data Adjustments'!$B$6+R3</f>
        <v>327594.43764000002</v>
      </c>
    </row>
    <row r="4" spans="1:27" x14ac:dyDescent="0.35">
      <c r="A4" s="130"/>
      <c r="B4" s="111"/>
      <c r="C4" s="9" t="s">
        <v>25</v>
      </c>
      <c r="D4" s="4">
        <v>21</v>
      </c>
      <c r="E4" s="5">
        <v>17</v>
      </c>
      <c r="F4" s="132"/>
      <c r="G4" s="134"/>
      <c r="H4" s="79">
        <f>F3*D4</f>
        <v>111027</v>
      </c>
      <c r="I4" s="78">
        <f t="shared" ref="I4:I7" si="0">$G$3*E4</f>
        <v>42090.98</v>
      </c>
      <c r="J4" s="74">
        <f>I4+H4</f>
        <v>153117.98000000001</v>
      </c>
      <c r="K4" s="33">
        <v>0.59399999999999997</v>
      </c>
      <c r="L4" s="109">
        <f>700*$D4</f>
        <v>14700</v>
      </c>
      <c r="M4" s="40">
        <v>0.5</v>
      </c>
      <c r="N4" s="71">
        <f>'Data Adjustments'!$B$4*M4</f>
        <v>5748.37</v>
      </c>
      <c r="O4" s="42">
        <v>0.14299999999999999</v>
      </c>
      <c r="P4" s="68">
        <f>'Data Adjustments'!$B$5 *O4</f>
        <v>12432.734599999998</v>
      </c>
      <c r="Q4" s="68">
        <f t="shared" ref="Q4:Q7" si="1">L4+N4+P4</f>
        <v>32881.104599999999</v>
      </c>
      <c r="R4" s="68">
        <f t="shared" ref="R4:R7" si="2">Q4+J4</f>
        <v>185999.0846</v>
      </c>
      <c r="S4" s="35">
        <v>0.219</v>
      </c>
      <c r="T4" s="12">
        <v>0.2</v>
      </c>
      <c r="U4" s="47">
        <f t="shared" ref="U4:U7" si="3">100%-(S4+T4)</f>
        <v>0.58099999999999996</v>
      </c>
      <c r="V4" s="65">
        <f>R4</f>
        <v>185999.0846</v>
      </c>
      <c r="W4" s="65">
        <f>R4+'Data Adjustments'!$B$7</f>
        <v>204748.46460000001</v>
      </c>
      <c r="X4" s="84">
        <f>'Data Adjustments'!$B$6+R4</f>
        <v>369279.71460000001</v>
      </c>
    </row>
    <row r="5" spans="1:27" ht="13" customHeight="1" x14ac:dyDescent="0.35">
      <c r="A5" s="130"/>
      <c r="B5" s="10"/>
      <c r="C5" s="10"/>
      <c r="D5" s="2"/>
      <c r="E5" s="3"/>
      <c r="F5" s="132"/>
      <c r="G5" s="134"/>
      <c r="H5" s="80"/>
      <c r="I5" s="81"/>
      <c r="J5" s="75"/>
      <c r="K5" s="2"/>
      <c r="L5" s="107"/>
      <c r="M5" s="41"/>
      <c r="N5" s="72"/>
      <c r="O5" s="43"/>
      <c r="P5" s="69"/>
      <c r="Q5" s="69"/>
      <c r="R5" s="69"/>
      <c r="S5" s="36"/>
      <c r="T5" s="13"/>
      <c r="U5" s="48"/>
      <c r="V5" s="66"/>
      <c r="W5" s="66"/>
      <c r="X5" s="85"/>
    </row>
    <row r="6" spans="1:27" x14ac:dyDescent="0.35">
      <c r="A6" s="130"/>
      <c r="B6" s="112" t="s">
        <v>26</v>
      </c>
      <c r="C6" s="6" t="s">
        <v>24</v>
      </c>
      <c r="D6" s="7">
        <v>18</v>
      </c>
      <c r="E6" s="8">
        <v>5.5</v>
      </c>
      <c r="F6" s="132"/>
      <c r="G6" s="134"/>
      <c r="H6" s="82">
        <f>F3*D6</f>
        <v>95166</v>
      </c>
      <c r="I6" s="67">
        <f t="shared" si="0"/>
        <v>13617.67</v>
      </c>
      <c r="J6" s="76">
        <f>I6+H6</f>
        <v>108783.67</v>
      </c>
      <c r="K6" s="15">
        <v>0.33300000000000002</v>
      </c>
      <c r="L6" s="108">
        <f t="shared" ref="L6:L7" si="4">700*$D6</f>
        <v>12600</v>
      </c>
      <c r="M6" s="39">
        <v>0.33300000000000002</v>
      </c>
      <c r="N6" s="70">
        <f>'Data Adjustments'!$B$4*M6</f>
        <v>3828.4144200000001</v>
      </c>
      <c r="O6" s="44">
        <v>0.14299999999999999</v>
      </c>
      <c r="P6" s="67">
        <f>'Data Adjustments'!$B$5 *O6</f>
        <v>12432.734599999998</v>
      </c>
      <c r="Q6" s="67">
        <f t="shared" si="1"/>
        <v>28861.149019999997</v>
      </c>
      <c r="R6" s="67">
        <f t="shared" si="2"/>
        <v>137644.81902</v>
      </c>
      <c r="S6" s="34">
        <v>0.33300000000000002</v>
      </c>
      <c r="T6" s="11">
        <v>0.57099999999999995</v>
      </c>
      <c r="U6" s="46">
        <f t="shared" si="3"/>
        <v>9.6000000000000085E-2</v>
      </c>
      <c r="V6" s="64">
        <f>R6</f>
        <v>137644.81902</v>
      </c>
      <c r="W6" s="64">
        <f>R6+'Data Adjustments'!$B$7</f>
        <v>156394.19902</v>
      </c>
      <c r="X6" s="84">
        <f>'Data Adjustments'!$B$6+R6</f>
        <v>320925.44902</v>
      </c>
    </row>
    <row r="7" spans="1:27" x14ac:dyDescent="0.35">
      <c r="A7" s="131"/>
      <c r="B7" s="111"/>
      <c r="C7" s="9" t="s">
        <v>25</v>
      </c>
      <c r="D7" s="4">
        <v>27</v>
      </c>
      <c r="E7" s="5">
        <v>19</v>
      </c>
      <c r="F7" s="133"/>
      <c r="G7" s="135"/>
      <c r="H7" s="79">
        <f>F3*D7</f>
        <v>142749</v>
      </c>
      <c r="I7" s="83">
        <f t="shared" si="0"/>
        <v>47042.86</v>
      </c>
      <c r="J7" s="74">
        <f>I7+H7</f>
        <v>189791.86</v>
      </c>
      <c r="K7" s="33">
        <v>0.72699999999999998</v>
      </c>
      <c r="L7" s="109">
        <f t="shared" si="4"/>
        <v>18900</v>
      </c>
      <c r="M7" s="40">
        <v>0.54500000000000004</v>
      </c>
      <c r="N7" s="71">
        <f>'Data Adjustments'!$B$4*M7</f>
        <v>6265.7233000000006</v>
      </c>
      <c r="O7" s="45">
        <v>0.36399999999999999</v>
      </c>
      <c r="P7" s="68">
        <f>'Data Adjustments'!$B$5 *O7</f>
        <v>31646.960799999997</v>
      </c>
      <c r="Q7" s="68">
        <f t="shared" si="1"/>
        <v>56812.684099999999</v>
      </c>
      <c r="R7" s="68">
        <f t="shared" si="2"/>
        <v>246604.5441</v>
      </c>
      <c r="S7" s="35">
        <v>0.318</v>
      </c>
      <c r="T7" s="12">
        <v>6.7000000000000004E-2</v>
      </c>
      <c r="U7" s="46">
        <f t="shared" si="3"/>
        <v>0.61499999999999999</v>
      </c>
      <c r="V7" s="65">
        <f>R7</f>
        <v>246604.5441</v>
      </c>
      <c r="W7" s="65">
        <f>R7+'Data Adjustments'!$B$7</f>
        <v>265353.9241</v>
      </c>
      <c r="X7" s="86">
        <f>'Data Adjustments'!$B$6+R7</f>
        <v>429885.1741</v>
      </c>
    </row>
    <row r="8" spans="1:27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U8" s="14"/>
    </row>
    <row r="9" spans="1:27" x14ac:dyDescent="0.35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7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7" x14ac:dyDescent="0.35">
      <c r="B11" s="1"/>
      <c r="C11" s="1"/>
      <c r="D11" s="113" t="s">
        <v>27</v>
      </c>
      <c r="E11" s="114"/>
      <c r="F11" s="115"/>
      <c r="G11" s="99" t="s">
        <v>28</v>
      </c>
      <c r="H11" s="95" t="s">
        <v>29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7" x14ac:dyDescent="0.35">
      <c r="A12" s="1"/>
      <c r="B12" s="97" t="s">
        <v>30</v>
      </c>
      <c r="C12" s="98">
        <v>9413</v>
      </c>
      <c r="D12" s="101" t="s">
        <v>31</v>
      </c>
      <c r="E12" s="102" t="s">
        <v>32</v>
      </c>
      <c r="F12" s="102" t="s">
        <v>33</v>
      </c>
      <c r="G12" s="102"/>
      <c r="H12" s="103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7" x14ac:dyDescent="0.35">
      <c r="B13" s="110" t="s">
        <v>23</v>
      </c>
      <c r="C13" s="100" t="s">
        <v>24</v>
      </c>
      <c r="D13" s="93">
        <f>($C$12*S3)*V3</f>
        <v>388509799.19618154</v>
      </c>
      <c r="E13" s="93">
        <f t="shared" ref="E13:F14" si="5">($C$12*T3)*W3</f>
        <v>675362065.5123409</v>
      </c>
      <c r="F13" s="93">
        <f t="shared" si="5"/>
        <v>844919124.97245777</v>
      </c>
      <c r="G13" s="93">
        <f>D13+E13+F13</f>
        <v>1908790989.6809802</v>
      </c>
      <c r="H13" s="96"/>
    </row>
    <row r="14" spans="1:27" x14ac:dyDescent="0.35">
      <c r="B14" s="111"/>
      <c r="C14" s="9" t="s">
        <v>25</v>
      </c>
      <c r="D14" s="93">
        <f t="shared" ref="D14:D17" si="6">($C$12*S4)*V4</f>
        <v>383427254.95141625</v>
      </c>
      <c r="E14" s="93">
        <f t="shared" si="5"/>
        <v>385459459.45596004</v>
      </c>
      <c r="F14" s="93">
        <f t="shared" si="5"/>
        <v>2019573403.0008137</v>
      </c>
      <c r="G14" s="93">
        <f>D14+E14+F14</f>
        <v>2788460117.4081898</v>
      </c>
      <c r="H14" s="91">
        <f>G14-G13</f>
        <v>879669127.72720957</v>
      </c>
    </row>
    <row r="15" spans="1:27" x14ac:dyDescent="0.35">
      <c r="B15" s="10"/>
      <c r="C15" s="90"/>
      <c r="D15" s="104"/>
      <c r="E15" s="105"/>
      <c r="F15" s="105"/>
      <c r="G15" s="104"/>
      <c r="H15" s="106"/>
    </row>
    <row r="16" spans="1:27" x14ac:dyDescent="0.35">
      <c r="B16" s="112" t="s">
        <v>26</v>
      </c>
      <c r="C16" s="6" t="s">
        <v>24</v>
      </c>
      <c r="D16" s="93">
        <f t="shared" si="6"/>
        <v>431451676.91794157</v>
      </c>
      <c r="E16" s="93">
        <f t="shared" ref="E16:E17" si="7">($C$12*T6)*W6</f>
        <v>840591137.95927334</v>
      </c>
      <c r="F16" s="93">
        <f t="shared" ref="F16:F17" si="8">($C$12*U6)*X6</f>
        <v>290003640.15602523</v>
      </c>
      <c r="G16" s="93">
        <f t="shared" ref="G16:G17" si="9">D16+E16+F16</f>
        <v>1562046455.0332401</v>
      </c>
      <c r="H16" s="96"/>
    </row>
    <row r="17" spans="2:8" x14ac:dyDescent="0.35">
      <c r="B17" s="111"/>
      <c r="C17" s="9" t="s">
        <v>25</v>
      </c>
      <c r="D17" s="94">
        <f t="shared" si="6"/>
        <v>738169766.40902936</v>
      </c>
      <c r="E17" s="94">
        <f t="shared" si="7"/>
        <v>167351024.66607112</v>
      </c>
      <c r="F17" s="94">
        <f t="shared" si="8"/>
        <v>2488603123.4390297</v>
      </c>
      <c r="G17" s="94">
        <f t="shared" si="9"/>
        <v>3394123914.5141301</v>
      </c>
      <c r="H17" s="92">
        <f>G17-G16</f>
        <v>1832077459.48089</v>
      </c>
    </row>
  </sheetData>
  <mergeCells count="17">
    <mergeCell ref="A3:A7"/>
    <mergeCell ref="R1:R2"/>
    <mergeCell ref="J1:J2"/>
    <mergeCell ref="F3:F7"/>
    <mergeCell ref="G3:G7"/>
    <mergeCell ref="B13:B14"/>
    <mergeCell ref="B16:B17"/>
    <mergeCell ref="D11:F11"/>
    <mergeCell ref="S1:U1"/>
    <mergeCell ref="V1:X1"/>
    <mergeCell ref="F1:G1"/>
    <mergeCell ref="H1:I1"/>
    <mergeCell ref="D1:E1"/>
    <mergeCell ref="K1:P1"/>
    <mergeCell ref="Q1:Q2"/>
    <mergeCell ref="B6:B7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17E1-B2FB-44A2-B291-639089505DDF}">
  <dimension ref="A1:G11"/>
  <sheetViews>
    <sheetView tabSelected="1" topLeftCell="C9" workbookViewId="0">
      <selection activeCell="G16" sqref="G16"/>
    </sheetView>
  </sheetViews>
  <sheetFormatPr defaultRowHeight="14.5" x14ac:dyDescent="0.35"/>
  <cols>
    <col min="1" max="1" width="43" style="16" customWidth="1"/>
    <col min="2" max="2" width="17.453125" style="17" customWidth="1"/>
    <col min="3" max="3" width="89.453125" style="17" customWidth="1"/>
    <col min="4" max="4" width="24.453125" style="17" customWidth="1"/>
    <col min="5" max="5" width="11.1796875" style="87" customWidth="1"/>
    <col min="6" max="6" width="15.54296875" style="87" customWidth="1"/>
    <col min="7" max="7" width="100.81640625" style="87" customWidth="1"/>
  </cols>
  <sheetData>
    <row r="1" spans="1:7" x14ac:dyDescent="0.35">
      <c r="A1" s="18" t="s">
        <v>34</v>
      </c>
      <c r="B1" s="19" t="s">
        <v>35</v>
      </c>
      <c r="C1" s="19" t="s">
        <v>36</v>
      </c>
      <c r="D1" s="19" t="s">
        <v>37</v>
      </c>
      <c r="E1" s="88" t="s">
        <v>38</v>
      </c>
      <c r="F1" s="88" t="s">
        <v>39</v>
      </c>
      <c r="G1" s="88" t="s">
        <v>40</v>
      </c>
    </row>
    <row r="2" spans="1:7" x14ac:dyDescent="0.35">
      <c r="A2" s="16" t="s">
        <v>41</v>
      </c>
      <c r="B2" s="23">
        <v>3250</v>
      </c>
      <c r="C2" s="20" t="s">
        <v>42</v>
      </c>
      <c r="D2" s="21">
        <v>45172</v>
      </c>
      <c r="E2" s="87" t="s">
        <v>43</v>
      </c>
      <c r="F2" s="87">
        <v>2002</v>
      </c>
    </row>
    <row r="3" spans="1:7" x14ac:dyDescent="0.35">
      <c r="A3" s="16" t="s">
        <v>44</v>
      </c>
      <c r="B3" s="23">
        <v>1522</v>
      </c>
      <c r="C3" s="20" t="s">
        <v>42</v>
      </c>
      <c r="D3" s="21">
        <v>45172</v>
      </c>
      <c r="E3" s="87" t="s">
        <v>43</v>
      </c>
      <c r="F3" s="87">
        <v>2002</v>
      </c>
    </row>
    <row r="4" spans="1:7" ht="28.5" customHeight="1" x14ac:dyDescent="0.35">
      <c r="A4" s="16" t="s">
        <v>45</v>
      </c>
      <c r="B4" s="17">
        <v>9413</v>
      </c>
      <c r="C4" s="20" t="s">
        <v>46</v>
      </c>
      <c r="D4" s="21">
        <v>45172</v>
      </c>
      <c r="E4" s="87" t="s">
        <v>47</v>
      </c>
      <c r="F4" s="87">
        <v>2021</v>
      </c>
      <c r="G4" s="87" t="s">
        <v>48</v>
      </c>
    </row>
    <row r="5" spans="1:7" x14ac:dyDescent="0.35">
      <c r="A5" s="16" t="s">
        <v>49</v>
      </c>
      <c r="B5" s="23">
        <v>9300</v>
      </c>
      <c r="C5" s="20" t="s">
        <v>50</v>
      </c>
      <c r="D5" s="21">
        <v>45175</v>
      </c>
      <c r="E5" s="87" t="s">
        <v>43</v>
      </c>
      <c r="F5" s="87">
        <v>2014</v>
      </c>
    </row>
    <row r="6" spans="1:7" ht="60" customHeight="1" x14ac:dyDescent="0.35">
      <c r="A6" s="16" t="s">
        <v>51</v>
      </c>
      <c r="B6" s="22">
        <v>89000</v>
      </c>
      <c r="C6" s="17" t="s">
        <v>52</v>
      </c>
      <c r="D6" s="21">
        <v>45175</v>
      </c>
      <c r="E6" s="87" t="s">
        <v>43</v>
      </c>
      <c r="F6" s="87">
        <v>2021</v>
      </c>
      <c r="G6" s="89" t="s">
        <v>53</v>
      </c>
    </row>
    <row r="7" spans="1:7" ht="29" x14ac:dyDescent="0.35">
      <c r="A7" s="16" t="s">
        <v>54</v>
      </c>
      <c r="B7" s="23">
        <v>72000</v>
      </c>
      <c r="C7" s="17" t="s">
        <v>52</v>
      </c>
      <c r="D7" s="21">
        <v>45175</v>
      </c>
      <c r="E7" s="87" t="s">
        <v>43</v>
      </c>
      <c r="F7" s="87">
        <v>2021</v>
      </c>
      <c r="G7" s="89" t="s">
        <v>55</v>
      </c>
    </row>
    <row r="8" spans="1:7" ht="333.5" x14ac:dyDescent="0.35">
      <c r="A8" s="16" t="s">
        <v>56</v>
      </c>
      <c r="B8" s="23">
        <v>169700</v>
      </c>
      <c r="C8" s="20" t="s">
        <v>57</v>
      </c>
      <c r="D8" s="21">
        <v>45176</v>
      </c>
      <c r="E8" s="87" t="s">
        <v>43</v>
      </c>
      <c r="F8" s="87">
        <v>2021</v>
      </c>
      <c r="G8" s="89" t="s">
        <v>58</v>
      </c>
    </row>
    <row r="9" spans="1:7" ht="319" x14ac:dyDescent="0.35">
      <c r="A9" s="16" t="s">
        <v>59</v>
      </c>
      <c r="B9" s="23">
        <v>17360.099999999999</v>
      </c>
      <c r="D9" s="21">
        <v>45176</v>
      </c>
      <c r="E9" s="87" t="s">
        <v>43</v>
      </c>
      <c r="F9" s="87">
        <v>2021</v>
      </c>
      <c r="G9" s="89" t="s">
        <v>60</v>
      </c>
    </row>
    <row r="10" spans="1:7" ht="168" customHeight="1" x14ac:dyDescent="0.35">
      <c r="A10" s="16" t="s">
        <v>61</v>
      </c>
      <c r="B10" s="25">
        <v>700</v>
      </c>
      <c r="E10" s="87" t="s">
        <v>43</v>
      </c>
      <c r="F10" s="87">
        <v>2021</v>
      </c>
      <c r="G10" s="89" t="s">
        <v>62</v>
      </c>
    </row>
    <row r="11" spans="1:7" x14ac:dyDescent="0.35">
      <c r="A11" s="16" t="s">
        <v>77</v>
      </c>
      <c r="C11" s="20" t="s">
        <v>78</v>
      </c>
      <c r="D11" s="21">
        <v>45176</v>
      </c>
    </row>
  </sheetData>
  <hyperlinks>
    <hyperlink ref="C2" r:id="rId1" xr:uid="{4CBA0D98-515C-4B91-AB2F-8DC17685F711}"/>
    <hyperlink ref="C3" r:id="rId2" xr:uid="{B4422CE3-6EBE-464A-9CD3-86173F939DFF}"/>
    <hyperlink ref="C4" r:id="rId3" xr:uid="{93C89EA1-A780-49C8-8677-0F349B9FFA82}"/>
    <hyperlink ref="C5" r:id="rId4" location=":~:text=Overall%20in%202014%2C%20the%20average,acute%20renal%20failure%20(%249%2C900)." xr:uid="{C78C56D6-6B65-40BC-B868-794F0AE16757}"/>
    <hyperlink ref="C8" r:id="rId5" xr:uid="{DCACC4FA-3F8D-411B-8C01-A34FC0DA493B}"/>
    <hyperlink ref="C11" r:id="rId6" display="https://link.springer.com/article/10.1007/s00068-020-01561-4/tables/2" xr:uid="{31DD6599-696F-4C29-9137-35FEBCFCC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0333-2F57-4058-8C32-61A9EF9C2AE2}">
  <dimension ref="A1:D9"/>
  <sheetViews>
    <sheetView workbookViewId="0">
      <selection activeCell="C26" sqref="C26"/>
    </sheetView>
  </sheetViews>
  <sheetFormatPr defaultRowHeight="14.5" x14ac:dyDescent="0.35"/>
  <cols>
    <col min="1" max="1" width="59.54296875" customWidth="1"/>
    <col min="2" max="2" width="25" customWidth="1"/>
    <col min="3" max="3" width="63.81640625" customWidth="1"/>
    <col min="4" max="4" width="85.453125" customWidth="1"/>
  </cols>
  <sheetData>
    <row r="1" spans="1:4" x14ac:dyDescent="0.35">
      <c r="A1" s="26" t="s">
        <v>63</v>
      </c>
      <c r="B1" s="26" t="s">
        <v>35</v>
      </c>
      <c r="C1" s="26" t="s">
        <v>64</v>
      </c>
      <c r="D1" s="24" t="s">
        <v>65</v>
      </c>
    </row>
    <row r="2" spans="1:4" x14ac:dyDescent="0.35">
      <c r="A2" s="27" t="s">
        <v>66</v>
      </c>
      <c r="B2" s="28">
        <v>5287</v>
      </c>
      <c r="C2" s="27" t="s">
        <v>41</v>
      </c>
      <c r="D2" t="s">
        <v>67</v>
      </c>
    </row>
    <row r="3" spans="1:4" x14ac:dyDescent="0.35">
      <c r="A3" s="27" t="s">
        <v>68</v>
      </c>
      <c r="B3" s="28">
        <v>2475.94</v>
      </c>
      <c r="C3" s="27" t="s">
        <v>44</v>
      </c>
      <c r="D3" t="s">
        <v>67</v>
      </c>
    </row>
    <row r="4" spans="1:4" x14ac:dyDescent="0.35">
      <c r="A4" s="27" t="s">
        <v>69</v>
      </c>
      <c r="B4" s="29">
        <v>11496.74</v>
      </c>
      <c r="C4" s="27" t="s">
        <v>49</v>
      </c>
      <c r="D4" t="s">
        <v>70</v>
      </c>
    </row>
    <row r="5" spans="1:4" x14ac:dyDescent="0.35">
      <c r="A5" s="27" t="s">
        <v>71</v>
      </c>
      <c r="B5" s="29">
        <v>86942.2</v>
      </c>
      <c r="C5" s="27" t="s">
        <v>72</v>
      </c>
      <c r="D5" t="s">
        <v>73</v>
      </c>
    </row>
    <row r="6" spans="1:4" x14ac:dyDescent="0.35">
      <c r="A6" s="16" t="s">
        <v>74</v>
      </c>
      <c r="B6" s="28">
        <v>183280.63</v>
      </c>
      <c r="C6" s="16" t="s">
        <v>56</v>
      </c>
      <c r="D6" t="s">
        <v>75</v>
      </c>
    </row>
    <row r="7" spans="1:4" x14ac:dyDescent="0.35">
      <c r="A7" s="16" t="s">
        <v>76</v>
      </c>
      <c r="B7" s="28">
        <v>18749.38</v>
      </c>
      <c r="C7" s="16" t="s">
        <v>59</v>
      </c>
      <c r="D7" t="s">
        <v>75</v>
      </c>
    </row>
    <row r="8" spans="1:4" x14ac:dyDescent="0.35">
      <c r="A8" s="27"/>
      <c r="B8" s="27"/>
      <c r="C8" s="27"/>
    </row>
    <row r="9" spans="1:4" x14ac:dyDescent="0.35">
      <c r="A9" s="27"/>
      <c r="B9" s="27"/>
      <c r="C9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FF44F8E4667348993004819F55D4E0" ma:contentTypeVersion="11" ma:contentTypeDescription="Create a new document." ma:contentTypeScope="" ma:versionID="fde7b2b653bd8fcd4210e9efb07ac794">
  <xsd:schema xmlns:xsd="http://www.w3.org/2001/XMLSchema" xmlns:xs="http://www.w3.org/2001/XMLSchema" xmlns:p="http://schemas.microsoft.com/office/2006/metadata/properties" xmlns:ns2="941dabf8-0f84-4fec-babb-a4a130760812" xmlns:ns3="1d69d191-8966-450d-b06b-4de5ae2b3f4b" targetNamespace="http://schemas.microsoft.com/office/2006/metadata/properties" ma:root="true" ma:fieldsID="ff1266901c77c7835e9b6bc5ba5abf0f" ns2:_="" ns3:_="">
    <xsd:import namespace="941dabf8-0f84-4fec-babb-a4a130760812"/>
    <xsd:import namespace="1d69d191-8966-450d-b06b-4de5ae2b3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dabf8-0f84-4fec-babb-a4a13076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de6ce19-caa1-493e-bfba-2da62677b1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9d191-8966-450d-b06b-4de5ae2b3f4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f0b007b-1dba-409b-a999-1e2fd394c64b}" ma:internalName="TaxCatchAll" ma:showField="CatchAllData" ma:web="1d69d191-8966-450d-b06b-4de5ae2b3f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1dabf8-0f84-4fec-babb-a4a130760812">
      <Terms xmlns="http://schemas.microsoft.com/office/infopath/2007/PartnerControls"/>
    </lcf76f155ced4ddcb4097134ff3c332f>
    <TaxCatchAll xmlns="1d69d191-8966-450d-b06b-4de5ae2b3f4b" xsi:nil="true"/>
  </documentManagement>
</p:properties>
</file>

<file path=customXml/itemProps1.xml><?xml version="1.0" encoding="utf-8"?>
<ds:datastoreItem xmlns:ds="http://schemas.openxmlformats.org/officeDocument/2006/customXml" ds:itemID="{199B45D5-4AF1-470E-9B4A-34EDF606F0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dabf8-0f84-4fec-babb-a4a130760812"/>
    <ds:schemaRef ds:uri="1d69d191-8966-450d-b06b-4de5ae2b3f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C554A6-6D33-49EA-ADA0-8B7C35C793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CB4415-E734-4868-A08F-D6BD04368399}">
  <ds:schemaRefs>
    <ds:schemaRef ds:uri="http://schemas.microsoft.com/office/2006/metadata/properties"/>
    <ds:schemaRef ds:uri="http://schemas.microsoft.com/office/infopath/2007/PartnerControls"/>
    <ds:schemaRef ds:uri="941dabf8-0f84-4fec-babb-a4a130760812"/>
    <ds:schemaRef ds:uri="1d69d191-8966-450d-b06b-4de5ae2b3f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Data</vt:lpstr>
      <vt:lpstr>Data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Aswin Kithalawaarachchi</dc:creator>
  <cp:keywords/>
  <dc:description/>
  <cp:lastModifiedBy>Aswin Kithalawaarachchi</cp:lastModifiedBy>
  <cp:revision/>
  <dcterms:created xsi:type="dcterms:W3CDTF">2015-06-05T18:17:20Z</dcterms:created>
  <dcterms:modified xsi:type="dcterms:W3CDTF">2023-10-19T17:33:11Z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0x01010015FF44F8E4667348993004819F55D4E0</vt:lpwstr>
  </property>
  <property fmtid="{D5CDD505-2E9C-101B-9397-08002B2CF9AE}" pid="3" name="MediaServiceImageTags">
    <vt:lpwstr/>
  </property>
</Properties>
</file>