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dd7b9f8df33f064/Desktop/"/>
    </mc:Choice>
  </mc:AlternateContent>
  <xr:revisionPtr revIDLastSave="0" documentId="8_{15BB3B17-400A-4DF8-B1F0-21499EC9530A}" xr6:coauthVersionLast="47" xr6:coauthVersionMax="47" xr10:uidLastSave="{00000000-0000-0000-0000-000000000000}"/>
  <bookViews>
    <workbookView xWindow="-108" yWindow="-108" windowWidth="23256" windowHeight="12456" xr2:uid="{35496CCF-3A5E-43A7-A19A-E9D26344D06D}"/>
  </bookViews>
  <sheets>
    <sheet name="Income Statement" sheetId="3" r:id="rId1"/>
    <sheet name="Balance Sheet" sheetId="12" r:id="rId2"/>
    <sheet name="Cash Flow" sheetId="13" r:id="rId3"/>
    <sheet name="O&amp;F Income Statements" sheetId="1" r:id="rId4"/>
    <sheet name="O&amp;F Balance Sheets" sheetId="2" r:id="rId5"/>
    <sheet name="ROE Breakdown" sheetId="4" r:id="rId6"/>
    <sheet name="Income Statement Forecast" sheetId="8" r:id="rId7"/>
    <sheet name="Balance Sheet Forecast" sheetId="11" r:id="rId8"/>
    <sheet name="NOPAT NOA" sheetId="10" r:id="rId9"/>
    <sheet name="WACC" sheetId="9" r:id="rId10"/>
    <sheet name="DCF Model" sheetId="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B14" i="7"/>
  <c r="A2" i="8"/>
  <c r="A1" i="11"/>
  <c r="C40" i="11"/>
  <c r="D40" i="11"/>
  <c r="E40" i="11"/>
  <c r="F40" i="11"/>
  <c r="B40" i="11"/>
  <c r="A1" i="12"/>
  <c r="B3" i="12"/>
  <c r="A6" i="12"/>
  <c r="A7" i="12"/>
  <c r="A8" i="12"/>
  <c r="A9" i="12"/>
  <c r="A10" i="12"/>
  <c r="A11" i="12"/>
  <c r="A12" i="12"/>
  <c r="B12" i="12"/>
  <c r="B21" i="12" s="1"/>
  <c r="B20" i="12" s="1"/>
  <c r="C12" i="12"/>
  <c r="C21" i="12" s="1"/>
  <c r="C20" i="12" s="1"/>
  <c r="D12" i="12"/>
  <c r="E12" i="12"/>
  <c r="F12" i="12"/>
  <c r="F21" i="12" s="1"/>
  <c r="F20" i="12" s="1"/>
  <c r="A14" i="12"/>
  <c r="B14" i="12"/>
  <c r="C14" i="12"/>
  <c r="D14" i="12"/>
  <c r="E14" i="12"/>
  <c r="F14" i="12"/>
  <c r="A15" i="12"/>
  <c r="A16" i="12"/>
  <c r="A17" i="12"/>
  <c r="A18" i="12"/>
  <c r="A19" i="12"/>
  <c r="A20" i="12"/>
  <c r="E20" i="12"/>
  <c r="A21" i="12"/>
  <c r="D21" i="12"/>
  <c r="D20" i="12" s="1"/>
  <c r="E21" i="12"/>
  <c r="A23" i="12"/>
  <c r="A25" i="12"/>
  <c r="A26" i="12"/>
  <c r="A27" i="12"/>
  <c r="A28" i="12"/>
  <c r="A29" i="12"/>
  <c r="A30" i="12"/>
  <c r="B30" i="12"/>
  <c r="B33" i="12" s="1"/>
  <c r="C30" i="12"/>
  <c r="C33" i="12" s="1"/>
  <c r="D30" i="12"/>
  <c r="D33" i="12" s="1"/>
  <c r="E30" i="12"/>
  <c r="E33" i="12" s="1"/>
  <c r="F30" i="12"/>
  <c r="F33" i="12" s="1"/>
  <c r="A32" i="12"/>
  <c r="A33" i="12"/>
  <c r="A35" i="12"/>
  <c r="A37" i="12"/>
  <c r="A38" i="12"/>
  <c r="A39" i="12"/>
  <c r="A40" i="12"/>
  <c r="A41" i="12"/>
  <c r="B41" i="12"/>
  <c r="C41" i="12"/>
  <c r="D41" i="12"/>
  <c r="E41" i="12"/>
  <c r="F41" i="12"/>
  <c r="A42" i="12"/>
  <c r="A44" i="12"/>
  <c r="A45" i="12"/>
  <c r="B45" i="12"/>
  <c r="C45" i="12"/>
  <c r="D45" i="12"/>
  <c r="E45" i="12"/>
  <c r="F45" i="12"/>
  <c r="A47" i="12"/>
  <c r="B47" i="12"/>
  <c r="C47" i="12" s="1"/>
  <c r="D47" i="12" s="1"/>
  <c r="E47" i="12" s="1"/>
  <c r="F47" i="12" s="1"/>
  <c r="A48" i="12"/>
  <c r="B48" i="12"/>
  <c r="C48" i="12" s="1"/>
  <c r="D48" i="12" s="1"/>
  <c r="E48" i="12" s="1"/>
  <c r="F48" i="12" s="1"/>
  <c r="A49" i="12"/>
  <c r="B49" i="12"/>
  <c r="C49" i="12"/>
  <c r="D49" i="12" s="1"/>
  <c r="E49" i="12" s="1"/>
  <c r="F49" i="12" s="1"/>
  <c r="A51" i="12"/>
  <c r="B51" i="12"/>
  <c r="C51" i="12"/>
  <c r="D51" i="12"/>
  <c r="E51" i="12"/>
  <c r="F51" i="12"/>
  <c r="C19" i="11"/>
  <c r="D19" i="11"/>
  <c r="E19" i="11"/>
  <c r="F19" i="11"/>
  <c r="B19" i="11"/>
  <c r="C14" i="11"/>
  <c r="D14" i="11"/>
  <c r="E14" i="11"/>
  <c r="F14" i="11"/>
  <c r="B14" i="11"/>
  <c r="C10" i="11"/>
  <c r="D10" i="11"/>
  <c r="E10" i="11"/>
  <c r="F10" i="11"/>
  <c r="B10" i="11"/>
  <c r="C7" i="11"/>
  <c r="D7" i="11"/>
  <c r="E7" i="11"/>
  <c r="F7" i="11"/>
  <c r="B7" i="11"/>
  <c r="A51" i="11"/>
  <c r="A49" i="11"/>
  <c r="A46" i="11"/>
  <c r="F44" i="11"/>
  <c r="F49" i="11" s="1"/>
  <c r="F48" i="11" s="1"/>
  <c r="E44" i="11"/>
  <c r="E49" i="11" s="1"/>
  <c r="E48" i="11" s="1"/>
  <c r="D44" i="11"/>
  <c r="D49" i="11" s="1"/>
  <c r="D48" i="11" s="1"/>
  <c r="C44" i="11"/>
  <c r="C49" i="11" s="1"/>
  <c r="C48" i="11" s="1"/>
  <c r="B44" i="11"/>
  <c r="B49" i="11" s="1"/>
  <c r="B48" i="11" s="1"/>
  <c r="A44" i="11"/>
  <c r="A43" i="11"/>
  <c r="A42" i="11"/>
  <c r="A39" i="11"/>
  <c r="A37" i="11"/>
  <c r="A36" i="11"/>
  <c r="A34" i="11"/>
  <c r="A32" i="11"/>
  <c r="A31" i="11"/>
  <c r="A30" i="11"/>
  <c r="A29" i="11"/>
  <c r="A28" i="11"/>
  <c r="A26" i="11"/>
  <c r="A25" i="11"/>
  <c r="F24" i="11"/>
  <c r="E24" i="11"/>
  <c r="D24" i="11"/>
  <c r="C24" i="11"/>
  <c r="B24" i="11"/>
  <c r="A24" i="11"/>
  <c r="A21" i="11"/>
  <c r="A18" i="11"/>
  <c r="A16" i="11"/>
  <c r="A13" i="11"/>
  <c r="A12" i="11"/>
  <c r="A9" i="11"/>
  <c r="A6" i="11"/>
  <c r="B3" i="11"/>
  <c r="A18" i="9"/>
  <c r="A16" i="9"/>
  <c r="D14" i="9"/>
  <c r="C14" i="9"/>
  <c r="A14" i="9"/>
  <c r="D13" i="9"/>
  <c r="C13" i="9"/>
  <c r="A13" i="9"/>
  <c r="D12" i="9"/>
  <c r="C12" i="9"/>
  <c r="A12" i="9"/>
  <c r="A10" i="9"/>
  <c r="D9" i="9"/>
  <c r="C9" i="9"/>
  <c r="D7" i="9"/>
  <c r="C7" i="9"/>
  <c r="A7" i="9"/>
  <c r="D6" i="9"/>
  <c r="C6" i="9"/>
  <c r="A6" i="9"/>
  <c r="G5" i="9"/>
  <c r="D5" i="9"/>
  <c r="D10" i="9" s="1"/>
  <c r="C5" i="9"/>
  <c r="C10" i="9" s="1"/>
  <c r="A5" i="9"/>
  <c r="G3" i="9"/>
  <c r="D3" i="9"/>
  <c r="C3" i="9"/>
  <c r="A3" i="9"/>
  <c r="A1" i="9"/>
  <c r="B8" i="8"/>
  <c r="A30" i="8"/>
  <c r="A29" i="8"/>
  <c r="H27" i="8"/>
  <c r="G27" i="8"/>
  <c r="F27" i="8"/>
  <c r="E27" i="8"/>
  <c r="D27" i="8"/>
  <c r="B27" i="8"/>
  <c r="A27" i="8"/>
  <c r="B26" i="8"/>
  <c r="A26" i="8"/>
  <c r="A24" i="8"/>
  <c r="A23" i="8"/>
  <c r="A21" i="8"/>
  <c r="B20" i="8"/>
  <c r="A20" i="8"/>
  <c r="A18" i="8"/>
  <c r="B17" i="8"/>
  <c r="B18" i="8" s="1"/>
  <c r="A17" i="8"/>
  <c r="A15" i="8"/>
  <c r="B14" i="8"/>
  <c r="A14" i="8"/>
  <c r="A12" i="8"/>
  <c r="B11" i="8"/>
  <c r="A11" i="8"/>
  <c r="A8" i="8"/>
  <c r="B7" i="8"/>
  <c r="B13" i="8" s="1"/>
  <c r="A7" i="8"/>
  <c r="B5" i="8"/>
  <c r="D5" i="8" s="1"/>
  <c r="E5" i="8" s="1"/>
  <c r="F5" i="8" s="1"/>
  <c r="G5" i="8" s="1"/>
  <c r="H5" i="8" s="1"/>
  <c r="D4" i="8"/>
  <c r="A4" i="8"/>
  <c r="B23" i="11" l="1"/>
  <c r="C16" i="9"/>
  <c r="D16" i="9"/>
  <c r="D21" i="11"/>
  <c r="D32" i="11" s="1"/>
  <c r="D31" i="11" s="1"/>
  <c r="C21" i="11"/>
  <c r="C32" i="11" s="1"/>
  <c r="C31" i="11" s="1"/>
  <c r="B21" i="11"/>
  <c r="B32" i="11" s="1"/>
  <c r="B31" i="11" s="1"/>
  <c r="E21" i="11"/>
  <c r="E32" i="11" s="1"/>
  <c r="E31" i="11" s="1"/>
  <c r="F21" i="11"/>
  <c r="F32" i="11" s="1"/>
  <c r="F31" i="11" s="1"/>
  <c r="D7" i="8"/>
  <c r="G6" i="11" s="1"/>
  <c r="B24" i="8"/>
  <c r="E24" i="8" s="1"/>
  <c r="B15" i="8"/>
  <c r="H15" i="8" s="1"/>
  <c r="B12" i="8"/>
  <c r="B21" i="8"/>
  <c r="H21" i="8" s="1"/>
  <c r="E18" i="8"/>
  <c r="H18" i="8"/>
  <c r="F18" i="8"/>
  <c r="D18" i="8"/>
  <c r="G18" i="8"/>
  <c r="B29" i="8"/>
  <c r="B30" i="8" s="1"/>
  <c r="D15" i="8" l="1"/>
  <c r="G15" i="8"/>
  <c r="E21" i="8"/>
  <c r="B3" i="10"/>
  <c r="G39" i="11"/>
  <c r="G18" i="11"/>
  <c r="G49" i="11"/>
  <c r="G13" i="11"/>
  <c r="G9" i="11"/>
  <c r="D24" i="8"/>
  <c r="D23" i="8" s="1"/>
  <c r="G24" i="8"/>
  <c r="C18" i="9"/>
  <c r="F15" i="8"/>
  <c r="F24" i="8"/>
  <c r="E15" i="8"/>
  <c r="E14" i="8" s="1"/>
  <c r="H24" i="8"/>
  <c r="F21" i="8"/>
  <c r="G21" i="8"/>
  <c r="D14" i="8"/>
  <c r="D17" i="8"/>
  <c r="D11" i="8"/>
  <c r="B4" i="10" s="1"/>
  <c r="E7" i="8"/>
  <c r="E17" i="8" s="1"/>
  <c r="D21" i="8"/>
  <c r="D20" i="8" s="1"/>
  <c r="B5" i="10" l="1"/>
  <c r="G21" i="11"/>
  <c r="D13" i="8"/>
  <c r="E23" i="8"/>
  <c r="E6" i="7"/>
  <c r="F6" i="7"/>
  <c r="D6" i="7"/>
  <c r="C6" i="7"/>
  <c r="B6" i="7"/>
  <c r="G36" i="11"/>
  <c r="G44" i="11" s="1"/>
  <c r="G51" i="11" s="1"/>
  <c r="B15" i="10" s="1"/>
  <c r="C3" i="10"/>
  <c r="H13" i="11"/>
  <c r="H18" i="11"/>
  <c r="H49" i="11"/>
  <c r="H39" i="11"/>
  <c r="H9" i="11"/>
  <c r="H6" i="11"/>
  <c r="B6" i="10"/>
  <c r="B7" i="10" s="1"/>
  <c r="B8" i="10" s="1"/>
  <c r="B9" i="10" s="1"/>
  <c r="B2" i="7" s="1"/>
  <c r="D26" i="8"/>
  <c r="D29" i="8" s="1"/>
  <c r="D30" i="8" s="1"/>
  <c r="E20" i="8"/>
  <c r="F7" i="8"/>
  <c r="F17" i="8" s="1"/>
  <c r="C6" i="10"/>
  <c r="G7" i="8" l="1"/>
  <c r="J18" i="11" s="1"/>
  <c r="E3" i="10"/>
  <c r="F20" i="8"/>
  <c r="I9" i="11"/>
  <c r="I49" i="11"/>
  <c r="I13" i="11"/>
  <c r="I39" i="11"/>
  <c r="I18" i="11"/>
  <c r="I6" i="11"/>
  <c r="G24" i="11"/>
  <c r="G32" i="11" s="1"/>
  <c r="G34" i="11" s="1"/>
  <c r="B14" i="10" s="1"/>
  <c r="C23" i="11"/>
  <c r="F23" i="8"/>
  <c r="H21" i="11"/>
  <c r="F14" i="8"/>
  <c r="D3" i="10"/>
  <c r="G14" i="8"/>
  <c r="G20" i="8"/>
  <c r="J13" i="11" l="1"/>
  <c r="G17" i="8"/>
  <c r="J39" i="11"/>
  <c r="J49" i="11"/>
  <c r="G23" i="8"/>
  <c r="J9" i="11"/>
  <c r="H7" i="8"/>
  <c r="K9" i="11" s="1"/>
  <c r="J6" i="11"/>
  <c r="D6" i="10"/>
  <c r="J21" i="11"/>
  <c r="B16" i="10"/>
  <c r="B3" i="7" s="1"/>
  <c r="B5" i="7" s="1"/>
  <c r="B7" i="7" s="1"/>
  <c r="I21" i="11"/>
  <c r="E6" i="10"/>
  <c r="H14" i="8" l="1"/>
  <c r="H20" i="8"/>
  <c r="F3" i="10"/>
  <c r="H17" i="8"/>
  <c r="H23" i="8"/>
  <c r="K49" i="11"/>
  <c r="K6" i="11"/>
  <c r="K13" i="11"/>
  <c r="K39" i="11"/>
  <c r="K18" i="11"/>
  <c r="K21" i="11"/>
  <c r="F6" i="10"/>
  <c r="E5" i="4" l="1"/>
  <c r="D5" i="4"/>
  <c r="C5" i="4"/>
  <c r="B5" i="4"/>
  <c r="K51" i="2"/>
  <c r="K47" i="2"/>
  <c r="I47" i="2"/>
  <c r="G47" i="2"/>
  <c r="E47" i="2"/>
  <c r="C47" i="2"/>
  <c r="G40" i="2"/>
  <c r="G41" i="2" s="1"/>
  <c r="G53" i="2" s="1"/>
  <c r="I40" i="2"/>
  <c r="I41" i="2" s="1"/>
  <c r="I53" i="2" s="1"/>
  <c r="K40" i="2"/>
  <c r="K41" i="2" s="1"/>
  <c r="K53" i="2" s="1"/>
  <c r="E40" i="2"/>
  <c r="E41" i="2" s="1"/>
  <c r="E53" i="2" s="1"/>
  <c r="C40" i="2"/>
  <c r="J30" i="2"/>
  <c r="H30" i="2"/>
  <c r="F30" i="2"/>
  <c r="D30" i="2"/>
  <c r="A33" i="2"/>
  <c r="K21" i="2"/>
  <c r="I21" i="2"/>
  <c r="G21" i="2"/>
  <c r="E21" i="2"/>
  <c r="K30" i="2"/>
  <c r="I30" i="2"/>
  <c r="G30" i="2"/>
  <c r="E30" i="2"/>
  <c r="C21" i="2" l="1"/>
  <c r="C30" i="2"/>
  <c r="K12" i="2"/>
  <c r="I12" i="2"/>
  <c r="G12" i="2"/>
  <c r="E12" i="2"/>
  <c r="C12" i="2"/>
  <c r="A30" i="3"/>
  <c r="A29" i="3"/>
  <c r="F28" i="3"/>
  <c r="E28" i="3"/>
  <c r="D28" i="3"/>
  <c r="C28" i="3"/>
  <c r="B28" i="3"/>
  <c r="A28" i="3"/>
  <c r="A27" i="3"/>
  <c r="A26" i="3"/>
  <c r="F25" i="3"/>
  <c r="E25" i="3"/>
  <c r="D25" i="3"/>
  <c r="C25" i="3"/>
  <c r="A25" i="3"/>
  <c r="F24" i="3"/>
  <c r="E24" i="3"/>
  <c r="D24" i="3"/>
  <c r="C24" i="3"/>
  <c r="A24" i="3"/>
  <c r="G23" i="3"/>
  <c r="A21" i="3"/>
  <c r="A20" i="3"/>
  <c r="E18" i="3"/>
  <c r="E30" i="3" s="1"/>
  <c r="D18" i="3"/>
  <c r="D21" i="3" s="1"/>
  <c r="A18" i="3"/>
  <c r="A17" i="3"/>
  <c r="D15" i="3"/>
  <c r="D27" i="3" s="1"/>
  <c r="A15" i="3"/>
  <c r="A14" i="3"/>
  <c r="A12" i="3"/>
  <c r="A11" i="3"/>
  <c r="A10" i="3"/>
  <c r="F8" i="3"/>
  <c r="F26" i="3" s="1"/>
  <c r="E8" i="3"/>
  <c r="E26" i="3" s="1"/>
  <c r="D8" i="3"/>
  <c r="D26" i="3" s="1"/>
  <c r="C8" i="3"/>
  <c r="C26" i="3" s="1"/>
  <c r="B8" i="3"/>
  <c r="B18" i="3" s="1"/>
  <c r="B30" i="3" s="1"/>
  <c r="A8" i="3"/>
  <c r="A7" i="3"/>
  <c r="B25" i="3" s="1"/>
  <c r="A6" i="3"/>
  <c r="B24" i="3" s="1"/>
  <c r="F4" i="3"/>
  <c r="E4" i="3"/>
  <c r="D4" i="3"/>
  <c r="C4" i="3"/>
  <c r="B4" i="3"/>
  <c r="B3" i="3"/>
  <c r="A1" i="3"/>
  <c r="K33" i="2"/>
  <c r="K34" i="2" s="1"/>
  <c r="K50" i="2" s="1"/>
  <c r="K52" i="2" s="1"/>
  <c r="K54" i="2" s="1"/>
  <c r="I33" i="2"/>
  <c r="I34" i="2" s="1"/>
  <c r="I50" i="2" s="1"/>
  <c r="G33" i="2"/>
  <c r="G34" i="2" s="1"/>
  <c r="G50" i="2" s="1"/>
  <c r="E33" i="2"/>
  <c r="E34" i="2" s="1"/>
  <c r="E50" i="2" s="1"/>
  <c r="C33" i="2"/>
  <c r="J21" i="2"/>
  <c r="H21" i="2"/>
  <c r="F21" i="2"/>
  <c r="D21" i="2"/>
  <c r="B12" i="2"/>
  <c r="B14" i="2"/>
  <c r="B30" i="2"/>
  <c r="B34" i="2" s="1"/>
  <c r="C41" i="2"/>
  <c r="C53" i="2" s="1"/>
  <c r="B44" i="2"/>
  <c r="J44" i="2"/>
  <c r="H44" i="2"/>
  <c r="F44" i="2"/>
  <c r="D44" i="2"/>
  <c r="A44" i="2"/>
  <c r="A43" i="2"/>
  <c r="A41" i="2"/>
  <c r="A40" i="2"/>
  <c r="A39" i="2"/>
  <c r="A38" i="2"/>
  <c r="A37" i="2"/>
  <c r="A36" i="2"/>
  <c r="A34" i="2"/>
  <c r="A32" i="2"/>
  <c r="J34" i="2"/>
  <c r="H34" i="2"/>
  <c r="F34" i="2"/>
  <c r="D34" i="2"/>
  <c r="A30" i="2"/>
  <c r="A29" i="2"/>
  <c r="A28" i="2"/>
  <c r="A27" i="2"/>
  <c r="A26" i="2"/>
  <c r="A25" i="2"/>
  <c r="A23" i="2"/>
  <c r="A21" i="2"/>
  <c r="A20" i="2"/>
  <c r="A19" i="2"/>
  <c r="A18" i="2"/>
  <c r="A17" i="2"/>
  <c r="A16" i="2"/>
  <c r="A15" i="2"/>
  <c r="J14" i="2"/>
  <c r="H14" i="2"/>
  <c r="F14" i="2"/>
  <c r="D14" i="2"/>
  <c r="A14" i="2"/>
  <c r="J12" i="2"/>
  <c r="H12" i="2"/>
  <c r="F12" i="2"/>
  <c r="D12" i="2"/>
  <c r="A12" i="2"/>
  <c r="A11" i="2"/>
  <c r="A10" i="2"/>
  <c r="A9" i="2"/>
  <c r="A8" i="2"/>
  <c r="A7" i="2"/>
  <c r="A6" i="2"/>
  <c r="A3" i="2"/>
  <c r="A1" i="2"/>
  <c r="C2" i="4" l="1"/>
  <c r="D23" i="3"/>
  <c r="B15" i="3"/>
  <c r="B27" i="3" s="1"/>
  <c r="C15" i="3"/>
  <c r="C27" i="3" s="1"/>
  <c r="J23" i="2"/>
  <c r="K46" i="2" s="1"/>
  <c r="K48" i="2" s="1"/>
  <c r="F18" i="3"/>
  <c r="F21" i="3" s="1"/>
  <c r="C34" i="2"/>
  <c r="C50" i="2" s="1"/>
  <c r="D29" i="3"/>
  <c r="G28" i="3"/>
  <c r="C18" i="3"/>
  <c r="C21" i="3" s="1"/>
  <c r="D23" i="2"/>
  <c r="E46" i="2" s="1"/>
  <c r="E48" i="2" s="1"/>
  <c r="H23" i="2"/>
  <c r="I46" i="2" s="1"/>
  <c r="I48" i="2" s="1"/>
  <c r="F20" i="2"/>
  <c r="E15" i="3"/>
  <c r="E27" i="3" s="1"/>
  <c r="B26" i="3"/>
  <c r="G26" i="3" s="1"/>
  <c r="F15" i="3"/>
  <c r="F27" i="3" s="1"/>
  <c r="G27" i="3" s="1"/>
  <c r="H20" i="2"/>
  <c r="B21" i="2"/>
  <c r="B20" i="2" s="1"/>
  <c r="J20" i="2"/>
  <c r="F23" i="2"/>
  <c r="G46" i="2" s="1"/>
  <c r="G48" i="2" s="1"/>
  <c r="C44" i="2"/>
  <c r="G44" i="2"/>
  <c r="I44" i="2"/>
  <c r="E44" i="2"/>
  <c r="K44" i="2"/>
  <c r="C23" i="2"/>
  <c r="C51" i="2" s="1"/>
  <c r="B21" i="3"/>
  <c r="E21" i="3"/>
  <c r="D30" i="3"/>
  <c r="D20" i="2"/>
  <c r="E4" i="4" l="1"/>
  <c r="E6" i="4"/>
  <c r="C23" i="3"/>
  <c r="B2" i="4"/>
  <c r="D4" i="4"/>
  <c r="D6" i="4"/>
  <c r="C6" i="4"/>
  <c r="C30" i="3"/>
  <c r="E2" i="4"/>
  <c r="F23" i="3"/>
  <c r="D2" i="4"/>
  <c r="E23" i="3"/>
  <c r="C4" i="4"/>
  <c r="F30" i="3"/>
  <c r="B29" i="3"/>
  <c r="B23" i="3"/>
  <c r="G30" i="3"/>
  <c r="C29" i="3"/>
  <c r="E29" i="3"/>
  <c r="C52" i="2"/>
  <c r="F29" i="3"/>
  <c r="G29" i="3"/>
  <c r="E23" i="2"/>
  <c r="E51" i="2" s="1"/>
  <c r="E52" i="2" s="1"/>
  <c r="G23" i="2"/>
  <c r="G51" i="2" s="1"/>
  <c r="G52" i="2" s="1"/>
  <c r="I23" i="2"/>
  <c r="I51" i="2" s="1"/>
  <c r="I52" i="2" s="1"/>
  <c r="K23" i="2"/>
  <c r="B23" i="2"/>
  <c r="C46" i="2" s="1"/>
  <c r="C48" i="2" s="1"/>
  <c r="B4" i="4" s="1"/>
  <c r="C9" i="4" l="1"/>
  <c r="C8" i="4" s="1"/>
  <c r="C7" i="4"/>
  <c r="B6" i="4"/>
  <c r="C54" i="2"/>
  <c r="B7" i="4"/>
  <c r="B9" i="4"/>
  <c r="B8" i="4" s="1"/>
  <c r="E9" i="4"/>
  <c r="E8" i="4" s="1"/>
  <c r="D9" i="4"/>
  <c r="D8" i="4" s="1"/>
  <c r="E7" i="4"/>
  <c r="D7" i="4"/>
  <c r="E54" i="2"/>
  <c r="G54" i="2"/>
  <c r="I54" i="2"/>
  <c r="E11" i="8"/>
  <c r="E26" i="8"/>
  <c r="E29" i="8" l="1"/>
  <c r="E30" i="8" s="1"/>
  <c r="H36" i="11"/>
  <c r="H44" i="11" s="1"/>
  <c r="H51" i="11" s="1"/>
  <c r="C15" i="10" s="1"/>
  <c r="E13" i="8"/>
  <c r="C4" i="10"/>
  <c r="C5" i="10" s="1"/>
  <c r="C7" i="10" s="1"/>
  <c r="F11" i="8"/>
  <c r="C8" i="10" l="1"/>
  <c r="C9" i="10" s="1"/>
  <c r="H24" i="11"/>
  <c r="H32" i="11" s="1"/>
  <c r="H34" i="11" s="1"/>
  <c r="C14" i="10" s="1"/>
  <c r="C16" i="10" s="1"/>
  <c r="D23" i="11"/>
  <c r="D4" i="10"/>
  <c r="D5" i="10" s="1"/>
  <c r="D7" i="10" s="1"/>
  <c r="D8" i="10" s="1"/>
  <c r="D9" i="10" s="1"/>
  <c r="F13" i="8"/>
  <c r="I36" i="11"/>
  <c r="I44" i="11" s="1"/>
  <c r="I51" i="11" s="1"/>
  <c r="D15" i="10" s="1"/>
  <c r="F26" i="8"/>
  <c r="F29" i="8" s="1"/>
  <c r="F30" i="8" s="1"/>
  <c r="G11" i="8"/>
  <c r="G26" i="8" s="1"/>
  <c r="G29" i="8" s="1"/>
  <c r="G30" i="8" s="1"/>
  <c r="C3" i="7" l="1"/>
  <c r="C2" i="7"/>
  <c r="E4" i="10"/>
  <c r="E5" i="10" s="1"/>
  <c r="E7" i="10" s="1"/>
  <c r="E8" i="10" s="1"/>
  <c r="G13" i="8"/>
  <c r="J36" i="11"/>
  <c r="J44" i="11" s="1"/>
  <c r="J51" i="11" s="1"/>
  <c r="E15" i="10" s="1"/>
  <c r="D3" i="7"/>
  <c r="D2" i="7"/>
  <c r="I24" i="11"/>
  <c r="I32" i="11" s="1"/>
  <c r="I34" i="11" s="1"/>
  <c r="D14" i="10" s="1"/>
  <c r="D16" i="10" s="1"/>
  <c r="E23" i="11"/>
  <c r="H11" i="8"/>
  <c r="H26" i="8" s="1"/>
  <c r="C5" i="7" l="1"/>
  <c r="C7" i="7" s="1"/>
  <c r="E9" i="10"/>
  <c r="E3" i="7" s="1"/>
  <c r="H29" i="8"/>
  <c r="H30" i="8" s="1"/>
  <c r="H13" i="8"/>
  <c r="K24" i="11" s="1"/>
  <c r="K32" i="11" s="1"/>
  <c r="K34" i="11" s="1"/>
  <c r="F14" i="10" s="1"/>
  <c r="K36" i="11"/>
  <c r="K44" i="11" s="1"/>
  <c r="K51" i="11" s="1"/>
  <c r="F15" i="10" s="1"/>
  <c r="J24" i="11"/>
  <c r="J32" i="11" s="1"/>
  <c r="J34" i="11" s="1"/>
  <c r="E14" i="10" s="1"/>
  <c r="E16" i="10" s="1"/>
  <c r="F23" i="11"/>
  <c r="D5" i="7"/>
  <c r="D7" i="7" s="1"/>
  <c r="F4" i="10"/>
  <c r="F5" i="10" s="1"/>
  <c r="F7" i="10" s="1"/>
  <c r="E2" i="7" l="1"/>
  <c r="E5" i="7" s="1"/>
  <c r="E7" i="7" s="1"/>
  <c r="B8" i="7" s="1"/>
  <c r="F16" i="10"/>
  <c r="F8" i="10"/>
  <c r="F9" i="10" s="1"/>
  <c r="F2" i="7" l="1"/>
  <c r="F3" i="7"/>
  <c r="F5" i="7" l="1"/>
  <c r="F7" i="7" s="1"/>
  <c r="B9" i="7"/>
  <c r="B13" i="7" s="1"/>
  <c r="B17" i="7" s="1"/>
  <c r="B19" i="7" s="1"/>
</calcChain>
</file>

<file path=xl/sharedStrings.xml><?xml version="1.0" encoding="utf-8"?>
<sst xmlns="http://schemas.openxmlformats.org/spreadsheetml/2006/main" count="194" uniqueCount="112">
  <si>
    <t>Income Statement</t>
  </si>
  <si>
    <t>( in millions)</t>
  </si>
  <si>
    <t>Operating</t>
  </si>
  <si>
    <t>Finance</t>
  </si>
  <si>
    <t>Revenue</t>
  </si>
  <si>
    <t>Cost of goods sold</t>
  </si>
  <si>
    <t>Gross profits</t>
  </si>
  <si>
    <t>Selling, G&amp;A expenses</t>
  </si>
  <si>
    <t>Research &amp; Development</t>
  </si>
  <si>
    <t>Operating Income</t>
  </si>
  <si>
    <t xml:space="preserve"> $-   </t>
  </si>
  <si>
    <t>Net other income/(expense)</t>
  </si>
  <si>
    <t>Earnings before Interest and Tax</t>
  </si>
  <si>
    <t>Net financial income/(expense)</t>
  </si>
  <si>
    <t>Income before taxes</t>
  </si>
  <si>
    <t>Corporate Income tax</t>
  </si>
  <si>
    <t>Net profit after tax</t>
  </si>
  <si>
    <t>Minority interest</t>
  </si>
  <si>
    <t>NOPAT/FI</t>
  </si>
  <si>
    <t>Check</t>
  </si>
  <si>
    <t>Effective Tax Rate</t>
  </si>
  <si>
    <t>Dec-2020</t>
  </si>
  <si>
    <t>Dec-2021</t>
  </si>
  <si>
    <t>Dec-2022</t>
  </si>
  <si>
    <t>Dec-2023</t>
  </si>
  <si>
    <t>Dec-2024</t>
  </si>
  <si>
    <t>OA</t>
  </si>
  <si>
    <t>OL</t>
  </si>
  <si>
    <t>NOA</t>
  </si>
  <si>
    <t>FO</t>
  </si>
  <si>
    <t>FA</t>
  </si>
  <si>
    <t>NFO</t>
  </si>
  <si>
    <t>CSE</t>
  </si>
  <si>
    <t>IC</t>
  </si>
  <si>
    <t>ROIC</t>
  </si>
  <si>
    <t>Profit Margin</t>
  </si>
  <si>
    <t>NAO Turnover</t>
  </si>
  <si>
    <t>Financial Leverage</t>
  </si>
  <si>
    <t>Spread</t>
  </si>
  <si>
    <t>ROCE</t>
  </si>
  <si>
    <t>Minority Interest</t>
  </si>
  <si>
    <t>Net profit</t>
  </si>
  <si>
    <t>NBC</t>
  </si>
  <si>
    <t/>
  </si>
  <si>
    <t>Shares outstanding</t>
  </si>
  <si>
    <t>https://pages.stern.nyu.edu/~adamodar/New_Home_Page/datafile/ctryprem.html</t>
  </si>
  <si>
    <t>Additional risk adjustments</t>
  </si>
  <si>
    <t>Dec-2025</t>
  </si>
  <si>
    <t>Dec-2026</t>
  </si>
  <si>
    <t>Dec-2027</t>
  </si>
  <si>
    <t>Dec-2028</t>
  </si>
  <si>
    <t>Dec-2029</t>
  </si>
  <si>
    <t>NOPAT</t>
  </si>
  <si>
    <t>Operating revenues</t>
  </si>
  <si>
    <t xml:space="preserve">  Cost of goods sold</t>
  </si>
  <si>
    <t>Gross margin</t>
  </si>
  <si>
    <t xml:space="preserve">  Operating expenses</t>
  </si>
  <si>
    <t>EBIT</t>
  </si>
  <si>
    <t xml:space="preserve">  Tax on EBIT</t>
  </si>
  <si>
    <t xml:space="preserve">Remain same for simplicity/well established company </t>
  </si>
  <si>
    <t>Remain stagnant/focus on acquiring companies</t>
  </si>
  <si>
    <t>Chose average tax rate</t>
  </si>
  <si>
    <t>Forecast</t>
  </si>
  <si>
    <t>% of sales</t>
  </si>
  <si>
    <t>% of Sales</t>
  </si>
  <si>
    <t>GOGS slightly increase due to rising costs of materials such as agriculture https://www.ers.usda.gov/data-products/food-price-outlook/summary-findings. 10-k revelas mineral materials to make bottles remain stable even with tariffs/trade war KDP remains strong in sourcing that effectively</t>
  </si>
  <si>
    <t>Fixed Asset Turnover</t>
  </si>
  <si>
    <t>(USD in millions)</t>
  </si>
  <si>
    <t>Net Income/Starting Line</t>
  </si>
  <si>
    <t>Depreciation/Depletion</t>
  </si>
  <si>
    <t>Amortization</t>
  </si>
  <si>
    <t>Deferred Taxes</t>
  </si>
  <si>
    <t>Non-Cash Items</t>
  </si>
  <si>
    <t>Cash Taxes Paid</t>
  </si>
  <si>
    <t>Cash Interest Paid</t>
  </si>
  <si>
    <t>Cash Payments</t>
  </si>
  <si>
    <t>Cash Receipts</t>
  </si>
  <si>
    <t>Changes in Working Capital</t>
  </si>
  <si>
    <t>Cash from Operating Activities</t>
  </si>
  <si>
    <t>Capital Expenditures</t>
  </si>
  <si>
    <t>Other Investing Cash Flow Items</t>
  </si>
  <si>
    <t>Cash from Investing Activities</t>
  </si>
  <si>
    <t>Financing Cash Flow Items</t>
  </si>
  <si>
    <t>Total Cash Dividends Paid</t>
  </si>
  <si>
    <t>Issuance (Retirement) of Stock</t>
  </si>
  <si>
    <t>Issuance (Retirement) of Debt</t>
  </si>
  <si>
    <t>Cash from Financing Activities</t>
  </si>
  <si>
    <t>Foreign Exchange Effects</t>
  </si>
  <si>
    <t>Net Change in Cash</t>
  </si>
  <si>
    <t>Calculate NOA</t>
  </si>
  <si>
    <t>Operating assets</t>
  </si>
  <si>
    <t>Operating liabilities</t>
  </si>
  <si>
    <t>Net operating assets (NOA)</t>
  </si>
  <si>
    <t>in 10-K rvealed to be derivatives</t>
  </si>
  <si>
    <t>(-) Net change in NOA</t>
  </si>
  <si>
    <t>Free cash flow</t>
  </si>
  <si>
    <t>Discount Factor</t>
  </si>
  <si>
    <t>PV</t>
  </si>
  <si>
    <t>SUM PV</t>
  </si>
  <si>
    <t>Terminal Value</t>
  </si>
  <si>
    <t>g</t>
  </si>
  <si>
    <t>KDP Stock Price | Keurig Dr Pepper Inc. Stock Quote (U.S.: Nasdaq) | MarketWatch</t>
  </si>
  <si>
    <t>Terminal Year</t>
  </si>
  <si>
    <t>PV of all future cash flows</t>
  </si>
  <si>
    <t>Add cash/short term investments</t>
  </si>
  <si>
    <t>Subtract Notes Payable</t>
  </si>
  <si>
    <t>Equity value</t>
  </si>
  <si>
    <t>FCF</t>
  </si>
  <si>
    <t>Tax</t>
  </si>
  <si>
    <t>Year</t>
  </si>
  <si>
    <t xml:space="preserve">Steady growth as with mergers of GHOST &amp; other companies improve operational efficiencies, still expect Keurig to remain stagnant. </t>
  </si>
  <si>
    <t>When doing % of all other assets, the % varies around 7-14%, but sales it stays between 1-3% so I would say is a more realistic assumption to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</si>
</sst>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;\(#,##0\);&quot;-&quot;"/>
    <numFmt numFmtId="165" formatCode="_(&quot;$&quot;* #,##0_);_(&quot;$&quot;* \(#,##0\);_(&quot;$&quot;* &quot;-&quot;??_);_(@_)"/>
    <numFmt numFmtId="166" formatCode="0.0%"/>
    <numFmt numFmtId="167" formatCode="0.0000000000000000%"/>
    <numFmt numFmtId="168" formatCode="0.000000000000000%"/>
    <numFmt numFmtId="169" formatCode="0.00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indexed="8"/>
      <name val="Arial"/>
      <family val="2"/>
    </font>
    <font>
      <sz val="11"/>
      <color theme="1"/>
      <name val="Arial Narrow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17" fontId="2" fillId="0" borderId="0" xfId="0" applyNumberFormat="1" applyFont="1"/>
    <xf numFmtId="0" fontId="2" fillId="2" borderId="0" xfId="0" applyFont="1" applyFill="1"/>
    <xf numFmtId="0" fontId="2" fillId="4" borderId="0" xfId="0" applyFont="1" applyFill="1"/>
    <xf numFmtId="0" fontId="0" fillId="2" borderId="0" xfId="0" applyFill="1"/>
    <xf numFmtId="0" fontId="0" fillId="4" borderId="0" xfId="0" applyFill="1"/>
    <xf numFmtId="0" fontId="2" fillId="0" borderId="0" xfId="0" applyFont="1"/>
    <xf numFmtId="8" fontId="0" fillId="2" borderId="0" xfId="0" applyNumberFormat="1" applyFill="1"/>
    <xf numFmtId="8" fontId="0" fillId="4" borderId="0" xfId="0" applyNumberFormat="1" applyFill="1"/>
    <xf numFmtId="10" fontId="0" fillId="2" borderId="0" xfId="0" applyNumberFormat="1" applyFill="1"/>
    <xf numFmtId="0" fontId="2" fillId="0" borderId="1" xfId="0" applyFont="1" applyBorder="1"/>
    <xf numFmtId="0" fontId="2" fillId="4" borderId="1" xfId="0" applyFont="1" applyFill="1" applyBorder="1"/>
    <xf numFmtId="0" fontId="2" fillId="0" borderId="3" xfId="0" applyFont="1" applyBorder="1"/>
    <xf numFmtId="0" fontId="2" fillId="4" borderId="4" xfId="0" applyFont="1" applyFill="1" applyBorder="1"/>
    <xf numFmtId="0" fontId="2" fillId="4" borderId="5" xfId="0" applyFont="1" applyFill="1" applyBorder="1"/>
    <xf numFmtId="8" fontId="2" fillId="2" borderId="0" xfId="0" applyNumberFormat="1" applyFont="1" applyFill="1"/>
    <xf numFmtId="8" fontId="2" fillId="4" borderId="0" xfId="0" applyNumberFormat="1" applyFont="1" applyFill="1"/>
    <xf numFmtId="8" fontId="2" fillId="2" borderId="1" xfId="0" applyNumberFormat="1" applyFont="1" applyFill="1" applyBorder="1"/>
    <xf numFmtId="8" fontId="2" fillId="4" borderId="1" xfId="0" applyNumberFormat="1" applyFont="1" applyFill="1" applyBorder="1"/>
    <xf numFmtId="8" fontId="2" fillId="2" borderId="4" xfId="0" applyNumberFormat="1" applyFont="1" applyFill="1" applyBorder="1"/>
    <xf numFmtId="8" fontId="2" fillId="4" borderId="4" xfId="0" applyNumberFormat="1" applyFont="1" applyFill="1" applyBorder="1"/>
    <xf numFmtId="8" fontId="2" fillId="4" borderId="5" xfId="0" applyNumberFormat="1" applyFont="1" applyFill="1" applyBorder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5" borderId="3" xfId="0" applyFont="1" applyFill="1" applyBorder="1"/>
    <xf numFmtId="2" fontId="0" fillId="0" borderId="0" xfId="0" applyNumberFormat="1"/>
    <xf numFmtId="6" fontId="0" fillId="2" borderId="0" xfId="1" applyNumberFormat="1" applyFont="1" applyFill="1"/>
    <xf numFmtId="6" fontId="0" fillId="4" borderId="0" xfId="1" applyNumberFormat="1" applyFont="1" applyFill="1"/>
    <xf numFmtId="6" fontId="2" fillId="2" borderId="1" xfId="1" applyNumberFormat="1" applyFont="1" applyFill="1" applyBorder="1"/>
    <xf numFmtId="6" fontId="2" fillId="4" borderId="1" xfId="1" applyNumberFormat="1" applyFont="1" applyFill="1" applyBorder="1"/>
    <xf numFmtId="6" fontId="2" fillId="2" borderId="4" xfId="1" applyNumberFormat="1" applyFont="1" applyFill="1" applyBorder="1"/>
    <xf numFmtId="6" fontId="2" fillId="4" borderId="4" xfId="1" applyNumberFormat="1" applyFont="1" applyFill="1" applyBorder="1"/>
    <xf numFmtId="44" fontId="0" fillId="0" borderId="0" xfId="1" applyFont="1"/>
    <xf numFmtId="165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5" fontId="2" fillId="0" borderId="0" xfId="1" applyNumberFormat="1" applyFont="1"/>
    <xf numFmtId="0" fontId="3" fillId="0" borderId="0" xfId="0" applyFont="1"/>
    <xf numFmtId="37" fontId="0" fillId="0" borderId="0" xfId="0" applyNumberFormat="1"/>
    <xf numFmtId="37" fontId="0" fillId="0" borderId="6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10" fontId="0" fillId="0" borderId="0" xfId="0" applyNumberFormat="1"/>
    <xf numFmtId="167" fontId="0" fillId="0" borderId="0" xfId="0" applyNumberFormat="1"/>
    <xf numFmtId="168" fontId="0" fillId="0" borderId="0" xfId="0" applyNumberFormat="1"/>
    <xf numFmtId="166" fontId="0" fillId="0" borderId="0" xfId="0" applyNumberFormat="1"/>
    <xf numFmtId="165" fontId="0" fillId="0" borderId="0" xfId="0" applyNumberFormat="1"/>
    <xf numFmtId="169" fontId="0" fillId="0" borderId="0" xfId="0" applyNumberFormat="1" applyAlignment="1">
      <alignment horizontal="left" indent="2"/>
    </xf>
    <xf numFmtId="8" fontId="0" fillId="0" borderId="0" xfId="0" quotePrefix="1" applyNumberFormat="1"/>
    <xf numFmtId="10" fontId="0" fillId="0" borderId="4" xfId="2" applyNumberFormat="1" applyFont="1" applyBorder="1"/>
    <xf numFmtId="0" fontId="2" fillId="0" borderId="9" xfId="0" applyFont="1" applyBorder="1"/>
    <xf numFmtId="10" fontId="0" fillId="0" borderId="1" xfId="2" applyNumberFormat="1" applyFont="1" applyBorder="1"/>
    <xf numFmtId="0" fontId="2" fillId="2" borderId="3" xfId="0" applyFont="1" applyFill="1" applyBorder="1"/>
    <xf numFmtId="10" fontId="0" fillId="2" borderId="4" xfId="2" applyNumberFormat="1" applyFont="1" applyFill="1" applyBorder="1"/>
    <xf numFmtId="10" fontId="0" fillId="2" borderId="5" xfId="2" applyNumberFormat="1" applyFont="1" applyFill="1" applyBorder="1"/>
    <xf numFmtId="0" fontId="2" fillId="6" borderId="3" xfId="0" applyFont="1" applyFill="1" applyBorder="1"/>
    <xf numFmtId="10" fontId="0" fillId="6" borderId="4" xfId="2" applyNumberFormat="1" applyFont="1" applyFill="1" applyBorder="1"/>
    <xf numFmtId="10" fontId="0" fillId="6" borderId="5" xfId="2" applyNumberFormat="1" applyFont="1" applyFill="1" applyBorder="1"/>
    <xf numFmtId="0" fontId="2" fillId="3" borderId="10" xfId="0" applyFont="1" applyFill="1" applyBorder="1"/>
    <xf numFmtId="10" fontId="0" fillId="3" borderId="0" xfId="2" applyNumberFormat="1" applyFont="1" applyFill="1" applyBorder="1"/>
    <xf numFmtId="10" fontId="0" fillId="3" borderId="11" xfId="2" applyNumberFormat="1" applyFont="1" applyFill="1" applyBorder="1"/>
    <xf numFmtId="0" fontId="2" fillId="3" borderId="12" xfId="0" applyFont="1" applyFill="1" applyBorder="1"/>
    <xf numFmtId="10" fontId="0" fillId="3" borderId="7" xfId="2" applyNumberFormat="1" applyFont="1" applyFill="1" applyBorder="1"/>
    <xf numFmtId="0" fontId="2" fillId="7" borderId="9" xfId="0" applyFont="1" applyFill="1" applyBorder="1"/>
    <xf numFmtId="10" fontId="0" fillId="7" borderId="1" xfId="2" applyNumberFormat="1" applyFont="1" applyFill="1" applyBorder="1"/>
    <xf numFmtId="0" fontId="2" fillId="7" borderId="10" xfId="0" applyFont="1" applyFill="1" applyBorder="1"/>
    <xf numFmtId="10" fontId="0" fillId="7" borderId="0" xfId="2" applyNumberFormat="1" applyFont="1" applyFill="1" applyBorder="1"/>
    <xf numFmtId="0" fontId="2" fillId="7" borderId="12" xfId="0" applyFont="1" applyFill="1" applyBorder="1"/>
    <xf numFmtId="10" fontId="0" fillId="7" borderId="7" xfId="2" applyNumberFormat="1" applyFont="1" applyFill="1" applyBorder="1"/>
    <xf numFmtId="0" fontId="5" fillId="0" borderId="0" xfId="3"/>
    <xf numFmtId="164" fontId="0" fillId="0" borderId="0" xfId="0" applyNumberFormat="1"/>
    <xf numFmtId="9" fontId="0" fillId="0" borderId="0" xfId="0" applyNumberFormat="1"/>
    <xf numFmtId="3" fontId="0" fillId="0" borderId="0" xfId="0" applyNumberFormat="1"/>
    <xf numFmtId="164" fontId="2" fillId="0" borderId="0" xfId="0" applyNumberFormat="1" applyFont="1"/>
    <xf numFmtId="2" fontId="0" fillId="0" borderId="0" xfId="0" quotePrefix="1" applyNumberFormat="1"/>
    <xf numFmtId="2" fontId="2" fillId="0" borderId="0" xfId="0" applyNumberFormat="1" applyFont="1"/>
    <xf numFmtId="2" fontId="0" fillId="0" borderId="0" xfId="2" applyNumberFormat="1" applyFont="1"/>
    <xf numFmtId="17" fontId="0" fillId="0" borderId="0" xfId="0" applyNumberFormat="1"/>
    <xf numFmtId="0" fontId="6" fillId="0" borderId="0" xfId="0" applyFont="1"/>
    <xf numFmtId="0" fontId="4" fillId="0" borderId="0" xfId="0" applyFont="1" applyAlignment="1">
      <alignment horizontal="left" indent="1"/>
    </xf>
    <xf numFmtId="0" fontId="7" fillId="0" borderId="0" xfId="0" applyFont="1"/>
    <xf numFmtId="0" fontId="2" fillId="8" borderId="1" xfId="0" applyFont="1" applyFill="1" applyBorder="1"/>
    <xf numFmtId="164" fontId="2" fillId="8" borderId="1" xfId="0" applyNumberFormat="1" applyFont="1" applyFill="1" applyBorder="1"/>
    <xf numFmtId="164" fontId="2" fillId="8" borderId="4" xfId="0" applyNumberFormat="1" applyFont="1" applyFill="1" applyBorder="1"/>
    <xf numFmtId="164" fontId="2" fillId="8" borderId="5" xfId="0" applyNumberFormat="1" applyFont="1" applyFill="1" applyBorder="1"/>
    <xf numFmtId="0" fontId="2" fillId="8" borderId="2" xfId="0" applyFont="1" applyFill="1" applyBorder="1"/>
    <xf numFmtId="2" fontId="2" fillId="8" borderId="3" xfId="0" applyNumberFormat="1" applyFont="1" applyFill="1" applyBorder="1"/>
    <xf numFmtId="2" fontId="2" fillId="8" borderId="4" xfId="0" applyNumberFormat="1" applyFont="1" applyFill="1" applyBorder="1"/>
    <xf numFmtId="2" fontId="2" fillId="8" borderId="5" xfId="0" applyNumberFormat="1" applyFont="1" applyFill="1" applyBorder="1"/>
    <xf numFmtId="0" fontId="0" fillId="8" borderId="3" xfId="0" applyFill="1" applyBorder="1"/>
    <xf numFmtId="2" fontId="0" fillId="8" borderId="4" xfId="0" applyNumberFormat="1" applyFill="1" applyBorder="1"/>
    <xf numFmtId="2" fontId="0" fillId="8" borderId="5" xfId="0" applyNumberFormat="1" applyFill="1" applyBorder="1"/>
    <xf numFmtId="49" fontId="0" fillId="0" borderId="0" xfId="0" applyNumberForma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dd7b9f8df33f064/Desktop/ValueInvesting.io%20-%20Financials%20%5eL0%20Models%20template.xlsx" TargetMode="External"/><Relationship Id="rId1" Type="http://schemas.openxmlformats.org/officeDocument/2006/relationships/externalLinkPath" Target="ValueInvesting.io%20-%20Financials%20%5eL0%20Models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Financials"/>
      <sheetName val="DCF"/>
      <sheetName val="Rev &amp; Exp"/>
      <sheetName val="NWC &amp; Capex"/>
      <sheetName val="WACC"/>
      <sheetName val="Terminal Value"/>
      <sheetName val="Trading Multiples"/>
      <sheetName val="EPV"/>
      <sheetName val="DDM"/>
      <sheetName val="Appendix"/>
    </sheetNames>
    <sheetDataSet>
      <sheetData sheetId="0"/>
      <sheetData sheetId="1">
        <row r="5">
          <cell r="G5" t="str">
            <v>Dec-2024</v>
          </cell>
        </row>
        <row r="58">
          <cell r="B58" t="str">
            <v>(USD in millions)</v>
          </cell>
        </row>
        <row r="61">
          <cell r="G61">
            <v>15351</v>
          </cell>
        </row>
        <row r="62">
          <cell r="G62">
            <v>-6822</v>
          </cell>
        </row>
        <row r="65">
          <cell r="G65">
            <v>-4531</v>
          </cell>
        </row>
        <row r="66">
          <cell r="G66">
            <v>-70</v>
          </cell>
        </row>
        <row r="72">
          <cell r="G72">
            <v>-735</v>
          </cell>
        </row>
        <row r="75">
          <cell r="G75">
            <v>-473</v>
          </cell>
        </row>
        <row r="84">
          <cell r="G84">
            <v>0.2471264367816092</v>
          </cell>
        </row>
      </sheetData>
      <sheetData sheetId="2"/>
      <sheetData sheetId="3"/>
      <sheetData sheetId="4"/>
      <sheetData sheetId="5">
        <row r="29">
          <cell r="G29">
            <v>0.21945044310794429</v>
          </cell>
        </row>
        <row r="30">
          <cell r="G30">
            <v>0.22794710752158964</v>
          </cell>
        </row>
        <row r="32">
          <cell r="G32">
            <v>0.226468910439247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ketwatch.com/investing/stock/kd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EEB4-9AF1-4C14-999D-875521E00650}">
  <dimension ref="A1:L54"/>
  <sheetViews>
    <sheetView tabSelected="1" topLeftCell="A3" workbookViewId="0">
      <selection activeCell="A4" sqref="A4"/>
    </sheetView>
  </sheetViews>
  <sheetFormatPr defaultRowHeight="14.4" x14ac:dyDescent="0.3"/>
  <cols>
    <col min="1" max="1" width="34.33203125" bestFit="1" customWidth="1"/>
    <col min="2" max="2" width="12.21875" bestFit="1" customWidth="1"/>
    <col min="3" max="6" width="12.77734375" bestFit="1" customWidth="1"/>
    <col min="7" max="7" width="12.6640625" bestFit="1" customWidth="1"/>
  </cols>
  <sheetData>
    <row r="1" spans="1:12" x14ac:dyDescent="0.3">
      <c r="A1" s="6" t="str">
        <f>"Income Statement"</f>
        <v>Income Statement</v>
      </c>
      <c r="B1" s="34"/>
      <c r="C1" s="34"/>
      <c r="D1" s="34"/>
      <c r="E1" s="34"/>
      <c r="F1" s="34"/>
    </row>
    <row r="2" spans="1:12" x14ac:dyDescent="0.3">
      <c r="B2" s="34"/>
      <c r="C2" s="34"/>
      <c r="D2" s="34"/>
      <c r="E2" s="34"/>
      <c r="F2" s="34"/>
    </row>
    <row r="3" spans="1:12" x14ac:dyDescent="0.3">
      <c r="B3" s="34" t="str">
        <f>"Historical"</f>
        <v>Historical</v>
      </c>
      <c r="C3" s="34"/>
      <c r="D3" s="34"/>
      <c r="E3" s="34"/>
      <c r="F3" s="34"/>
    </row>
    <row r="4" spans="1:12" x14ac:dyDescent="0.3">
      <c r="A4" t="s">
        <v>67</v>
      </c>
      <c r="B4" s="37" t="str">
        <f>'Balance Sheet'!B4</f>
        <v>Dec-2020</v>
      </c>
      <c r="C4" s="37" t="str">
        <f>'Balance Sheet'!C4</f>
        <v>Dec-2021</v>
      </c>
      <c r="D4" s="37" t="str">
        <f>'Balance Sheet'!D4</f>
        <v>Dec-2022</v>
      </c>
      <c r="E4" s="37" t="str">
        <f>'Balance Sheet'!E4</f>
        <v>Dec-2023</v>
      </c>
      <c r="F4" s="37" t="str">
        <f>'Balance Sheet'!F4</f>
        <v>Dec-2024</v>
      </c>
    </row>
    <row r="5" spans="1:12" x14ac:dyDescent="0.3">
      <c r="B5" s="34"/>
      <c r="C5" s="34"/>
      <c r="D5" s="34"/>
      <c r="E5" s="34"/>
      <c r="F5" s="34"/>
    </row>
    <row r="6" spans="1:12" x14ac:dyDescent="0.3">
      <c r="A6" t="str">
        <f>"Revenue"</f>
        <v>Revenue</v>
      </c>
      <c r="B6" s="34">
        <v>11618</v>
      </c>
      <c r="C6" s="34">
        <v>12683</v>
      </c>
      <c r="D6" s="34">
        <v>14057</v>
      </c>
      <c r="E6" s="34">
        <v>14814</v>
      </c>
      <c r="F6" s="34">
        <v>15351</v>
      </c>
      <c r="H6" s="36"/>
      <c r="I6" s="36"/>
      <c r="J6" s="36"/>
      <c r="K6" s="36"/>
      <c r="L6" s="36"/>
    </row>
    <row r="7" spans="1:12" x14ac:dyDescent="0.3">
      <c r="A7" t="str">
        <f>"Cost of goods sold"</f>
        <v>Cost of goods sold</v>
      </c>
      <c r="B7" s="34">
        <v>-5080</v>
      </c>
      <c r="C7" s="34">
        <v>-5680</v>
      </c>
      <c r="D7" s="34">
        <v>-6725</v>
      </c>
      <c r="E7" s="34">
        <v>-6734</v>
      </c>
      <c r="F7" s="34">
        <v>-6822</v>
      </c>
      <c r="H7" s="43"/>
    </row>
    <row r="8" spans="1:12" x14ac:dyDescent="0.3">
      <c r="A8" t="str">
        <f>"Gross profits"</f>
        <v>Gross profits</v>
      </c>
      <c r="B8" s="34">
        <f>B6+B7</f>
        <v>6538</v>
      </c>
      <c r="C8" s="34">
        <f>C6+C7</f>
        <v>7003</v>
      </c>
      <c r="D8" s="34">
        <f>D6+D7</f>
        <v>7332</v>
      </c>
      <c r="E8" s="34">
        <f>E6+E7</f>
        <v>8080</v>
      </c>
      <c r="F8" s="34">
        <f>F6+F7</f>
        <v>8529</v>
      </c>
    </row>
    <row r="9" spans="1:12" x14ac:dyDescent="0.3">
      <c r="B9" s="34"/>
      <c r="C9" s="34"/>
      <c r="D9" s="34"/>
      <c r="E9" s="34"/>
      <c r="F9" s="34"/>
    </row>
    <row r="10" spans="1:12" x14ac:dyDescent="0.3">
      <c r="A10" t="str">
        <f>"Selling, G&amp;A expenses"</f>
        <v>Selling, G&amp;A expenses</v>
      </c>
      <c r="B10" s="34">
        <v>-3275</v>
      </c>
      <c r="C10" s="34">
        <v>-3544</v>
      </c>
      <c r="D10" s="34">
        <v>-4083</v>
      </c>
      <c r="E10" s="34">
        <v>-4538</v>
      </c>
      <c r="F10" s="34">
        <v>-4531</v>
      </c>
    </row>
    <row r="11" spans="1:12" x14ac:dyDescent="0.3">
      <c r="A11" t="str">
        <f>"Research &amp; Development"</f>
        <v>Research &amp; Development</v>
      </c>
      <c r="B11" s="34">
        <v>-69</v>
      </c>
      <c r="C11" s="34">
        <v>-66</v>
      </c>
      <c r="D11" s="34">
        <v>-65</v>
      </c>
      <c r="E11" s="34">
        <v>-66</v>
      </c>
      <c r="F11" s="34">
        <v>-70</v>
      </c>
    </row>
    <row r="12" spans="1:12" x14ac:dyDescent="0.3">
      <c r="A12" t="str">
        <f>"Net other income/(expense)"</f>
        <v>Net other income/(expense)</v>
      </c>
      <c r="B12" s="34">
        <v>-837</v>
      </c>
      <c r="C12" s="34">
        <v>-619</v>
      </c>
      <c r="D12" s="34">
        <v>-822</v>
      </c>
      <c r="E12" s="34">
        <v>-223</v>
      </c>
      <c r="F12" s="34">
        <v>-1279</v>
      </c>
    </row>
    <row r="13" spans="1:12" x14ac:dyDescent="0.3">
      <c r="B13" s="34"/>
      <c r="C13" s="34"/>
      <c r="D13" s="34"/>
      <c r="E13" s="34"/>
      <c r="F13" s="34"/>
    </row>
    <row r="14" spans="1:12" x14ac:dyDescent="0.3">
      <c r="A14" t="str">
        <f>"Depreciation &amp; amortisation"</f>
        <v>Depreciation &amp; amortisation</v>
      </c>
      <c r="B14" s="34">
        <v>495</v>
      </c>
      <c r="C14" s="34">
        <v>544</v>
      </c>
      <c r="D14" s="34">
        <v>537</v>
      </c>
      <c r="E14" s="34">
        <v>539</v>
      </c>
      <c r="F14" s="34">
        <v>555</v>
      </c>
    </row>
    <row r="15" spans="1:12" x14ac:dyDescent="0.3">
      <c r="A15" t="str">
        <f>"EBITDA"</f>
        <v>EBITDA</v>
      </c>
      <c r="B15" s="34">
        <f>B8+B10+B11+B12+ABS(B14)</f>
        <v>2852</v>
      </c>
      <c r="C15" s="34">
        <f>C8+C10+C11+C12+ABS(C14)</f>
        <v>3318</v>
      </c>
      <c r="D15" s="34">
        <f>D8+D10+D11+D12+ABS(D14)</f>
        <v>2899</v>
      </c>
      <c r="E15" s="34">
        <f>E8+E10+E11+E12+ABS(E14)</f>
        <v>3792</v>
      </c>
      <c r="F15" s="34">
        <f>F8+F10+F11+F12+ABS(F14)</f>
        <v>3204</v>
      </c>
    </row>
    <row r="16" spans="1:12" x14ac:dyDescent="0.3">
      <c r="B16" s="34"/>
      <c r="C16" s="34"/>
      <c r="D16" s="34"/>
      <c r="E16" s="34"/>
      <c r="F16" s="34"/>
    </row>
    <row r="17" spans="1:7" x14ac:dyDescent="0.3">
      <c r="A17" t="str">
        <f>"Net financial income/(expense)"</f>
        <v>Net financial income/(expense)</v>
      </c>
      <c r="B17" s="34">
        <v>-604</v>
      </c>
      <c r="C17" s="34">
        <v>24</v>
      </c>
      <c r="D17" s="34">
        <v>-643</v>
      </c>
      <c r="E17" s="34">
        <v>-496</v>
      </c>
      <c r="F17" s="34">
        <v>-735</v>
      </c>
    </row>
    <row r="18" spans="1:7" x14ac:dyDescent="0.3">
      <c r="A18" t="str">
        <f>"Profit before tax"</f>
        <v>Profit before tax</v>
      </c>
      <c r="B18" s="34">
        <f>B8+B10+B11+B12+B17</f>
        <v>1753</v>
      </c>
      <c r="C18" s="34">
        <f>C8+C10+C11+C12+C17</f>
        <v>2798</v>
      </c>
      <c r="D18" s="34">
        <f>D8+D10+D11+D12+D17</f>
        <v>1719</v>
      </c>
      <c r="E18" s="34">
        <f>E8+E10+E11+E12+E17</f>
        <v>2757</v>
      </c>
      <c r="F18" s="34">
        <f>F8+F10+F11+F12+F17</f>
        <v>1914</v>
      </c>
    </row>
    <row r="19" spans="1:7" x14ac:dyDescent="0.3">
      <c r="B19" s="34"/>
      <c r="C19" s="34"/>
      <c r="D19" s="34"/>
      <c r="E19" s="34"/>
      <c r="F19" s="34"/>
    </row>
    <row r="20" spans="1:7" x14ac:dyDescent="0.3">
      <c r="A20" t="str">
        <f>"Corporate income tax"</f>
        <v>Corporate income tax</v>
      </c>
      <c r="B20" s="34">
        <v>-397</v>
      </c>
      <c r="C20" s="34">
        <v>-644</v>
      </c>
      <c r="D20" s="34">
        <v>-280</v>
      </c>
      <c r="E20" s="34">
        <v>-576</v>
      </c>
      <c r="F20" s="34">
        <v>-473</v>
      </c>
    </row>
    <row r="21" spans="1:7" x14ac:dyDescent="0.3">
      <c r="A21" t="str">
        <f>"Net profit after tax"</f>
        <v>Net profit after tax</v>
      </c>
      <c r="B21" s="34">
        <f>B18+B20</f>
        <v>1356</v>
      </c>
      <c r="C21" s="34">
        <f>C18+C20</f>
        <v>2154</v>
      </c>
      <c r="D21" s="34">
        <f>D18+D20</f>
        <v>1439</v>
      </c>
      <c r="E21" s="34">
        <f>E18+E20</f>
        <v>2181</v>
      </c>
      <c r="F21" s="34">
        <f>F18+F20</f>
        <v>1441</v>
      </c>
    </row>
    <row r="22" spans="1:7" x14ac:dyDescent="0.3">
      <c r="A22" t="s">
        <v>40</v>
      </c>
      <c r="B22">
        <v>-31</v>
      </c>
      <c r="C22">
        <v>-8</v>
      </c>
      <c r="D22">
        <v>-3</v>
      </c>
    </row>
    <row r="23" spans="1:7" x14ac:dyDescent="0.3">
      <c r="A23" t="s">
        <v>41</v>
      </c>
      <c r="B23" s="47">
        <f>B21+B22</f>
        <v>1325</v>
      </c>
      <c r="C23" s="47">
        <f t="shared" ref="C23:F23" si="0">C21+C22</f>
        <v>2146</v>
      </c>
      <c r="D23" s="47">
        <f t="shared" si="0"/>
        <v>1436</v>
      </c>
      <c r="E23" s="47">
        <f t="shared" si="0"/>
        <v>2181</v>
      </c>
      <c r="F23" s="47">
        <f t="shared" si="0"/>
        <v>1441</v>
      </c>
      <c r="G23" s="6" t="str">
        <f>"Average"</f>
        <v>Average</v>
      </c>
    </row>
    <row r="24" spans="1:7" x14ac:dyDescent="0.3">
      <c r="A24" s="6" t="str">
        <f>"Sales growth"</f>
        <v>Sales growth</v>
      </c>
      <c r="B24" s="36" t="str">
        <f t="shared" ref="B24:F25" si="1">IFERROR(B6/A6-1,"n/a")</f>
        <v>n/a</v>
      </c>
      <c r="C24" s="36">
        <f t="shared" si="1"/>
        <v>9.1668101222241338E-2</v>
      </c>
      <c r="D24" s="36">
        <f t="shared" si="1"/>
        <v>0.1083339903808247</v>
      </c>
      <c r="E24" s="36">
        <f t="shared" si="1"/>
        <v>5.3852173294444139E-2</v>
      </c>
      <c r="F24" s="36">
        <f t="shared" si="1"/>
        <v>3.6249493722154691E-2</v>
      </c>
    </row>
    <row r="25" spans="1:7" x14ac:dyDescent="0.3">
      <c r="A25" s="6" t="str">
        <f>"COGS growth"</f>
        <v>COGS growth</v>
      </c>
      <c r="B25" s="36" t="str">
        <f t="shared" si="1"/>
        <v>n/a</v>
      </c>
      <c r="C25" s="36">
        <f t="shared" si="1"/>
        <v>0.11811023622047245</v>
      </c>
      <c r="D25" s="36">
        <f t="shared" si="1"/>
        <v>0.18397887323943651</v>
      </c>
      <c r="E25" s="36">
        <f t="shared" si="1"/>
        <v>1.3382899628253675E-3</v>
      </c>
      <c r="F25" s="36">
        <f t="shared" si="1"/>
        <v>1.3068013068012974E-2</v>
      </c>
    </row>
    <row r="26" spans="1:7" x14ac:dyDescent="0.3">
      <c r="A26" s="6" t="str">
        <f>"Gross margin"</f>
        <v>Gross margin</v>
      </c>
      <c r="B26" s="36">
        <f>B8/B6</f>
        <v>0.56274746083663285</v>
      </c>
      <c r="C26" s="36">
        <f>C8/C6</f>
        <v>0.55215642986675073</v>
      </c>
      <c r="D26" s="36">
        <f>D8/D6</f>
        <v>0.52159066657181474</v>
      </c>
      <c r="E26" s="36">
        <f>E8/E6</f>
        <v>0.5454299986499257</v>
      </c>
      <c r="F26" s="36">
        <f>F8/F6</f>
        <v>0.5555989837795583</v>
      </c>
      <c r="G26" s="36">
        <f>AVERAGEIF(B26:F26,"&lt;&gt;0")</f>
        <v>0.54750470794093642</v>
      </c>
    </row>
    <row r="27" spans="1:7" x14ac:dyDescent="0.3">
      <c r="A27" s="6" t="str">
        <f>"EBITDA margin"</f>
        <v>EBITDA margin</v>
      </c>
      <c r="B27" s="36">
        <f>B15/B6</f>
        <v>0.24548114993974868</v>
      </c>
      <c r="C27" s="36">
        <f>C15/C6</f>
        <v>0.2616100291729086</v>
      </c>
      <c r="D27" s="36">
        <f>D15/D6</f>
        <v>0.20623177064807569</v>
      </c>
      <c r="E27" s="36">
        <f>E15/E6</f>
        <v>0.25597407857432158</v>
      </c>
      <c r="F27" s="36">
        <f>F15/F6</f>
        <v>0.20871604455735782</v>
      </c>
      <c r="G27" s="36">
        <f>AVERAGEIF(B27:F27,"&lt;&gt;0")</f>
        <v>0.2356026145784825</v>
      </c>
    </row>
    <row r="28" spans="1:7" x14ac:dyDescent="0.3">
      <c r="A28" s="6" t="str">
        <f>"SG&amp;A/Revenue"</f>
        <v>SG&amp;A/Revenue</v>
      </c>
      <c r="B28" s="36">
        <f>B10/B6</f>
        <v>-0.28189017042520226</v>
      </c>
      <c r="C28" s="36">
        <f>C10/C6</f>
        <v>-0.27942915713947802</v>
      </c>
      <c r="D28" s="36">
        <f>D10/D6</f>
        <v>-0.29046026890517179</v>
      </c>
      <c r="E28" s="36">
        <f>E10/E6</f>
        <v>-0.30633184825165383</v>
      </c>
      <c r="F28" s="36">
        <f>F10/F6</f>
        <v>-0.29515992443489025</v>
      </c>
      <c r="G28" s="36">
        <f>AVERAGEIF(B28:F28,"&lt;&gt;0")</f>
        <v>-0.29065427383127923</v>
      </c>
    </row>
    <row r="29" spans="1:7" x14ac:dyDescent="0.3">
      <c r="A29" s="6" t="str">
        <f>"Net margin"</f>
        <v>Net margin</v>
      </c>
      <c r="B29" s="36">
        <f>B21/B6</f>
        <v>0.11671544155620589</v>
      </c>
      <c r="C29" s="36">
        <f>C21/C6</f>
        <v>0.16983363557517939</v>
      </c>
      <c r="D29" s="36">
        <f>D21/D6</f>
        <v>0.10236892651348083</v>
      </c>
      <c r="E29" s="36">
        <f>E21/E6</f>
        <v>0.14722559740785743</v>
      </c>
      <c r="F29" s="36">
        <f>F21/F6</f>
        <v>9.3870106182007682E-2</v>
      </c>
      <c r="G29" s="36">
        <f>AVERAGEIF(B29:F29,"&lt;&gt;0")</f>
        <v>0.12600274144694623</v>
      </c>
    </row>
    <row r="30" spans="1:7" x14ac:dyDescent="0.3">
      <c r="A30" s="6" t="str">
        <f>"Effective tax rate"</f>
        <v>Effective tax rate</v>
      </c>
      <c r="B30" s="36">
        <f>-B20/B18</f>
        <v>0.226468910439247</v>
      </c>
      <c r="C30" s="36">
        <f>-C20/C18</f>
        <v>0.23016440314510364</v>
      </c>
      <c r="D30" s="36">
        <f>-D20/D18</f>
        <v>0.16288539848749273</v>
      </c>
      <c r="E30" s="36">
        <f>-E20/E18</f>
        <v>0.20892274211099021</v>
      </c>
      <c r="F30" s="36">
        <f>-F20/F18</f>
        <v>0.2471264367816092</v>
      </c>
      <c r="G30" s="36">
        <f>AVERAGEIF(B30:F30,"&lt;&gt;0")</f>
        <v>0.21511357819288857</v>
      </c>
    </row>
    <row r="52" spans="2:6" x14ac:dyDescent="0.3">
      <c r="B52" s="34"/>
      <c r="C52" s="34"/>
      <c r="D52" s="34"/>
      <c r="E52" s="34"/>
      <c r="F52" s="34"/>
    </row>
    <row r="53" spans="2:6" x14ac:dyDescent="0.3">
      <c r="B53" s="34"/>
      <c r="C53" s="34"/>
      <c r="D53" s="34"/>
      <c r="E53" s="34"/>
      <c r="F53" s="34"/>
    </row>
    <row r="54" spans="2:6" x14ac:dyDescent="0.3">
      <c r="B54" s="34"/>
      <c r="C54" s="34"/>
      <c r="D54" s="34"/>
      <c r="E54" s="34"/>
      <c r="F54" s="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F9AF-26E2-4BAD-9EB7-70A90B61325A}">
  <dimension ref="A1:G18"/>
  <sheetViews>
    <sheetView workbookViewId="0">
      <selection activeCell="C5" sqref="C5:D18"/>
    </sheetView>
  </sheetViews>
  <sheetFormatPr defaultRowHeight="14.4" x14ac:dyDescent="0.3"/>
  <cols>
    <col min="1" max="1" width="28.6640625" bestFit="1" customWidth="1"/>
    <col min="3" max="4" width="12" bestFit="1" customWidth="1"/>
    <col min="7" max="7" width="68.109375" bestFit="1" customWidth="1"/>
  </cols>
  <sheetData>
    <row r="1" spans="1:7" x14ac:dyDescent="0.3">
      <c r="A1" s="6" t="str">
        <f>"Weighted Average Cost of Capital"</f>
        <v>Weighted Average Cost of Capital</v>
      </c>
      <c r="B1" s="6"/>
      <c r="C1" s="6"/>
    </row>
    <row r="3" spans="1:7" x14ac:dyDescent="0.3">
      <c r="A3" t="str">
        <f>"Category"</f>
        <v>Category</v>
      </c>
      <c r="C3" t="str">
        <f>"Low"</f>
        <v>Low</v>
      </c>
      <c r="D3" t="str">
        <f>"High"</f>
        <v>High</v>
      </c>
      <c r="G3" t="str">
        <f>"Source"</f>
        <v>Source</v>
      </c>
    </row>
    <row r="5" spans="1:7" x14ac:dyDescent="0.3">
      <c r="A5" t="str">
        <f>"Long-term bond rate"</f>
        <v>Long-term bond rate</v>
      </c>
      <c r="C5" s="26">
        <f>0.03865</f>
        <v>3.8649999999999997E-2</v>
      </c>
      <c r="D5" s="26">
        <f>0.04365</f>
        <v>4.3650000000000001E-2</v>
      </c>
      <c r="G5" t="str">
        <f>"https://tradingeconomics.com/bonds"</f>
        <v>https://tradingeconomics.com/bonds</v>
      </c>
    </row>
    <row r="6" spans="1:7" x14ac:dyDescent="0.3">
      <c r="A6" t="str">
        <f>"Equity market risk premium"</f>
        <v>Equity market risk premium</v>
      </c>
      <c r="C6" s="26">
        <f>0.046</f>
        <v>4.5999999999999999E-2</v>
      </c>
      <c r="D6" s="26">
        <f>0.056</f>
        <v>5.6000000000000001E-2</v>
      </c>
      <c r="G6" t="s">
        <v>45</v>
      </c>
    </row>
    <row r="7" spans="1:7" x14ac:dyDescent="0.3">
      <c r="A7" t="str">
        <f>"Adjusted beta"</f>
        <v>Adjusted beta</v>
      </c>
      <c r="C7" s="26">
        <f>0.455395458</f>
        <v>0.45539545799999998</v>
      </c>
      <c r="D7" s="26">
        <f>0.66021310716413</f>
        <v>0.66021310716412995</v>
      </c>
    </row>
    <row r="8" spans="1:7" x14ac:dyDescent="0.3">
      <c r="C8" s="26"/>
      <c r="D8" s="26"/>
    </row>
    <row r="9" spans="1:7" x14ac:dyDescent="0.3">
      <c r="A9" t="s">
        <v>46</v>
      </c>
      <c r="C9" s="26">
        <f>0</f>
        <v>0</v>
      </c>
      <c r="D9" s="26">
        <f>0.005</f>
        <v>5.0000000000000001E-3</v>
      </c>
    </row>
    <row r="10" spans="1:7" x14ac:dyDescent="0.3">
      <c r="A10" t="str">
        <f>"Cost of equity"</f>
        <v>Cost of equity</v>
      </c>
      <c r="C10" s="26">
        <f>C5+C6*C7+C9</f>
        <v>5.9598191067999996E-2</v>
      </c>
      <c r="D10" s="26">
        <f>D5+D6*D7+D9</f>
        <v>8.562193400119128E-2</v>
      </c>
    </row>
    <row r="11" spans="1:7" x14ac:dyDescent="0.3">
      <c r="C11" s="26"/>
      <c r="D11" s="26"/>
    </row>
    <row r="12" spans="1:7" x14ac:dyDescent="0.3">
      <c r="A12" t="str">
        <f>"Tax rate"</f>
        <v>Tax rate</v>
      </c>
      <c r="C12" s="26">
        <f>[1]WACC!G29</f>
        <v>0.21945044310794429</v>
      </c>
      <c r="D12" s="26">
        <f>[1]WACC!G30</f>
        <v>0.22794710752158964</v>
      </c>
    </row>
    <row r="13" spans="1:7" x14ac:dyDescent="0.3">
      <c r="A13" t="str">
        <f>"Debt/Equity ratio"</f>
        <v>Debt/Equity ratio</v>
      </c>
      <c r="C13" s="26">
        <f>0.359794791675809</f>
        <v>0.35979479167580902</v>
      </c>
      <c r="D13" s="26">
        <f>0.359794791675809</f>
        <v>0.35979479167580902</v>
      </c>
    </row>
    <row r="14" spans="1:7" x14ac:dyDescent="0.3">
      <c r="A14" t="str">
        <f>"Cost of debt"</f>
        <v>Cost of debt</v>
      </c>
      <c r="C14" s="26">
        <f>0.04</f>
        <v>0.04</v>
      </c>
      <c r="D14" s="26">
        <f>0.04935</f>
        <v>4.9349999999999998E-2</v>
      </c>
    </row>
    <row r="15" spans="1:7" x14ac:dyDescent="0.3">
      <c r="C15" s="26"/>
      <c r="D15" s="26"/>
    </row>
    <row r="16" spans="1:7" x14ac:dyDescent="0.3">
      <c r="A16" t="str">
        <f>"After-tax WACC"</f>
        <v>After-tax WACC</v>
      </c>
      <c r="C16" s="26">
        <f>C10/(1+C13)+C14*(1-C12)*C13/(1+C13)</f>
        <v>5.208999042369622E-2</v>
      </c>
      <c r="D16" s="26">
        <f>D10/(1+D13)+D14*(1-D12)*D13/(1+D13)</f>
        <v>7.3048086147710287E-2</v>
      </c>
    </row>
    <row r="17" spans="1:4" x14ac:dyDescent="0.3">
      <c r="C17" s="26"/>
      <c r="D17" s="26"/>
    </row>
    <row r="18" spans="1:4" x14ac:dyDescent="0.3">
      <c r="A18" t="str">
        <f>"Selected WACC"</f>
        <v>Selected WACC</v>
      </c>
      <c r="C18" s="26">
        <f>AVERAGE(C16:D16)</f>
        <v>6.256903828570326E-2</v>
      </c>
      <c r="D18" s="26"/>
    </row>
  </sheetData>
  <hyperlinks>
    <hyperlink ref="G6" r:id="rId1" xr:uid="{DE32C674-5C74-4D0C-91E9-483D3E320D2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326E-7310-43EC-B8D8-1EE535A57FCA}">
  <dimension ref="A1:G19"/>
  <sheetViews>
    <sheetView workbookViewId="0">
      <selection activeCell="B19" sqref="B19"/>
    </sheetView>
  </sheetViews>
  <sheetFormatPr defaultRowHeight="14.4" x14ac:dyDescent="0.3"/>
  <cols>
    <col min="1" max="1" width="27.6640625" bestFit="1" customWidth="1"/>
    <col min="2" max="2" width="11.21875" bestFit="1" customWidth="1"/>
    <col min="3" max="6" width="10.21875" bestFit="1" customWidth="1"/>
    <col min="7" max="7" width="67.6640625" bestFit="1" customWidth="1"/>
  </cols>
  <sheetData>
    <row r="1" spans="1:7" x14ac:dyDescent="0.3"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</row>
    <row r="2" spans="1:7" x14ac:dyDescent="0.3">
      <c r="A2" s="79" t="s">
        <v>52</v>
      </c>
      <c r="B2" s="33">
        <f>'NOPAT NOA'!B9</f>
        <v>2608.4532718767819</v>
      </c>
      <c r="C2" s="33">
        <f>'NOPAT NOA'!C9</f>
        <v>2526.7285364974314</v>
      </c>
      <c r="D2" s="33">
        <f>'NOPAT NOA'!D9</f>
        <v>2627.7976779573301</v>
      </c>
      <c r="E2" s="33">
        <f>'NOPAT NOA'!E9</f>
        <v>2593.9950139907219</v>
      </c>
      <c r="F2" s="33">
        <f>'NOPAT NOA'!F9</f>
        <v>2553.283660622053</v>
      </c>
    </row>
    <row r="3" spans="1:7" x14ac:dyDescent="0.3">
      <c r="A3" s="79" t="s">
        <v>94</v>
      </c>
      <c r="B3" s="33">
        <f>('NOPAT NOA'!B16-'O&amp;F Balance Sheets'!K48)</f>
        <v>1815.6314262372471</v>
      </c>
      <c r="C3" s="33">
        <f>('NOPAT NOA'!C9-'NOPAT NOA'!B9)</f>
        <v>-81.724735379350477</v>
      </c>
      <c r="D3" s="33">
        <f>('NOPAT NOA'!D9-'NOPAT NOA'!C9)</f>
        <v>101.06914145989867</v>
      </c>
      <c r="E3" s="33">
        <f>('NOPAT NOA'!E9-'NOPAT NOA'!D9)</f>
        <v>-33.802663966608179</v>
      </c>
      <c r="F3" s="33">
        <f>('NOPAT NOA'!F9-'NOPAT NOA'!E9)</f>
        <v>-40.711353368668824</v>
      </c>
    </row>
    <row r="4" spans="1:7" x14ac:dyDescent="0.3">
      <c r="A4" s="79"/>
      <c r="B4" s="26"/>
      <c r="C4" s="26"/>
      <c r="D4" s="26"/>
      <c r="E4" s="26"/>
      <c r="F4" s="26"/>
    </row>
    <row r="5" spans="1:7" x14ac:dyDescent="0.3">
      <c r="A5" s="79" t="s">
        <v>95</v>
      </c>
      <c r="B5" s="33">
        <f>SUM(B2:B3)</f>
        <v>4424.0846981140294</v>
      </c>
      <c r="C5" s="33">
        <f t="shared" ref="C5:F5" si="0">SUM(C2:C3)</f>
        <v>2445.0038011180809</v>
      </c>
      <c r="D5" s="33">
        <f t="shared" si="0"/>
        <v>2728.8668194172287</v>
      </c>
      <c r="E5" s="33">
        <f t="shared" si="0"/>
        <v>2560.1923500241137</v>
      </c>
      <c r="F5" s="33">
        <f t="shared" si="0"/>
        <v>2512.5723072533842</v>
      </c>
    </row>
    <row r="6" spans="1:7" x14ac:dyDescent="0.3">
      <c r="A6" s="79" t="s">
        <v>96</v>
      </c>
      <c r="B6" s="35">
        <f>1/(1+WACC!$C$18)^(1)</f>
        <v>0.94111531954041383</v>
      </c>
      <c r="C6" s="35">
        <f>1/(1+WACC!$C$18)^(2)</f>
        <v>0.88569804467365532</v>
      </c>
      <c r="D6" s="35">
        <f>1/(1+WACC!$C$18)^(3)</f>
        <v>0.83354399832936688</v>
      </c>
      <c r="E6" s="35">
        <f>1/(1+WACC!$C$18)^(4)</f>
        <v>0.78446102633873638</v>
      </c>
      <c r="F6" s="35">
        <f>1/(1+WACC!$C$18)^(5)</f>
        <v>0.73826828946978085</v>
      </c>
    </row>
    <row r="7" spans="1:7" x14ac:dyDescent="0.3">
      <c r="A7" s="79" t="s">
        <v>97</v>
      </c>
      <c r="B7" s="33">
        <f>B5*B6</f>
        <v>4163.5738843394402</v>
      </c>
      <c r="C7" s="35">
        <f t="shared" ref="C7:F7" si="1">C5*C6</f>
        <v>2165.5350858699389</v>
      </c>
      <c r="D7" s="35">
        <f t="shared" si="1"/>
        <v>2274.6305595653794</v>
      </c>
      <c r="E7" s="35">
        <f t="shared" si="1"/>
        <v>2008.3711185244977</v>
      </c>
      <c r="F7" s="35">
        <f t="shared" si="1"/>
        <v>1854.9524594450966</v>
      </c>
    </row>
    <row r="8" spans="1:7" x14ac:dyDescent="0.3">
      <c r="A8" s="79" t="s">
        <v>98</v>
      </c>
      <c r="B8" s="33">
        <f>SUM(B7:E7)</f>
        <v>10612.110648299256</v>
      </c>
    </row>
    <row r="9" spans="1:7" x14ac:dyDescent="0.3">
      <c r="A9" s="6" t="s">
        <v>99</v>
      </c>
      <c r="B9" s="33">
        <f>(F5/(WACC!C18-'DCF Model'!B10))/((1+WACC!C18)^4)</f>
        <v>46301.610989418077</v>
      </c>
    </row>
    <row r="10" spans="1:7" x14ac:dyDescent="0.3">
      <c r="A10" s="80" t="s">
        <v>100</v>
      </c>
      <c r="B10" s="43">
        <v>0.02</v>
      </c>
      <c r="C10" s="93"/>
      <c r="G10" s="70" t="s">
        <v>101</v>
      </c>
    </row>
    <row r="11" spans="1:7" x14ac:dyDescent="0.3">
      <c r="A11" s="80" t="s">
        <v>102</v>
      </c>
      <c r="B11">
        <v>4</v>
      </c>
    </row>
    <row r="13" spans="1:7" x14ac:dyDescent="0.3">
      <c r="A13" s="6" t="s">
        <v>103</v>
      </c>
      <c r="B13" s="33">
        <f>B8+B9</f>
        <v>56913.721637717332</v>
      </c>
    </row>
    <row r="14" spans="1:7" x14ac:dyDescent="0.3">
      <c r="A14" t="s">
        <v>104</v>
      </c>
      <c r="B14">
        <f>'Balance Sheet'!F6</f>
        <v>510</v>
      </c>
    </row>
    <row r="15" spans="1:7" x14ac:dyDescent="0.3">
      <c r="A15" t="s">
        <v>105</v>
      </c>
      <c r="B15">
        <f>'Balance Sheet'!F25</f>
        <v>2985</v>
      </c>
    </row>
    <row r="17" spans="1:2" x14ac:dyDescent="0.3">
      <c r="A17" t="s">
        <v>106</v>
      </c>
      <c r="B17" s="33">
        <f>B13+B14-B15</f>
        <v>54438.721637717332</v>
      </c>
    </row>
    <row r="18" spans="1:2" x14ac:dyDescent="0.3">
      <c r="A18" t="s">
        <v>44</v>
      </c>
      <c r="B18" s="81">
        <v>1356</v>
      </c>
    </row>
    <row r="19" spans="1:2" x14ac:dyDescent="0.3">
      <c r="B19" s="33">
        <f>B17/1356</f>
        <v>40.146549880322517</v>
      </c>
    </row>
  </sheetData>
  <hyperlinks>
    <hyperlink ref="G10" r:id="rId1" display="https://www.marketwatch.com/investing/stock/kdp" xr:uid="{D225D060-A95A-4991-AF39-28A913D719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80A7-C7A5-4D90-987A-1294DF9EFF68}">
  <dimension ref="A1:F51"/>
  <sheetViews>
    <sheetView workbookViewId="0">
      <selection activeCell="H25" sqref="H25"/>
    </sheetView>
  </sheetViews>
  <sheetFormatPr defaultRowHeight="14.4" x14ac:dyDescent="0.3"/>
  <cols>
    <col min="1" max="1" width="34.33203125" bestFit="1" customWidth="1"/>
  </cols>
  <sheetData>
    <row r="1" spans="1:6" x14ac:dyDescent="0.3">
      <c r="A1" s="6" t="str">
        <f>"Balance Sheet"</f>
        <v>Balance Sheet</v>
      </c>
    </row>
    <row r="3" spans="1:6" x14ac:dyDescent="0.3">
      <c r="B3" t="str">
        <f>"Historical"</f>
        <v>Historical</v>
      </c>
    </row>
    <row r="4" spans="1:6" x14ac:dyDescent="0.3">
      <c r="A4" t="s">
        <v>67</v>
      </c>
      <c r="B4" s="6" t="s">
        <v>21</v>
      </c>
      <c r="C4" s="6" t="s">
        <v>22</v>
      </c>
      <c r="D4" s="6" t="s">
        <v>23</v>
      </c>
      <c r="E4" s="6" t="s">
        <v>24</v>
      </c>
      <c r="F4" s="6" t="s">
        <v>25</v>
      </c>
    </row>
    <row r="6" spans="1:6" x14ac:dyDescent="0.3">
      <c r="A6" t="str">
        <f>"Cash and cash equivalents"</f>
        <v>Cash and cash equivalents</v>
      </c>
      <c r="B6" s="34">
        <v>240</v>
      </c>
      <c r="C6" s="34">
        <v>567</v>
      </c>
      <c r="D6" s="34">
        <v>535</v>
      </c>
      <c r="E6" s="34">
        <v>267</v>
      </c>
      <c r="F6" s="34">
        <v>510</v>
      </c>
    </row>
    <row r="7" spans="1:6" x14ac:dyDescent="0.3">
      <c r="A7" t="str">
        <f>"Trade accounts receivable"</f>
        <v>Trade accounts receivable</v>
      </c>
      <c r="B7" s="34">
        <v>1048</v>
      </c>
      <c r="C7" s="34">
        <v>1148</v>
      </c>
      <c r="D7" s="34">
        <v>1484</v>
      </c>
      <c r="E7" s="34">
        <v>1368</v>
      </c>
      <c r="F7" s="34">
        <v>1502</v>
      </c>
    </row>
    <row r="8" spans="1:6" x14ac:dyDescent="0.3">
      <c r="A8" t="str">
        <f>"Short-term investments"</f>
        <v>Short-term investments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</row>
    <row r="9" spans="1:6" x14ac:dyDescent="0.3">
      <c r="A9" t="str">
        <f>"Inventories"</f>
        <v>Inventories</v>
      </c>
      <c r="B9" s="34">
        <v>762</v>
      </c>
      <c r="C9" s="34">
        <v>966</v>
      </c>
      <c r="D9" s="34">
        <v>1403</v>
      </c>
      <c r="E9" s="34">
        <v>1253</v>
      </c>
      <c r="F9" s="34">
        <v>1425</v>
      </c>
    </row>
    <row r="10" spans="1:6" x14ac:dyDescent="0.3">
      <c r="A10" t="str">
        <f>"Prepaid expenses"</f>
        <v>Prepaid expenses</v>
      </c>
      <c r="B10" s="34">
        <v>91</v>
      </c>
      <c r="C10" s="34">
        <v>84</v>
      </c>
      <c r="D10" s="34">
        <v>138</v>
      </c>
      <c r="E10" s="34">
        <v>297</v>
      </c>
      <c r="F10" s="34">
        <v>161</v>
      </c>
    </row>
    <row r="11" spans="1:6" x14ac:dyDescent="0.3">
      <c r="A11" t="str">
        <f>"Other current assets"</f>
        <v>Other current assets</v>
      </c>
      <c r="B11" s="34">
        <v>247</v>
      </c>
      <c r="C11" s="34">
        <v>292</v>
      </c>
      <c r="D11" s="34">
        <v>244</v>
      </c>
      <c r="E11" s="34">
        <v>190</v>
      </c>
      <c r="F11" s="34">
        <v>399</v>
      </c>
    </row>
    <row r="12" spans="1:6" x14ac:dyDescent="0.3">
      <c r="A12" t="str">
        <f>"Current assets"</f>
        <v>Current assets</v>
      </c>
      <c r="B12" s="34">
        <f>SUM(B6:B11)</f>
        <v>2388</v>
      </c>
      <c r="C12" s="34">
        <f>SUM(C6:C11)</f>
        <v>3057</v>
      </c>
      <c r="D12" s="34">
        <f>SUM(D6:D11)</f>
        <v>3804</v>
      </c>
      <c r="E12" s="34">
        <f>SUM(E6:E11)</f>
        <v>3375</v>
      </c>
      <c r="F12" s="34">
        <f>SUM(F6:F11)</f>
        <v>3997</v>
      </c>
    </row>
    <row r="13" spans="1:6" x14ac:dyDescent="0.3">
      <c r="B13" s="34"/>
      <c r="C13" s="34"/>
      <c r="D13" s="34"/>
      <c r="E13" s="34"/>
      <c r="F13" s="34"/>
    </row>
    <row r="14" spans="1:6" x14ac:dyDescent="0.3">
      <c r="A14" t="str">
        <f>"Property Plant And Equipment"</f>
        <v>Property Plant And Equipment</v>
      </c>
      <c r="B14" s="34">
        <f>B15+B16</f>
        <v>2857</v>
      </c>
      <c r="C14" s="34">
        <f>C15+C16</f>
        <v>3167</v>
      </c>
      <c r="D14" s="34">
        <f>D15+D16</f>
        <v>3372</v>
      </c>
      <c r="E14" s="34">
        <f>E15+E16</f>
        <v>3575</v>
      </c>
      <c r="F14" s="34">
        <f>F15+F16</f>
        <v>3844</v>
      </c>
    </row>
    <row r="15" spans="1:6" x14ac:dyDescent="0.3">
      <c r="A15" t="str">
        <f>"          Initial value"</f>
        <v xml:space="preserve">          Initial value</v>
      </c>
      <c r="B15" s="34">
        <v>3877</v>
      </c>
      <c r="C15" s="34">
        <v>4516</v>
      </c>
      <c r="D15" s="34">
        <v>5023</v>
      </c>
      <c r="E15" s="34">
        <v>5539</v>
      </c>
      <c r="F15" s="34">
        <v>6096</v>
      </c>
    </row>
    <row r="16" spans="1:6" x14ac:dyDescent="0.3">
      <c r="A16" t="str">
        <f>"          Accumulated depreciation"</f>
        <v xml:space="preserve">          Accumulated depreciation</v>
      </c>
      <c r="B16" s="34">
        <v>-1020</v>
      </c>
      <c r="C16" s="34">
        <v>-1349</v>
      </c>
      <c r="D16" s="34">
        <v>-1651</v>
      </c>
      <c r="E16" s="34">
        <v>-1964</v>
      </c>
      <c r="F16" s="34">
        <v>-2252</v>
      </c>
    </row>
    <row r="17" spans="1:6" x14ac:dyDescent="0.3">
      <c r="A17" t="str">
        <f>"Long-term investments"</f>
        <v>Long-term investments</v>
      </c>
      <c r="B17" s="34">
        <v>130</v>
      </c>
      <c r="C17" s="34">
        <v>89</v>
      </c>
      <c r="D17" s="34">
        <v>1049</v>
      </c>
      <c r="E17" s="34">
        <v>1456</v>
      </c>
      <c r="F17" s="34">
        <v>1650</v>
      </c>
    </row>
    <row r="18" spans="1:6" x14ac:dyDescent="0.3">
      <c r="A18" t="str">
        <f>"Goodwill"</f>
        <v>Goodwill</v>
      </c>
      <c r="B18" s="34">
        <v>20184</v>
      </c>
      <c r="C18" s="34">
        <v>20182</v>
      </c>
      <c r="D18" s="34">
        <v>20072</v>
      </c>
      <c r="E18" s="34">
        <v>20202</v>
      </c>
      <c r="F18" s="34">
        <v>20053</v>
      </c>
    </row>
    <row r="19" spans="1:6" x14ac:dyDescent="0.3">
      <c r="A19" t="str">
        <f>"Other intangible assets"</f>
        <v>Other intangible assets</v>
      </c>
      <c r="B19" s="34">
        <v>23968</v>
      </c>
      <c r="C19" s="34">
        <v>23856</v>
      </c>
      <c r="D19" s="34">
        <v>23183</v>
      </c>
      <c r="E19" s="34">
        <v>23287</v>
      </c>
      <c r="F19" s="34">
        <v>23634</v>
      </c>
    </row>
    <row r="20" spans="1:6" x14ac:dyDescent="0.3">
      <c r="A20" t="str">
        <f>"Other long-term assets"</f>
        <v>Other long-term assets</v>
      </c>
      <c r="B20" s="34">
        <f>B21-B14-B17-B18-B19</f>
        <v>252</v>
      </c>
      <c r="C20" s="34">
        <f>C21-C14-C17-C18-C19</f>
        <v>247</v>
      </c>
      <c r="D20" s="34">
        <f>D21-D14-D17-D18-D19</f>
        <v>357</v>
      </c>
      <c r="E20" s="34">
        <f>E21-E14-E17-E18-E19</f>
        <v>235</v>
      </c>
      <c r="F20" s="34">
        <f>F21-F14-F17-F18-F19</f>
        <v>252</v>
      </c>
    </row>
    <row r="21" spans="1:6" x14ac:dyDescent="0.3">
      <c r="A21" t="str">
        <f>"Non-current assets"</f>
        <v>Non-current assets</v>
      </c>
      <c r="B21" s="34">
        <f>B23-B12</f>
        <v>47391</v>
      </c>
      <c r="C21" s="34">
        <f>C23-C12</f>
        <v>47541</v>
      </c>
      <c r="D21" s="34">
        <f>D23-D12</f>
        <v>48033</v>
      </c>
      <c r="E21" s="34">
        <f>E23-E12</f>
        <v>48755</v>
      </c>
      <c r="F21" s="34">
        <f>F23-F12</f>
        <v>49433</v>
      </c>
    </row>
    <row r="22" spans="1:6" x14ac:dyDescent="0.3">
      <c r="B22" s="34"/>
      <c r="C22" s="34"/>
      <c r="D22" s="34"/>
      <c r="E22" s="34"/>
      <c r="F22" s="34"/>
    </row>
    <row r="23" spans="1:6" x14ac:dyDescent="0.3">
      <c r="A23" t="str">
        <f>"Total assets"</f>
        <v>Total assets</v>
      </c>
      <c r="B23" s="34">
        <v>49779</v>
      </c>
      <c r="C23" s="34">
        <v>50598</v>
      </c>
      <c r="D23" s="34">
        <v>51837</v>
      </c>
      <c r="E23" s="34">
        <v>52130</v>
      </c>
      <c r="F23" s="34">
        <v>53430</v>
      </c>
    </row>
    <row r="24" spans="1:6" x14ac:dyDescent="0.3">
      <c r="B24" s="34"/>
      <c r="C24" s="34"/>
      <c r="D24" s="34"/>
      <c r="E24" s="34"/>
      <c r="F24" s="34"/>
    </row>
    <row r="25" spans="1:6" x14ac:dyDescent="0.3">
      <c r="A25" t="str">
        <f>"Trade accounts payable"</f>
        <v>Trade accounts payable</v>
      </c>
      <c r="B25" s="34">
        <v>3740</v>
      </c>
      <c r="C25" s="34">
        <v>4316</v>
      </c>
      <c r="D25" s="34">
        <v>5206</v>
      </c>
      <c r="E25" s="34">
        <v>3597</v>
      </c>
      <c r="F25" s="34">
        <v>2985</v>
      </c>
    </row>
    <row r="26" spans="1:6" x14ac:dyDescent="0.3">
      <c r="A26" t="str">
        <f>"Short-term loans &amp; liabilities"</f>
        <v>Short-term loans &amp; liabilities</v>
      </c>
      <c r="B26" s="34">
        <v>153</v>
      </c>
      <c r="C26" s="34">
        <v>291</v>
      </c>
      <c r="D26" s="34">
        <v>536</v>
      </c>
      <c r="E26" s="34">
        <v>2213</v>
      </c>
      <c r="F26" s="34">
        <v>1657</v>
      </c>
    </row>
    <row r="27" spans="1:6" x14ac:dyDescent="0.3">
      <c r="A27" t="str">
        <f>"Accrued expenses"</f>
        <v>Accrued expenses</v>
      </c>
      <c r="B27" s="34">
        <v>1077</v>
      </c>
      <c r="C27" s="34">
        <v>1153</v>
      </c>
      <c r="D27" s="34">
        <v>1200</v>
      </c>
      <c r="E27" s="34">
        <v>1306</v>
      </c>
      <c r="F27" s="34">
        <v>1655</v>
      </c>
    </row>
    <row r="28" spans="1:6" x14ac:dyDescent="0.3">
      <c r="A28" t="str">
        <f>"Current Portion of LT Debt/Capital Leases"</f>
        <v>Current Portion of LT Debt/Capital Leases</v>
      </c>
      <c r="B28" s="34">
        <v>2389</v>
      </c>
      <c r="C28" s="34">
        <v>234</v>
      </c>
      <c r="D28" s="34">
        <v>591</v>
      </c>
      <c r="E28" s="34">
        <v>1256</v>
      </c>
      <c r="F28" s="34">
        <v>1151</v>
      </c>
    </row>
    <row r="29" spans="1:6" x14ac:dyDescent="0.3">
      <c r="A29" t="str">
        <f>"Other current liabilities"</f>
        <v>Other current liabilities</v>
      </c>
      <c r="B29" s="34">
        <v>335</v>
      </c>
      <c r="C29" s="34">
        <v>491</v>
      </c>
      <c r="D29" s="34">
        <v>543</v>
      </c>
      <c r="E29" s="34">
        <v>544</v>
      </c>
      <c r="F29" s="34">
        <v>639</v>
      </c>
    </row>
    <row r="30" spans="1:6" x14ac:dyDescent="0.3">
      <c r="A30" t="str">
        <f>"Current liabilities"</f>
        <v>Current liabilities</v>
      </c>
      <c r="B30" s="34">
        <f>B25+B26+B27+B28+B29</f>
        <v>7694</v>
      </c>
      <c r="C30" s="34">
        <f>C25+C26+C27+C28+C29</f>
        <v>6485</v>
      </c>
      <c r="D30" s="34">
        <f>D25+D26+D27+D28+D29</f>
        <v>8076</v>
      </c>
      <c r="E30" s="34">
        <f>E25+E26+E27+E28+E29</f>
        <v>8916</v>
      </c>
      <c r="F30" s="34">
        <f>F25+F26+F27+F28+F29</f>
        <v>8087</v>
      </c>
    </row>
    <row r="31" spans="1:6" x14ac:dyDescent="0.3">
      <c r="B31" s="34"/>
      <c r="C31" s="34"/>
      <c r="D31" s="34"/>
      <c r="E31" s="34"/>
      <c r="F31" s="34"/>
    </row>
    <row r="32" spans="1:6" x14ac:dyDescent="0.3">
      <c r="A32" t="str">
        <f>"Long-term debts"</f>
        <v>Long-term debts</v>
      </c>
      <c r="B32" s="34">
        <v>11143</v>
      </c>
      <c r="C32" s="34">
        <v>11578</v>
      </c>
      <c r="D32" s="34">
        <v>11072</v>
      </c>
      <c r="E32" s="34">
        <v>9945</v>
      </c>
      <c r="F32" s="34">
        <v>12912</v>
      </c>
    </row>
    <row r="33" spans="1:6" x14ac:dyDescent="0.3">
      <c r="A33" t="str">
        <f>"Other liabilities"</f>
        <v>Other liabilities</v>
      </c>
      <c r="B33" s="34">
        <f>B35-B32-B30</f>
        <v>7113</v>
      </c>
      <c r="C33" s="34">
        <f>C35-C32-C30</f>
        <v>7563</v>
      </c>
      <c r="D33" s="34">
        <f>D35-D32-D30</f>
        <v>7563</v>
      </c>
      <c r="E33" s="34">
        <f>E35-E32-E30</f>
        <v>7593</v>
      </c>
      <c r="F33" s="34">
        <f>F35-F32-F30</f>
        <v>8188</v>
      </c>
    </row>
    <row r="34" spans="1:6" x14ac:dyDescent="0.3">
      <c r="B34" s="34"/>
      <c r="C34" s="34"/>
      <c r="D34" s="34"/>
      <c r="E34" s="34"/>
      <c r="F34" s="34"/>
    </row>
    <row r="35" spans="1:6" x14ac:dyDescent="0.3">
      <c r="A35" t="str">
        <f>"Total liabilities"</f>
        <v>Total liabilities</v>
      </c>
      <c r="B35" s="34">
        <v>25950</v>
      </c>
      <c r="C35" s="34">
        <v>25626</v>
      </c>
      <c r="D35" s="34">
        <v>26711</v>
      </c>
      <c r="E35" s="34">
        <v>26454</v>
      </c>
      <c r="F35" s="34">
        <v>29187</v>
      </c>
    </row>
    <row r="36" spans="1:6" x14ac:dyDescent="0.3">
      <c r="B36" s="34"/>
      <c r="C36" s="34"/>
      <c r="D36" s="34"/>
      <c r="E36" s="34"/>
      <c r="F36" s="34"/>
    </row>
    <row r="37" spans="1:6" x14ac:dyDescent="0.3">
      <c r="A37" t="str">
        <f>"Charter capital"</f>
        <v>Charter capital</v>
      </c>
      <c r="B37" s="34">
        <v>14</v>
      </c>
      <c r="C37" s="34">
        <v>14</v>
      </c>
      <c r="D37" s="34">
        <v>14</v>
      </c>
      <c r="E37" s="34">
        <v>14</v>
      </c>
      <c r="F37" s="34">
        <v>14</v>
      </c>
    </row>
    <row r="38" spans="1:6" x14ac:dyDescent="0.3">
      <c r="A38" t="str">
        <f>"Additional paid in capital"</f>
        <v>Additional paid in capital</v>
      </c>
      <c r="B38" s="34">
        <v>21677</v>
      </c>
      <c r="C38" s="34">
        <v>21785</v>
      </c>
      <c r="D38" s="34">
        <v>21444</v>
      </c>
      <c r="E38" s="34">
        <v>20788</v>
      </c>
      <c r="F38" s="34">
        <v>19712</v>
      </c>
    </row>
    <row r="39" spans="1:6" x14ac:dyDescent="0.3">
      <c r="A39" t="str">
        <f>"Retained earnings"</f>
        <v>Retained earnings</v>
      </c>
      <c r="B39" s="34">
        <v>2061</v>
      </c>
      <c r="C39" s="34">
        <v>3199</v>
      </c>
      <c r="D39" s="34">
        <v>3539</v>
      </c>
      <c r="E39" s="34">
        <v>4559</v>
      </c>
      <c r="F39" s="34">
        <v>4793</v>
      </c>
    </row>
    <row r="40" spans="1:6" x14ac:dyDescent="0.3">
      <c r="A40" t="str">
        <f>"Treasury stock"</f>
        <v>Treasury stock</v>
      </c>
      <c r="B40" s="34">
        <v>0</v>
      </c>
      <c r="C40" s="34">
        <v>0</v>
      </c>
      <c r="D40" s="34">
        <v>0</v>
      </c>
      <c r="E40" s="34">
        <v>0</v>
      </c>
      <c r="F40" s="34">
        <v>0</v>
      </c>
    </row>
    <row r="41" spans="1:6" x14ac:dyDescent="0.3">
      <c r="A41" t="str">
        <f>"Other common equity adjustment"</f>
        <v>Other common equity adjustment</v>
      </c>
      <c r="B41" s="34">
        <f>B42-B40-B39-B38-B37</f>
        <v>77</v>
      </c>
      <c r="C41" s="34">
        <f>C42-C40-C39-C38-C37</f>
        <v>-26</v>
      </c>
      <c r="D41" s="34">
        <f>D42-D40-D39-D38-D37</f>
        <v>129</v>
      </c>
      <c r="E41" s="34">
        <f>E42-E40-E39-E38-E37</f>
        <v>315</v>
      </c>
      <c r="F41" s="34">
        <f>F42-F40-F39-F38-F37</f>
        <v>-276</v>
      </c>
    </row>
    <row r="42" spans="1:6" x14ac:dyDescent="0.3">
      <c r="A42" t="str">
        <f>"Common equity"</f>
        <v>Common equity</v>
      </c>
      <c r="B42" s="34">
        <v>23829</v>
      </c>
      <c r="C42" s="34">
        <v>24972</v>
      </c>
      <c r="D42" s="34">
        <v>25126</v>
      </c>
      <c r="E42" s="34">
        <v>25676</v>
      </c>
      <c r="F42" s="34">
        <v>24243</v>
      </c>
    </row>
    <row r="43" spans="1:6" x14ac:dyDescent="0.3">
      <c r="B43" s="34"/>
      <c r="C43" s="34"/>
      <c r="D43" s="34"/>
      <c r="E43" s="34"/>
      <c r="F43" s="34"/>
    </row>
    <row r="44" spans="1:6" x14ac:dyDescent="0.3">
      <c r="A44" t="str">
        <f>"Minority interest"</f>
        <v>Minority interest</v>
      </c>
      <c r="B44" s="34">
        <v>1</v>
      </c>
      <c r="C44" s="34">
        <v>0</v>
      </c>
      <c r="D44" s="34">
        <v>-1</v>
      </c>
      <c r="E44" s="34">
        <v>0</v>
      </c>
      <c r="F44" s="34">
        <v>0</v>
      </c>
    </row>
    <row r="45" spans="1:6" x14ac:dyDescent="0.3">
      <c r="A45" t="str">
        <f>"Total equity"</f>
        <v>Total equity</v>
      </c>
      <c r="B45" s="34">
        <f>B42+B44</f>
        <v>23830</v>
      </c>
      <c r="C45" s="34">
        <f>C42+C44</f>
        <v>24972</v>
      </c>
      <c r="D45" s="34">
        <f>D42+D44</f>
        <v>25125</v>
      </c>
      <c r="E45" s="34">
        <f>E42+E44</f>
        <v>25676</v>
      </c>
      <c r="F45" s="34">
        <f>F42+F44</f>
        <v>24243</v>
      </c>
    </row>
    <row r="46" spans="1:6" x14ac:dyDescent="0.3">
      <c r="B46" s="34"/>
      <c r="C46" s="34"/>
      <c r="D46" s="34"/>
      <c r="E46" s="34"/>
      <c r="F46" s="34"/>
    </row>
    <row r="47" spans="1:6" x14ac:dyDescent="0.3">
      <c r="A47" t="str">
        <f>"Days sales outstanding (DSO)"</f>
        <v>Days sales outstanding (DSO)</v>
      </c>
      <c r="B47" s="34">
        <f>IFERROR(B7/'Income Statement'!B6*365,0)</f>
        <v>32.924771905663626</v>
      </c>
      <c r="C47" s="34">
        <f>IFERROR(IF(AND(C7/'Income Statement'!C6*365=0,B47&lt;&gt;0),1,C7/'Income Statement'!C6*365),0)</f>
        <v>33.037924781203181</v>
      </c>
      <c r="D47" s="34">
        <f>IFERROR(IF(AND(D7/'Income Statement'!D6*365=0,C47&lt;&gt;0),1,D7/'Income Statement'!D6*365),0)</f>
        <v>38.533115173934696</v>
      </c>
      <c r="E47" s="34">
        <f>IFERROR(IF(AND(E7/'Income Statement'!E6*365=0,D47&lt;&gt;0),1,E7/'Income Statement'!E6*365),0)</f>
        <v>33.705953827460512</v>
      </c>
      <c r="F47" s="34">
        <f>IFERROR(IF(AND(F7/'Income Statement'!F6*365=0,E47&lt;&gt;0),1,F7/'Income Statement'!F6*365),0)</f>
        <v>35.712982867565628</v>
      </c>
    </row>
    <row r="48" spans="1:6" x14ac:dyDescent="0.3">
      <c r="A48" t="str">
        <f>"Days payable outstanding (DPO)"</f>
        <v>Days payable outstanding (DPO)</v>
      </c>
      <c r="B48" s="34">
        <f>IFERROR(B25/ABS('Income Statement'!B7)*365,0)</f>
        <v>268.72047244094489</v>
      </c>
      <c r="C48" s="34">
        <f>IFERROR(IF(AND(C25/ABS('Income Statement'!C7)*365=0,B48&lt;&gt;0),1,C25/ABS('Income Statement'!C7)*365),0)</f>
        <v>277.34859154929575</v>
      </c>
      <c r="D48" s="34">
        <f>IFERROR(IF(AND(D25/ABS('Income Statement'!D7)*365=0,C48&lt;&gt;0),1,D25/ABS('Income Statement'!D7)*365),0)</f>
        <v>282.55613382899628</v>
      </c>
      <c r="E48" s="34">
        <f>IFERROR(IF(AND(E25/ABS('Income Statement'!E7)*365=0,D48&lt;&gt;0),1,E25/ABS('Income Statement'!E7)*365),0)</f>
        <v>194.96658746658747</v>
      </c>
      <c r="F48" s="34">
        <f>IFERROR(IF(AND(F25/ABS('Income Statement'!F7)*365=0,E48&lt;&gt;0),1,F25/ABS('Income Statement'!F7)*365),0)</f>
        <v>159.70756376429199</v>
      </c>
    </row>
    <row r="49" spans="1:6" x14ac:dyDescent="0.3">
      <c r="A49" t="str">
        <f>"Days inventory outstanding (DIO)"</f>
        <v>Days inventory outstanding (DIO)</v>
      </c>
      <c r="B49" s="34">
        <f>IFERROR(B9/ABS('Income Statement'!B7)*365,0)</f>
        <v>54.75</v>
      </c>
      <c r="C49" s="34">
        <f>IFERROR(IF(AND(C9/ABS('Income Statement'!C7)*365=0,B49&lt;&gt;0),1,C9/ABS('Income Statement'!C7)*365),0)</f>
        <v>62.075704225352112</v>
      </c>
      <c r="D49" s="34">
        <f>IFERROR(IF(AND(D9/ABS('Income Statement'!D7)*365=0,C49&lt;&gt;0),1,D9/ABS('Income Statement'!D7)*365),0)</f>
        <v>76.147955390334573</v>
      </c>
      <c r="E49" s="34">
        <f>IFERROR(IF(AND(E9/ABS('Income Statement'!E7)*365=0,D49&lt;&gt;0),1,E9/ABS('Income Statement'!E7)*365),0)</f>
        <v>67.915800415800419</v>
      </c>
      <c r="F49" s="34">
        <f>IFERROR(IF(AND(F9/ABS('Income Statement'!F7)*365=0,E49&lt;&gt;0),1,F9/ABS('Income Statement'!F7)*365),0)</f>
        <v>76.242304309586629</v>
      </c>
    </row>
    <row r="50" spans="1:6" x14ac:dyDescent="0.3">
      <c r="B50" s="34"/>
      <c r="C50" s="34"/>
      <c r="D50" s="34"/>
      <c r="E50" s="34"/>
      <c r="F50" s="34"/>
    </row>
    <row r="51" spans="1:6" x14ac:dyDescent="0.3">
      <c r="A51" t="str">
        <f>"BS check"</f>
        <v>BS check</v>
      </c>
      <c r="B51" s="34">
        <f>B42+B35-B23</f>
        <v>0</v>
      </c>
      <c r="C51" s="34">
        <f>C42+C35-C23</f>
        <v>0</v>
      </c>
      <c r="D51" s="34">
        <f>D42+D35-D23</f>
        <v>0</v>
      </c>
      <c r="E51" s="34">
        <f>E42+E35-E23</f>
        <v>0</v>
      </c>
      <c r="F51" s="34">
        <f>F42+F35-F23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5719-5998-4B56-BE94-2366A122F329}">
  <dimension ref="A1:F28"/>
  <sheetViews>
    <sheetView workbookViewId="0"/>
  </sheetViews>
  <sheetFormatPr defaultRowHeight="14.4" x14ac:dyDescent="0.3"/>
  <cols>
    <col min="1" max="1" width="26.6640625" bestFit="1" customWidth="1"/>
    <col min="2" max="6" width="6.88671875" bestFit="1" customWidth="1"/>
  </cols>
  <sheetData>
    <row r="1" spans="1:6" x14ac:dyDescent="0.3">
      <c r="A1" s="6" t="s">
        <v>107</v>
      </c>
    </row>
    <row r="3" spans="1:6" x14ac:dyDescent="0.3">
      <c r="A3" t="s">
        <v>67</v>
      </c>
      <c r="B3" s="78">
        <v>45627</v>
      </c>
      <c r="C3" s="78">
        <v>45261</v>
      </c>
      <c r="D3" s="78">
        <v>44896</v>
      </c>
      <c r="E3" s="78">
        <v>44531</v>
      </c>
      <c r="F3" s="78">
        <v>44166</v>
      </c>
    </row>
    <row r="5" spans="1:6" x14ac:dyDescent="0.3">
      <c r="A5" t="s">
        <v>68</v>
      </c>
      <c r="B5">
        <v>1441</v>
      </c>
      <c r="C5">
        <v>2181</v>
      </c>
      <c r="D5">
        <v>1436</v>
      </c>
      <c r="E5">
        <v>2146</v>
      </c>
      <c r="F5">
        <v>1325</v>
      </c>
    </row>
    <row r="6" spans="1:6" x14ac:dyDescent="0.3">
      <c r="A6" t="s">
        <v>69</v>
      </c>
      <c r="B6">
        <v>422</v>
      </c>
      <c r="C6">
        <v>402</v>
      </c>
      <c r="D6">
        <v>399</v>
      </c>
      <c r="E6">
        <v>410</v>
      </c>
      <c r="F6">
        <v>362</v>
      </c>
    </row>
    <row r="7" spans="1:6" x14ac:dyDescent="0.3">
      <c r="A7" t="s">
        <v>70</v>
      </c>
      <c r="B7">
        <v>133</v>
      </c>
      <c r="C7">
        <v>137</v>
      </c>
      <c r="D7">
        <v>138</v>
      </c>
      <c r="E7">
        <v>134</v>
      </c>
      <c r="F7">
        <v>133</v>
      </c>
    </row>
    <row r="8" spans="1:6" x14ac:dyDescent="0.3">
      <c r="A8" t="s">
        <v>71</v>
      </c>
      <c r="B8">
        <v>-254</v>
      </c>
      <c r="C8">
        <v>-4</v>
      </c>
      <c r="D8">
        <v>-289</v>
      </c>
      <c r="E8">
        <v>31</v>
      </c>
      <c r="F8">
        <v>-51</v>
      </c>
    </row>
    <row r="9" spans="1:6" x14ac:dyDescent="0.3">
      <c r="A9" t="s">
        <v>72</v>
      </c>
      <c r="B9">
        <v>1068</v>
      </c>
      <c r="C9">
        <v>360</v>
      </c>
      <c r="D9">
        <v>1428</v>
      </c>
      <c r="E9">
        <v>-198</v>
      </c>
      <c r="F9">
        <v>521</v>
      </c>
    </row>
    <row r="10" spans="1:6" x14ac:dyDescent="0.3">
      <c r="A10" t="s">
        <v>73</v>
      </c>
      <c r="B10">
        <v>331</v>
      </c>
      <c r="C10">
        <v>507</v>
      </c>
      <c r="D10">
        <v>686</v>
      </c>
      <c r="E10">
        <v>506</v>
      </c>
      <c r="F10">
        <v>582</v>
      </c>
    </row>
    <row r="11" spans="1:6" x14ac:dyDescent="0.3">
      <c r="A11" t="s">
        <v>74</v>
      </c>
      <c r="B11">
        <v>494</v>
      </c>
      <c r="C11">
        <v>443</v>
      </c>
      <c r="D11">
        <v>363</v>
      </c>
      <c r="E11">
        <v>477</v>
      </c>
      <c r="F11">
        <v>515</v>
      </c>
    </row>
    <row r="12" spans="1:6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t="s">
        <v>77</v>
      </c>
      <c r="B14">
        <v>-591</v>
      </c>
      <c r="C14">
        <v>-1747</v>
      </c>
      <c r="D14">
        <v>-275</v>
      </c>
      <c r="E14">
        <v>351</v>
      </c>
      <c r="F14">
        <v>166</v>
      </c>
    </row>
    <row r="15" spans="1:6" x14ac:dyDescent="0.3">
      <c r="A15" t="s">
        <v>78</v>
      </c>
      <c r="B15">
        <v>2219</v>
      </c>
      <c r="C15">
        <v>1329</v>
      </c>
      <c r="D15">
        <v>2837</v>
      </c>
      <c r="E15">
        <v>2874</v>
      </c>
      <c r="F15">
        <v>2456</v>
      </c>
    </row>
    <row r="17" spans="1:6" x14ac:dyDescent="0.3">
      <c r="A17" t="s">
        <v>79</v>
      </c>
      <c r="B17">
        <v>-622</v>
      </c>
      <c r="C17">
        <v>-481</v>
      </c>
      <c r="D17">
        <v>-379</v>
      </c>
      <c r="E17">
        <v>-455</v>
      </c>
      <c r="F17">
        <v>-517</v>
      </c>
    </row>
    <row r="18" spans="1:6" x14ac:dyDescent="0.3">
      <c r="A18" t="s">
        <v>80</v>
      </c>
      <c r="B18">
        <v>-992</v>
      </c>
      <c r="C18">
        <v>-303</v>
      </c>
      <c r="D18">
        <v>-756</v>
      </c>
      <c r="E18">
        <v>665</v>
      </c>
      <c r="F18">
        <v>201</v>
      </c>
    </row>
    <row r="19" spans="1:6" x14ac:dyDescent="0.3">
      <c r="A19" t="s">
        <v>81</v>
      </c>
      <c r="B19">
        <v>-1614</v>
      </c>
      <c r="C19">
        <v>-784</v>
      </c>
      <c r="D19">
        <v>-1135</v>
      </c>
      <c r="E19">
        <v>210</v>
      </c>
      <c r="F19">
        <v>-316</v>
      </c>
    </row>
    <row r="21" spans="1:6" x14ac:dyDescent="0.3">
      <c r="A21" t="s">
        <v>82</v>
      </c>
      <c r="B21">
        <v>-84</v>
      </c>
      <c r="C21">
        <v>-68</v>
      </c>
      <c r="D21">
        <v>-61</v>
      </c>
      <c r="E21">
        <v>-161</v>
      </c>
      <c r="F21">
        <v>29</v>
      </c>
    </row>
    <row r="22" spans="1:6" x14ac:dyDescent="0.3">
      <c r="A22" t="s">
        <v>83</v>
      </c>
      <c r="B22">
        <v>-1194</v>
      </c>
      <c r="C22">
        <v>-1142</v>
      </c>
      <c r="D22">
        <v>-1080</v>
      </c>
      <c r="E22">
        <v>-955</v>
      </c>
      <c r="F22">
        <v>-846</v>
      </c>
    </row>
    <row r="23" spans="1:6" x14ac:dyDescent="0.3">
      <c r="A23" t="s">
        <v>84</v>
      </c>
      <c r="B23">
        <v>-1110</v>
      </c>
      <c r="C23">
        <v>-706</v>
      </c>
      <c r="D23">
        <v>-379</v>
      </c>
      <c r="E23">
        <v>140</v>
      </c>
      <c r="F23">
        <v>0</v>
      </c>
    </row>
    <row r="24" spans="1:6" x14ac:dyDescent="0.3">
      <c r="A24" t="s">
        <v>85</v>
      </c>
      <c r="B24">
        <v>2165</v>
      </c>
      <c r="C24">
        <v>1084</v>
      </c>
      <c r="D24">
        <v>-208</v>
      </c>
      <c r="E24">
        <v>-1786</v>
      </c>
      <c r="F24">
        <v>-1173</v>
      </c>
    </row>
    <row r="25" spans="1:6" x14ac:dyDescent="0.3">
      <c r="A25" t="s">
        <v>86</v>
      </c>
      <c r="B25">
        <v>-223</v>
      </c>
      <c r="C25">
        <v>-832</v>
      </c>
      <c r="D25">
        <v>-1728</v>
      </c>
      <c r="E25">
        <v>-2762</v>
      </c>
      <c r="F25">
        <v>-1990</v>
      </c>
    </row>
    <row r="27" spans="1:6" x14ac:dyDescent="0.3">
      <c r="A27" t="s">
        <v>87</v>
      </c>
      <c r="B27">
        <v>-41</v>
      </c>
      <c r="C27">
        <v>19</v>
      </c>
      <c r="D27">
        <v>-7</v>
      </c>
      <c r="E27">
        <v>-9</v>
      </c>
      <c r="F27">
        <v>-6</v>
      </c>
    </row>
    <row r="28" spans="1:6" x14ac:dyDescent="0.3">
      <c r="A28" t="s">
        <v>88</v>
      </c>
      <c r="B28">
        <v>341</v>
      </c>
      <c r="C28">
        <v>-268</v>
      </c>
      <c r="D28">
        <v>-33</v>
      </c>
      <c r="E28">
        <v>313</v>
      </c>
      <c r="F28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91FA-72CA-4FBE-A759-3B96FCF0115B}">
  <dimension ref="A1:K26"/>
  <sheetViews>
    <sheetView topLeftCell="A12" workbookViewId="0">
      <selection activeCell="L3" sqref="L3"/>
    </sheetView>
  </sheetViews>
  <sheetFormatPr defaultRowHeight="14.4" x14ac:dyDescent="0.3"/>
  <cols>
    <col min="1" max="1" width="29.21875" customWidth="1"/>
    <col min="2" max="2" width="10.6640625" bestFit="1" customWidth="1"/>
    <col min="3" max="3" width="8.6640625" bestFit="1" customWidth="1"/>
    <col min="4" max="4" width="10.6640625" bestFit="1" customWidth="1"/>
    <col min="5" max="5" width="7.5546875" bestFit="1" customWidth="1"/>
    <col min="6" max="6" width="10.6640625" bestFit="1" customWidth="1"/>
    <col min="7" max="7" width="8.6640625" bestFit="1" customWidth="1"/>
    <col min="8" max="8" width="10.6640625" bestFit="1" customWidth="1"/>
    <col min="9" max="9" width="8.6640625" bestFit="1" customWidth="1"/>
    <col min="10" max="10" width="10.6640625" bestFit="1" customWidth="1"/>
    <col min="11" max="11" width="8.6640625" bestFit="1" customWidth="1"/>
  </cols>
  <sheetData>
    <row r="1" spans="1:11" x14ac:dyDescent="0.3">
      <c r="A1" s="6" t="s">
        <v>0</v>
      </c>
    </row>
    <row r="2" spans="1:11" x14ac:dyDescent="0.3">
      <c r="B2" s="94">
        <v>44166</v>
      </c>
      <c r="C2" s="94"/>
      <c r="D2" s="94">
        <v>44531</v>
      </c>
      <c r="E2" s="94"/>
      <c r="F2" s="94">
        <v>44896</v>
      </c>
      <c r="G2" s="94"/>
      <c r="H2" s="94">
        <v>45261</v>
      </c>
      <c r="I2" s="94"/>
      <c r="J2" s="1">
        <v>45627</v>
      </c>
    </row>
    <row r="3" spans="1:11" x14ac:dyDescent="0.3">
      <c r="A3" t="s">
        <v>1</v>
      </c>
      <c r="B3" s="2" t="s">
        <v>2</v>
      </c>
      <c r="C3" s="3" t="s">
        <v>3</v>
      </c>
      <c r="D3" s="2" t="s">
        <v>2</v>
      </c>
      <c r="E3" s="3" t="s">
        <v>3</v>
      </c>
      <c r="F3" s="2" t="s">
        <v>2</v>
      </c>
      <c r="G3" s="3" t="s">
        <v>3</v>
      </c>
      <c r="H3" s="2" t="s">
        <v>2</v>
      </c>
      <c r="I3" s="3" t="s">
        <v>3</v>
      </c>
      <c r="J3" s="2" t="s">
        <v>2</v>
      </c>
      <c r="K3" s="3" t="s">
        <v>3</v>
      </c>
    </row>
    <row r="4" spans="1:11" x14ac:dyDescent="0.3">
      <c r="B4" s="4"/>
      <c r="C4" s="5"/>
      <c r="D4" s="4"/>
      <c r="E4" s="5"/>
      <c r="F4" s="4"/>
      <c r="G4" s="5"/>
      <c r="H4" s="4"/>
      <c r="I4" s="5"/>
      <c r="J4" s="4"/>
      <c r="K4" s="5"/>
    </row>
    <row r="5" spans="1:11" x14ac:dyDescent="0.3">
      <c r="A5" t="s">
        <v>4</v>
      </c>
      <c r="B5" s="7">
        <v>11618</v>
      </c>
      <c r="C5" s="5"/>
      <c r="D5" s="7">
        <v>12683</v>
      </c>
      <c r="E5" s="5"/>
      <c r="F5" s="7">
        <v>14057</v>
      </c>
      <c r="G5" s="5"/>
      <c r="H5" s="7">
        <v>14814</v>
      </c>
      <c r="I5" s="5"/>
      <c r="J5" s="7">
        <v>15351</v>
      </c>
      <c r="K5" s="5"/>
    </row>
    <row r="6" spans="1:11" x14ac:dyDescent="0.3">
      <c r="A6" t="s">
        <v>5</v>
      </c>
      <c r="B6" s="7">
        <v>-5080</v>
      </c>
      <c r="C6" s="5"/>
      <c r="D6" s="7">
        <v>-5680</v>
      </c>
      <c r="E6" s="5"/>
      <c r="F6" s="7">
        <v>-6725</v>
      </c>
      <c r="G6" s="5"/>
      <c r="H6" s="7">
        <v>-6734</v>
      </c>
      <c r="I6" s="5"/>
      <c r="J6" s="7">
        <v>-6822</v>
      </c>
      <c r="K6" s="5"/>
    </row>
    <row r="7" spans="1:11" x14ac:dyDescent="0.3">
      <c r="A7" s="25" t="s">
        <v>6</v>
      </c>
      <c r="B7" s="19">
        <v>6538</v>
      </c>
      <c r="C7" s="13"/>
      <c r="D7" s="19">
        <v>7003</v>
      </c>
      <c r="E7" s="13"/>
      <c r="F7" s="19">
        <v>7332</v>
      </c>
      <c r="G7" s="13"/>
      <c r="H7" s="19">
        <v>8080</v>
      </c>
      <c r="I7" s="13"/>
      <c r="J7" s="19">
        <v>8529</v>
      </c>
      <c r="K7" s="14"/>
    </row>
    <row r="8" spans="1:11" x14ac:dyDescent="0.3">
      <c r="B8" s="4"/>
      <c r="C8" s="5"/>
      <c r="D8" s="4"/>
      <c r="E8" s="5"/>
      <c r="F8" s="4"/>
      <c r="G8" s="5"/>
      <c r="H8" s="4"/>
      <c r="I8" s="5"/>
      <c r="J8" s="4"/>
      <c r="K8" s="5"/>
    </row>
    <row r="9" spans="1:11" x14ac:dyDescent="0.3">
      <c r="A9" t="s">
        <v>7</v>
      </c>
      <c r="B9" s="7">
        <v>-3275</v>
      </c>
      <c r="C9" s="5"/>
      <c r="D9" s="7">
        <v>-3544</v>
      </c>
      <c r="E9" s="5"/>
      <c r="F9" s="7">
        <v>-4083</v>
      </c>
      <c r="G9" s="5"/>
      <c r="H9" s="7">
        <v>-4538</v>
      </c>
      <c r="I9" s="5"/>
      <c r="J9" s="7">
        <v>-4531</v>
      </c>
      <c r="K9" s="5"/>
    </row>
    <row r="10" spans="1:11" x14ac:dyDescent="0.3">
      <c r="A10" t="s">
        <v>8</v>
      </c>
      <c r="B10" s="7">
        <v>-69</v>
      </c>
      <c r="C10" s="5"/>
      <c r="D10" s="7">
        <v>-66</v>
      </c>
      <c r="E10" s="5"/>
      <c r="F10" s="7">
        <v>-65</v>
      </c>
      <c r="G10" s="5"/>
      <c r="H10" s="7">
        <v>-66</v>
      </c>
      <c r="I10" s="5"/>
      <c r="J10" s="7">
        <v>-70</v>
      </c>
      <c r="K10" s="5"/>
    </row>
    <row r="11" spans="1:11" x14ac:dyDescent="0.3">
      <c r="A11" s="25" t="s">
        <v>9</v>
      </c>
      <c r="B11" s="19">
        <v>3194</v>
      </c>
      <c r="C11" s="13" t="s">
        <v>10</v>
      </c>
      <c r="D11" s="19">
        <v>3393</v>
      </c>
      <c r="E11" s="13" t="s">
        <v>10</v>
      </c>
      <c r="F11" s="19">
        <v>3184</v>
      </c>
      <c r="G11" s="13" t="s">
        <v>10</v>
      </c>
      <c r="H11" s="19">
        <v>3476</v>
      </c>
      <c r="I11" s="13" t="s">
        <v>10</v>
      </c>
      <c r="J11" s="19">
        <v>3928</v>
      </c>
      <c r="K11" s="14" t="s">
        <v>10</v>
      </c>
    </row>
    <row r="12" spans="1:11" x14ac:dyDescent="0.3">
      <c r="A12" s="6"/>
      <c r="B12" s="15"/>
      <c r="C12" s="3"/>
      <c r="D12" s="15"/>
      <c r="E12" s="3"/>
      <c r="F12" s="15"/>
      <c r="G12" s="3"/>
      <c r="H12" s="15"/>
      <c r="I12" s="3"/>
      <c r="J12" s="15"/>
      <c r="K12" s="3"/>
    </row>
    <row r="13" spans="1:11" x14ac:dyDescent="0.3">
      <c r="A13" s="22" t="s">
        <v>11</v>
      </c>
      <c r="B13" s="7">
        <v>-837</v>
      </c>
      <c r="C13" s="5"/>
      <c r="D13" s="7">
        <v>-619</v>
      </c>
      <c r="E13" s="5"/>
      <c r="F13" s="7">
        <v>-822</v>
      </c>
      <c r="G13" s="5"/>
      <c r="H13" s="7">
        <v>-223</v>
      </c>
      <c r="I13" s="5"/>
      <c r="J13" s="7">
        <v>-1279</v>
      </c>
      <c r="K13" s="5"/>
    </row>
    <row r="14" spans="1:11" x14ac:dyDescent="0.3">
      <c r="A14" s="23" t="s">
        <v>12</v>
      </c>
      <c r="B14" s="17">
        <v>2357</v>
      </c>
      <c r="C14" s="11" t="s">
        <v>10</v>
      </c>
      <c r="D14" s="17">
        <v>2774</v>
      </c>
      <c r="E14" s="11" t="s">
        <v>10</v>
      </c>
      <c r="F14" s="17">
        <v>2362</v>
      </c>
      <c r="G14" s="11" t="s">
        <v>10</v>
      </c>
      <c r="H14" s="17">
        <v>3253</v>
      </c>
      <c r="I14" s="11" t="s">
        <v>10</v>
      </c>
      <c r="J14" s="17">
        <v>2649</v>
      </c>
      <c r="K14" s="11" t="s">
        <v>10</v>
      </c>
    </row>
    <row r="15" spans="1:11" x14ac:dyDescent="0.3">
      <c r="A15" s="24"/>
      <c r="B15" s="15"/>
      <c r="C15" s="3"/>
      <c r="D15" s="15"/>
      <c r="E15" s="3"/>
      <c r="F15" s="15"/>
      <c r="G15" s="3"/>
      <c r="H15" s="15"/>
      <c r="I15" s="3"/>
      <c r="J15" s="15"/>
      <c r="K15" s="3"/>
    </row>
    <row r="16" spans="1:11" x14ac:dyDescent="0.3">
      <c r="A16" s="22" t="s">
        <v>13</v>
      </c>
      <c r="B16" s="4"/>
      <c r="C16" s="8">
        <v>-604</v>
      </c>
      <c r="D16" s="4"/>
      <c r="E16" s="8">
        <v>24</v>
      </c>
      <c r="F16" s="4"/>
      <c r="G16" s="8">
        <v>-643</v>
      </c>
      <c r="H16" s="4"/>
      <c r="I16" s="8">
        <v>-496</v>
      </c>
      <c r="J16" s="4"/>
      <c r="K16" s="8">
        <v>-735</v>
      </c>
    </row>
    <row r="17" spans="1:11" x14ac:dyDescent="0.3">
      <c r="A17" s="23" t="s">
        <v>14</v>
      </c>
      <c r="B17" s="17">
        <v>2357</v>
      </c>
      <c r="C17" s="18">
        <v>-604</v>
      </c>
      <c r="D17" s="17">
        <v>2774</v>
      </c>
      <c r="E17" s="18">
        <v>24</v>
      </c>
      <c r="F17" s="17">
        <v>2362</v>
      </c>
      <c r="G17" s="18">
        <v>-643</v>
      </c>
      <c r="H17" s="17">
        <v>3253</v>
      </c>
      <c r="I17" s="18">
        <v>-496</v>
      </c>
      <c r="J17" s="17">
        <v>2649</v>
      </c>
      <c r="K17" s="18">
        <v>-735</v>
      </c>
    </row>
    <row r="18" spans="1:11" x14ac:dyDescent="0.3">
      <c r="A18" s="24"/>
      <c r="B18" s="15"/>
      <c r="C18" s="16"/>
      <c r="D18" s="15"/>
      <c r="E18" s="16"/>
      <c r="F18" s="15"/>
      <c r="G18" s="16"/>
      <c r="H18" s="15"/>
      <c r="I18" s="16"/>
      <c r="J18" s="15"/>
      <c r="K18" s="16"/>
    </row>
    <row r="19" spans="1:11" x14ac:dyDescent="0.3">
      <c r="A19" s="22" t="s">
        <v>15</v>
      </c>
      <c r="B19" s="7">
        <v>533.79</v>
      </c>
      <c r="C19" s="8">
        <v>-136.79</v>
      </c>
      <c r="D19" s="7">
        <v>638.48</v>
      </c>
      <c r="E19" s="8">
        <v>5.52</v>
      </c>
      <c r="F19" s="7">
        <v>384.74</v>
      </c>
      <c r="G19" s="8">
        <v>-104.74</v>
      </c>
      <c r="H19" s="7">
        <v>679.63</v>
      </c>
      <c r="I19" s="8">
        <v>-103.63</v>
      </c>
      <c r="J19" s="7">
        <v>654.64</v>
      </c>
      <c r="K19" s="8">
        <v>-181.64</v>
      </c>
    </row>
    <row r="20" spans="1:11" x14ac:dyDescent="0.3">
      <c r="A20" s="22"/>
      <c r="B20" s="7"/>
      <c r="C20" s="8"/>
      <c r="D20" s="7"/>
      <c r="E20" s="8"/>
      <c r="F20" s="7"/>
      <c r="G20" s="8"/>
      <c r="H20" s="7"/>
      <c r="I20" s="8"/>
      <c r="J20" s="7"/>
      <c r="K20" s="8"/>
    </row>
    <row r="21" spans="1:11" x14ac:dyDescent="0.3">
      <c r="A21" s="23" t="s">
        <v>16</v>
      </c>
      <c r="B21" s="17">
        <v>1823.21</v>
      </c>
      <c r="C21" s="18">
        <v>-467.21</v>
      </c>
      <c r="D21" s="17">
        <v>2135.52</v>
      </c>
      <c r="E21" s="18">
        <v>18.48</v>
      </c>
      <c r="F21" s="17">
        <v>1977.26</v>
      </c>
      <c r="G21" s="18">
        <v>-538.26</v>
      </c>
      <c r="H21" s="17">
        <v>2573.37</v>
      </c>
      <c r="I21" s="18">
        <v>-392.37</v>
      </c>
      <c r="J21" s="17">
        <v>1994.36</v>
      </c>
      <c r="K21" s="18">
        <v>-553.36</v>
      </c>
    </row>
    <row r="22" spans="1:11" x14ac:dyDescent="0.3">
      <c r="A22" s="22" t="s">
        <v>17</v>
      </c>
      <c r="B22" s="7">
        <v>-31</v>
      </c>
      <c r="C22" s="5"/>
      <c r="D22" s="7">
        <v>-8</v>
      </c>
      <c r="E22" s="5"/>
      <c r="F22" s="7">
        <v>-3</v>
      </c>
      <c r="G22" s="5"/>
      <c r="H22" s="4"/>
      <c r="I22" s="5"/>
      <c r="J22" s="4"/>
      <c r="K22" s="5"/>
    </row>
    <row r="23" spans="1:11" x14ac:dyDescent="0.3">
      <c r="A23" s="22"/>
      <c r="B23" s="7"/>
      <c r="C23" s="5"/>
      <c r="D23" s="7"/>
      <c r="E23" s="5"/>
      <c r="F23" s="7"/>
      <c r="G23" s="5"/>
      <c r="H23" s="4"/>
      <c r="I23" s="5"/>
      <c r="J23" s="4"/>
      <c r="K23" s="5"/>
    </row>
    <row r="24" spans="1:11" x14ac:dyDescent="0.3">
      <c r="A24" s="25" t="s">
        <v>18</v>
      </c>
      <c r="B24" s="19">
        <v>1792.21</v>
      </c>
      <c r="C24" s="20">
        <v>-467.21</v>
      </c>
      <c r="D24" s="19">
        <v>2127.52</v>
      </c>
      <c r="E24" s="20">
        <v>18.48</v>
      </c>
      <c r="F24" s="19">
        <v>1974.26</v>
      </c>
      <c r="G24" s="20">
        <v>-538.26</v>
      </c>
      <c r="H24" s="19">
        <v>2573.37</v>
      </c>
      <c r="I24" s="20">
        <v>-392.37</v>
      </c>
      <c r="J24" s="19">
        <v>1994.36</v>
      </c>
      <c r="K24" s="21">
        <v>-553.36</v>
      </c>
    </row>
    <row r="25" spans="1:11" x14ac:dyDescent="0.3">
      <c r="A25" t="s">
        <v>19</v>
      </c>
      <c r="B25" s="4">
        <v>1325</v>
      </c>
      <c r="C25" s="5"/>
      <c r="D25" s="4">
        <v>2146</v>
      </c>
      <c r="E25" s="5"/>
      <c r="F25" s="4">
        <v>1436</v>
      </c>
      <c r="G25" s="5"/>
      <c r="H25" s="4">
        <v>2181</v>
      </c>
      <c r="I25" s="5"/>
      <c r="J25" s="4">
        <v>1441</v>
      </c>
      <c r="K25" s="5"/>
    </row>
    <row r="26" spans="1:11" x14ac:dyDescent="0.3">
      <c r="A26" t="s">
        <v>20</v>
      </c>
      <c r="B26" s="9">
        <v>0.22650000000000001</v>
      </c>
      <c r="C26" s="5"/>
      <c r="D26" s="9">
        <v>0.23019999999999999</v>
      </c>
      <c r="E26" s="5"/>
      <c r="F26" s="9">
        <v>0.16289999999999999</v>
      </c>
      <c r="G26" s="5"/>
      <c r="H26" s="9">
        <v>0.2089</v>
      </c>
      <c r="I26" s="5"/>
      <c r="J26" s="9">
        <v>0.24709999999999999</v>
      </c>
      <c r="K26" s="5"/>
    </row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4AF1-82DC-4373-99CD-8E7571751923}">
  <dimension ref="A1:L55"/>
  <sheetViews>
    <sheetView workbookViewId="0">
      <selection activeCell="C54" sqref="C54"/>
    </sheetView>
  </sheetViews>
  <sheetFormatPr defaultRowHeight="14.4" x14ac:dyDescent="0.3"/>
  <cols>
    <col min="1" max="1" width="34.33203125" bestFit="1" customWidth="1"/>
    <col min="2" max="11" width="12.44140625" bestFit="1" customWidth="1"/>
  </cols>
  <sheetData>
    <row r="1" spans="1:11" x14ac:dyDescent="0.3">
      <c r="A1" s="6" t="str">
        <f>"Balance Sheet"</f>
        <v>Balance Sheet</v>
      </c>
    </row>
    <row r="3" spans="1:11" x14ac:dyDescent="0.3">
      <c r="A3" t="str">
        <f>CONCATENATE("(",[1]Master!D15," in millions)")</f>
        <v>( in millions)</v>
      </c>
    </row>
    <row r="4" spans="1:11" x14ac:dyDescent="0.3">
      <c r="B4" s="95" t="s">
        <v>21</v>
      </c>
      <c r="C4" s="95"/>
      <c r="D4" s="95" t="s">
        <v>22</v>
      </c>
      <c r="E4" s="95"/>
      <c r="F4" s="95" t="s">
        <v>23</v>
      </c>
      <c r="G4" s="95"/>
      <c r="H4" s="95" t="s">
        <v>24</v>
      </c>
      <c r="I4" s="95"/>
      <c r="J4" s="95" t="s">
        <v>25</v>
      </c>
      <c r="K4" s="95"/>
    </row>
    <row r="5" spans="1:11" x14ac:dyDescent="0.3">
      <c r="B5" s="2" t="s">
        <v>2</v>
      </c>
      <c r="C5" s="3" t="s">
        <v>3</v>
      </c>
      <c r="D5" s="2" t="s">
        <v>2</v>
      </c>
      <c r="E5" s="3" t="s">
        <v>3</v>
      </c>
      <c r="F5" s="2" t="s">
        <v>2</v>
      </c>
      <c r="G5" s="3" t="s">
        <v>3</v>
      </c>
      <c r="H5" s="2" t="s">
        <v>2</v>
      </c>
      <c r="I5" s="3" t="s">
        <v>3</v>
      </c>
      <c r="J5" s="2" t="s">
        <v>2</v>
      </c>
      <c r="K5" s="3" t="s">
        <v>3</v>
      </c>
    </row>
    <row r="6" spans="1:11" x14ac:dyDescent="0.3">
      <c r="A6" t="str">
        <f>"Cash and cash equivalents"</f>
        <v>Cash and cash equivalents</v>
      </c>
      <c r="B6" s="27"/>
      <c r="C6" s="28">
        <v>240</v>
      </c>
      <c r="D6" s="27"/>
      <c r="E6" s="28">
        <v>567</v>
      </c>
      <c r="F6" s="27"/>
      <c r="G6" s="28">
        <v>535</v>
      </c>
      <c r="H6" s="27"/>
      <c r="I6" s="28">
        <v>267</v>
      </c>
      <c r="J6" s="27"/>
      <c r="K6" s="28">
        <v>510</v>
      </c>
    </row>
    <row r="7" spans="1:11" x14ac:dyDescent="0.3">
      <c r="A7" t="str">
        <f>"Trade accounts receivable"</f>
        <v>Trade accounts receivable</v>
      </c>
      <c r="B7" s="27">
        <v>1048</v>
      </c>
      <c r="C7" s="28"/>
      <c r="D7" s="27">
        <v>1148</v>
      </c>
      <c r="E7" s="28"/>
      <c r="F7" s="27">
        <v>1484</v>
      </c>
      <c r="G7" s="28"/>
      <c r="H7" s="27">
        <v>1368</v>
      </c>
      <c r="I7" s="28"/>
      <c r="J7" s="27">
        <v>1502</v>
      </c>
      <c r="K7" s="28"/>
    </row>
    <row r="8" spans="1:11" x14ac:dyDescent="0.3">
      <c r="A8" t="str">
        <f>"Short-term investments"</f>
        <v>Short-term investments</v>
      </c>
      <c r="B8" s="27"/>
      <c r="C8" s="28">
        <v>0</v>
      </c>
      <c r="D8" s="27"/>
      <c r="E8" s="28">
        <v>0</v>
      </c>
      <c r="F8" s="27"/>
      <c r="G8" s="28">
        <v>0</v>
      </c>
      <c r="H8" s="27"/>
      <c r="I8" s="28">
        <v>0</v>
      </c>
      <c r="J8" s="27"/>
      <c r="K8" s="28">
        <v>0</v>
      </c>
    </row>
    <row r="9" spans="1:11" x14ac:dyDescent="0.3">
      <c r="A9" t="str">
        <f>"Inventories"</f>
        <v>Inventories</v>
      </c>
      <c r="B9" s="27">
        <v>762</v>
      </c>
      <c r="C9" s="28"/>
      <c r="D9" s="27">
        <v>966</v>
      </c>
      <c r="E9" s="28"/>
      <c r="F9" s="27">
        <v>1403</v>
      </c>
      <c r="G9" s="28"/>
      <c r="H9" s="27">
        <v>1253</v>
      </c>
      <c r="I9" s="28"/>
      <c r="J9" s="27">
        <v>1425</v>
      </c>
      <c r="K9" s="28"/>
    </row>
    <row r="10" spans="1:11" x14ac:dyDescent="0.3">
      <c r="A10" t="str">
        <f>"Prepaid expenses"</f>
        <v>Prepaid expenses</v>
      </c>
      <c r="B10" s="27">
        <v>91</v>
      </c>
      <c r="C10" s="28"/>
      <c r="D10" s="27">
        <v>84</v>
      </c>
      <c r="E10" s="28"/>
      <c r="F10" s="27">
        <v>138</v>
      </c>
      <c r="G10" s="28"/>
      <c r="H10" s="27">
        <v>297</v>
      </c>
      <c r="I10" s="28"/>
      <c r="J10" s="27">
        <v>161</v>
      </c>
      <c r="K10" s="28"/>
    </row>
    <row r="11" spans="1:11" x14ac:dyDescent="0.3">
      <c r="A11" t="str">
        <f>"Other current assets"</f>
        <v>Other current assets</v>
      </c>
      <c r="B11" s="27">
        <v>247</v>
      </c>
      <c r="C11" s="28"/>
      <c r="D11" s="27">
        <v>292</v>
      </c>
      <c r="E11" s="28"/>
      <c r="F11" s="27">
        <v>244</v>
      </c>
      <c r="G11" s="28"/>
      <c r="H11" s="27">
        <v>190</v>
      </c>
      <c r="I11" s="28"/>
      <c r="J11" s="27">
        <v>399</v>
      </c>
      <c r="K11" s="28"/>
    </row>
    <row r="12" spans="1:11" x14ac:dyDescent="0.3">
      <c r="A12" s="10" t="str">
        <f>"Current assets"</f>
        <v>Current assets</v>
      </c>
      <c r="B12" s="29">
        <f t="shared" ref="B12:K12" si="0">SUM(B6:B11)</f>
        <v>2148</v>
      </c>
      <c r="C12" s="30">
        <f t="shared" si="0"/>
        <v>240</v>
      </c>
      <c r="D12" s="29">
        <f t="shared" si="0"/>
        <v>2490</v>
      </c>
      <c r="E12" s="30">
        <f t="shared" si="0"/>
        <v>567</v>
      </c>
      <c r="F12" s="29">
        <f t="shared" si="0"/>
        <v>3269</v>
      </c>
      <c r="G12" s="29">
        <f t="shared" si="0"/>
        <v>535</v>
      </c>
      <c r="H12" s="29">
        <f t="shared" si="0"/>
        <v>3108</v>
      </c>
      <c r="I12" s="29">
        <f t="shared" si="0"/>
        <v>267</v>
      </c>
      <c r="J12" s="29">
        <f t="shared" si="0"/>
        <v>3487</v>
      </c>
      <c r="K12" s="29">
        <f t="shared" si="0"/>
        <v>510</v>
      </c>
    </row>
    <row r="13" spans="1:11" x14ac:dyDescent="0.3">
      <c r="B13" s="27"/>
      <c r="C13" s="28"/>
      <c r="D13" s="27"/>
      <c r="E13" s="28"/>
      <c r="F13" s="27"/>
      <c r="G13" s="28"/>
      <c r="H13" s="27"/>
      <c r="I13" s="28"/>
      <c r="J13" s="27"/>
      <c r="K13" s="28"/>
    </row>
    <row r="14" spans="1:11" x14ac:dyDescent="0.3">
      <c r="A14" t="str">
        <f>"Property Plant And Equipment"</f>
        <v>Property Plant And Equipment</v>
      </c>
      <c r="B14" s="27">
        <f>B15+B16</f>
        <v>2857</v>
      </c>
      <c r="C14" s="28"/>
      <c r="D14" s="27">
        <f>D15+D16</f>
        <v>3167</v>
      </c>
      <c r="E14" s="28"/>
      <c r="F14" s="27">
        <f>F15+F16</f>
        <v>3372</v>
      </c>
      <c r="G14" s="28"/>
      <c r="H14" s="27">
        <f>H15+H16</f>
        <v>3575</v>
      </c>
      <c r="I14" s="28"/>
      <c r="J14" s="27">
        <f>J15+J16</f>
        <v>3844</v>
      </c>
      <c r="K14" s="28"/>
    </row>
    <row r="15" spans="1:11" x14ac:dyDescent="0.3">
      <c r="A15" t="str">
        <f>"          Initial value"</f>
        <v xml:space="preserve">          Initial value</v>
      </c>
      <c r="B15" s="27">
        <v>3877</v>
      </c>
      <c r="C15" s="28"/>
      <c r="D15" s="27">
        <v>4516</v>
      </c>
      <c r="E15" s="28"/>
      <c r="F15" s="27">
        <v>5023</v>
      </c>
      <c r="G15" s="28"/>
      <c r="H15" s="27">
        <v>5539</v>
      </c>
      <c r="I15" s="28"/>
      <c r="J15" s="27">
        <v>6096</v>
      </c>
      <c r="K15" s="28"/>
    </row>
    <row r="16" spans="1:11" x14ac:dyDescent="0.3">
      <c r="A16" t="str">
        <f>"          Accumulated depreciation"</f>
        <v xml:space="preserve">          Accumulated depreciation</v>
      </c>
      <c r="B16" s="27">
        <v>-1020</v>
      </c>
      <c r="C16" s="28"/>
      <c r="D16" s="27">
        <v>-1349</v>
      </c>
      <c r="E16" s="28"/>
      <c r="F16" s="27">
        <v>-1651</v>
      </c>
      <c r="G16" s="28"/>
      <c r="H16" s="27">
        <v>-1964</v>
      </c>
      <c r="I16" s="28"/>
      <c r="J16" s="27">
        <v>-2252</v>
      </c>
      <c r="K16" s="28"/>
    </row>
    <row r="17" spans="1:12" x14ac:dyDescent="0.3">
      <c r="A17" t="str">
        <f>"Long-term investments"</f>
        <v>Long-term investments</v>
      </c>
      <c r="B17" s="27"/>
      <c r="C17" s="28">
        <v>130</v>
      </c>
      <c r="D17" s="27"/>
      <c r="E17" s="28">
        <v>89</v>
      </c>
      <c r="F17" s="27"/>
      <c r="G17" s="28">
        <v>1049</v>
      </c>
      <c r="H17" s="27"/>
      <c r="I17" s="28">
        <v>1456</v>
      </c>
      <c r="J17" s="27"/>
      <c r="K17" s="28">
        <v>1650</v>
      </c>
      <c r="L17" t="s">
        <v>93</v>
      </c>
    </row>
    <row r="18" spans="1:12" x14ac:dyDescent="0.3">
      <c r="A18" t="str">
        <f>"Goodwill"</f>
        <v>Goodwill</v>
      </c>
      <c r="B18" s="27">
        <v>20184</v>
      </c>
      <c r="C18" s="28"/>
      <c r="D18" s="27">
        <v>20182</v>
      </c>
      <c r="E18" s="28"/>
      <c r="F18" s="27">
        <v>20072</v>
      </c>
      <c r="G18" s="28"/>
      <c r="H18" s="27">
        <v>20202</v>
      </c>
      <c r="I18" s="28"/>
      <c r="J18" s="27">
        <v>20053</v>
      </c>
      <c r="K18" s="28"/>
    </row>
    <row r="19" spans="1:12" x14ac:dyDescent="0.3">
      <c r="A19" t="str">
        <f>"Other intangible assets"</f>
        <v>Other intangible assets</v>
      </c>
      <c r="B19" s="27">
        <v>23968</v>
      </c>
      <c r="C19" s="28"/>
      <c r="D19" s="27">
        <v>23856</v>
      </c>
      <c r="E19" s="28"/>
      <c r="F19" s="27">
        <v>23183</v>
      </c>
      <c r="G19" s="28"/>
      <c r="H19" s="27">
        <v>23287</v>
      </c>
      <c r="I19" s="28"/>
      <c r="J19" s="27">
        <v>23634</v>
      </c>
      <c r="K19" s="28"/>
    </row>
    <row r="20" spans="1:12" x14ac:dyDescent="0.3">
      <c r="A20" t="str">
        <f>"Other long-term assets"</f>
        <v>Other long-term assets</v>
      </c>
      <c r="B20" s="27">
        <f>B21-B14-B17-B18-B19</f>
        <v>252</v>
      </c>
      <c r="C20" s="28"/>
      <c r="D20" s="27">
        <f>D21-D14-D17-D18-D19</f>
        <v>247</v>
      </c>
      <c r="E20" s="28"/>
      <c r="F20" s="27">
        <f>F21-F14-F18-F19</f>
        <v>357</v>
      </c>
      <c r="G20" s="28"/>
      <c r="H20" s="27">
        <f>H21-H14-H18-H19</f>
        <v>235</v>
      </c>
      <c r="I20" s="28"/>
      <c r="J20" s="27">
        <f>J21-J14-J18-J19</f>
        <v>252</v>
      </c>
      <c r="K20" s="28"/>
    </row>
    <row r="21" spans="1:12" x14ac:dyDescent="0.3">
      <c r="A21" s="10" t="str">
        <f>"Non-current assets"</f>
        <v>Non-current assets</v>
      </c>
      <c r="B21" s="29">
        <f>'Balance Sheet'!B21-C21</f>
        <v>47261</v>
      </c>
      <c r="C21" s="30">
        <f>SUM(C13:C20)</f>
        <v>130</v>
      </c>
      <c r="D21" s="29">
        <f>'Balance Sheet'!C21-E21</f>
        <v>47452</v>
      </c>
      <c r="E21" s="30">
        <f>SUM(E13:E20)</f>
        <v>89</v>
      </c>
      <c r="F21" s="29">
        <f>'Balance Sheet'!D21-G21</f>
        <v>46984</v>
      </c>
      <c r="G21" s="29">
        <f>SUM(G13:G20)</f>
        <v>1049</v>
      </c>
      <c r="H21" s="29">
        <f>'Balance Sheet'!E21-I21</f>
        <v>47299</v>
      </c>
      <c r="I21" s="29">
        <f>SUM(I13:I20)</f>
        <v>1456</v>
      </c>
      <c r="J21" s="29">
        <f>'Balance Sheet'!F21-K21</f>
        <v>47783</v>
      </c>
      <c r="K21" s="29">
        <f>SUM(K13:K20)</f>
        <v>1650</v>
      </c>
    </row>
    <row r="22" spans="1:12" x14ac:dyDescent="0.3">
      <c r="B22" s="27"/>
      <c r="C22" s="28"/>
      <c r="D22" s="27"/>
      <c r="E22" s="28"/>
      <c r="F22" s="27"/>
      <c r="G22" s="28"/>
      <c r="H22" s="27"/>
      <c r="I22" s="28"/>
      <c r="J22" s="27"/>
      <c r="K22" s="28"/>
    </row>
    <row r="23" spans="1:12" x14ac:dyDescent="0.3">
      <c r="A23" s="25" t="str">
        <f>"Total assets"</f>
        <v>Total assets</v>
      </c>
      <c r="B23" s="31">
        <f>B12+B21</f>
        <v>49409</v>
      </c>
      <c r="C23" s="32">
        <f>SUM(C21,C12)</f>
        <v>370</v>
      </c>
      <c r="D23" s="31">
        <f>D12+D21</f>
        <v>49942</v>
      </c>
      <c r="E23" s="32">
        <f>SUM(E21,E12)</f>
        <v>656</v>
      </c>
      <c r="F23" s="31">
        <f>F12+F21</f>
        <v>50253</v>
      </c>
      <c r="G23" s="32">
        <f>SUM(G21,G12)</f>
        <v>1584</v>
      </c>
      <c r="H23" s="31">
        <f>H12+H21</f>
        <v>50407</v>
      </c>
      <c r="I23" s="32">
        <f>SUM(I21,I12)</f>
        <v>1723</v>
      </c>
      <c r="J23" s="31">
        <f>J12+J21</f>
        <v>51270</v>
      </c>
      <c r="K23" s="32">
        <f>SUM(K21,K12)</f>
        <v>2160</v>
      </c>
    </row>
    <row r="24" spans="1:12" x14ac:dyDescent="0.3">
      <c r="B24" s="27"/>
      <c r="C24" s="28"/>
      <c r="D24" s="27"/>
      <c r="E24" s="28"/>
      <c r="F24" s="27"/>
      <c r="G24" s="28"/>
      <c r="H24" s="27"/>
      <c r="I24" s="28"/>
      <c r="J24" s="27"/>
      <c r="K24" s="28"/>
    </row>
    <row r="25" spans="1:12" x14ac:dyDescent="0.3">
      <c r="A25" t="str">
        <f>"Trade accounts payable"</f>
        <v>Trade accounts payable</v>
      </c>
      <c r="B25" s="27">
        <v>3740</v>
      </c>
      <c r="C25" s="28"/>
      <c r="D25" s="27">
        <v>4316</v>
      </c>
      <c r="E25" s="28"/>
      <c r="F25" s="27">
        <v>5206</v>
      </c>
      <c r="G25" s="28"/>
      <c r="H25" s="27">
        <v>3597</v>
      </c>
      <c r="I25" s="28"/>
      <c r="J25" s="27">
        <v>2985</v>
      </c>
      <c r="K25" s="28"/>
    </row>
    <row r="26" spans="1:12" x14ac:dyDescent="0.3">
      <c r="A26" t="str">
        <f>"Short-term loans &amp; liabilities"</f>
        <v>Short-term loans &amp; liabilities</v>
      </c>
      <c r="B26" s="27"/>
      <c r="C26" s="28">
        <v>153</v>
      </c>
      <c r="D26" s="27"/>
      <c r="E26" s="28">
        <v>291</v>
      </c>
      <c r="F26" s="27"/>
      <c r="G26" s="28">
        <v>536</v>
      </c>
      <c r="H26" s="27"/>
      <c r="I26" s="28">
        <v>2213</v>
      </c>
      <c r="J26" s="27"/>
      <c r="K26" s="28">
        <v>1657</v>
      </c>
    </row>
    <row r="27" spans="1:12" x14ac:dyDescent="0.3">
      <c r="A27" t="str">
        <f>"Accrued expenses"</f>
        <v>Accrued expenses</v>
      </c>
      <c r="B27" s="27">
        <v>1077</v>
      </c>
      <c r="C27" s="28"/>
      <c r="D27" s="27">
        <v>1153</v>
      </c>
      <c r="E27" s="28"/>
      <c r="F27" s="27">
        <v>1200</v>
      </c>
      <c r="G27" s="28"/>
      <c r="H27" s="27">
        <v>1306</v>
      </c>
      <c r="I27" s="28"/>
      <c r="J27" s="27">
        <v>1655</v>
      </c>
      <c r="K27" s="28"/>
    </row>
    <row r="28" spans="1:12" x14ac:dyDescent="0.3">
      <c r="A28" t="str">
        <f>"Current Portion of LT Debt/Capital Leases"</f>
        <v>Current Portion of LT Debt/Capital Leases</v>
      </c>
      <c r="B28" s="27"/>
      <c r="C28" s="28">
        <v>2389</v>
      </c>
      <c r="D28" s="27"/>
      <c r="E28" s="28">
        <v>234</v>
      </c>
      <c r="F28" s="27"/>
      <c r="G28" s="28">
        <v>591</v>
      </c>
      <c r="H28" s="27"/>
      <c r="I28" s="28">
        <v>1256</v>
      </c>
      <c r="J28" s="27"/>
      <c r="K28" s="28">
        <v>1151</v>
      </c>
    </row>
    <row r="29" spans="1:12" x14ac:dyDescent="0.3">
      <c r="A29" t="str">
        <f>"Other current liabilities"</f>
        <v>Other current liabilities</v>
      </c>
      <c r="B29" s="27">
        <v>335</v>
      </c>
      <c r="C29" s="28"/>
      <c r="D29" s="27">
        <v>491</v>
      </c>
      <c r="E29" s="28"/>
      <c r="F29" s="27">
        <v>543</v>
      </c>
      <c r="G29" s="28"/>
      <c r="H29" s="27">
        <v>544</v>
      </c>
      <c r="I29" s="28"/>
      <c r="J29" s="27">
        <v>639</v>
      </c>
      <c r="K29" s="28"/>
    </row>
    <row r="30" spans="1:12" x14ac:dyDescent="0.3">
      <c r="A30" s="10" t="str">
        <f>"Current liabilities"</f>
        <v>Current liabilities</v>
      </c>
      <c r="B30" s="29">
        <f>B25+B26+B27+B28+B29</f>
        <v>5152</v>
      </c>
      <c r="C30" s="30">
        <f>C25+C26+C27+C28+C29</f>
        <v>2542</v>
      </c>
      <c r="D30" s="29">
        <f>D25+D27+D28+D29</f>
        <v>5960</v>
      </c>
      <c r="E30" s="30">
        <f>E25+E26+E27+E28+E29</f>
        <v>525</v>
      </c>
      <c r="F30" s="29">
        <f>F25+F27+F28+F29</f>
        <v>6949</v>
      </c>
      <c r="G30" s="30">
        <f>G25+G26+G27+G28+G29</f>
        <v>1127</v>
      </c>
      <c r="H30" s="29">
        <f>H25+H27+H28+H29</f>
        <v>5447</v>
      </c>
      <c r="I30" s="30">
        <f>I25+I26+I27+I28+I29</f>
        <v>3469</v>
      </c>
      <c r="J30" s="29">
        <f>J25+J27+J28+J29</f>
        <v>5279</v>
      </c>
      <c r="K30" s="30">
        <f>K25+K26+K27+K28+K29</f>
        <v>2808</v>
      </c>
    </row>
    <row r="31" spans="1:12" x14ac:dyDescent="0.3">
      <c r="B31" s="27"/>
      <c r="C31" s="28"/>
      <c r="D31" s="27"/>
      <c r="E31" s="28"/>
      <c r="F31" s="27"/>
      <c r="G31" s="28"/>
      <c r="H31" s="27"/>
      <c r="I31" s="28"/>
      <c r="J31" s="27"/>
      <c r="K31" s="28"/>
    </row>
    <row r="32" spans="1:12" x14ac:dyDescent="0.3">
      <c r="A32" t="str">
        <f>"Long-term debts"</f>
        <v>Long-term debts</v>
      </c>
      <c r="B32" s="27"/>
      <c r="C32" s="28">
        <v>11143</v>
      </c>
      <c r="D32" s="27"/>
      <c r="E32" s="28">
        <v>11578</v>
      </c>
      <c r="F32" s="27"/>
      <c r="G32" s="28">
        <v>11072</v>
      </c>
      <c r="H32" s="27"/>
      <c r="I32" s="28">
        <v>9945</v>
      </c>
      <c r="J32" s="27"/>
      <c r="K32" s="28">
        <v>12912</v>
      </c>
    </row>
    <row r="33" spans="1:11" x14ac:dyDescent="0.3">
      <c r="A33" t="str">
        <f>"Other liabilities"</f>
        <v>Other liabilities</v>
      </c>
      <c r="B33" s="27"/>
      <c r="C33" s="28">
        <f>'Balance Sheet'!B33</f>
        <v>7113</v>
      </c>
      <c r="D33" s="27"/>
      <c r="E33" s="28">
        <f>'Balance Sheet'!C33</f>
        <v>7563</v>
      </c>
      <c r="F33" s="27"/>
      <c r="G33" s="28">
        <f>'Balance Sheet'!D33</f>
        <v>7563</v>
      </c>
      <c r="H33" s="27"/>
      <c r="I33" s="28">
        <f>'Balance Sheet'!E33</f>
        <v>7593</v>
      </c>
      <c r="J33" s="27"/>
      <c r="K33" s="28">
        <f>'Balance Sheet'!F33</f>
        <v>8188</v>
      </c>
    </row>
    <row r="34" spans="1:11" x14ac:dyDescent="0.3">
      <c r="A34" s="25" t="str">
        <f>"Total liabilities"</f>
        <v>Total liabilities</v>
      </c>
      <c r="B34" s="31">
        <f>B30</f>
        <v>5152</v>
      </c>
      <c r="C34" s="32">
        <f>SUM(C30:C33)</f>
        <v>20798</v>
      </c>
      <c r="D34" s="31">
        <f>D30</f>
        <v>5960</v>
      </c>
      <c r="E34" s="32">
        <f>SUM(E30:E33)</f>
        <v>19666</v>
      </c>
      <c r="F34" s="31">
        <f>F30</f>
        <v>6949</v>
      </c>
      <c r="G34" s="32">
        <f>SUM(G30:G33)</f>
        <v>19762</v>
      </c>
      <c r="H34" s="31">
        <f>H30</f>
        <v>5447</v>
      </c>
      <c r="I34" s="32">
        <f>SUM(I30:I33)</f>
        <v>21007</v>
      </c>
      <c r="J34" s="31">
        <f>J30</f>
        <v>5279</v>
      </c>
      <c r="K34" s="32">
        <f>SUM(K30:K33)</f>
        <v>23908</v>
      </c>
    </row>
    <row r="35" spans="1:11" x14ac:dyDescent="0.3">
      <c r="B35" s="27"/>
      <c r="C35" s="28"/>
      <c r="D35" s="27"/>
      <c r="E35" s="28"/>
      <c r="F35" s="27"/>
      <c r="G35" s="28"/>
      <c r="H35" s="27"/>
      <c r="I35" s="28"/>
      <c r="J35" s="27"/>
      <c r="K35" s="28"/>
    </row>
    <row r="36" spans="1:11" x14ac:dyDescent="0.3">
      <c r="A36" t="str">
        <f>"Charter capital"</f>
        <v>Charter capital</v>
      </c>
      <c r="B36" s="27"/>
      <c r="C36" s="28">
        <v>14</v>
      </c>
      <c r="D36" s="27"/>
      <c r="E36" s="28">
        <v>14</v>
      </c>
      <c r="F36" s="27"/>
      <c r="G36" s="28">
        <v>14</v>
      </c>
      <c r="H36" s="27"/>
      <c r="I36" s="28">
        <v>14</v>
      </c>
      <c r="J36" s="27"/>
      <c r="K36" s="28">
        <v>14</v>
      </c>
    </row>
    <row r="37" spans="1:11" x14ac:dyDescent="0.3">
      <c r="A37" t="str">
        <f>"Additional paid in capital"</f>
        <v>Additional paid in capital</v>
      </c>
      <c r="B37" s="27"/>
      <c r="C37" s="28">
        <v>21677</v>
      </c>
      <c r="D37" s="27"/>
      <c r="E37" s="28">
        <v>21785</v>
      </c>
      <c r="F37" s="27"/>
      <c r="G37" s="28">
        <v>21444</v>
      </c>
      <c r="H37" s="27"/>
      <c r="I37" s="28">
        <v>20788</v>
      </c>
      <c r="J37" s="27"/>
      <c r="K37" s="28">
        <v>19712</v>
      </c>
    </row>
    <row r="38" spans="1:11" x14ac:dyDescent="0.3">
      <c r="A38" t="str">
        <f>"Retained earnings"</f>
        <v>Retained earnings</v>
      </c>
      <c r="B38" s="27"/>
      <c r="C38" s="28">
        <v>2061</v>
      </c>
      <c r="D38" s="27"/>
      <c r="E38" s="28">
        <v>3199</v>
      </c>
      <c r="F38" s="27"/>
      <c r="G38" s="28">
        <v>3539</v>
      </c>
      <c r="H38" s="27"/>
      <c r="I38" s="28">
        <v>4559</v>
      </c>
      <c r="J38" s="27"/>
      <c r="K38" s="28">
        <v>4793</v>
      </c>
    </row>
    <row r="39" spans="1:11" x14ac:dyDescent="0.3">
      <c r="A39" t="str">
        <f>"Treasury stock"</f>
        <v>Treasury stock</v>
      </c>
      <c r="B39" s="27"/>
      <c r="C39" s="28">
        <v>0</v>
      </c>
      <c r="D39" s="27"/>
      <c r="E39" s="28">
        <v>0</v>
      </c>
      <c r="F39" s="27"/>
      <c r="G39" s="28">
        <v>0</v>
      </c>
      <c r="H39" s="27"/>
      <c r="I39" s="28">
        <v>0</v>
      </c>
      <c r="J39" s="27"/>
      <c r="K39" s="28">
        <v>0</v>
      </c>
    </row>
    <row r="40" spans="1:11" x14ac:dyDescent="0.3">
      <c r="A40" t="str">
        <f>"Other common equity adjustment"</f>
        <v>Other common equity adjustment</v>
      </c>
      <c r="B40" s="27"/>
      <c r="C40" s="28">
        <f>'Balance Sheet'!B42-C39-C38-C37-C36</f>
        <v>77</v>
      </c>
      <c r="D40" s="27"/>
      <c r="E40" s="28">
        <f>'Balance Sheet'!C42-E39-E38-E37-E36</f>
        <v>-26</v>
      </c>
      <c r="F40" s="27"/>
      <c r="G40" s="28">
        <f>'Balance Sheet'!D42-G39-G38-G37-G36</f>
        <v>129</v>
      </c>
      <c r="H40" s="27"/>
      <c r="I40" s="28">
        <f>'Balance Sheet'!E42-I39-I38-I37-I36</f>
        <v>315</v>
      </c>
      <c r="J40" s="27"/>
      <c r="K40" s="28">
        <f>'Balance Sheet'!F42-K39-K38-K37-K36</f>
        <v>-276</v>
      </c>
    </row>
    <row r="41" spans="1:11" x14ac:dyDescent="0.3">
      <c r="A41" s="10" t="str">
        <f>"Common equity"</f>
        <v>Common equity</v>
      </c>
      <c r="B41" s="29"/>
      <c r="C41" s="30">
        <f>SUM(C36:C40)</f>
        <v>23829</v>
      </c>
      <c r="D41" s="29">
        <v>0</v>
      </c>
      <c r="E41" s="30">
        <f>SUM(E36:E40)</f>
        <v>24972</v>
      </c>
      <c r="F41" s="29">
        <v>0</v>
      </c>
      <c r="G41" s="30">
        <f>SUM(G36:G40)</f>
        <v>25126</v>
      </c>
      <c r="H41" s="29">
        <v>0</v>
      </c>
      <c r="I41" s="30">
        <f>SUM(I36:I40)</f>
        <v>25676</v>
      </c>
      <c r="J41" s="29">
        <v>0</v>
      </c>
      <c r="K41" s="30">
        <f>SUM(K36:K40)</f>
        <v>24243</v>
      </c>
    </row>
    <row r="42" spans="1:11" x14ac:dyDescent="0.3">
      <c r="B42" s="27"/>
      <c r="C42" s="28"/>
      <c r="D42" s="27"/>
      <c r="E42" s="28"/>
      <c r="F42" s="27"/>
      <c r="G42" s="28"/>
      <c r="H42" s="27"/>
      <c r="I42" s="28"/>
      <c r="J42" s="27"/>
      <c r="K42" s="28"/>
    </row>
    <row r="43" spans="1:11" x14ac:dyDescent="0.3">
      <c r="A43" t="str">
        <f>"Minority interest"</f>
        <v>Minority interest</v>
      </c>
      <c r="B43" s="27"/>
      <c r="C43" s="28">
        <v>1</v>
      </c>
      <c r="D43" s="27"/>
      <c r="E43" s="28">
        <v>0</v>
      </c>
      <c r="F43" s="27"/>
      <c r="G43" s="28">
        <v>-1</v>
      </c>
      <c r="H43" s="27"/>
      <c r="I43" s="28">
        <v>0</v>
      </c>
      <c r="J43" s="27"/>
      <c r="K43" s="28">
        <v>0</v>
      </c>
    </row>
    <row r="44" spans="1:11" x14ac:dyDescent="0.3">
      <c r="A44" s="25" t="str">
        <f>"Total equity"</f>
        <v>Total equity</v>
      </c>
      <c r="B44" s="31">
        <f>B41+B43</f>
        <v>0</v>
      </c>
      <c r="C44" s="32">
        <f>SUM(C41,C43)</f>
        <v>23830</v>
      </c>
      <c r="D44" s="31">
        <f>D41+D43</f>
        <v>0</v>
      </c>
      <c r="E44" s="32">
        <f>SUM(E41,E43)</f>
        <v>24972</v>
      </c>
      <c r="F44" s="31">
        <f>F41+F43</f>
        <v>0</v>
      </c>
      <c r="G44" s="32">
        <f>SUM(G41,G43)</f>
        <v>25125</v>
      </c>
      <c r="H44" s="31">
        <f>H41+H43</f>
        <v>0</v>
      </c>
      <c r="I44" s="32">
        <f>SUM(I41,I43)</f>
        <v>25676</v>
      </c>
      <c r="J44" s="31">
        <f>J41+J43</f>
        <v>0</v>
      </c>
      <c r="K44" s="32">
        <f>SUM(K41,K43)</f>
        <v>24243</v>
      </c>
    </row>
    <row r="46" spans="1:11" x14ac:dyDescent="0.3">
      <c r="B46" s="38" t="s">
        <v>26</v>
      </c>
      <c r="C46" s="39">
        <f>B23</f>
        <v>49409</v>
      </c>
      <c r="D46" s="38" t="s">
        <v>26</v>
      </c>
      <c r="E46" s="39">
        <f>D23</f>
        <v>49942</v>
      </c>
      <c r="F46" s="38" t="s">
        <v>26</v>
      </c>
      <c r="G46" s="39">
        <f>F23</f>
        <v>50253</v>
      </c>
      <c r="H46" s="38" t="s">
        <v>26</v>
      </c>
      <c r="I46" s="39">
        <f>H23</f>
        <v>50407</v>
      </c>
      <c r="J46" s="38" t="s">
        <v>26</v>
      </c>
      <c r="K46" s="39">
        <f>J23</f>
        <v>51270</v>
      </c>
    </row>
    <row r="47" spans="1:11" x14ac:dyDescent="0.3">
      <c r="B47" s="38" t="s">
        <v>27</v>
      </c>
      <c r="C47" s="39">
        <f>-B34</f>
        <v>-5152</v>
      </c>
      <c r="D47" s="38" t="s">
        <v>27</v>
      </c>
      <c r="E47" s="39">
        <f>-D34</f>
        <v>-5960</v>
      </c>
      <c r="F47" s="38" t="s">
        <v>27</v>
      </c>
      <c r="G47" s="39">
        <f>-F34</f>
        <v>-6949</v>
      </c>
      <c r="H47" s="38" t="s">
        <v>27</v>
      </c>
      <c r="I47" s="39">
        <f>-H34</f>
        <v>-5447</v>
      </c>
      <c r="J47" s="38" t="s">
        <v>27</v>
      </c>
      <c r="K47" s="39">
        <f>-J34</f>
        <v>-5279</v>
      </c>
    </row>
    <row r="48" spans="1:11" ht="15" thickBot="1" x14ac:dyDescent="0.35">
      <c r="B48" s="38" t="s">
        <v>28</v>
      </c>
      <c r="C48" s="40">
        <f>SUM(C46:C47)</f>
        <v>44257</v>
      </c>
      <c r="D48" s="38" t="s">
        <v>28</v>
      </c>
      <c r="E48" s="40">
        <f>SUM(E46:E47)</f>
        <v>43982</v>
      </c>
      <c r="F48" s="38" t="s">
        <v>28</v>
      </c>
      <c r="G48" s="40">
        <f>SUM(G46:G47)</f>
        <v>43304</v>
      </c>
      <c r="H48" s="38" t="s">
        <v>28</v>
      </c>
      <c r="I48" s="40">
        <f>SUM(I46:I47)</f>
        <v>44960</v>
      </c>
      <c r="J48" s="38" t="s">
        <v>28</v>
      </c>
      <c r="K48" s="40">
        <f>SUM(K46:K47)</f>
        <v>45991</v>
      </c>
    </row>
    <row r="49" spans="2:11" ht="15" thickTop="1" x14ac:dyDescent="0.3">
      <c r="B49" s="38"/>
      <c r="C49" s="39"/>
      <c r="D49" s="38"/>
      <c r="E49" s="39"/>
      <c r="F49" s="38"/>
      <c r="G49" s="39"/>
      <c r="H49" s="38"/>
      <c r="I49" s="39"/>
      <c r="J49" s="38"/>
      <c r="K49" s="39"/>
    </row>
    <row r="50" spans="2:11" x14ac:dyDescent="0.3">
      <c r="B50" s="38" t="s">
        <v>29</v>
      </c>
      <c r="C50" s="39">
        <f>C34+C43</f>
        <v>20799</v>
      </c>
      <c r="D50" s="38" t="s">
        <v>29</v>
      </c>
      <c r="E50" s="39">
        <f>E34+E43</f>
        <v>19666</v>
      </c>
      <c r="F50" s="38" t="s">
        <v>29</v>
      </c>
      <c r="G50" s="39">
        <f>G34+G43</f>
        <v>19761</v>
      </c>
      <c r="H50" s="38" t="s">
        <v>29</v>
      </c>
      <c r="I50" s="39">
        <f>I34+I43</f>
        <v>21007</v>
      </c>
      <c r="J50" s="38" t="s">
        <v>29</v>
      </c>
      <c r="K50" s="39">
        <f>K34+K43</f>
        <v>23908</v>
      </c>
    </row>
    <row r="51" spans="2:11" x14ac:dyDescent="0.3">
      <c r="B51" s="38" t="s">
        <v>30</v>
      </c>
      <c r="C51" s="41">
        <f>-C23</f>
        <v>-370</v>
      </c>
      <c r="D51" s="38" t="s">
        <v>30</v>
      </c>
      <c r="E51" s="41">
        <f>-E23</f>
        <v>-656</v>
      </c>
      <c r="F51" s="38" t="s">
        <v>30</v>
      </c>
      <c r="G51" s="41">
        <f>-G23</f>
        <v>-1584</v>
      </c>
      <c r="H51" s="38" t="s">
        <v>30</v>
      </c>
      <c r="I51" s="41">
        <f>-I23</f>
        <v>-1723</v>
      </c>
      <c r="J51" s="38" t="s">
        <v>30</v>
      </c>
      <c r="K51" s="41">
        <f>-K23</f>
        <v>-2160</v>
      </c>
    </row>
    <row r="52" spans="2:11" x14ac:dyDescent="0.3">
      <c r="B52" s="38" t="s">
        <v>31</v>
      </c>
      <c r="C52" s="39">
        <f>C50+C51</f>
        <v>20429</v>
      </c>
      <c r="D52" s="38" t="s">
        <v>31</v>
      </c>
      <c r="E52" s="39">
        <f>E50+E51</f>
        <v>19010</v>
      </c>
      <c r="F52" s="38" t="s">
        <v>31</v>
      </c>
      <c r="G52" s="39">
        <f>G50+G51</f>
        <v>18177</v>
      </c>
      <c r="H52" s="38" t="s">
        <v>31</v>
      </c>
      <c r="I52" s="39">
        <f>I50+I51</f>
        <v>19284</v>
      </c>
      <c r="J52" s="38" t="s">
        <v>31</v>
      </c>
      <c r="K52" s="39">
        <f>K50+K51</f>
        <v>21748</v>
      </c>
    </row>
    <row r="53" spans="2:11" x14ac:dyDescent="0.3">
      <c r="B53" s="38" t="s">
        <v>32</v>
      </c>
      <c r="C53" s="41">
        <f>C41</f>
        <v>23829</v>
      </c>
      <c r="D53" s="38" t="s">
        <v>32</v>
      </c>
      <c r="E53" s="41">
        <f>E41</f>
        <v>24972</v>
      </c>
      <c r="F53" s="38" t="s">
        <v>32</v>
      </c>
      <c r="G53" s="41">
        <f>G41</f>
        <v>25126</v>
      </c>
      <c r="H53" s="38" t="s">
        <v>32</v>
      </c>
      <c r="I53" s="41">
        <f>I41</f>
        <v>25676</v>
      </c>
      <c r="J53" s="38" t="s">
        <v>32</v>
      </c>
      <c r="K53" s="41">
        <f>K41</f>
        <v>24243</v>
      </c>
    </row>
    <row r="54" spans="2:11" ht="15" thickBot="1" x14ac:dyDescent="0.35">
      <c r="B54" s="38" t="s">
        <v>33</v>
      </c>
      <c r="C54" s="42">
        <f>C52+C53</f>
        <v>44258</v>
      </c>
      <c r="D54" s="38" t="s">
        <v>33</v>
      </c>
      <c r="E54" s="42">
        <f>E52+E53</f>
        <v>43982</v>
      </c>
      <c r="F54" s="38" t="s">
        <v>33</v>
      </c>
      <c r="G54" s="42">
        <f>G52+G53</f>
        <v>43303</v>
      </c>
      <c r="H54" s="38" t="s">
        <v>33</v>
      </c>
      <c r="I54" s="42">
        <f>I52+I53</f>
        <v>44960</v>
      </c>
      <c r="J54" s="38" t="s">
        <v>33</v>
      </c>
      <c r="K54" s="42">
        <f>K52+K53</f>
        <v>45991</v>
      </c>
    </row>
    <row r="55" spans="2:11" ht="15" thickTop="1" x14ac:dyDescent="0.3"/>
  </sheetData>
  <mergeCells count="5"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D512-5E75-4C94-BB4D-BCB225A693CB}">
  <dimension ref="A1:G12"/>
  <sheetViews>
    <sheetView workbookViewId="0">
      <selection activeCell="B5" sqref="B5"/>
    </sheetView>
  </sheetViews>
  <sheetFormatPr defaultRowHeight="14.4" x14ac:dyDescent="0.3"/>
  <cols>
    <col min="1" max="1" width="25.5546875" bestFit="1" customWidth="1"/>
    <col min="2" max="2" width="22.5546875" bestFit="1" customWidth="1"/>
    <col min="3" max="3" width="20.44140625" bestFit="1" customWidth="1"/>
    <col min="4" max="5" width="9.109375" bestFit="1" customWidth="1"/>
    <col min="7" max="7" width="20.33203125" bestFit="1" customWidth="1"/>
  </cols>
  <sheetData>
    <row r="1" spans="1:7" x14ac:dyDescent="0.3">
      <c r="A1" t="s">
        <v>109</v>
      </c>
      <c r="B1" s="6">
        <v>2021</v>
      </c>
      <c r="C1" s="6">
        <v>2022</v>
      </c>
      <c r="D1" s="6">
        <v>2023</v>
      </c>
      <c r="E1" s="6">
        <v>2024</v>
      </c>
    </row>
    <row r="2" spans="1:7" x14ac:dyDescent="0.3">
      <c r="A2" s="53" t="s">
        <v>39</v>
      </c>
      <c r="B2" s="54">
        <f>'Income Statement'!C21/AVERAGE('Balance Sheet'!B45,'Balance Sheet'!C45)</f>
        <v>8.8275070693824023E-2</v>
      </c>
      <c r="C2" s="54">
        <f>'Income Statement'!D21/AVERAGE('Balance Sheet'!C45,'Balance Sheet'!D45)</f>
        <v>5.7448549813362081E-2</v>
      </c>
      <c r="D2" s="54">
        <f>'Income Statement'!E21/AVERAGE('Balance Sheet'!D45,'Balance Sheet'!E45)</f>
        <v>8.5864451487175447E-2</v>
      </c>
      <c r="E2" s="55">
        <f>'Income Statement'!F21/AVERAGE('Balance Sheet'!E45,'Balance Sheet'!F45)</f>
        <v>5.773352831587171E-2</v>
      </c>
    </row>
    <row r="3" spans="1:7" x14ac:dyDescent="0.3">
      <c r="A3" s="51"/>
      <c r="B3" s="52"/>
      <c r="C3" s="52"/>
      <c r="D3" s="52"/>
      <c r="E3" s="50"/>
    </row>
    <row r="4" spans="1:7" x14ac:dyDescent="0.3">
      <c r="A4" s="56" t="s">
        <v>34</v>
      </c>
      <c r="B4" s="57">
        <f>'O&amp;F Income Statements'!D24/AVERAGE('O&amp;F Balance Sheets'!C48,'O&amp;F Balance Sheets'!E48)</f>
        <v>4.8221761352689851E-2</v>
      </c>
      <c r="C4" s="57">
        <f>'O&amp;F Income Statements'!F24/AVERAGE('O&amp;F Balance Sheets'!E48,'O&amp;F Balance Sheets'!G48)</f>
        <v>4.5236578603670689E-2</v>
      </c>
      <c r="D4" s="57">
        <f>'O&amp;F Income Statements'!H24/AVERAGE('O&amp;F Balance Sheets'!G48,'O&amp;F Balance Sheets'!I48)</f>
        <v>5.8310749569473394E-2</v>
      </c>
      <c r="E4" s="58">
        <f>'O&amp;F Income Statements'!J24/AVERAGE('O&amp;F Balance Sheets'!I48,'O&amp;F Balance Sheets'!K48)</f>
        <v>4.3855702521137754E-2</v>
      </c>
    </row>
    <row r="5" spans="1:7" x14ac:dyDescent="0.3">
      <c r="A5" s="59" t="s">
        <v>35</v>
      </c>
      <c r="B5" s="60">
        <f>'O&amp;F Income Statements'!D21/'O&amp;F Income Statements'!D5</f>
        <v>0.16837656705826698</v>
      </c>
      <c r="C5" s="60">
        <f>'O&amp;F Income Statements'!F21/'O&amp;F Income Statements'!F5</f>
        <v>0.14066016931066372</v>
      </c>
      <c r="D5" s="60">
        <f>'O&amp;F Income Statements'!H21/'O&amp;F Income Statements'!H5</f>
        <v>0.17371202916160389</v>
      </c>
      <c r="E5" s="61">
        <f>'O&amp;F Income Statements'!J21/'O&amp;F Income Statements'!J5</f>
        <v>0.12991726923327471</v>
      </c>
      <c r="G5" s="45"/>
    </row>
    <row r="6" spans="1:7" x14ac:dyDescent="0.3">
      <c r="A6" s="62" t="s">
        <v>36</v>
      </c>
      <c r="B6" s="63">
        <f>'O&amp;F Income Statements'!D5/AVERAGE('O&amp;F Balance Sheets'!E48,'O&amp;F Balance Sheets'!C48)</f>
        <v>0.2874692596244291</v>
      </c>
      <c r="C6" s="63">
        <f>'O&amp;F Income Statements'!F5/AVERAGE('O&amp;F Balance Sheets'!G48,'O&amp;F Balance Sheets'!E48)</f>
        <v>0.32209059872144447</v>
      </c>
      <c r="D6" s="63">
        <f>'O&amp;F Income Statements'!H5/AVERAGE('O&amp;F Balance Sheets'!G48,'O&amp;F Balance Sheets'!I48)</f>
        <v>0.33567479380041693</v>
      </c>
      <c r="E6" s="63">
        <f>'O&amp;F Income Statements'!J5/AVERAGE('O&amp;F Balance Sheets'!I48,'O&amp;F Balance Sheets'!K48)</f>
        <v>0.33756638189794502</v>
      </c>
      <c r="G6" s="44"/>
    </row>
    <row r="7" spans="1:7" x14ac:dyDescent="0.3">
      <c r="A7" s="64" t="s">
        <v>37</v>
      </c>
      <c r="B7" s="65">
        <f>AVERAGE('O&amp;F Balance Sheets'!C52,'O&amp;F Balance Sheets'!E52)/AVERAGE('O&amp;F Balance Sheets'!C53,'O&amp;F Balance Sheets'!E53)</f>
        <v>0.80815966885924473</v>
      </c>
      <c r="C7" s="65">
        <f>AVERAGE('O&amp;F Balance Sheets'!E52,'O&amp;F Balance Sheets'!G52)/AVERAGE('O&amp;F Balance Sheets'!E53,'O&amp;F Balance Sheets'!G53)</f>
        <v>0.74228512116252143</v>
      </c>
      <c r="D7" s="65">
        <f>AVERAGE('O&amp;F Balance Sheets'!G52,'O&amp;F Balance Sheets'!I52)/AVERAGE('O&amp;F Balance Sheets'!G53,'O&amp;F Balance Sheets'!I53)</f>
        <v>0.73739222865241527</v>
      </c>
      <c r="E7" s="65">
        <f>AVERAGE('O&amp;F Balance Sheets'!I52,'O&amp;F Balance Sheets'!K52)/AVERAGE('O&amp;F Balance Sheets'!I53,'O&amp;F Balance Sheets'!K53)</f>
        <v>0.82197159398225128</v>
      </c>
      <c r="G7" s="44"/>
    </row>
    <row r="8" spans="1:7" x14ac:dyDescent="0.3">
      <c r="A8" s="66" t="s">
        <v>38</v>
      </c>
      <c r="B8" s="67">
        <f>B4-B9</f>
        <v>4.91586613755099E-2</v>
      </c>
      <c r="C8" s="67">
        <f t="shared" ref="C8:E8" si="0">C4-C9</f>
        <v>1.6288005177473367E-2</v>
      </c>
      <c r="D8" s="67">
        <f t="shared" si="0"/>
        <v>3.7361730589734465E-2</v>
      </c>
      <c r="E8" s="67">
        <f t="shared" si="0"/>
        <v>1.6882535237066787E-2</v>
      </c>
    </row>
    <row r="9" spans="1:7" x14ac:dyDescent="0.3">
      <c r="A9" s="68" t="s">
        <v>42</v>
      </c>
      <c r="B9" s="69">
        <f>((1-'O&amp;F Income Statements'!D26)*(-'O&amp;F Income Statements'!E17))/AVERAGE('O&amp;F Balance Sheets'!C52,'O&amp;F Balance Sheets'!E52)</f>
        <v>-9.3690002282005125E-4</v>
      </c>
      <c r="C9" s="69">
        <f>((1-'O&amp;F Income Statements'!F26)*(-'O&amp;F Income Statements'!G17))/AVERAGE('O&amp;F Balance Sheets'!E52,'O&amp;F Balance Sheets'!G52)</f>
        <v>2.8948573426197322E-2</v>
      </c>
      <c r="D9" s="69">
        <f>((1-'O&amp;F Income Statements'!H26)*(-'O&amp;F Income Statements'!I17))/AVERAGE('O&amp;F Balance Sheets'!I52,'O&amp;F Balance Sheets'!G52)</f>
        <v>2.0949018979738929E-2</v>
      </c>
      <c r="E9" s="69">
        <f>((1-'O&amp;F Income Statements'!J26)*(-'O&amp;F Income Statements'!K17))/AVERAGE('O&amp;F Balance Sheets'!I52,'O&amp;F Balance Sheets'!K52)</f>
        <v>2.6973167284070967E-2</v>
      </c>
    </row>
    <row r="10" spans="1:7" x14ac:dyDescent="0.3">
      <c r="A10" s="48"/>
      <c r="B10" s="36"/>
    </row>
    <row r="11" spans="1:7" x14ac:dyDescent="0.3">
      <c r="B11" s="43"/>
    </row>
    <row r="12" spans="1:7" x14ac:dyDescent="0.3">
      <c r="B12" s="49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27C2-7697-4AD5-96B5-64BFC3E20682}">
  <dimension ref="A2:M30"/>
  <sheetViews>
    <sheetView topLeftCell="A7" workbookViewId="0">
      <selection activeCell="I8" sqref="I8"/>
    </sheetView>
  </sheetViews>
  <sheetFormatPr defaultRowHeight="14.4" x14ac:dyDescent="0.3"/>
  <cols>
    <col min="1" max="1" width="16.88671875" customWidth="1"/>
  </cols>
  <sheetData>
    <row r="2" spans="1:13" x14ac:dyDescent="0.3">
      <c r="A2" t="str">
        <f>"Revenue &amp; Expenses Pro Forma"</f>
        <v>Revenue &amp; Expenses Pro Forma</v>
      </c>
    </row>
    <row r="4" spans="1:13" x14ac:dyDescent="0.3">
      <c r="A4" t="str">
        <f>[1]Financials!B58</f>
        <v>(USD in millions)</v>
      </c>
      <c r="D4" t="str">
        <f>"Projections"</f>
        <v>Projections</v>
      </c>
    </row>
    <row r="5" spans="1:13" x14ac:dyDescent="0.3">
      <c r="B5" s="74" t="str">
        <f>[1]Financials!G5</f>
        <v>Dec-2024</v>
      </c>
      <c r="D5" s="6" t="str">
        <f>CONCATENATE(LEFT(B5,4),RIGHT(B5,4)+1)</f>
        <v>Dec-2025</v>
      </c>
      <c r="E5" s="6" t="str">
        <f t="shared" ref="E5:H5" si="0">CONCATENATE(LEFT(D5,4),RIGHT(D5,4)+1)</f>
        <v>Dec-2026</v>
      </c>
      <c r="F5" s="6" t="str">
        <f t="shared" si="0"/>
        <v>Dec-2027</v>
      </c>
      <c r="G5" s="6" t="str">
        <f t="shared" si="0"/>
        <v>Dec-2028</v>
      </c>
      <c r="H5" s="6" t="str">
        <f t="shared" si="0"/>
        <v>Dec-2029</v>
      </c>
      <c r="I5" s="6"/>
      <c r="J5" s="6"/>
      <c r="K5" s="6"/>
      <c r="L5" s="6"/>
      <c r="M5" s="6"/>
    </row>
    <row r="7" spans="1:13" x14ac:dyDescent="0.3">
      <c r="A7" s="6" t="str">
        <f>"Revenue"</f>
        <v>Revenue</v>
      </c>
      <c r="B7" s="71">
        <f>[1]Financials!G61</f>
        <v>15351</v>
      </c>
      <c r="C7" s="71"/>
      <c r="D7" s="71">
        <f>B7*(1+D8)</f>
        <v>15965.04</v>
      </c>
      <c r="E7" s="71">
        <f t="shared" ref="E7:H7" si="1">D7*(1+E8)</f>
        <v>16603.641600000003</v>
      </c>
      <c r="F7" s="71">
        <f t="shared" si="1"/>
        <v>17267.787264000002</v>
      </c>
      <c r="G7" s="71">
        <f t="shared" si="1"/>
        <v>17958.498754560002</v>
      </c>
      <c r="H7" s="71">
        <f t="shared" si="1"/>
        <v>18676.838704742404</v>
      </c>
      <c r="I7" s="71" t="s">
        <v>110</v>
      </c>
      <c r="J7" s="71"/>
      <c r="K7" s="71"/>
      <c r="L7" s="71"/>
      <c r="M7" s="71"/>
    </row>
    <row r="8" spans="1:13" x14ac:dyDescent="0.3">
      <c r="A8" t="str">
        <f>"% Growth"</f>
        <v>% Growth</v>
      </c>
      <c r="B8" s="43">
        <f>('O&amp;F Income Statements'!J5-'O&amp;F Income Statements'!H5)/'O&amp;F Income Statements'!H5</f>
        <v>3.6249493722154719E-2</v>
      </c>
      <c r="C8" s="72"/>
      <c r="D8" s="43">
        <v>0.04</v>
      </c>
      <c r="E8" s="43">
        <v>0.04</v>
      </c>
      <c r="F8" s="43">
        <v>0.04</v>
      </c>
      <c r="G8" s="43">
        <v>0.04</v>
      </c>
      <c r="H8" s="43">
        <v>0.04</v>
      </c>
      <c r="I8" s="72"/>
      <c r="J8" s="72"/>
      <c r="K8" s="72"/>
      <c r="L8" s="72"/>
      <c r="M8" s="72"/>
    </row>
    <row r="10" spans="1:13" x14ac:dyDescent="0.3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</row>
    <row r="11" spans="1:13" x14ac:dyDescent="0.3">
      <c r="A11" s="6" t="str">
        <f>"Cost of goods sold"</f>
        <v>Cost of goods sold</v>
      </c>
      <c r="B11" s="71">
        <f>[1]Financials!G62</f>
        <v>-6822</v>
      </c>
      <c r="C11" s="71"/>
      <c r="D11" s="71">
        <f t="shared" ref="D11:H11" si="2">-D12*D7</f>
        <v>-6952.9823999999999</v>
      </c>
      <c r="E11" s="71">
        <f t="shared" si="2"/>
        <v>-7471.6387200000017</v>
      </c>
      <c r="F11" s="71">
        <f t="shared" si="2"/>
        <v>-7770.5042688000012</v>
      </c>
      <c r="G11" s="71">
        <f t="shared" si="2"/>
        <v>-8260.9094270976002</v>
      </c>
      <c r="H11" s="71">
        <f t="shared" si="2"/>
        <v>-8778.1141912289295</v>
      </c>
      <c r="I11" s="71" t="s">
        <v>65</v>
      </c>
      <c r="J11" s="71"/>
      <c r="K11" s="71"/>
      <c r="L11" s="71"/>
      <c r="M11" s="71"/>
    </row>
    <row r="12" spans="1:13" x14ac:dyDescent="0.3">
      <c r="A12" t="str">
        <f>"% of Revenue"</f>
        <v>% of Revenue</v>
      </c>
      <c r="B12" s="72">
        <f>ABS(B11/B7)</f>
        <v>0.44440101622044165</v>
      </c>
      <c r="C12" s="72"/>
      <c r="D12" s="72">
        <v>0.43551299589603282</v>
      </c>
      <c r="E12" s="72">
        <v>0.45</v>
      </c>
      <c r="F12" s="72">
        <v>0.45</v>
      </c>
      <c r="G12" s="72">
        <v>0.46</v>
      </c>
      <c r="H12" s="72">
        <v>0.47</v>
      </c>
      <c r="I12" s="72"/>
      <c r="J12" s="72"/>
      <c r="K12" s="72"/>
      <c r="L12" s="72"/>
      <c r="M12" s="72"/>
    </row>
    <row r="13" spans="1:13" x14ac:dyDescent="0.3">
      <c r="A13" s="82" t="s">
        <v>9</v>
      </c>
      <c r="B13" s="83">
        <f>SUM(B7,B11)</f>
        <v>8529</v>
      </c>
      <c r="C13" s="82"/>
      <c r="D13" s="83">
        <f>SUM(D7,D11)</f>
        <v>9012.0576000000001</v>
      </c>
      <c r="E13" s="83">
        <f t="shared" ref="E13:H13" si="3">SUM(E7,E11)</f>
        <v>9132.00288</v>
      </c>
      <c r="F13" s="83">
        <f t="shared" si="3"/>
        <v>9497.2829952000011</v>
      </c>
      <c r="G13" s="83">
        <f t="shared" si="3"/>
        <v>9697.5893274624013</v>
      </c>
      <c r="H13" s="83">
        <f t="shared" si="3"/>
        <v>9898.7245135134744</v>
      </c>
    </row>
    <row r="14" spans="1:13" x14ac:dyDescent="0.3">
      <c r="A14" s="6" t="str">
        <f>"Selling, G&amp;A expenses"</f>
        <v>Selling, G&amp;A expenses</v>
      </c>
      <c r="B14" s="71">
        <f>[1]Financials!G65</f>
        <v>-4531</v>
      </c>
      <c r="C14" s="71"/>
      <c r="D14" s="71">
        <f t="shared" ref="D14:H14" si="4">-D15*D7</f>
        <v>-4712.2400000000007</v>
      </c>
      <c r="E14" s="71">
        <f t="shared" si="4"/>
        <v>-4900.7296000000015</v>
      </c>
      <c r="F14" s="71">
        <f t="shared" si="4"/>
        <v>-5096.7587840000006</v>
      </c>
      <c r="G14" s="71">
        <f t="shared" si="4"/>
        <v>-5300.6291353600009</v>
      </c>
      <c r="H14" s="71">
        <f t="shared" si="4"/>
        <v>-5512.6543007744012</v>
      </c>
      <c r="I14" s="71" t="s">
        <v>59</v>
      </c>
      <c r="J14" s="71"/>
      <c r="K14" s="71"/>
      <c r="L14" s="71"/>
      <c r="M14" s="71"/>
    </row>
    <row r="15" spans="1:13" x14ac:dyDescent="0.3">
      <c r="A15" t="str">
        <f>"% of Revenue"</f>
        <v>% of Revenue</v>
      </c>
      <c r="B15" s="72">
        <f>ABS(B14/B7)</f>
        <v>0.29515992443489025</v>
      </c>
      <c r="C15" s="72"/>
      <c r="D15" s="72">
        <f>B15</f>
        <v>0.29515992443489025</v>
      </c>
      <c r="E15" s="72">
        <f>B15</f>
        <v>0.29515992443489025</v>
      </c>
      <c r="F15" s="72">
        <f>B15</f>
        <v>0.29515992443489025</v>
      </c>
      <c r="G15" s="72">
        <f>B15</f>
        <v>0.29515992443489025</v>
      </c>
      <c r="H15" s="72">
        <f>B15</f>
        <v>0.29515992443489025</v>
      </c>
      <c r="I15" s="72"/>
      <c r="J15" s="72"/>
      <c r="K15" s="72"/>
      <c r="L15" s="72"/>
      <c r="M15" s="72"/>
    </row>
    <row r="17" spans="1:13" x14ac:dyDescent="0.3">
      <c r="A17" s="6" t="str">
        <f>"Research &amp; Development"</f>
        <v>Research &amp; Development</v>
      </c>
      <c r="B17" s="71">
        <f>[1]Financials!G66</f>
        <v>-70</v>
      </c>
      <c r="C17" s="71"/>
      <c r="D17" s="71">
        <f t="shared" ref="D17:H17" si="5">-D18*D7</f>
        <v>-72.8</v>
      </c>
      <c r="E17" s="71">
        <f>-E18*E7</f>
        <v>-75.712000000000018</v>
      </c>
      <c r="F17" s="71">
        <f t="shared" si="5"/>
        <v>-78.740480000000005</v>
      </c>
      <c r="G17" s="71">
        <f t="shared" si="5"/>
        <v>-81.890099200000009</v>
      </c>
      <c r="H17" s="71">
        <f t="shared" si="5"/>
        <v>-85.165703168000022</v>
      </c>
      <c r="I17" s="71" t="s">
        <v>60</v>
      </c>
      <c r="J17" s="71"/>
      <c r="K17" s="71"/>
      <c r="L17" s="71"/>
      <c r="M17" s="71"/>
    </row>
    <row r="18" spans="1:13" x14ac:dyDescent="0.3">
      <c r="A18" t="str">
        <f>"% of Revenue"</f>
        <v>% of Revenue</v>
      </c>
      <c r="B18" s="72">
        <f>ABS(B17/B7)</f>
        <v>4.5599635202918376E-3</v>
      </c>
      <c r="C18" s="72"/>
      <c r="D18" s="43">
        <f>B18</f>
        <v>4.5599635202918376E-3</v>
      </c>
      <c r="E18" s="43">
        <f>B18</f>
        <v>4.5599635202918376E-3</v>
      </c>
      <c r="F18" s="43">
        <f>B18</f>
        <v>4.5599635202918376E-3</v>
      </c>
      <c r="G18" s="43">
        <f>B18</f>
        <v>4.5599635202918376E-3</v>
      </c>
      <c r="H18" s="43">
        <f>B18</f>
        <v>4.5599635202918376E-3</v>
      </c>
      <c r="I18" s="72"/>
      <c r="J18" s="72"/>
      <c r="K18" s="72"/>
      <c r="L18" s="72"/>
      <c r="M18" s="72"/>
    </row>
    <row r="20" spans="1:13" x14ac:dyDescent="0.3">
      <c r="A20" s="6" t="str">
        <f>"Net interest incomes/expenses"</f>
        <v>Net interest incomes/expenses</v>
      </c>
      <c r="B20" s="71">
        <f>[1]Financials!G72</f>
        <v>-735</v>
      </c>
      <c r="C20" s="71"/>
      <c r="D20" s="71">
        <f t="shared" ref="D20:H20" si="6">D21*D7</f>
        <v>-764.4</v>
      </c>
      <c r="E20" s="71">
        <f t="shared" si="6"/>
        <v>-794.97600000000011</v>
      </c>
      <c r="F20" s="71">
        <f t="shared" si="6"/>
        <v>-826.7750400000001</v>
      </c>
      <c r="G20" s="71">
        <f t="shared" si="6"/>
        <v>-859.84604160000004</v>
      </c>
      <c r="H20" s="71">
        <f t="shared" si="6"/>
        <v>-894.23988326400013</v>
      </c>
      <c r="I20" s="71"/>
      <c r="J20" s="71"/>
      <c r="K20" s="71"/>
      <c r="L20" s="71"/>
      <c r="M20" s="71"/>
    </row>
    <row r="21" spans="1:13" x14ac:dyDescent="0.3">
      <c r="A21" t="str">
        <f>"% of Revenue"</f>
        <v>% of Revenue</v>
      </c>
      <c r="B21" s="46">
        <f>B20/B7</f>
        <v>-4.7879616963064295E-2</v>
      </c>
      <c r="C21" s="72"/>
      <c r="D21" s="46">
        <f>B21</f>
        <v>-4.7879616963064295E-2</v>
      </c>
      <c r="E21" s="46">
        <f>B21</f>
        <v>-4.7879616963064295E-2</v>
      </c>
      <c r="F21" s="46">
        <f>B21</f>
        <v>-4.7879616963064295E-2</v>
      </c>
      <c r="G21" s="46">
        <f>B21</f>
        <v>-4.7879616963064295E-2</v>
      </c>
      <c r="H21" s="46">
        <f>B21</f>
        <v>-4.7879616963064295E-2</v>
      </c>
      <c r="I21" s="46"/>
      <c r="J21" s="46"/>
      <c r="K21" s="46"/>
      <c r="L21" s="46"/>
      <c r="M21" s="46"/>
    </row>
    <row r="22" spans="1:13" x14ac:dyDescent="0.3"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</row>
    <row r="23" spans="1:13" x14ac:dyDescent="0.3">
      <c r="A23" s="6" t="str">
        <f>"Other incomes/expenses"</f>
        <v>Other incomes/expenses</v>
      </c>
      <c r="B23" s="34">
        <v>-822</v>
      </c>
      <c r="C23" s="71"/>
      <c r="D23" s="71">
        <f t="shared" ref="D23:H23" si="7">D24*D7</f>
        <v>-854.88</v>
      </c>
      <c r="E23" s="71">
        <f t="shared" si="7"/>
        <v>-889.07520000000011</v>
      </c>
      <c r="F23" s="71">
        <f t="shared" si="7"/>
        <v>-924.63820800000008</v>
      </c>
      <c r="G23" s="71">
        <f t="shared" si="7"/>
        <v>-961.62373632000003</v>
      </c>
      <c r="H23" s="71">
        <f t="shared" si="7"/>
        <v>-1000.0886857728002</v>
      </c>
      <c r="I23" s="71"/>
      <c r="J23" s="71"/>
      <c r="K23" s="71"/>
      <c r="L23" s="71"/>
      <c r="M23" s="71"/>
    </row>
    <row r="24" spans="1:13" x14ac:dyDescent="0.3">
      <c r="A24" t="str">
        <f>"% of Revenue"</f>
        <v>% of Revenue</v>
      </c>
      <c r="B24" s="46">
        <f>B23/B7</f>
        <v>-5.3547000195427005E-2</v>
      </c>
      <c r="C24" s="72"/>
      <c r="D24" s="46">
        <f>B24</f>
        <v>-5.3547000195427005E-2</v>
      </c>
      <c r="E24" s="46">
        <f>B24</f>
        <v>-5.3547000195427005E-2</v>
      </c>
      <c r="F24" s="46">
        <f>B24</f>
        <v>-5.3547000195427005E-2</v>
      </c>
      <c r="G24" s="46">
        <f>B24</f>
        <v>-5.3547000195427005E-2</v>
      </c>
      <c r="H24" s="46">
        <f>B24</f>
        <v>-5.3547000195427005E-2</v>
      </c>
      <c r="I24" s="46"/>
      <c r="J24" s="46"/>
      <c r="K24" s="46"/>
      <c r="L24" s="46"/>
      <c r="M24" s="46"/>
    </row>
    <row r="26" spans="1:13" x14ac:dyDescent="0.3">
      <c r="A26" s="6" t="str">
        <f>"Tax expense"</f>
        <v>Tax expense</v>
      </c>
      <c r="B26" s="71">
        <f>[1]Financials!G75</f>
        <v>-473</v>
      </c>
      <c r="C26" s="71"/>
      <c r="D26" s="71">
        <f t="shared" ref="D26:H26" si="8">-(D7+D11+D14+D17+D23+D20)*D27</f>
        <v>-590.57149298345666</v>
      </c>
      <c r="E26" s="71">
        <f t="shared" si="8"/>
        <v>-559.72019495721565</v>
      </c>
      <c r="F26" s="71">
        <f t="shared" si="8"/>
        <v>-582.10900275550478</v>
      </c>
      <c r="G26" s="71">
        <f t="shared" si="8"/>
        <v>-564.72294640502741</v>
      </c>
      <c r="H26" s="71">
        <f t="shared" si="8"/>
        <v>-545.01463114210298</v>
      </c>
      <c r="I26" s="71" t="s">
        <v>61</v>
      </c>
      <c r="J26" s="71"/>
      <c r="K26" s="71"/>
      <c r="L26" s="71"/>
      <c r="M26" s="71"/>
    </row>
    <row r="27" spans="1:13" x14ac:dyDescent="0.3">
      <c r="A27" t="str">
        <f>"Tax rate"</f>
        <v>Tax rate</v>
      </c>
      <c r="B27" s="72">
        <f>MAX([1]Financials!G84,0)</f>
        <v>0.2471264367816092</v>
      </c>
      <c r="C27" s="72"/>
      <c r="D27" s="72">
        <f>[1]WACC!$G$32</f>
        <v>0.226468910439247</v>
      </c>
      <c r="E27" s="72">
        <f>[1]WACC!$G$32</f>
        <v>0.226468910439247</v>
      </c>
      <c r="F27" s="72">
        <f>[1]WACC!$G$32</f>
        <v>0.226468910439247</v>
      </c>
      <c r="G27" s="72">
        <f>[1]WACC!$G$32</f>
        <v>0.226468910439247</v>
      </c>
      <c r="H27" s="72">
        <f>[1]WACC!$G$32</f>
        <v>0.226468910439247</v>
      </c>
      <c r="I27" s="72"/>
      <c r="J27" s="72"/>
      <c r="K27" s="72"/>
      <c r="L27" s="72"/>
      <c r="M27" s="72"/>
    </row>
    <row r="29" spans="1:13" x14ac:dyDescent="0.3">
      <c r="A29" s="12" t="str">
        <f>"Net profit"</f>
        <v>Net profit</v>
      </c>
      <c r="B29" s="84">
        <f>B7+B11+B14+B17+B23+B26+B20</f>
        <v>1898</v>
      </c>
      <c r="C29" s="84"/>
      <c r="D29" s="84">
        <f t="shared" ref="D29:H29" si="9">D7+D11+D14+D17+D23+D26+D20</f>
        <v>2017.1661070165424</v>
      </c>
      <c r="E29" s="84">
        <f t="shared" si="9"/>
        <v>1911.7898850427823</v>
      </c>
      <c r="F29" s="84">
        <f t="shared" si="9"/>
        <v>1988.2614804444952</v>
      </c>
      <c r="G29" s="84">
        <f t="shared" si="9"/>
        <v>1928.8773685773733</v>
      </c>
      <c r="H29" s="85">
        <f t="shared" si="9"/>
        <v>1861.5613093921702</v>
      </c>
      <c r="I29" s="71"/>
      <c r="J29" s="71"/>
      <c r="K29" s="71"/>
      <c r="L29" s="71"/>
      <c r="M29" s="71"/>
    </row>
    <row r="30" spans="1:13" x14ac:dyDescent="0.3">
      <c r="A30" t="str">
        <f>"% Margin"</f>
        <v>% Margin</v>
      </c>
      <c r="B30" s="72">
        <f>B29/B7</f>
        <v>0.12364015373591297</v>
      </c>
      <c r="C30" s="72"/>
      <c r="D30" s="72">
        <f t="shared" ref="D30:H30" si="10">D29/D7</f>
        <v>0.12634895415335898</v>
      </c>
      <c r="E30" s="72">
        <f t="shared" si="10"/>
        <v>0.1151428060843461</v>
      </c>
      <c r="F30" s="72">
        <f t="shared" si="10"/>
        <v>0.1151428060843462</v>
      </c>
      <c r="G30" s="72">
        <f t="shared" si="10"/>
        <v>0.1074074951887387</v>
      </c>
      <c r="H30" s="72">
        <f t="shared" si="10"/>
        <v>9.9672184293131169E-2</v>
      </c>
      <c r="I30" s="72"/>
      <c r="J30" s="72"/>
      <c r="K30" s="72"/>
      <c r="L30" s="72"/>
      <c r="M30" s="7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30CE-7109-4945-A610-1E06716CAED2}">
  <dimension ref="A1:L51"/>
  <sheetViews>
    <sheetView topLeftCell="G1" zoomScale="98" workbookViewId="0">
      <selection activeCell="L19" sqref="L19"/>
    </sheetView>
  </sheetViews>
  <sheetFormatPr defaultRowHeight="14.4" x14ac:dyDescent="0.3"/>
  <cols>
    <col min="1" max="1" width="34.33203125" bestFit="1" customWidth="1"/>
    <col min="2" max="6" width="12.77734375" style="26" bestFit="1" customWidth="1"/>
    <col min="7" max="11" width="12.88671875" style="26" bestFit="1" customWidth="1"/>
    <col min="12" max="12" width="119.6640625" bestFit="1" customWidth="1"/>
  </cols>
  <sheetData>
    <row r="1" spans="1:11" x14ac:dyDescent="0.3">
      <c r="A1" t="str">
        <f>"Balance Sheet Pro Forma"</f>
        <v>Balance Sheet Pro Forma</v>
      </c>
    </row>
    <row r="3" spans="1:11" x14ac:dyDescent="0.3">
      <c r="B3" s="26" t="str">
        <f>"Historical"</f>
        <v>Historical</v>
      </c>
      <c r="G3" s="26" t="s">
        <v>62</v>
      </c>
    </row>
    <row r="4" spans="1:11" x14ac:dyDescent="0.3">
      <c r="B4" s="26" t="s">
        <v>21</v>
      </c>
      <c r="C4" s="26" t="s">
        <v>22</v>
      </c>
      <c r="D4" s="26" t="s">
        <v>23</v>
      </c>
      <c r="E4" s="26" t="s">
        <v>24</v>
      </c>
      <c r="F4" s="26" t="s">
        <v>25</v>
      </c>
      <c r="G4" s="26">
        <v>2025</v>
      </c>
      <c r="H4" s="26">
        <v>2026</v>
      </c>
      <c r="I4" s="26">
        <v>2027</v>
      </c>
      <c r="J4" s="26">
        <v>2028</v>
      </c>
      <c r="K4" s="26">
        <v>2029</v>
      </c>
    </row>
    <row r="6" spans="1:11" x14ac:dyDescent="0.3">
      <c r="A6" s="6" t="str">
        <f>"Cash and cash equivalents"</f>
        <v>Cash and cash equivalents</v>
      </c>
      <c r="B6" s="76">
        <v>240</v>
      </c>
      <c r="C6" s="76">
        <v>567</v>
      </c>
      <c r="D6" s="76">
        <v>535</v>
      </c>
      <c r="E6" s="76">
        <v>267</v>
      </c>
      <c r="F6" s="76">
        <v>510</v>
      </c>
      <c r="G6" s="76">
        <f>'Income Statement Forecast'!D7*'Balance Sheet Forecast'!$F$7</f>
        <v>530.40000000000009</v>
      </c>
      <c r="H6" s="76">
        <f>'Income Statement Forecast'!E7*'Balance Sheet Forecast'!$F$7</f>
        <v>551.6160000000001</v>
      </c>
      <c r="I6" s="76">
        <f>'Income Statement Forecast'!F7*'Balance Sheet Forecast'!$F$7</f>
        <v>573.68064000000015</v>
      </c>
      <c r="J6" s="76">
        <f>'Income Statement Forecast'!G7*'Balance Sheet Forecast'!$F$7</f>
        <v>596.62786560000006</v>
      </c>
      <c r="K6" s="76">
        <f>'Income Statement Forecast'!H7*'Balance Sheet Forecast'!$F$7</f>
        <v>620.49298022400012</v>
      </c>
    </row>
    <row r="7" spans="1:11" x14ac:dyDescent="0.3">
      <c r="A7" t="s">
        <v>63</v>
      </c>
      <c r="B7" s="77">
        <f>B6/'Income Statement'!B6</f>
        <v>2.065760027543467E-2</v>
      </c>
      <c r="C7" s="77">
        <f>C6/'Income Statement'!C6</f>
        <v>4.47055113143578E-2</v>
      </c>
      <c r="D7" s="77">
        <f>D6/'Income Statement'!D6</f>
        <v>3.8059329871238529E-2</v>
      </c>
      <c r="E7" s="77">
        <f>E6/'Income Statement'!E6</f>
        <v>1.8023491292021063E-2</v>
      </c>
      <c r="F7" s="77">
        <f>F6/'Income Statement'!F6</f>
        <v>3.3222591362126248E-2</v>
      </c>
      <c r="G7" s="26">
        <v>3.32E-2</v>
      </c>
      <c r="H7" s="26">
        <v>3.32E-2</v>
      </c>
      <c r="I7" s="26">
        <v>3.32E-2</v>
      </c>
      <c r="J7" s="26">
        <v>3.32E-2</v>
      </c>
      <c r="K7" s="26">
        <v>3.32E-2</v>
      </c>
    </row>
    <row r="8" spans="1:11" x14ac:dyDescent="0.3">
      <c r="B8" s="77"/>
      <c r="C8" s="77"/>
      <c r="D8" s="77"/>
      <c r="E8" s="77"/>
      <c r="F8" s="77"/>
    </row>
    <row r="9" spans="1:11" x14ac:dyDescent="0.3">
      <c r="A9" s="6" t="str">
        <f>"Trade accounts receivable"</f>
        <v>Trade accounts receivable</v>
      </c>
      <c r="B9" s="76">
        <v>1048</v>
      </c>
      <c r="C9" s="76">
        <v>1148</v>
      </c>
      <c r="D9" s="76">
        <v>1484</v>
      </c>
      <c r="E9" s="76">
        <v>1368</v>
      </c>
      <c r="F9" s="76">
        <v>1502</v>
      </c>
      <c r="G9" s="76">
        <f>G10*'Income Statement Forecast'!D7</f>
        <v>1468.78368</v>
      </c>
      <c r="H9" s="76">
        <f>H10*'Income Statement Forecast'!E7</f>
        <v>1527.5350272000003</v>
      </c>
      <c r="I9" s="76">
        <f>I10*'Income Statement Forecast'!F7</f>
        <v>1588.6364282880002</v>
      </c>
      <c r="J9" s="76">
        <f>J10*'Income Statement Forecast'!G7</f>
        <v>1652.1818854195201</v>
      </c>
      <c r="K9" s="76">
        <f>K10*'Income Statement Forecast'!H7</f>
        <v>1718.2691608363011</v>
      </c>
    </row>
    <row r="10" spans="1:11" x14ac:dyDescent="0.3">
      <c r="A10" t="s">
        <v>63</v>
      </c>
      <c r="B10" s="77">
        <f>B9/'Income Statement'!B6</f>
        <v>9.0204854536064721E-2</v>
      </c>
      <c r="C10" s="77">
        <f>C9/'Income Statement'!C6</f>
        <v>9.0514862414255298E-2</v>
      </c>
      <c r="D10" s="77">
        <f>D9/'Income Statement'!D6</f>
        <v>0.10557017855872519</v>
      </c>
      <c r="E10" s="77">
        <f>E9/'Income Statement'!E6</f>
        <v>9.2345078979343867E-2</v>
      </c>
      <c r="F10" s="77">
        <f>F9/'Income Statement'!F6</f>
        <v>9.7843788678262003E-2</v>
      </c>
      <c r="G10" s="77">
        <v>9.1999999999999998E-2</v>
      </c>
      <c r="H10" s="77">
        <v>9.1999999999999998E-2</v>
      </c>
      <c r="I10" s="77">
        <v>9.1999999999999998E-2</v>
      </c>
      <c r="J10" s="77">
        <v>9.1999999999999998E-2</v>
      </c>
      <c r="K10" s="77">
        <v>9.1999999999999998E-2</v>
      </c>
    </row>
    <row r="11" spans="1:11" x14ac:dyDescent="0.3">
      <c r="B11" s="77"/>
      <c r="C11" s="77"/>
      <c r="D11" s="77"/>
      <c r="E11" s="77"/>
      <c r="F11" s="77"/>
    </row>
    <row r="12" spans="1:11" x14ac:dyDescent="0.3">
      <c r="A12" s="6" t="str">
        <f>"Short-term investments"</f>
        <v>Short-term investments</v>
      </c>
      <c r="B12" s="76">
        <v>0</v>
      </c>
      <c r="C12" s="76">
        <v>0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</row>
    <row r="13" spans="1:11" x14ac:dyDescent="0.3">
      <c r="A13" s="6" t="str">
        <f>"Inventories"</f>
        <v>Inventories</v>
      </c>
      <c r="B13" s="76">
        <v>762</v>
      </c>
      <c r="C13" s="76">
        <v>966</v>
      </c>
      <c r="D13" s="76">
        <v>1403</v>
      </c>
      <c r="E13" s="76">
        <v>1253</v>
      </c>
      <c r="F13" s="76">
        <v>1425</v>
      </c>
      <c r="G13" s="75">
        <f>'Income Statement Forecast'!D7*G14</f>
        <v>1481.5557120000001</v>
      </c>
      <c r="H13" s="75">
        <f>'Income Statement Forecast'!E7*H14</f>
        <v>1540.8179404800001</v>
      </c>
      <c r="I13" s="75">
        <f>'Income Statement Forecast'!F7*I14</f>
        <v>1602.4506580992002</v>
      </c>
      <c r="J13" s="75">
        <f>'Income Statement Forecast'!G7*J14</f>
        <v>1666.548684423168</v>
      </c>
      <c r="K13" s="75">
        <f>'Income Statement Forecast'!H7*K14</f>
        <v>1733.2106318000949</v>
      </c>
    </row>
    <row r="14" spans="1:11" x14ac:dyDescent="0.3">
      <c r="B14" s="77">
        <f>B13/'Income Statement'!B6</f>
        <v>6.5587880874505081E-2</v>
      </c>
      <c r="C14" s="77">
        <f>C13/'Income Statement'!C6</f>
        <v>7.6164945202239223E-2</v>
      </c>
      <c r="D14" s="77">
        <f>D13/'Income Statement'!D6</f>
        <v>9.9807924877285334E-2</v>
      </c>
      <c r="E14" s="77">
        <f>E13/'Income Statement'!E6</f>
        <v>8.4582152018361015E-2</v>
      </c>
      <c r="F14" s="77">
        <f>F13/'Income Statement'!F6</f>
        <v>9.2827828805940982E-2</v>
      </c>
      <c r="G14" s="26">
        <v>9.2799999999999994E-2</v>
      </c>
      <c r="H14" s="26">
        <v>9.2799999999999994E-2</v>
      </c>
      <c r="I14" s="26">
        <v>9.2799999999999994E-2</v>
      </c>
      <c r="J14" s="26">
        <v>9.2799999999999994E-2</v>
      </c>
      <c r="K14" s="26">
        <v>9.2799999999999994E-2</v>
      </c>
    </row>
    <row r="15" spans="1:11" x14ac:dyDescent="0.3">
      <c r="B15" s="77"/>
      <c r="C15" s="77"/>
      <c r="D15" s="77"/>
      <c r="E15" s="77"/>
      <c r="F15" s="77"/>
    </row>
    <row r="16" spans="1:11" x14ac:dyDescent="0.3">
      <c r="A16" t="str">
        <f>"Prepaid expenses"</f>
        <v>Prepaid expenses</v>
      </c>
      <c r="B16" s="26">
        <v>91</v>
      </c>
      <c r="C16" s="26">
        <v>84</v>
      </c>
      <c r="D16" s="26">
        <v>138</v>
      </c>
      <c r="E16" s="26">
        <v>297</v>
      </c>
      <c r="F16" s="26">
        <v>161</v>
      </c>
      <c r="G16" s="26">
        <v>161</v>
      </c>
      <c r="H16" s="26">
        <v>161</v>
      </c>
      <c r="I16" s="26">
        <v>161</v>
      </c>
      <c r="J16" s="26">
        <v>161</v>
      </c>
      <c r="K16" s="26">
        <v>161</v>
      </c>
    </row>
    <row r="18" spans="1:12" x14ac:dyDescent="0.3">
      <c r="A18" s="6" t="str">
        <f>"Other current assets"</f>
        <v>Other current assets</v>
      </c>
      <c r="B18" s="76">
        <v>247</v>
      </c>
      <c r="C18" s="76">
        <v>292</v>
      </c>
      <c r="D18" s="76">
        <v>244</v>
      </c>
      <c r="E18" s="76">
        <v>190</v>
      </c>
      <c r="F18" s="76">
        <v>399</v>
      </c>
      <c r="G18" s="76">
        <f>G19*'Income Statement Forecast'!D7</f>
        <v>319.30080000000004</v>
      </c>
      <c r="H18" s="76">
        <f>H19*'Income Statement Forecast'!E7</f>
        <v>332.07283200000006</v>
      </c>
      <c r="I18" s="76">
        <f>I19*'Income Statement Forecast'!F7</f>
        <v>345.35574528000006</v>
      </c>
      <c r="J18" s="76">
        <f>J19*'Income Statement Forecast'!G7</f>
        <v>359.16997509120006</v>
      </c>
      <c r="K18" s="76">
        <f>K19*'Income Statement Forecast'!H7</f>
        <v>373.53677409484811</v>
      </c>
      <c r="L18" t="s">
        <v>111</v>
      </c>
    </row>
    <row r="19" spans="1:12" x14ac:dyDescent="0.3">
      <c r="A19" t="s">
        <v>64</v>
      </c>
      <c r="B19" s="77">
        <f>B18/'Income Statement'!B6</f>
        <v>2.1260113616801513E-2</v>
      </c>
      <c r="C19" s="77">
        <f>C18/'Income Statement'!C6</f>
        <v>2.3022944098399431E-2</v>
      </c>
      <c r="D19" s="77">
        <f>D18/'Income Statement'!D6</f>
        <v>1.7357899978658321E-2</v>
      </c>
      <c r="E19" s="77">
        <f>E18/'Income Statement'!E6</f>
        <v>1.282570541379776E-2</v>
      </c>
      <c r="F19" s="77">
        <f>F18/'Income Statement'!F6</f>
        <v>2.5991792065663474E-2</v>
      </c>
      <c r="G19" s="26">
        <v>0.02</v>
      </c>
      <c r="H19" s="26">
        <v>0.02</v>
      </c>
      <c r="I19" s="26">
        <v>0.02</v>
      </c>
      <c r="J19" s="26">
        <v>0.02</v>
      </c>
      <c r="K19" s="26">
        <v>0.02</v>
      </c>
    </row>
    <row r="20" spans="1:12" x14ac:dyDescent="0.3">
      <c r="B20" s="77"/>
      <c r="C20" s="77"/>
      <c r="D20" s="77"/>
      <c r="E20" s="77"/>
      <c r="F20" s="77"/>
    </row>
    <row r="21" spans="1:12" x14ac:dyDescent="0.3">
      <c r="A21" s="6" t="str">
        <f>"Current assets"</f>
        <v>Current assets</v>
      </c>
      <c r="B21" s="76">
        <f>SUM(B6:B18)</f>
        <v>2388.1764503356858</v>
      </c>
      <c r="C21" s="76">
        <f>SUM(C6:C18)</f>
        <v>3057.2113853189312</v>
      </c>
      <c r="D21" s="76">
        <f>SUM(D6:D18)</f>
        <v>3804.2434374333075</v>
      </c>
      <c r="E21" s="76">
        <f>SUM(E6:E18)</f>
        <v>3375.1949507222898</v>
      </c>
      <c r="F21" s="76">
        <f>SUM(F6:F18)</f>
        <v>3997.2238942088466</v>
      </c>
      <c r="G21" s="76">
        <f>SUM(G18,G13,G9,G6)</f>
        <v>3800.0401919999999</v>
      </c>
      <c r="H21" s="76">
        <f t="shared" ref="H21:K21" si="0">SUM(H18,H13,H9,H6)</f>
        <v>3952.0417996800006</v>
      </c>
      <c r="I21" s="76">
        <f t="shared" si="0"/>
        <v>4110.1234716672006</v>
      </c>
      <c r="J21" s="76">
        <f t="shared" si="0"/>
        <v>4274.5284105338887</v>
      </c>
      <c r="K21" s="76">
        <f t="shared" si="0"/>
        <v>4445.5095469552443</v>
      </c>
    </row>
    <row r="23" spans="1:12" x14ac:dyDescent="0.3">
      <c r="A23" t="s">
        <v>66</v>
      </c>
      <c r="B23" s="77">
        <f>'Income Statement Forecast'!B13/B24</f>
        <v>2.9852992649632482</v>
      </c>
      <c r="C23" s="77">
        <f>'Income Statement Forecast'!D13/C24</f>
        <v>2.8456133880644141</v>
      </c>
      <c r="D23" s="77">
        <f>'Income Statement Forecast'!E13/D24</f>
        <v>2.7081859074733097</v>
      </c>
      <c r="E23" s="77">
        <f>'Income Statement Forecast'!F13/E24</f>
        <v>2.6565826560000003</v>
      </c>
      <c r="F23" s="77">
        <f>'Income Statement Forecast'!G13/F24</f>
        <v>2.5227859852919878</v>
      </c>
      <c r="G23" s="26">
        <v>2.56</v>
      </c>
      <c r="H23" s="26">
        <v>2.56</v>
      </c>
      <c r="I23" s="26">
        <v>2.56</v>
      </c>
      <c r="J23" s="26">
        <v>2.56</v>
      </c>
      <c r="K23" s="26">
        <v>2.56</v>
      </c>
    </row>
    <row r="24" spans="1:12" x14ac:dyDescent="0.3">
      <c r="A24" t="str">
        <f>"Property Plant And Equipment"</f>
        <v>Property Plant And Equipment</v>
      </c>
      <c r="B24" s="26">
        <f>B25+B26</f>
        <v>2857</v>
      </c>
      <c r="C24" s="26">
        <f>C25+C26</f>
        <v>3167</v>
      </c>
      <c r="D24" s="26">
        <f>D25+D26</f>
        <v>3372</v>
      </c>
      <c r="E24" s="26">
        <f>E25+E26</f>
        <v>3575</v>
      </c>
      <c r="F24" s="26">
        <f>F25+F26</f>
        <v>3844</v>
      </c>
      <c r="G24" s="26">
        <f>'Income Statement Forecast'!D13/2.56</f>
        <v>3520.335</v>
      </c>
      <c r="H24" s="26">
        <f>'Income Statement Forecast'!E13/2.56</f>
        <v>3567.1886249999998</v>
      </c>
      <c r="I24" s="26">
        <f>'Income Statement Forecast'!F13/2.56</f>
        <v>3709.8761700000005</v>
      </c>
      <c r="J24" s="26">
        <f>'Income Statement Forecast'!G13/2.56</f>
        <v>3788.1208310400007</v>
      </c>
      <c r="K24" s="26">
        <f>'Income Statement Forecast'!H13/2.56</f>
        <v>3866.6892630912007</v>
      </c>
    </row>
    <row r="25" spans="1:12" x14ac:dyDescent="0.3">
      <c r="A25" t="str">
        <f>"          Initial value"</f>
        <v xml:space="preserve">          Initial value</v>
      </c>
      <c r="B25" s="26">
        <v>3877</v>
      </c>
      <c r="C25" s="26">
        <v>4516</v>
      </c>
      <c r="D25" s="26">
        <v>5023</v>
      </c>
      <c r="E25" s="26">
        <v>5539</v>
      </c>
      <c r="F25" s="26">
        <v>6096</v>
      </c>
    </row>
    <row r="26" spans="1:12" x14ac:dyDescent="0.3">
      <c r="A26" t="str">
        <f>"          Accumulated depreciation"</f>
        <v xml:space="preserve">          Accumulated depreciation</v>
      </c>
      <c r="B26" s="26">
        <v>-1020</v>
      </c>
      <c r="C26" s="26">
        <v>-1349</v>
      </c>
      <c r="D26" s="26">
        <v>-1651</v>
      </c>
      <c r="E26" s="26">
        <v>-1964</v>
      </c>
      <c r="F26" s="26">
        <v>-2252</v>
      </c>
    </row>
    <row r="28" spans="1:12" x14ac:dyDescent="0.3">
      <c r="A28" t="str">
        <f>"Long-term investments"</f>
        <v>Long-term investments</v>
      </c>
      <c r="B28" s="26">
        <v>130</v>
      </c>
      <c r="C28" s="26">
        <v>89</v>
      </c>
      <c r="D28" s="26">
        <v>1049</v>
      </c>
      <c r="E28" s="26">
        <v>1456</v>
      </c>
      <c r="F28" s="26">
        <v>1650</v>
      </c>
      <c r="G28" s="26">
        <v>1650</v>
      </c>
      <c r="H28" s="26">
        <v>1650</v>
      </c>
      <c r="I28" s="26">
        <v>1650</v>
      </c>
      <c r="J28" s="26">
        <v>1650</v>
      </c>
      <c r="K28" s="26">
        <v>1650</v>
      </c>
    </row>
    <row r="29" spans="1:12" x14ac:dyDescent="0.3">
      <c r="A29" t="str">
        <f>"Goodwill"</f>
        <v>Goodwill</v>
      </c>
      <c r="B29" s="26">
        <v>20184</v>
      </c>
      <c r="C29" s="26">
        <v>20182</v>
      </c>
      <c r="D29" s="26">
        <v>20072</v>
      </c>
      <c r="E29" s="26">
        <v>20202</v>
      </c>
      <c r="F29" s="26">
        <v>20053</v>
      </c>
      <c r="G29" s="26">
        <v>20053</v>
      </c>
      <c r="H29" s="26">
        <v>20053</v>
      </c>
      <c r="I29" s="26">
        <v>20053</v>
      </c>
      <c r="J29" s="26">
        <v>20053</v>
      </c>
      <c r="K29" s="26">
        <v>20053</v>
      </c>
    </row>
    <row r="30" spans="1:12" x14ac:dyDescent="0.3">
      <c r="A30" t="str">
        <f>"Other intangible assets"</f>
        <v>Other intangible assets</v>
      </c>
      <c r="B30" s="26">
        <v>23968</v>
      </c>
      <c r="C30" s="26">
        <v>23856</v>
      </c>
      <c r="D30" s="26">
        <v>23183</v>
      </c>
      <c r="E30" s="26">
        <v>23287</v>
      </c>
      <c r="F30" s="26">
        <v>23634</v>
      </c>
      <c r="G30" s="26">
        <v>23634</v>
      </c>
      <c r="H30" s="26">
        <v>23634</v>
      </c>
      <c r="I30" s="26">
        <v>23634</v>
      </c>
      <c r="J30" s="26">
        <v>23634</v>
      </c>
      <c r="K30" s="26">
        <v>23634</v>
      </c>
    </row>
    <row r="31" spans="1:12" x14ac:dyDescent="0.3">
      <c r="A31" t="str">
        <f>"Other long-term assets"</f>
        <v>Other long-term assets</v>
      </c>
      <c r="B31" s="26">
        <f>B32-B24-B28-B29-B30</f>
        <v>251.8235496643174</v>
      </c>
      <c r="C31" s="26">
        <f>C32-C24-C28-C29-C30</f>
        <v>246.78861468107061</v>
      </c>
      <c r="D31" s="26">
        <f>D32-D24-D28-D29-D30</f>
        <v>356.75656256669026</v>
      </c>
      <c r="E31" s="26">
        <f>E32-E24-E28-E29-E30</f>
        <v>234.80504927771108</v>
      </c>
      <c r="F31" s="26">
        <f>F32-F24-F28-F29-F30</f>
        <v>251.77610579115571</v>
      </c>
      <c r="G31" s="26">
        <v>251</v>
      </c>
      <c r="H31" s="26">
        <v>251</v>
      </c>
      <c r="I31" s="26">
        <v>251</v>
      </c>
      <c r="J31" s="26">
        <v>251</v>
      </c>
      <c r="K31" s="26">
        <v>251</v>
      </c>
    </row>
    <row r="32" spans="1:12" x14ac:dyDescent="0.3">
      <c r="A32" t="str">
        <f>"Non-current assets"</f>
        <v>Non-current assets</v>
      </c>
      <c r="B32" s="26">
        <f>B34-B21</f>
        <v>47390.823549664317</v>
      </c>
      <c r="C32" s="26">
        <f>C34-C21</f>
        <v>47540.788614681071</v>
      </c>
      <c r="D32" s="26">
        <f>D34-D21</f>
        <v>48032.75656256669</v>
      </c>
      <c r="E32" s="26">
        <f>E34-E21</f>
        <v>48754.805049277711</v>
      </c>
      <c r="F32" s="26">
        <f>F34-F21</f>
        <v>49432.776105791156</v>
      </c>
      <c r="G32" s="26">
        <f>SUM(G24,G28:G31)</f>
        <v>49108.334999999999</v>
      </c>
      <c r="H32" s="26">
        <f t="shared" ref="H32:K32" si="1">SUM(H24,H28:H31)</f>
        <v>49155.188624999995</v>
      </c>
      <c r="I32" s="26">
        <f t="shared" si="1"/>
        <v>49297.876170000003</v>
      </c>
      <c r="J32" s="26">
        <f t="shared" si="1"/>
        <v>49376.120831039996</v>
      </c>
      <c r="K32" s="26">
        <f t="shared" si="1"/>
        <v>49454.689263091204</v>
      </c>
    </row>
    <row r="34" spans="1:11" x14ac:dyDescent="0.3">
      <c r="A34" s="90" t="str">
        <f>"Total assets"</f>
        <v>Total assets</v>
      </c>
      <c r="B34" s="91">
        <v>49779</v>
      </c>
      <c r="C34" s="91">
        <v>50598</v>
      </c>
      <c r="D34" s="91">
        <v>51837</v>
      </c>
      <c r="E34" s="91">
        <v>52130</v>
      </c>
      <c r="F34" s="91">
        <v>53430</v>
      </c>
      <c r="G34" s="91">
        <f>SUM(G32,G21)</f>
        <v>52908.375192</v>
      </c>
      <c r="H34" s="91">
        <f t="shared" ref="H34:K34" si="2">SUM(H32,H21)</f>
        <v>53107.230424679998</v>
      </c>
      <c r="I34" s="91">
        <f t="shared" si="2"/>
        <v>53407.999641667207</v>
      </c>
      <c r="J34" s="91">
        <f t="shared" si="2"/>
        <v>53650.649241573883</v>
      </c>
      <c r="K34" s="92">
        <f t="shared" si="2"/>
        <v>53900.198810046451</v>
      </c>
    </row>
    <row r="36" spans="1:11" x14ac:dyDescent="0.3">
      <c r="A36" t="str">
        <f>"Trade accounts payable"</f>
        <v>Trade accounts payable</v>
      </c>
      <c r="B36" s="26">
        <v>3740</v>
      </c>
      <c r="C36" s="26">
        <v>4316</v>
      </c>
      <c r="D36" s="26">
        <v>5206</v>
      </c>
      <c r="E36" s="26">
        <v>3597</v>
      </c>
      <c r="F36" s="26">
        <v>2985</v>
      </c>
      <c r="G36" s="26">
        <f>((-'Income Statement Forecast'!D11+G13-F13)/365)*'Balance Sheet'!$F$47</f>
        <v>685.83976576275165</v>
      </c>
      <c r="H36" s="26">
        <f>((-'Income Statement Forecast'!E11+H13-G13)/365)*'Balance Sheet'!$F$47</f>
        <v>736.85188096000013</v>
      </c>
      <c r="I36" s="26">
        <f>((-'Income Statement Forecast'!F11+I13-H13)/365)*'Balance Sheet'!$F$47</f>
        <v>766.32595619840004</v>
      </c>
      <c r="J36" s="26">
        <f>((-'Income Statement Forecast'!G11+J13-I13)/365)*'Balance Sheet'!$F$47</f>
        <v>814.55027001753581</v>
      </c>
      <c r="K36" s="26">
        <f>((-'Income Statement Forecast'!H11+K13-J13)/365)*'Balance Sheet'!$F$47</f>
        <v>865.4064074122856</v>
      </c>
    </row>
    <row r="37" spans="1:11" x14ac:dyDescent="0.3">
      <c r="A37" t="str">
        <f>"Short-term loans &amp; liabilities"</f>
        <v>Short-term loans &amp; liabilities</v>
      </c>
      <c r="B37" s="26">
        <v>153</v>
      </c>
      <c r="C37" s="26">
        <v>291</v>
      </c>
      <c r="D37" s="26">
        <v>536</v>
      </c>
      <c r="E37" s="26">
        <v>2213</v>
      </c>
      <c r="F37" s="26">
        <v>1657</v>
      </c>
      <c r="G37" s="26">
        <v>1657</v>
      </c>
      <c r="H37" s="26">
        <v>1657</v>
      </c>
      <c r="I37" s="26">
        <v>1657</v>
      </c>
      <c r="J37" s="26">
        <v>1657</v>
      </c>
      <c r="K37" s="26">
        <v>1657</v>
      </c>
    </row>
    <row r="38" spans="1:11" x14ac:dyDescent="0.3">
      <c r="F38" s="26">
        <v>0.1</v>
      </c>
    </row>
    <row r="39" spans="1:11" x14ac:dyDescent="0.3">
      <c r="A39" t="str">
        <f>"Accrued expenses"</f>
        <v>Accrued expenses</v>
      </c>
      <c r="B39" s="26">
        <v>1077</v>
      </c>
      <c r="C39" s="26">
        <v>1153</v>
      </c>
      <c r="D39" s="26">
        <v>1200</v>
      </c>
      <c r="E39" s="26">
        <v>1306</v>
      </c>
      <c r="F39" s="26">
        <v>1655</v>
      </c>
      <c r="G39" s="26">
        <f>'Income Statement Forecast'!D7*10%</f>
        <v>1596.5040000000001</v>
      </c>
      <c r="H39" s="26">
        <f>'Income Statement Forecast'!E7*10%</f>
        <v>1660.3641600000003</v>
      </c>
      <c r="I39" s="26">
        <f>'Income Statement Forecast'!F7*10%</f>
        <v>1726.7787264000003</v>
      </c>
      <c r="J39" s="26">
        <f>'Income Statement Forecast'!G7*10%</f>
        <v>1795.8498754560003</v>
      </c>
      <c r="K39" s="26">
        <f>'Income Statement Forecast'!H7*10%</f>
        <v>1867.6838704742404</v>
      </c>
    </row>
    <row r="40" spans="1:11" x14ac:dyDescent="0.3">
      <c r="A40" t="s">
        <v>63</v>
      </c>
      <c r="B40" s="77">
        <f>B39/'Income Statement'!B6</f>
        <v>9.2700981236013086E-2</v>
      </c>
      <c r="C40" s="77">
        <f>C39/'Income Statement'!C6</f>
        <v>9.0909090909090912E-2</v>
      </c>
      <c r="D40" s="77">
        <f>D39/'Income Statement'!D6</f>
        <v>8.5366721206516324E-2</v>
      </c>
      <c r="E40" s="77">
        <f>E39/'Income Statement'!E6</f>
        <v>8.8159848791683537E-2</v>
      </c>
      <c r="F40" s="77">
        <f>F39/'Income Statement'!F6</f>
        <v>0.10781056608689987</v>
      </c>
    </row>
    <row r="42" spans="1:11" x14ac:dyDescent="0.3">
      <c r="A42" t="str">
        <f>"Current Portion of LT Debt/Capital Leases"</f>
        <v>Current Portion of LT Debt/Capital Leases</v>
      </c>
      <c r="B42" s="26">
        <v>2389</v>
      </c>
      <c r="C42" s="26">
        <v>234</v>
      </c>
      <c r="D42" s="26">
        <v>591</v>
      </c>
      <c r="E42" s="26">
        <v>1256</v>
      </c>
      <c r="F42" s="26">
        <v>1151</v>
      </c>
      <c r="G42" s="26">
        <v>1151</v>
      </c>
      <c r="H42" s="26">
        <v>1151</v>
      </c>
      <c r="I42" s="26">
        <v>1151</v>
      </c>
      <c r="J42" s="26">
        <v>1151</v>
      </c>
      <c r="K42" s="26">
        <v>1151</v>
      </c>
    </row>
    <row r="43" spans="1:11" x14ac:dyDescent="0.3">
      <c r="A43" t="str">
        <f>"Other current liabilities"</f>
        <v>Other current liabilities</v>
      </c>
      <c r="B43" s="26">
        <v>335</v>
      </c>
      <c r="C43" s="26">
        <v>491</v>
      </c>
      <c r="D43" s="26">
        <v>543</v>
      </c>
      <c r="E43" s="26">
        <v>544</v>
      </c>
      <c r="F43" s="26">
        <v>639</v>
      </c>
      <c r="G43" s="26">
        <v>639</v>
      </c>
      <c r="H43" s="26">
        <v>639</v>
      </c>
      <c r="I43" s="26">
        <v>639</v>
      </c>
      <c r="J43" s="26">
        <v>639</v>
      </c>
      <c r="K43" s="26">
        <v>639</v>
      </c>
    </row>
    <row r="44" spans="1:11" x14ac:dyDescent="0.3">
      <c r="A44" s="6" t="str">
        <f>"Current liabilities"</f>
        <v>Current liabilities</v>
      </c>
      <c r="B44" s="26">
        <f>B36+B37+B39+B42+B43</f>
        <v>7694</v>
      </c>
      <c r="C44" s="26">
        <f>C36+C37+C39+C42+C43</f>
        <v>6485</v>
      </c>
      <c r="D44" s="26">
        <f>D36+D37+D39+D42+D43</f>
        <v>8076</v>
      </c>
      <c r="E44" s="26">
        <f>E36+E37+E39+E42+E43</f>
        <v>8916</v>
      </c>
      <c r="F44" s="26">
        <f>F36+F37+F39+F42+F43</f>
        <v>8087</v>
      </c>
      <c r="G44" s="26">
        <f>SUM(G36:G43)</f>
        <v>5729.3437657627519</v>
      </c>
      <c r="H44" s="26">
        <f t="shared" ref="H44:K44" si="3">SUM(H36:H43)</f>
        <v>5844.2160409600001</v>
      </c>
      <c r="I44" s="26">
        <f t="shared" si="3"/>
        <v>5940.1046825984004</v>
      </c>
      <c r="J44" s="26">
        <f t="shared" si="3"/>
        <v>6057.4001454735362</v>
      </c>
      <c r="K44" s="26">
        <f t="shared" si="3"/>
        <v>6180.0902778865257</v>
      </c>
    </row>
    <row r="46" spans="1:11" s="6" customFormat="1" x14ac:dyDescent="0.3">
      <c r="A46" t="str">
        <f>"Long-term debts"</f>
        <v>Long-term debts</v>
      </c>
      <c r="B46" s="26">
        <v>11143</v>
      </c>
      <c r="C46" s="26">
        <v>11578</v>
      </c>
      <c r="D46" s="26">
        <v>11072</v>
      </c>
      <c r="E46" s="26">
        <v>9945</v>
      </c>
      <c r="F46" s="26">
        <v>12912</v>
      </c>
      <c r="G46" s="26">
        <v>12912</v>
      </c>
      <c r="H46" s="26">
        <v>12912</v>
      </c>
      <c r="I46" s="26">
        <v>12912</v>
      </c>
      <c r="J46" s="26">
        <v>12912</v>
      </c>
      <c r="K46" s="26">
        <v>12912</v>
      </c>
    </row>
    <row r="48" spans="1:11" x14ac:dyDescent="0.3">
      <c r="A48" t="s">
        <v>63</v>
      </c>
      <c r="B48" s="77">
        <f>B49/'Income Statement'!B6</f>
        <v>0.61223962816319499</v>
      </c>
      <c r="C48" s="77">
        <f>C49/'Income Statement'!C6</f>
        <v>0.59631002128833877</v>
      </c>
      <c r="D48" s="77">
        <f>D49/'Income Statement'!D6</f>
        <v>0.53802376040406918</v>
      </c>
      <c r="E48" s="77">
        <f>E49/'Income Statement'!E6</f>
        <v>0.512555690562981</v>
      </c>
      <c r="F48" s="77">
        <f>F49/'Income Statement'!F6</f>
        <v>0.53338544720213665</v>
      </c>
      <c r="G48" s="26">
        <v>0.51</v>
      </c>
      <c r="H48" s="26">
        <v>0.51</v>
      </c>
      <c r="I48" s="26">
        <v>0.51</v>
      </c>
      <c r="J48" s="26">
        <v>0.51</v>
      </c>
      <c r="K48" s="26">
        <v>0.51</v>
      </c>
    </row>
    <row r="49" spans="1:11" x14ac:dyDescent="0.3">
      <c r="A49" t="str">
        <f>"Other liabilities"</f>
        <v>Other liabilities</v>
      </c>
      <c r="B49" s="26">
        <f>B51-B46-B44</f>
        <v>7113</v>
      </c>
      <c r="C49" s="26">
        <f>C51-C46-C44</f>
        <v>7563</v>
      </c>
      <c r="D49" s="26">
        <f>D51-D46-D44</f>
        <v>7563</v>
      </c>
      <c r="E49" s="26">
        <f>E51-E46-E44</f>
        <v>7593</v>
      </c>
      <c r="F49" s="26">
        <f>F51-F46-F44</f>
        <v>8188</v>
      </c>
      <c r="G49" s="26">
        <f>51%*'Income Statement Forecast'!D7</f>
        <v>8142.1704000000009</v>
      </c>
      <c r="H49" s="26">
        <f>51%*'Income Statement Forecast'!E7</f>
        <v>8467.8572160000022</v>
      </c>
      <c r="I49" s="26">
        <f>51%*'Income Statement Forecast'!F7</f>
        <v>8806.5715046400019</v>
      </c>
      <c r="J49" s="26">
        <f>51%*'Income Statement Forecast'!G7</f>
        <v>9158.8343648256014</v>
      </c>
      <c r="K49" s="26">
        <f>51%*'Income Statement Forecast'!H7</f>
        <v>9525.1877394186267</v>
      </c>
    </row>
    <row r="51" spans="1:11" x14ac:dyDescent="0.3">
      <c r="A51" s="86" t="str">
        <f>"Total liabilities"</f>
        <v>Total liabilities</v>
      </c>
      <c r="B51" s="87">
        <v>25950</v>
      </c>
      <c r="C51" s="88">
        <v>25626</v>
      </c>
      <c r="D51" s="88">
        <v>26711</v>
      </c>
      <c r="E51" s="88">
        <v>26454</v>
      </c>
      <c r="F51" s="88">
        <v>29187</v>
      </c>
      <c r="G51" s="88">
        <f>SUM(G44,G46,G49)</f>
        <v>26783.514165762754</v>
      </c>
      <c r="H51" s="88">
        <f>SUM(H44,H46,H49)</f>
        <v>27224.07325696</v>
      </c>
      <c r="I51" s="88">
        <f>SUM(I44,I46,I49)</f>
        <v>27658.676187238401</v>
      </c>
      <c r="J51" s="88">
        <f>SUM(J44,J46,J49)</f>
        <v>28128.234510299138</v>
      </c>
      <c r="K51" s="89">
        <f>SUM(K44,K46,K49)</f>
        <v>28617.278017305154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B682-4F3A-4324-8D99-2331CDAADCEC}">
  <dimension ref="A1:F16"/>
  <sheetViews>
    <sheetView workbookViewId="0">
      <selection activeCell="B3" sqref="B3"/>
    </sheetView>
  </sheetViews>
  <sheetFormatPr defaultRowHeight="14.4" x14ac:dyDescent="0.3"/>
  <cols>
    <col min="1" max="1" width="20.44140625" bestFit="1" customWidth="1"/>
    <col min="2" max="6" width="12.6640625" bestFit="1" customWidth="1"/>
  </cols>
  <sheetData>
    <row r="1" spans="1:6" x14ac:dyDescent="0.3"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</row>
    <row r="2" spans="1:6" x14ac:dyDescent="0.3">
      <c r="A2" s="6" t="s">
        <v>52</v>
      </c>
    </row>
    <row r="3" spans="1:6" x14ac:dyDescent="0.3">
      <c r="A3" t="s">
        <v>53</v>
      </c>
      <c r="B3">
        <f>'Income Statement Forecast'!D7</f>
        <v>15965.04</v>
      </c>
      <c r="C3">
        <f>'Income Statement Forecast'!E7</f>
        <v>16603.641600000003</v>
      </c>
      <c r="D3">
        <f>'Income Statement Forecast'!F7</f>
        <v>17267.787264000002</v>
      </c>
      <c r="E3">
        <f>'Income Statement Forecast'!G7</f>
        <v>17958.498754560002</v>
      </c>
      <c r="F3">
        <f>'Income Statement Forecast'!H7</f>
        <v>18676.838704742404</v>
      </c>
    </row>
    <row r="4" spans="1:6" x14ac:dyDescent="0.3">
      <c r="A4" t="s">
        <v>54</v>
      </c>
      <c r="B4">
        <f>'Income Statement Forecast'!D11</f>
        <v>-6952.9823999999999</v>
      </c>
      <c r="C4">
        <f>'Income Statement Forecast'!E11</f>
        <v>-7471.6387200000017</v>
      </c>
      <c r="D4">
        <f>'Income Statement Forecast'!F11</f>
        <v>-7770.5042688000012</v>
      </c>
      <c r="E4">
        <f>'Income Statement Forecast'!G11</f>
        <v>-8260.9094270976002</v>
      </c>
      <c r="F4">
        <f>'Income Statement Forecast'!H11</f>
        <v>-8778.1141912289295</v>
      </c>
    </row>
    <row r="5" spans="1:6" x14ac:dyDescent="0.3">
      <c r="A5" t="s">
        <v>55</v>
      </c>
      <c r="B5">
        <f>B3+B4</f>
        <v>9012.0576000000001</v>
      </c>
      <c r="C5">
        <f t="shared" ref="C5:F5" si="0">C3+C4</f>
        <v>9132.00288</v>
      </c>
      <c r="D5">
        <f t="shared" si="0"/>
        <v>9497.2829952000011</v>
      </c>
      <c r="E5">
        <f t="shared" si="0"/>
        <v>9697.5893274624013</v>
      </c>
      <c r="F5">
        <f t="shared" si="0"/>
        <v>9898.7245135134744</v>
      </c>
    </row>
    <row r="6" spans="1:6" x14ac:dyDescent="0.3">
      <c r="A6" t="s">
        <v>56</v>
      </c>
      <c r="B6">
        <f>'Income Statement Forecast'!D14+'Income Statement Forecast'!D17+'Income Statement Forecast'!D23</f>
        <v>-5639.920000000001</v>
      </c>
      <c r="C6">
        <f>'Income Statement Forecast'!E14+'Income Statement Forecast'!E17+'Income Statement Forecast'!E23</f>
        <v>-5865.5168000000021</v>
      </c>
      <c r="D6">
        <f>'Income Statement Forecast'!F14+'Income Statement Forecast'!F17+'Income Statement Forecast'!F23</f>
        <v>-6100.1374720000013</v>
      </c>
      <c r="E6">
        <f>'Income Statement Forecast'!G14+'Income Statement Forecast'!G17+'Income Statement Forecast'!G23</f>
        <v>-6344.1429708800006</v>
      </c>
      <c r="F6">
        <f>'Income Statement Forecast'!H14+'Income Statement Forecast'!H17+'Income Statement Forecast'!H23</f>
        <v>-6597.908689715201</v>
      </c>
    </row>
    <row r="7" spans="1:6" x14ac:dyDescent="0.3">
      <c r="A7" t="s">
        <v>57</v>
      </c>
      <c r="B7">
        <f>SUM(B6,B5)</f>
        <v>3372.1375999999991</v>
      </c>
      <c r="C7">
        <f t="shared" ref="C7:F7" si="1">SUM(C6,C5)</f>
        <v>3266.4860799999979</v>
      </c>
      <c r="D7">
        <f t="shared" si="1"/>
        <v>3397.1455231999998</v>
      </c>
      <c r="E7">
        <f t="shared" si="1"/>
        <v>3353.4463565824008</v>
      </c>
      <c r="F7">
        <f t="shared" si="1"/>
        <v>3300.8158237982734</v>
      </c>
    </row>
    <row r="8" spans="1:6" x14ac:dyDescent="0.3">
      <c r="A8" t="s">
        <v>58</v>
      </c>
      <c r="B8">
        <f>B7*-'Income Statement Forecast'!D27</f>
        <v>-763.68432812321714</v>
      </c>
      <c r="C8">
        <f>C7*-'Income Statement Forecast'!E27</f>
        <v>-739.75754350256648</v>
      </c>
      <c r="D8">
        <f>D7*-'Income Statement Forecast'!F27</f>
        <v>-769.34784524266968</v>
      </c>
      <c r="E8">
        <f>E7*-'Income Statement Forecast'!G27</f>
        <v>-759.45134259167889</v>
      </c>
      <c r="F8">
        <f>F7*-'Income Statement Forecast'!H27</f>
        <v>-747.53216317622048</v>
      </c>
    </row>
    <row r="9" spans="1:6" x14ac:dyDescent="0.3">
      <c r="A9" t="s">
        <v>52</v>
      </c>
      <c r="B9">
        <f>SUM(B7,B8)</f>
        <v>2608.4532718767819</v>
      </c>
      <c r="C9">
        <f t="shared" ref="C9:F9" si="2">SUM(C7,C8)</f>
        <v>2526.7285364974314</v>
      </c>
      <c r="D9">
        <f t="shared" si="2"/>
        <v>2627.7976779573301</v>
      </c>
      <c r="E9">
        <f t="shared" si="2"/>
        <v>2593.9950139907219</v>
      </c>
      <c r="F9">
        <f t="shared" si="2"/>
        <v>2553.283660622053</v>
      </c>
    </row>
    <row r="11" spans="1:6" x14ac:dyDescent="0.3">
      <c r="A11" s="6" t="s">
        <v>108</v>
      </c>
      <c r="B11" s="72">
        <v>0.23</v>
      </c>
    </row>
    <row r="13" spans="1:6" x14ac:dyDescent="0.3">
      <c r="A13" s="6" t="s">
        <v>89</v>
      </c>
    </row>
    <row r="14" spans="1:6" x14ac:dyDescent="0.3">
      <c r="A14" t="s">
        <v>90</v>
      </c>
      <c r="B14" s="26">
        <f>'Balance Sheet Forecast'!G34-'Balance Sheet Forecast'!G28-'Balance Sheet Forecast'!G6</f>
        <v>50727.975191999998</v>
      </c>
      <c r="C14" s="26">
        <f>'Balance Sheet Forecast'!H34-'Balance Sheet Forecast'!H28-'Balance Sheet Forecast'!H6</f>
        <v>50905.614424679996</v>
      </c>
      <c r="D14" s="26">
        <f>'Balance Sheet Forecast'!I34-'Balance Sheet Forecast'!I28-'Balance Sheet Forecast'!I6</f>
        <v>51184.319001667209</v>
      </c>
      <c r="E14" s="26">
        <f>'Balance Sheet Forecast'!J34-'Balance Sheet Forecast'!J28-'Balance Sheet Forecast'!J6</f>
        <v>51404.021375973884</v>
      </c>
      <c r="F14" s="26">
        <f>'Balance Sheet Forecast'!K34-'Balance Sheet Forecast'!K28-'Balance Sheet Forecast'!K6</f>
        <v>51629.705829822451</v>
      </c>
    </row>
    <row r="15" spans="1:6" x14ac:dyDescent="0.3">
      <c r="A15" t="s">
        <v>91</v>
      </c>
      <c r="B15">
        <f>'Balance Sheet Forecast'!G51-'Balance Sheet Forecast'!G49-'Balance Sheet Forecast'!G46-'Balance Sheet Forecast'!G42-'Balance Sheet Forecast'!G37</f>
        <v>2921.343765762751</v>
      </c>
      <c r="C15">
        <f>'Balance Sheet Forecast'!H51-'Balance Sheet Forecast'!H49-'Balance Sheet Forecast'!H46-'Balance Sheet Forecast'!H42-'Balance Sheet Forecast'!H37</f>
        <v>3036.2160409599965</v>
      </c>
      <c r="D15">
        <f>'Balance Sheet Forecast'!I51-'Balance Sheet Forecast'!I49-'Balance Sheet Forecast'!I46-'Balance Sheet Forecast'!I42-'Balance Sheet Forecast'!I37</f>
        <v>3132.1046825984013</v>
      </c>
      <c r="E15">
        <f>'Balance Sheet Forecast'!J51-'Balance Sheet Forecast'!J49-'Balance Sheet Forecast'!J46-'Balance Sheet Forecast'!J42-'Balance Sheet Forecast'!J37</f>
        <v>3249.4001454735371</v>
      </c>
      <c r="F15">
        <f>'Balance Sheet Forecast'!K51-'Balance Sheet Forecast'!K49-'Balance Sheet Forecast'!K46-'Balance Sheet Forecast'!K42-'Balance Sheet Forecast'!K37</f>
        <v>3372.0902778865275</v>
      </c>
    </row>
    <row r="16" spans="1:6" x14ac:dyDescent="0.3">
      <c r="A16" t="s">
        <v>92</v>
      </c>
      <c r="B16" s="26">
        <f>B14-B15</f>
        <v>47806.631426237247</v>
      </c>
      <c r="C16" s="26">
        <f t="shared" ref="C16:F16" si="3">C14-C15</f>
        <v>47869.398383719999</v>
      </c>
      <c r="D16" s="26">
        <f t="shared" si="3"/>
        <v>48052.214319068808</v>
      </c>
      <c r="E16" s="26">
        <f t="shared" si="3"/>
        <v>48154.621230500343</v>
      </c>
      <c r="F16" s="26">
        <f t="shared" si="3"/>
        <v>48257.615551935924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Income Statement</vt:lpstr>
      <vt:lpstr>Balance Sheet</vt:lpstr>
      <vt:lpstr>Cash Flow</vt:lpstr>
      <vt:lpstr>O&amp;F Income Statements</vt:lpstr>
      <vt:lpstr>O&amp;F Balance Sheets</vt:lpstr>
      <vt:lpstr>ROE Breakdown</vt:lpstr>
      <vt:lpstr>Income Statement Forecast</vt:lpstr>
      <vt:lpstr>Balance Sheet Forecast</vt:lpstr>
      <vt:lpstr>NOPAT NOA</vt:lpstr>
      <vt:lpstr>WACC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 Chaudhary</dc:creator>
  <cp:lastModifiedBy>Ashvin Chaudhary</cp:lastModifiedBy>
  <dcterms:created xsi:type="dcterms:W3CDTF">2025-03-18T18:56:48Z</dcterms:created>
  <dcterms:modified xsi:type="dcterms:W3CDTF">2025-03-19T09:54:32Z</dcterms:modified>
</cp:coreProperties>
</file>