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telfo.github.io\assets\"/>
    </mc:Choice>
  </mc:AlternateContent>
  <xr:revisionPtr revIDLastSave="0" documentId="13_ncr:1_{14D822BF-D3E6-4D9F-B585-AAF29000DCA2}" xr6:coauthVersionLast="47" xr6:coauthVersionMax="47" xr10:uidLastSave="{00000000-0000-0000-0000-000000000000}"/>
  <bookViews>
    <workbookView xWindow="-28920" yWindow="2280" windowWidth="29040" windowHeight="16440" activeTab="4" xr2:uid="{81DE6EE8-0027-492D-AF58-69F03109B8D0}"/>
  </bookViews>
  <sheets>
    <sheet name="Average time to Dx" sheetId="1" r:id="rId1"/>
    <sheet name="Time to Dx vs. mortality" sheetId="3" r:id="rId2"/>
    <sheet name="Treatment seeking rates" sheetId="4" r:id="rId3"/>
    <sheet name="Treatment rates" sheetId="6" r:id="rId4"/>
    <sheet name="p(Dx+)" sheetId="5" r:id="rId5"/>
    <sheet name="Search strategy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3" l="1"/>
  <c r="AH4" i="3"/>
  <c r="AF5" i="3"/>
  <c r="AH5" i="3"/>
  <c r="AF6" i="3"/>
  <c r="AH6" i="3"/>
  <c r="AF7" i="3"/>
  <c r="AH7" i="3"/>
  <c r="AF8" i="3"/>
  <c r="AH8" i="3"/>
  <c r="AF9" i="3"/>
  <c r="AH9" i="3"/>
  <c r="AF10" i="3"/>
  <c r="AH10" i="3"/>
  <c r="AF11" i="3"/>
  <c r="AH11" i="3"/>
  <c r="AF12" i="3"/>
  <c r="AH12" i="3"/>
  <c r="AF13" i="3"/>
  <c r="AH13" i="3"/>
  <c r="AF14" i="3"/>
  <c r="AH14" i="3"/>
  <c r="AF15" i="3"/>
  <c r="AH15" i="3"/>
  <c r="AF16" i="3"/>
  <c r="AH16" i="3"/>
  <c r="AF17" i="3"/>
  <c r="AH17" i="3"/>
  <c r="AF18" i="3"/>
  <c r="AH18" i="3"/>
  <c r="AF19" i="3"/>
  <c r="AH19" i="3"/>
  <c r="AF20" i="3"/>
  <c r="AH20" i="3"/>
  <c r="AF21" i="3"/>
  <c r="AH21" i="3"/>
  <c r="AF22" i="3"/>
  <c r="AH3" i="3"/>
  <c r="C14" i="5"/>
  <c r="C13" i="5"/>
  <c r="C12" i="5"/>
  <c r="C11" i="5"/>
  <c r="C10" i="5"/>
  <c r="C9" i="5"/>
  <c r="C8" i="5"/>
  <c r="C7" i="5"/>
  <c r="C6" i="5"/>
  <c r="C5" i="5"/>
  <c r="C4" i="5"/>
  <c r="C3" i="5"/>
  <c r="C2" i="5"/>
  <c r="D29" i="3"/>
  <c r="D14" i="3"/>
  <c r="D27" i="3"/>
  <c r="D2" i="3"/>
  <c r="D47" i="3"/>
  <c r="D7" i="3"/>
  <c r="D15" i="3"/>
  <c r="D35" i="3"/>
  <c r="D50" i="3"/>
  <c r="C49" i="3"/>
  <c r="F49" i="3" s="1"/>
  <c r="C5" i="3"/>
  <c r="F5" i="3" s="1"/>
  <c r="C42" i="3"/>
  <c r="F42" i="3" s="1"/>
  <c r="C44" i="3"/>
  <c r="F44" i="3" s="1"/>
  <c r="C30" i="3"/>
  <c r="F30" i="3" s="1"/>
  <c r="C32" i="3"/>
  <c r="F32" i="3" s="1"/>
  <c r="C7" i="3"/>
  <c r="F7" i="3" s="1"/>
  <c r="C50" i="3"/>
  <c r="F50" i="3" s="1"/>
  <c r="C52" i="3"/>
  <c r="F52" i="3" s="1"/>
  <c r="C24" i="3"/>
  <c r="F24" i="3" s="1"/>
  <c r="C43" i="3"/>
  <c r="F43" i="3" s="1"/>
  <c r="C22" i="3"/>
  <c r="F22" i="3" s="1"/>
  <c r="C35" i="3"/>
  <c r="F35" i="3" s="1"/>
  <c r="C47" i="3"/>
  <c r="F47" i="3" s="1"/>
  <c r="C27" i="3"/>
  <c r="F27" i="3" s="1"/>
  <c r="C45" i="3"/>
  <c r="F45" i="3" s="1"/>
  <c r="C15" i="3"/>
  <c r="F15" i="3" s="1"/>
  <c r="C3" i="3"/>
  <c r="F3" i="3" s="1"/>
  <c r="C13" i="3"/>
  <c r="F13" i="3" s="1"/>
  <c r="C41" i="3"/>
  <c r="F41" i="3" s="1"/>
  <c r="C4" i="3"/>
  <c r="F4" i="3" s="1"/>
  <c r="L3" i="1"/>
  <c r="L4" i="1"/>
  <c r="L5" i="1"/>
  <c r="L6" i="1"/>
  <c r="L37" i="1"/>
  <c r="L40" i="1"/>
  <c r="L27" i="1"/>
  <c r="L28" i="1"/>
  <c r="L29" i="1"/>
  <c r="L43" i="1"/>
  <c r="L47" i="1"/>
  <c r="L83" i="1"/>
  <c r="L45" i="1"/>
  <c r="L48" i="1"/>
  <c r="L66" i="1"/>
  <c r="L84" i="1"/>
  <c r="L95" i="1"/>
  <c r="L85" i="1"/>
  <c r="L86" i="1"/>
  <c r="L92" i="1"/>
  <c r="L11" i="1"/>
  <c r="L8" i="1"/>
  <c r="L14" i="1"/>
  <c r="L38" i="1"/>
  <c r="L54" i="1"/>
  <c r="L60" i="1"/>
  <c r="L64" i="1"/>
  <c r="L76" i="1"/>
  <c r="L90" i="1"/>
  <c r="L91" i="1"/>
  <c r="L93" i="1"/>
  <c r="L30" i="1"/>
  <c r="L52" i="1"/>
  <c r="L58" i="1"/>
  <c r="L2" i="1"/>
  <c r="L19" i="1"/>
  <c r="L31" i="1"/>
  <c r="L32" i="1"/>
  <c r="L33" i="1"/>
  <c r="L34" i="1"/>
  <c r="L35" i="1"/>
  <c r="L36" i="1"/>
  <c r="L39" i="1"/>
  <c r="L41" i="1"/>
  <c r="L42" i="1"/>
  <c r="L46" i="1"/>
  <c r="L49" i="1"/>
  <c r="L51" i="1"/>
  <c r="L55" i="1"/>
  <c r="L59" i="1"/>
  <c r="L62" i="1"/>
  <c r="L61" i="1"/>
  <c r="L63" i="1"/>
  <c r="L65" i="1"/>
  <c r="L67" i="1"/>
  <c r="L68" i="1"/>
  <c r="L70" i="1"/>
  <c r="L71" i="1"/>
  <c r="L72" i="1"/>
  <c r="L73" i="1"/>
  <c r="L74" i="1"/>
  <c r="L77" i="1"/>
  <c r="L78" i="1"/>
  <c r="L79" i="1"/>
  <c r="L81" i="1"/>
  <c r="L87" i="1"/>
  <c r="L88" i="1"/>
  <c r="L89" i="1"/>
  <c r="L13" i="1"/>
  <c r="L7" i="1"/>
  <c r="L9" i="1"/>
  <c r="L10" i="1"/>
  <c r="L15" i="1"/>
  <c r="L17" i="1"/>
  <c r="L18" i="1"/>
  <c r="L21" i="1"/>
  <c r="L22" i="1"/>
  <c r="L24" i="1"/>
  <c r="L57" i="1"/>
  <c r="L80" i="1"/>
  <c r="L94" i="1"/>
  <c r="L50" i="1"/>
  <c r="L75" i="1"/>
  <c r="L12" i="1"/>
  <c r="L16" i="1"/>
  <c r="L20" i="1"/>
  <c r="L23" i="1"/>
  <c r="L26" i="1"/>
  <c r="L25" i="1"/>
  <c r="L44" i="1"/>
  <c r="L53" i="1"/>
  <c r="L56" i="1"/>
  <c r="L69" i="1"/>
  <c r="L82" i="1"/>
  <c r="I86" i="1"/>
  <c r="I44" i="1"/>
  <c r="C21" i="3" s="1"/>
  <c r="F21" i="3" s="1"/>
  <c r="I93" i="1"/>
  <c r="I37" i="1"/>
  <c r="C48" i="3" s="1"/>
  <c r="F48" i="3" s="1"/>
  <c r="I47" i="1"/>
  <c r="I43" i="1"/>
  <c r="C9" i="3" s="1"/>
  <c r="F9" i="3" s="1"/>
  <c r="I83" i="1"/>
  <c r="C31" i="3" s="1"/>
  <c r="F31" i="3" s="1"/>
  <c r="E2" i="1"/>
  <c r="I2" i="1"/>
  <c r="C2" i="3" s="1"/>
  <c r="F2" i="3" s="1"/>
  <c r="I35" i="1"/>
  <c r="C8" i="3" s="1"/>
  <c r="F8" i="3" s="1"/>
  <c r="I87" i="1"/>
  <c r="C34" i="3" s="1"/>
  <c r="F34" i="3" s="1"/>
  <c r="I31" i="1"/>
  <c r="C10" i="3" s="1"/>
  <c r="F10" i="3" s="1"/>
  <c r="I10" i="1"/>
  <c r="I20" i="1"/>
  <c r="I25" i="1"/>
  <c r="I48" i="1"/>
  <c r="C26" i="3" s="1"/>
  <c r="F26" i="3" s="1"/>
  <c r="I84" i="1"/>
  <c r="I75" i="1"/>
  <c r="C38" i="3" s="1"/>
  <c r="F38" i="3" s="1"/>
  <c r="I21" i="1"/>
  <c r="C14" i="3" s="1"/>
  <c r="F14" i="3" s="1"/>
  <c r="I53" i="1"/>
  <c r="C16" i="3" s="1"/>
  <c r="F16" i="3" s="1"/>
  <c r="I18" i="1"/>
  <c r="I95" i="1"/>
  <c r="I27" i="1"/>
  <c r="I17" i="1"/>
  <c r="I57" i="1"/>
  <c r="C25" i="3" s="1"/>
  <c r="F25" i="3" s="1"/>
  <c r="I7" i="1"/>
  <c r="I22" i="1"/>
  <c r="I69" i="1"/>
  <c r="C11" i="3" s="1"/>
  <c r="F11" i="3" s="1"/>
  <c r="I94" i="1"/>
  <c r="I76" i="1"/>
  <c r="I91" i="1"/>
  <c r="I8" i="1"/>
  <c r="I90" i="1"/>
  <c r="I14" i="1"/>
  <c r="I89" i="1"/>
  <c r="C36" i="3" s="1"/>
  <c r="F36" i="3" s="1"/>
  <c r="I81" i="1"/>
  <c r="C28" i="3" s="1"/>
  <c r="F28" i="3" s="1"/>
  <c r="I46" i="1"/>
  <c r="I28" i="1"/>
  <c r="C20" i="3" s="1"/>
  <c r="F20" i="3" s="1"/>
  <c r="I13" i="1"/>
  <c r="I58" i="1"/>
  <c r="C40" i="3" s="1"/>
  <c r="F40" i="3" s="1"/>
  <c r="I52" i="1"/>
  <c r="I30" i="1"/>
  <c r="C19" i="3" s="1"/>
  <c r="F19" i="3" s="1"/>
  <c r="I23" i="1"/>
  <c r="C6" i="3" s="1"/>
  <c r="F6" i="3" s="1"/>
  <c r="I66" i="1"/>
  <c r="I29" i="1"/>
  <c r="I34" i="1"/>
  <c r="C12" i="3" s="1"/>
  <c r="F12" i="3" s="1"/>
  <c r="I16" i="1"/>
  <c r="I26" i="1"/>
  <c r="I45" i="1"/>
  <c r="I68" i="1"/>
  <c r="C17" i="3" s="1"/>
  <c r="F17" i="3" s="1"/>
  <c r="I39" i="1"/>
  <c r="C23" i="3" s="1"/>
  <c r="F23" i="3" s="1"/>
  <c r="I19" i="1"/>
  <c r="C46" i="3" s="1"/>
  <c r="F46" i="3" s="1"/>
  <c r="I92" i="1"/>
  <c r="I40" i="1"/>
  <c r="I62" i="1"/>
  <c r="I78" i="1"/>
  <c r="I38" i="1"/>
  <c r="I54" i="1"/>
  <c r="I64" i="1"/>
  <c r="I60" i="1"/>
  <c r="C33" i="3" s="1"/>
  <c r="F33" i="3" s="1"/>
  <c r="I11" i="1"/>
  <c r="I15" i="1"/>
  <c r="I3" i="1"/>
  <c r="I6" i="1"/>
  <c r="I4" i="1"/>
  <c r="I41" i="1"/>
  <c r="I65" i="1"/>
  <c r="I55" i="1"/>
  <c r="I73" i="1"/>
  <c r="I70" i="1"/>
  <c r="I67" i="1"/>
  <c r="I77" i="1"/>
  <c r="C53" i="3" s="1"/>
  <c r="F53" i="3" s="1"/>
  <c r="I63" i="1"/>
  <c r="I72" i="1"/>
  <c r="I79" i="1"/>
  <c r="I71" i="1"/>
  <c r="I59" i="1"/>
  <c r="I61" i="1"/>
  <c r="I49" i="1"/>
  <c r="I51" i="1"/>
  <c r="I42" i="1"/>
  <c r="I32" i="1"/>
  <c r="I88" i="1"/>
  <c r="I74" i="1"/>
  <c r="C37" i="3" s="1"/>
  <c r="F37" i="3" s="1"/>
  <c r="I82" i="1"/>
  <c r="I56" i="1"/>
  <c r="I85" i="1"/>
  <c r="I24" i="1"/>
  <c r="C29" i="3" s="1"/>
  <c r="F29" i="3" s="1"/>
  <c r="I36" i="1"/>
  <c r="I50" i="1"/>
  <c r="C51" i="3" s="1"/>
  <c r="F51" i="3" s="1"/>
  <c r="I80" i="1"/>
  <c r="C39" i="3" s="1"/>
  <c r="F39" i="3" s="1"/>
  <c r="I33" i="1"/>
  <c r="C18" i="3" s="1"/>
  <c r="F18" i="3" s="1"/>
  <c r="I9" i="1"/>
  <c r="I12" i="1"/>
  <c r="E5" i="1"/>
  <c r="I5" i="1" s="1"/>
  <c r="E2" i="3" l="1"/>
  <c r="E37" i="3"/>
  <c r="E35" i="3"/>
  <c r="E14" i="3"/>
  <c r="E29" i="3"/>
  <c r="E7" i="3"/>
  <c r="E47" i="3"/>
  <c r="E5" i="3"/>
  <c r="E50" i="3"/>
  <c r="E22" i="3"/>
  <c r="E11" i="3"/>
  <c r="E40" i="3"/>
  <c r="E26" i="3"/>
  <c r="E6" i="3"/>
  <c r="E52" i="3"/>
  <c r="E32" i="3"/>
  <c r="E42" i="3"/>
  <c r="E3" i="3"/>
  <c r="E39" i="3"/>
  <c r="E20" i="3"/>
  <c r="E31" i="3"/>
  <c r="E13" i="3"/>
  <c r="E19" i="3"/>
  <c r="E34" i="3"/>
  <c r="E41" i="3"/>
  <c r="E15" i="3"/>
  <c r="E8" i="3"/>
  <c r="E9" i="3"/>
  <c r="E49" i="3"/>
  <c r="E36" i="3"/>
  <c r="E25" i="3"/>
  <c r="E53" i="3"/>
  <c r="E43" i="3"/>
  <c r="E48" i="3"/>
  <c r="E16" i="3"/>
  <c r="E51" i="3"/>
  <c r="E33" i="3"/>
  <c r="E28" i="3"/>
  <c r="E38" i="3"/>
  <c r="E46" i="3"/>
  <c r="E21" i="3"/>
  <c r="E27" i="3"/>
  <c r="E17" i="3"/>
  <c r="E24" i="3"/>
  <c r="E30" i="3"/>
  <c r="E18" i="3"/>
  <c r="E44" i="3"/>
  <c r="E4" i="3"/>
  <c r="E23" i="3"/>
  <c r="E10" i="3"/>
  <c r="E12" i="3"/>
  <c r="E45" i="3"/>
</calcChain>
</file>

<file path=xl/sharedStrings.xml><?xml version="1.0" encoding="utf-8"?>
<sst xmlns="http://schemas.openxmlformats.org/spreadsheetml/2006/main" count="1023" uniqueCount="413">
  <si>
    <t>Indication</t>
  </si>
  <si>
    <t>Notes</t>
  </si>
  <si>
    <t>Source</t>
  </si>
  <si>
    <t>Country or region</t>
  </si>
  <si>
    <t>Spain</t>
  </si>
  <si>
    <t>https://pubmed.ncbi.nlm.nih.gov/28578373/</t>
  </si>
  <si>
    <t>Year(s) of study</t>
  </si>
  <si>
    <t>https://pubmed.ncbi.nlm.nih.gov/23989072/</t>
  </si>
  <si>
    <t>March 2002 and May 2006</t>
  </si>
  <si>
    <t>Pulmonary thromboembolism</t>
  </si>
  <si>
    <t>Turkey</t>
  </si>
  <si>
    <t>January 1, 2003, and June 30, 2005</t>
  </si>
  <si>
    <t>Average or median</t>
  </si>
  <si>
    <t>Median</t>
  </si>
  <si>
    <t>Average</t>
  </si>
  <si>
    <t>Unit of time</t>
  </si>
  <si>
    <t>Days</t>
  </si>
  <si>
    <t>https://pubmed.ncbi.nlm.nih.gov/17499844/</t>
  </si>
  <si>
    <t>August 1, 1999, through November 30, 1999</t>
  </si>
  <si>
    <t>North America</t>
  </si>
  <si>
    <t>Deep vein thrombosis</t>
  </si>
  <si>
    <t>https://pubmed.ncbi.nlm.nih.gov/16304286/</t>
  </si>
  <si>
    <t>Australia</t>
  </si>
  <si>
    <t>https://pubmed.ncbi.nlm.nih.gov/26807846/</t>
  </si>
  <si>
    <t>Young-onset (&lt;65) fronto-temporal dementia</t>
  </si>
  <si>
    <t>Young-onset (&lt;65) Alzheimers</t>
  </si>
  <si>
    <t>Young-onset (&lt;65) dementia, non-AD and non-FTD</t>
  </si>
  <si>
    <t>Months</t>
  </si>
  <si>
    <t>2011 and 2012</t>
  </si>
  <si>
    <t>Netherlands</t>
  </si>
  <si>
    <t>Variance</t>
  </si>
  <si>
    <t>35.5 to 146.2 (IQR)</t>
  </si>
  <si>
    <t>Young-onset (&lt;65) dementia (all types)</t>
  </si>
  <si>
    <t>Years</t>
  </si>
  <si>
    <t>Late-onset (&gt;65) dementia (all types)</t>
  </si>
  <si>
    <t>3.1 (SD)</t>
  </si>
  <si>
    <t>2.1 (SD)</t>
  </si>
  <si>
    <t>3.0 (SD)</t>
  </si>
  <si>
    <t>3.6 (SD)</t>
  </si>
  <si>
    <t>Young-onset (&lt;65) vascular and mixed dementia</t>
  </si>
  <si>
    <t>2.7 (SD)</t>
  </si>
  <si>
    <t>Late-onset (&gt;65) Alzheimers</t>
  </si>
  <si>
    <t>Late-onset (&gt;65) fronto-temporal dementia</t>
  </si>
  <si>
    <t>Late-onset (&gt;65) vascular and mixed dementia</t>
  </si>
  <si>
    <t>2.2 (SD)</t>
  </si>
  <si>
    <t>3.3 (SD)</t>
  </si>
  <si>
    <t>1.8 (SD)</t>
  </si>
  <si>
    <t>Dementia (all types)</t>
  </si>
  <si>
    <t>Alzheimers</t>
  </si>
  <si>
    <t>Fronto-temporal dementia</t>
  </si>
  <si>
    <t>Vascular and mixed dementia</t>
  </si>
  <si>
    <t>2.8 (SD)</t>
  </si>
  <si>
    <t>3.5 (SD)</t>
  </si>
  <si>
    <t>2.4 (SD)</t>
  </si>
  <si>
    <t>https://pubmed.ncbi.nlm.nih.gov/22640548/</t>
  </si>
  <si>
    <t>Amyotrophic lateral sclerosis</t>
  </si>
  <si>
    <t>Egypt</t>
  </si>
  <si>
    <t>16.3 (SD)</t>
  </si>
  <si>
    <t>15 December 2018 to 14 January 2020</t>
  </si>
  <si>
    <t>https://pubmed.ncbi.nlm.nih.gov/32406248/</t>
  </si>
  <si>
    <t>https://pubmed.ncbi.nlm.nih.gov/22169158/</t>
  </si>
  <si>
    <t>2000 to 2007</t>
  </si>
  <si>
    <t>Italy</t>
  </si>
  <si>
    <t>6 to 21 (range)</t>
  </si>
  <si>
    <t>Switzerland</t>
  </si>
  <si>
    <t>October 2014 and January 2016</t>
  </si>
  <si>
    <t>Narcolepsy type 1</t>
  </si>
  <si>
    <t>11 (SD)</t>
  </si>
  <si>
    <t>n/a</t>
  </si>
  <si>
    <t>https://pubmed.ncbi.nlm.nih.gov/27149919/</t>
  </si>
  <si>
    <t>Meta-analysis</t>
  </si>
  <si>
    <t>Published 2021</t>
  </si>
  <si>
    <t>Axial spondyloarthritis</t>
  </si>
  <si>
    <t>https://pubmed.ncbi.nlm.nih.gov/33428758/</t>
  </si>
  <si>
    <t>Psoriatic arthritis</t>
  </si>
  <si>
    <t>6.2 to 7.2 (CI)</t>
  </si>
  <si>
    <t>1.6 to 3.6 (CI)</t>
  </si>
  <si>
    <t>Endometriosis</t>
  </si>
  <si>
    <t>3 to 14 (IQR)</t>
  </si>
  <si>
    <t>https://pubmed.ncbi.nlm.nih.gov/31328629/</t>
  </si>
  <si>
    <t>United Kingdom</t>
  </si>
  <si>
    <t>Oral carcinoma</t>
  </si>
  <si>
    <t>2000 to 2016</t>
  </si>
  <si>
    <t>https://pubmed.ncbi.nlm.nih.gov/30235466/</t>
  </si>
  <si>
    <t>Time in months (formula)</t>
  </si>
  <si>
    <t>Therapy area</t>
  </si>
  <si>
    <t xml:space="preserve">Oral squamous cell carcinoma </t>
  </si>
  <si>
    <t>Oncology</t>
  </si>
  <si>
    <t>Cardiovascular</t>
  </si>
  <si>
    <t>Neurology</t>
  </si>
  <si>
    <t>Rheumatology</t>
  </si>
  <si>
    <t>Gynecology</t>
  </si>
  <si>
    <t>Published 2020</t>
  </si>
  <si>
    <t>10 to 16 (range)</t>
  </si>
  <si>
    <t>https://pubmed.ncbi.nlm.nih.gov/32763509/</t>
  </si>
  <si>
    <t>Idiopathic pulmonary fibrosis</t>
  </si>
  <si>
    <t>Respiratory</t>
  </si>
  <si>
    <t>https://pubmed.ncbi.nlm.nih.gov/31126287/</t>
  </si>
  <si>
    <t>0.9 to 5.0 (IQR)</t>
  </si>
  <si>
    <t>Denmark</t>
  </si>
  <si>
    <t>https://pubmed.ncbi.nlm.nih.gov/32075625/</t>
  </si>
  <si>
    <t>Bipolar disorder</t>
  </si>
  <si>
    <t>Psychiatry</t>
  </si>
  <si>
    <t>Hungary</t>
  </si>
  <si>
    <t>1 January 2015 to 31 December 2016</t>
  </si>
  <si>
    <t>Ataxia telangiectasia</t>
  </si>
  <si>
    <t>Since May 2009</t>
  </si>
  <si>
    <t>Diagnostic delay (time from symptoms to Dx)</t>
  </si>
  <si>
    <t>0 to 118 (range)</t>
  </si>
  <si>
    <t>https://pubmed.ncbi.nlm.nih.gov/27799156/</t>
  </si>
  <si>
    <t>14 to 120 (IQR)</t>
  </si>
  <si>
    <t>https://pubmed.ncbi.nlm.nih.gov/30929127/</t>
  </si>
  <si>
    <t>Pediatric central nervous system tumours</t>
  </si>
  <si>
    <t>January 1, 2008 and December 31, 2017</t>
  </si>
  <si>
    <t>United States</t>
  </si>
  <si>
    <t xml:space="preserve">Giant cell arteritis </t>
  </si>
  <si>
    <t>Weeks</t>
  </si>
  <si>
    <t>6.5 to 11.4 (CI)</t>
  </si>
  <si>
    <t>Published 2017</t>
  </si>
  <si>
    <t>Meta-analysis in low and middle income countries</t>
  </si>
  <si>
    <t>Pulmonary tuberculosis</t>
  </si>
  <si>
    <t>Infectious disease</t>
  </si>
  <si>
    <t>https://pubmed.ncbi.nlm.nih.gov/29237451/</t>
  </si>
  <si>
    <t>https://pubmed.ncbi.nlm.nih.gov/28655311/</t>
  </si>
  <si>
    <t>Cushing's syndrome</t>
  </si>
  <si>
    <t>https://pubmed.ncbi.nlm.nih.gov/31665382/</t>
  </si>
  <si>
    <t>Ectopic Cushing's syndrome</t>
  </si>
  <si>
    <t>Adrenal Cushing's syndrome</t>
  </si>
  <si>
    <t>Pituitary Cushing's syndrome</t>
  </si>
  <si>
    <t>DISEASE AND ((delay AND diagnosis) OR (symptom AND (onset OR duration)))</t>
  </si>
  <si>
    <t>"diagnostic delay"</t>
  </si>
  <si>
    <t>Cluster headache</t>
  </si>
  <si>
    <t>2012–2017</t>
  </si>
  <si>
    <t>0 to 47 (range)</t>
  </si>
  <si>
    <t>https://pubmed.ncbi.nlm.nih.gov/31291778/</t>
  </si>
  <si>
    <t>2004 to 2017</t>
  </si>
  <si>
    <t>Australia and New Zealand</t>
  </si>
  <si>
    <t>Pulmonary arterial hypertension</t>
  </si>
  <si>
    <t>0.6 to 2.7 (IQR)</t>
  </si>
  <si>
    <t>https://pubmed.ncbi.nlm.nih.gov/31997504/</t>
  </si>
  <si>
    <t>https://pubmed.ncbi.nlm.nih.gov/30041937/</t>
  </si>
  <si>
    <t>Erythropoietic protoporphyria</t>
  </si>
  <si>
    <t>Published 2018</t>
  </si>
  <si>
    <t>Spinal muscular atrophy type 1</t>
  </si>
  <si>
    <t>Spinal muscular atrophy type 2</t>
  </si>
  <si>
    <t>Spinal muscular atrophy type 3</t>
  </si>
  <si>
    <t>Published 2015</t>
  </si>
  <si>
    <t>https://pubmed.ncbi.nlm.nih.gov/26260993/</t>
  </si>
  <si>
    <t>Hematology</t>
  </si>
  <si>
    <t>Caroli syndrome</t>
  </si>
  <si>
    <t>China</t>
  </si>
  <si>
    <t>1 month to 29 years (range)</t>
  </si>
  <si>
    <t>https://pubmed.ncbi.nlm.nih.gov/32993513/</t>
  </si>
  <si>
    <t>January 1 2005 to August 1 2019</t>
  </si>
  <si>
    <t>Gastroenterology</t>
  </si>
  <si>
    <t>https://pubmed.ncbi.nlm.nih.gov/30715607/</t>
  </si>
  <si>
    <t>Austria</t>
  </si>
  <si>
    <t>Crohn's disease</t>
  </si>
  <si>
    <t>2 to 23 (range)</t>
  </si>
  <si>
    <t>Ulcerative colitis</t>
  </si>
  <si>
    <t>1 to 10 (range)</t>
  </si>
  <si>
    <t>May 2014 and July 2015</t>
  </si>
  <si>
    <t>Focal epilepsy</t>
  </si>
  <si>
    <t>Finland</t>
  </si>
  <si>
    <t>1995 to 2016</t>
  </si>
  <si>
    <t>0 to 362 (range)</t>
  </si>
  <si>
    <t>https://pubmed.ncbi.nlm.nih.gov/33336131/</t>
  </si>
  <si>
    <t>Dermatitis herpetiformis</t>
  </si>
  <si>
    <t>Dermatology</t>
  </si>
  <si>
    <t>2000 to 2014</t>
  </si>
  <si>
    <t>4 to 24 (IQR)</t>
  </si>
  <si>
    <t>https://pubmed.ncbi.nlm.nih.gov/29048096/</t>
  </si>
  <si>
    <t>Eosinophilic gastritis and/or eosinophilic duodenitis</t>
  </si>
  <si>
    <t>2008 to 2018</t>
  </si>
  <si>
    <t>https://pubmed.ncbi.nlm.nih.gov/33440255/</t>
  </si>
  <si>
    <t>France</t>
  </si>
  <si>
    <t>https://pubmed.ncbi.nlm.nih.gov/24529604/</t>
  </si>
  <si>
    <t>Between September 2002 and July 2012</t>
  </si>
  <si>
    <t>Patients diagnosed between 1988 and 2017</t>
  </si>
  <si>
    <t>1 to 24 (range)</t>
  </si>
  <si>
    <t>Mucopolysaccharidosis I (Hurler patients)</t>
  </si>
  <si>
    <t>Mucopolysaccharidosis I (non-Hurler patients)</t>
  </si>
  <si>
    <t>2 to 147 (range)</t>
  </si>
  <si>
    <t>Mucopolysaccharidosis III</t>
  </si>
  <si>
    <t>1 to 365 (range)</t>
  </si>
  <si>
    <t>https://pubmed.ncbi.nlm.nih.gov/29310675/</t>
  </si>
  <si>
    <t>Progressive multifocal leukoencephalopathy</t>
  </si>
  <si>
    <t>1993 to 2015</t>
  </si>
  <si>
    <t>1 to 1643 (range)</t>
  </si>
  <si>
    <t>https://pubmed.ncbi.nlm.nih.gov/27231708/</t>
  </si>
  <si>
    <t>https://pubmed.ncbi.nlm.nih.gov/32516514/</t>
  </si>
  <si>
    <t>3.82 (SD)</t>
  </si>
  <si>
    <t>Oral pemphigus vulgaris</t>
  </si>
  <si>
    <t>January 2018 to August 2019</t>
  </si>
  <si>
    <t>Between 2015 and 2019</t>
  </si>
  <si>
    <t>Chronic inflammatory demyelinating polyneuropathy</t>
  </si>
  <si>
    <t>2 to 132 (range)</t>
  </si>
  <si>
    <t>https://pubmed.ncbi.nlm.nih.gov/33170339/</t>
  </si>
  <si>
    <t>1.5 (Standard Error)</t>
  </si>
  <si>
    <t>Migraine with aura</t>
  </si>
  <si>
    <t>Migraine without aura</t>
  </si>
  <si>
    <t>1.2 (Standard Error)</t>
  </si>
  <si>
    <t>https://pubmed.ncbi.nlm.nih.gov/23695065/</t>
  </si>
  <si>
    <t>Published 2013</t>
  </si>
  <si>
    <t>Infantile Pompe disease</t>
  </si>
  <si>
    <t>Late onset Pompe disease</t>
  </si>
  <si>
    <t>DACH</t>
  </si>
  <si>
    <t>Published 2019</t>
  </si>
  <si>
    <t>1.5 to 6 (range)</t>
  </si>
  <si>
    <t>12 to 480 (range)</t>
  </si>
  <si>
    <t>https://pubmed.ncbi.nlm.nih.gov/31497486/</t>
  </si>
  <si>
    <t>Since 2004</t>
  </si>
  <si>
    <t>Worldwide, registry</t>
  </si>
  <si>
    <t>Infantile Pompe disease with cardiomyopathy</t>
  </si>
  <si>
    <t>Infantile Pompe disease without cardiomyopathy</t>
  </si>
  <si>
    <t>0 to 13.9 (range)</t>
  </si>
  <si>
    <t>0 to 60 (range)</t>
  </si>
  <si>
    <t>0 to 49.8 (range)</t>
  </si>
  <si>
    <t>https://pubmed.ncbi.nlm.nih.gov/23997011/</t>
  </si>
  <si>
    <t>Adult attention deficit-hyperactivity disorder</t>
  </si>
  <si>
    <t>January 2015 and December 2018</t>
  </si>
  <si>
    <t>14 (IQR)</t>
  </si>
  <si>
    <t>https://pubmed.ncbi.nlm.nih.gov/32945134/</t>
  </si>
  <si>
    <t>Pakistan</t>
  </si>
  <si>
    <t>Rheumatoid arthritis</t>
  </si>
  <si>
    <t>May 2018 to July 2018</t>
  </si>
  <si>
    <t>https://pubmed.ncbi.nlm.nih.gov/34290773/</t>
  </si>
  <si>
    <t>Invasive bladder cancer</t>
  </si>
  <si>
    <t>Sweden</t>
  </si>
  <si>
    <t>https://pubmed.ncbi.nlm.nih.gov/14594688/</t>
  </si>
  <si>
    <t>1997 to 2007</t>
  </si>
  <si>
    <t>Singapore</t>
  </si>
  <si>
    <t>Pediatric solid tumours</t>
  </si>
  <si>
    <t>0.1 to 283.1 (range)</t>
  </si>
  <si>
    <t>https://pubmed.ncbi.nlm.nih.gov/22052842/</t>
  </si>
  <si>
    <t>Attention deficit-hyperactivity disorder</t>
  </si>
  <si>
    <t>https://pubmed.ncbi.nlm.nih.gov/17876509/</t>
  </si>
  <si>
    <t>Published 2007</t>
  </si>
  <si>
    <t>Multiple myeloma</t>
  </si>
  <si>
    <t>https://pubmed.ncbi.nlm.nih.gov/19294556/</t>
  </si>
  <si>
    <t>1 February 1992 and 31 December 2002</t>
  </si>
  <si>
    <t>1 January 2001 and 31 December 2002</t>
  </si>
  <si>
    <t>Bullous pemphigoid</t>
  </si>
  <si>
    <t>https://pubmed.ncbi.nlm.nih.gov/22709136/</t>
  </si>
  <si>
    <t>Hereditary haemorrhagic telangiectasia</t>
  </si>
  <si>
    <t>2000 to 2009</t>
  </si>
  <si>
    <t>https://pubmed.ncbi.nlm.nih.gov/22676497/</t>
  </si>
  <si>
    <t>17.4 (SD)</t>
  </si>
  <si>
    <t>Carcinoma of the larynx</t>
  </si>
  <si>
    <t>Period of 20 years beginning in 1972</t>
  </si>
  <si>
    <t>https://pubmed.ncbi.nlm.nih.gov/11359136/</t>
  </si>
  <si>
    <t>2006 and 2011</t>
  </si>
  <si>
    <t>27 to 205 (IQR)</t>
  </si>
  <si>
    <t>https://pubmed.ncbi.nlm.nih.gov/33807070/</t>
  </si>
  <si>
    <t>Primary Sjögren's syndrome</t>
  </si>
  <si>
    <t>Taiwan</t>
  </si>
  <si>
    <t>1985 to 1993</t>
  </si>
  <si>
    <t>Norway</t>
  </si>
  <si>
    <t>Hodgkin's lymphoma</t>
  </si>
  <si>
    <t>0 to 48 (range)</t>
  </si>
  <si>
    <t>https://pubmed.ncbi.nlm.nih.gov/8669850/</t>
  </si>
  <si>
    <t>8.5 (SD)</t>
  </si>
  <si>
    <t>Alpha1-antitrypsin deficiency</t>
  </si>
  <si>
    <t>Respiratory, Hepatology</t>
  </si>
  <si>
    <t>Celiac disease</t>
  </si>
  <si>
    <t>5 to 96 (IQR)</t>
  </si>
  <si>
    <t>https://pubmed.ncbi.nlm.nih.gov/27401607/</t>
  </si>
  <si>
    <t>https://pubmed.ncbi.nlm.nih.gov/16236846/</t>
  </si>
  <si>
    <t>Published 2016</t>
  </si>
  <si>
    <t>2009 to 2011</t>
  </si>
  <si>
    <t>https://pubmed.ncbi.nlm.nih.gov/24534758/</t>
  </si>
  <si>
    <t>Pancreatic ductal adenocarcinoma</t>
  </si>
  <si>
    <t>1 to 5 (IQR)</t>
  </si>
  <si>
    <t>https://pubmed.ncbi.nlm.nih.gov/32213057/</t>
  </si>
  <si>
    <t>July 2005 to April 2018</t>
  </si>
  <si>
    <t>Multiple sclerosis</t>
  </si>
  <si>
    <t>Portugal</t>
  </si>
  <si>
    <t>2 to 38 (IQR)</t>
  </si>
  <si>
    <t>https://pubmed.ncbi.nlm.nih.gov/31067423/</t>
  </si>
  <si>
    <t>January 2010 to December 2015</t>
  </si>
  <si>
    <t>REM sleep behavior disorder</t>
  </si>
  <si>
    <t>2005 to 2011</t>
  </si>
  <si>
    <t>January 2008 and July 2011</t>
  </si>
  <si>
    <t>Parkinson's disease</t>
  </si>
  <si>
    <t>Basilar artery stroke</t>
  </si>
  <si>
    <t>https://pubmed.ncbi.nlm.nih.gov/26503513/</t>
  </si>
  <si>
    <t>https://pubmed.ncbi.nlm.nih.gov/23572347/</t>
  </si>
  <si>
    <t>https://pubmed.ncbi.nlm.nih.gov/22505857/</t>
  </si>
  <si>
    <t xml:space="preserve">Hidradenitis suppurativa </t>
  </si>
  <si>
    <t>Psoriasis</t>
  </si>
  <si>
    <t>Europe</t>
  </si>
  <si>
    <t>8.7 (SD)</t>
  </si>
  <si>
    <t>4.8 (SD)</t>
  </si>
  <si>
    <t>https://pubmed.ncbi.nlm.nih.gov/26198191/</t>
  </si>
  <si>
    <t>Nonbullous pemphigoid</t>
  </si>
  <si>
    <t>https://pubmed.ncbi.nlm.nih.gov/29102490/</t>
  </si>
  <si>
    <t>Wild-type transthyretin cardiac amyloiodosis</t>
  </si>
  <si>
    <t>https://pubmed.ncbi.nlm.nih.gov/32033783/</t>
  </si>
  <si>
    <t>2 to 47 (range)</t>
  </si>
  <si>
    <t>2017 to 2019</t>
  </si>
  <si>
    <t>https://pubmed.ncbi.nlm.nih.gov/25424010/</t>
  </si>
  <si>
    <t>Cerebrotendinous xanthomatosis</t>
  </si>
  <si>
    <t>https://pubmed.ncbi.nlm.nih.gov/29779436/</t>
  </si>
  <si>
    <t>Systemic lupus erythematosus</t>
  </si>
  <si>
    <t>Hereditary angioedema</t>
  </si>
  <si>
    <t>0 to 62 (range)</t>
  </si>
  <si>
    <t>https://pubmed.ncbi.nlm.nih.gov/23937903/</t>
  </si>
  <si>
    <t>Metabolic</t>
  </si>
  <si>
    <t>TA groups</t>
  </si>
  <si>
    <t>Diagnostic delay (months)</t>
  </si>
  <si>
    <t>https://pubmed.ncbi.nlm.nih.gov/33141492/</t>
  </si>
  <si>
    <t>1-year mortality</t>
  </si>
  <si>
    <t>https://pubmed.ncbi.nlm.nih.gov/12416281/</t>
  </si>
  <si>
    <t>https://pubmed.ncbi.nlm.nih.gov/10074952/</t>
  </si>
  <si>
    <t>https://seer.cancer.gov/explorer/application.html?site=40&amp;data_type=4&amp;graph_type=6&amp;compareBy=sex&amp;chk_sex_1=1&amp;chk_sex_3=3&amp;chk_sex_2=2&amp;race=1&amp;age_range=1&amp;stage=101&amp;advopt_precision=1&amp;advopt_show_ci=on&amp;advopt_display=2#tableWrap</t>
  </si>
  <si>
    <t>https://pubmed.ncbi.nlm.nih.gov/32963642/</t>
  </si>
  <si>
    <t>https://www.ncbi.nlm.nih.gov/pmc/articles/PMC2655002/</t>
  </si>
  <si>
    <t>https://www.nature.com/articles/s41582-020-00427-y</t>
  </si>
  <si>
    <t>https://pubmed.ncbi.nlm.nih.gov/16737883/</t>
  </si>
  <si>
    <t>https://seer.cancer.gov/explorer/application.html?site=3&amp;data_type=4&amp;graph_type=6&amp;compareBy=sex&amp;chk_sex_1=1&amp;chk_sex_3=3&amp;chk_sex_2=2&amp;race=1&amp;age_range=1&amp;stage=101&amp;advopt_precision=1&amp;advopt_show_ci=on&amp;advopt_display=2</t>
  </si>
  <si>
    <t>https://pubmed.ncbi.nlm.nih.gov/23624887/</t>
  </si>
  <si>
    <t>https://seer.cancer.gov/explorer/application.html?site=89&amp;data_type=4&amp;graph_type=6&amp;compareBy=sex&amp;chk_sex_1=1&amp;chk_sex_3=3&amp;chk_sex_2=2&amp;race=1&amp;age_range=1&amp;stage=101&amp;advopt_precision=1&amp;advopt_show_ci=on&amp;advopt_display=2</t>
  </si>
  <si>
    <t>https://www.nejm.org/doi/full/10.1056/nejmoa1702752</t>
  </si>
  <si>
    <t>https://seer.cancer.gov/explorer/application.html?site=83&amp;data_type=4&amp;graph_type=6&amp;compareBy=sex&amp;chk_sex_1=1&amp;chk_sex_3=3&amp;chk_sex_2=2&amp;race=1&amp;age_range=1&amp;stage=101&amp;advopt_precision=1&amp;advopt_show_ci=on&amp;advopt_display=2</t>
  </si>
  <si>
    <t>https://seer.cancer.gov/explorer/application.html?site=71&amp;data_type=4&amp;graph_type=6&amp;compareBy=sex&amp;chk_sex_1=1&amp;chk_sex_3=3&amp;chk_sex_2=2&amp;race=1&amp;age_range=1&amp;stage=105&amp;advopt_precision=1&amp;advopt_show_ci=on&amp;advopt_display=2</t>
  </si>
  <si>
    <t>https://www.ncbi.nlm.nih.gov/pmc/articles/PMC1856159/</t>
  </si>
  <si>
    <t>https://pubmed.ncbi.nlm.nih.gov/29963683/</t>
  </si>
  <si>
    <t>https://www.medscape.com/answers/1064187-87785/what-is-the-mortality-rate-of-pemphigus-vulgaris</t>
  </si>
  <si>
    <t>https://pubmed.ncbi.nlm.nih.gov/25726514/</t>
  </si>
  <si>
    <t>https://www.ncbi.nlm.nih.gov/pmc/articles/PMC3175288/</t>
  </si>
  <si>
    <t>https://www.ncbi.nlm.nih.gov/pmc/articles/PMC4945313/</t>
  </si>
  <si>
    <t>https://pubmed.ncbi.nlm.nih.gov/31954853/</t>
  </si>
  <si>
    <t>https://pubmed.ncbi.nlm.nih.gov/31265075/</t>
  </si>
  <si>
    <t>https://www.ncbi.nlm.nih.gov/pmc/articles/PMC3920308/</t>
  </si>
  <si>
    <t>https://www.ncbi.nlm.nih.gov/pmc/articles/PMC4433463/</t>
  </si>
  <si>
    <t>https://pubmed.ncbi.nlm.nih.gov/25280575/</t>
  </si>
  <si>
    <t>https://www.thelancet.com/journals/lanhl/article/PIIS2666-7568(21)00140-9/fulltext</t>
  </si>
  <si>
    <t>https://www.ncbi.nlm.nih.gov/pmc/articles/PMC2082822/</t>
  </si>
  <si>
    <t>https://www.ncbi.nlm.nih.gov/pmc/articles/PMC5579328/</t>
  </si>
  <si>
    <t>Rank</t>
  </si>
  <si>
    <t>https://jamanetwork.com/journals/jama/fullarticle/2764182</t>
  </si>
  <si>
    <t>https://www.ncbi.nlm.nih.gov/pmc/articles/PMC3987657/</t>
  </si>
  <si>
    <t>Assumption</t>
  </si>
  <si>
    <t>https://www.endocrine.org/news-and-advocacy/news-room/featured-science-from-endo-2021/largest-ever-analysis-of-its-kind-finds-cushings-syndrome-triples-risk-of-death</t>
  </si>
  <si>
    <t>https://epilepsysociety.org.uk/sites/default/files/2020-08/Chapter37Neligan2015.pdf</t>
  </si>
  <si>
    <t>https://jnnp.bmj.com/content/88/8/621</t>
  </si>
  <si>
    <t>https://www.ncbi.nlm.nih.gov/pmc/articles/PMC6612605/</t>
  </si>
  <si>
    <t>https://ojrd.biomedcentral.com/articles/10.1186/1750-1172-3-24</t>
  </si>
  <si>
    <t>https://www.ncbi.nlm.nih.gov/pmc/articles/PMC5654004/</t>
  </si>
  <si>
    <t>https://movementdisorders.onlinelibrary.wiley.com/doi/10.1002/mds.25898</t>
  </si>
  <si>
    <t>https://pubmed.ncbi.nlm.nih.gov/26811368/</t>
  </si>
  <si>
    <t>https://pubmed.ncbi.nlm.nih.gov/27585505/</t>
  </si>
  <si>
    <t>https://pubmed.ncbi.nlm.nih.gov/32454305/</t>
  </si>
  <si>
    <t>https://pubmed.ncbi.nlm.nih.gov/32627048/</t>
  </si>
  <si>
    <t>https://pubmed.ncbi.nlm.nih.gov/33878179/</t>
  </si>
  <si>
    <t>https://pubmed.ncbi.nlm.nih.gov/22459416/</t>
  </si>
  <si>
    <t>https://smanewstoday.com/sma-life-expectancy/</t>
  </si>
  <si>
    <t>https://erj.ersjournals.com/content/50/2/1700740</t>
  </si>
  <si>
    <t>https://pubmed.ncbi.nlm.nih.gov/31202872/</t>
  </si>
  <si>
    <t>Est. Dx rate</t>
  </si>
  <si>
    <t>Percentage seeking care</t>
  </si>
  <si>
    <t>Country</t>
  </si>
  <si>
    <t>https://www.ncbi.nlm.nih.gov/pmc/articles/PMC4351276/</t>
  </si>
  <si>
    <t>US</t>
  </si>
  <si>
    <t>Rosacea</t>
  </si>
  <si>
    <t>https://pubmed.ncbi.nlm.nih.gov/27617716/</t>
  </si>
  <si>
    <t>Multiple</t>
  </si>
  <si>
    <t>https://pubmed.ncbi.nlm.nih.gov/29249189/</t>
  </si>
  <si>
    <t>p(Dx+)</t>
  </si>
  <si>
    <t>https://pubmed.ncbi.nlm.nih.gov/28159845/</t>
  </si>
  <si>
    <t>Dementia</t>
  </si>
  <si>
    <t>Global</t>
  </si>
  <si>
    <t>‘undetected, detection, undiagnosed, diagnosis, dementia and Alzheimer's disease’.</t>
  </si>
  <si>
    <t>UK</t>
  </si>
  <si>
    <t>Europe exUK</t>
  </si>
  <si>
    <t>Canada</t>
  </si>
  <si>
    <t>Asia</t>
  </si>
  <si>
    <t>Glaucoma</t>
  </si>
  <si>
    <t>Opthalmology</t>
  </si>
  <si>
    <t>https://pubmed.ncbi.nlm.nih.gov/33865875/</t>
  </si>
  <si>
    <t>Africa</t>
  </si>
  <si>
    <t>Oceania</t>
  </si>
  <si>
    <t>Latin America</t>
  </si>
  <si>
    <t>PTSD</t>
  </si>
  <si>
    <t>https://pubmed.ncbi.nlm.nih.gov/29433609/</t>
  </si>
  <si>
    <t>https://pubmed.ncbi.nlm.nih.gov/24556894/</t>
  </si>
  <si>
    <t>https://pubmed.ncbi.nlm.nih.gov/23488489/</t>
  </si>
  <si>
    <t>Mental illness</t>
  </si>
  <si>
    <t>https://bmchealthservres.biomedcentral.com/articles/10.1186/s12913-015-1119-2</t>
  </si>
  <si>
    <t>https://bmcpublichealth.biomedcentral.com/articles/10.1186/s12889-020-08555-2</t>
  </si>
  <si>
    <t>Hong Kong</t>
  </si>
  <si>
    <t>Fever</t>
  </si>
  <si>
    <t>Rash</t>
  </si>
  <si>
    <t>General medicine</t>
  </si>
  <si>
    <t>Shortness of breath</t>
  </si>
  <si>
    <t>Influenza like illness</t>
  </si>
  <si>
    <t>Acute respiratory illness</t>
  </si>
  <si>
    <t>https://pubmed.ncbi.nlm.nih.gov/31565121/</t>
  </si>
  <si>
    <t>South Africa</t>
  </si>
  <si>
    <t>Pneumonia</t>
  </si>
  <si>
    <t>Tuberculosis</t>
  </si>
  <si>
    <t>Meningitis</t>
  </si>
  <si>
    <t>https://www.ijhpm.com/article_3701.html</t>
  </si>
  <si>
    <t>https://www.frontiersin.org/articles/10.3389/fpubh.2021.569569/full</t>
  </si>
  <si>
    <t>Common childhood illnesses</t>
  </si>
  <si>
    <t>pediatrics</t>
  </si>
  <si>
    <t>Zambia</t>
  </si>
  <si>
    <t>https://pubmed.ncbi.nlm.nih.gov/29524317/</t>
  </si>
  <si>
    <t>Rabies exposure</t>
  </si>
  <si>
    <t>Ethiopia</t>
  </si>
  <si>
    <t>t</t>
  </si>
  <si>
    <t>M (per year)</t>
  </si>
  <si>
    <t>in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</si>
</sst>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3" fillId="0" borderId="0" xfId="0" applyFont="1"/>
    <xf numFmtId="9" fontId="0" fillId="0" borderId="0" xfId="2" applyFont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5" fillId="2" borderId="2" xfId="0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to Dx vs. mortality'!$E$1</c:f>
              <c:strCache>
                <c:ptCount val="1"/>
                <c:pt idx="0">
                  <c:v>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4083540226697237E-2"/>
                  <c:y val="0.1656878827646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'Time to Dx vs. mortality'!$C$2:$C$53</c:f>
              <c:numCache>
                <c:formatCode>General</c:formatCode>
                <c:ptCount val="52"/>
                <c:pt idx="0">
                  <c:v>2.222222222222222E-2</c:v>
                </c:pt>
                <c:pt idx="1">
                  <c:v>3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5.5</c:v>
                </c:pt>
                <c:pt idx="5">
                  <c:v>2.14</c:v>
                </c:pt>
                <c:pt idx="6">
                  <c:v>12</c:v>
                </c:pt>
                <c:pt idx="7">
                  <c:v>19.200000000000003</c:v>
                </c:pt>
                <c:pt idx="8">
                  <c:v>9</c:v>
                </c:pt>
                <c:pt idx="9">
                  <c:v>18</c:v>
                </c:pt>
                <c:pt idx="10">
                  <c:v>12</c:v>
                </c:pt>
                <c:pt idx="11">
                  <c:v>31.200000000000003</c:v>
                </c:pt>
                <c:pt idx="12">
                  <c:v>4</c:v>
                </c:pt>
                <c:pt idx="13">
                  <c:v>2.25</c:v>
                </c:pt>
                <c:pt idx="14">
                  <c:v>28.75</c:v>
                </c:pt>
                <c:pt idx="15">
                  <c:v>43.6</c:v>
                </c:pt>
                <c:pt idx="16">
                  <c:v>12</c:v>
                </c:pt>
                <c:pt idx="17">
                  <c:v>8</c:v>
                </c:pt>
                <c:pt idx="18">
                  <c:v>6.19</c:v>
                </c:pt>
                <c:pt idx="19">
                  <c:v>20</c:v>
                </c:pt>
                <c:pt idx="20">
                  <c:v>55.8</c:v>
                </c:pt>
                <c:pt idx="21">
                  <c:v>14.3</c:v>
                </c:pt>
                <c:pt idx="22">
                  <c:v>21.3</c:v>
                </c:pt>
                <c:pt idx="23">
                  <c:v>32.89</c:v>
                </c:pt>
                <c:pt idx="24">
                  <c:v>55.5</c:v>
                </c:pt>
                <c:pt idx="25">
                  <c:v>3.3</c:v>
                </c:pt>
                <c:pt idx="26">
                  <c:v>80.400000000000006</c:v>
                </c:pt>
                <c:pt idx="27">
                  <c:v>5.0666666666666664</c:v>
                </c:pt>
                <c:pt idx="28">
                  <c:v>96</c:v>
                </c:pt>
                <c:pt idx="29">
                  <c:v>86.4</c:v>
                </c:pt>
                <c:pt idx="30">
                  <c:v>102</c:v>
                </c:pt>
                <c:pt idx="31">
                  <c:v>34</c:v>
                </c:pt>
                <c:pt idx="32">
                  <c:v>104.39999999999999</c:v>
                </c:pt>
                <c:pt idx="33">
                  <c:v>2.4666666666666668</c:v>
                </c:pt>
                <c:pt idx="34">
                  <c:v>128.39999999999998</c:v>
                </c:pt>
                <c:pt idx="35">
                  <c:v>86.4</c:v>
                </c:pt>
                <c:pt idx="36">
                  <c:v>67.199999999999989</c:v>
                </c:pt>
                <c:pt idx="37">
                  <c:v>77.52</c:v>
                </c:pt>
                <c:pt idx="38">
                  <c:v>33</c:v>
                </c:pt>
                <c:pt idx="39">
                  <c:v>80.400000000000006</c:v>
                </c:pt>
                <c:pt idx="40">
                  <c:v>14.399999999999999</c:v>
                </c:pt>
                <c:pt idx="41">
                  <c:v>43.2</c:v>
                </c:pt>
                <c:pt idx="42">
                  <c:v>6.1</c:v>
                </c:pt>
                <c:pt idx="43">
                  <c:v>4.8</c:v>
                </c:pt>
                <c:pt idx="44">
                  <c:v>3.6</c:v>
                </c:pt>
                <c:pt idx="45">
                  <c:v>2</c:v>
                </c:pt>
                <c:pt idx="46">
                  <c:v>13</c:v>
                </c:pt>
                <c:pt idx="47">
                  <c:v>45.599999999999994</c:v>
                </c:pt>
                <c:pt idx="48">
                  <c:v>2.5</c:v>
                </c:pt>
                <c:pt idx="49">
                  <c:v>25.200000000000003</c:v>
                </c:pt>
                <c:pt idx="50">
                  <c:v>14.166666666666666</c:v>
                </c:pt>
                <c:pt idx="51">
                  <c:v>73.199999999999989</c:v>
                </c:pt>
              </c:numCache>
            </c:numRef>
          </c:xVal>
          <c:yVal>
            <c:numRef>
              <c:f>'Time to Dx vs. mortality'!$E$2:$E$53</c:f>
              <c:numCache>
                <c:formatCode>General</c:formatCode>
                <c:ptCount val="52"/>
                <c:pt idx="0">
                  <c:v>3</c:v>
                </c:pt>
                <c:pt idx="1">
                  <c:v>47.5</c:v>
                </c:pt>
                <c:pt idx="2">
                  <c:v>15.5</c:v>
                </c:pt>
                <c:pt idx="3">
                  <c:v>15.5</c:v>
                </c:pt>
                <c:pt idx="4">
                  <c:v>36</c:v>
                </c:pt>
                <c:pt idx="5">
                  <c:v>20</c:v>
                </c:pt>
                <c:pt idx="6">
                  <c:v>37.5</c:v>
                </c:pt>
                <c:pt idx="7">
                  <c:v>47.5</c:v>
                </c:pt>
                <c:pt idx="8">
                  <c:v>29</c:v>
                </c:pt>
                <c:pt idx="9">
                  <c:v>39</c:v>
                </c:pt>
                <c:pt idx="10">
                  <c:v>31</c:v>
                </c:pt>
                <c:pt idx="11">
                  <c:v>47.5</c:v>
                </c:pt>
                <c:pt idx="12">
                  <c:v>19</c:v>
                </c:pt>
                <c:pt idx="13">
                  <c:v>14</c:v>
                </c:pt>
                <c:pt idx="14">
                  <c:v>40</c:v>
                </c:pt>
                <c:pt idx="15">
                  <c:v>47.5</c:v>
                </c:pt>
                <c:pt idx="16">
                  <c:v>24.5</c:v>
                </c:pt>
                <c:pt idx="17">
                  <c:v>21</c:v>
                </c:pt>
                <c:pt idx="18">
                  <c:v>18</c:v>
                </c:pt>
                <c:pt idx="19">
                  <c:v>30</c:v>
                </c:pt>
                <c:pt idx="20">
                  <c:v>47.5</c:v>
                </c:pt>
                <c:pt idx="21">
                  <c:v>24.5</c:v>
                </c:pt>
                <c:pt idx="22">
                  <c:v>27.5</c:v>
                </c:pt>
                <c:pt idx="23">
                  <c:v>32.5</c:v>
                </c:pt>
                <c:pt idx="24">
                  <c:v>41</c:v>
                </c:pt>
                <c:pt idx="25">
                  <c:v>9</c:v>
                </c:pt>
                <c:pt idx="26">
                  <c:v>47.5</c:v>
                </c:pt>
                <c:pt idx="27">
                  <c:v>12</c:v>
                </c:pt>
                <c:pt idx="28">
                  <c:v>47.5</c:v>
                </c:pt>
                <c:pt idx="29">
                  <c:v>42</c:v>
                </c:pt>
                <c:pt idx="30">
                  <c:v>47.5</c:v>
                </c:pt>
                <c:pt idx="31">
                  <c:v>27.5</c:v>
                </c:pt>
                <c:pt idx="32">
                  <c:v>47.5</c:v>
                </c:pt>
                <c:pt idx="33">
                  <c:v>5</c:v>
                </c:pt>
                <c:pt idx="34">
                  <c:v>47.5</c:v>
                </c:pt>
                <c:pt idx="35">
                  <c:v>37.5</c:v>
                </c:pt>
                <c:pt idx="36">
                  <c:v>32.5</c:v>
                </c:pt>
                <c:pt idx="37">
                  <c:v>34.5</c:v>
                </c:pt>
                <c:pt idx="38">
                  <c:v>23</c:v>
                </c:pt>
                <c:pt idx="39">
                  <c:v>34.5</c:v>
                </c:pt>
                <c:pt idx="40">
                  <c:v>17</c:v>
                </c:pt>
                <c:pt idx="41">
                  <c:v>26</c:v>
                </c:pt>
                <c:pt idx="42">
                  <c:v>8</c:v>
                </c:pt>
                <c:pt idx="43">
                  <c:v>7</c:v>
                </c:pt>
                <c:pt idx="44">
                  <c:v>4</c:v>
                </c:pt>
                <c:pt idx="45">
                  <c:v>2</c:v>
                </c:pt>
                <c:pt idx="46">
                  <c:v>10</c:v>
                </c:pt>
                <c:pt idx="47">
                  <c:v>22</c:v>
                </c:pt>
                <c:pt idx="48">
                  <c:v>1</c:v>
                </c:pt>
                <c:pt idx="49">
                  <c:v>11</c:v>
                </c:pt>
                <c:pt idx="50">
                  <c:v>6</c:v>
                </c:pt>
                <c:pt idx="5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6-46AA-9E56-CC85B297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40896"/>
        <c:axId val="701745816"/>
      </c:scatterChart>
      <c:valAx>
        <c:axId val="7017408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Diagnostic</a:t>
                </a:r>
                <a:r>
                  <a:rPr lang="en-GB" baseline="0"/>
                  <a:t> delay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5816"/>
        <c:crosses val="autoZero"/>
        <c:crossBetween val="midCat"/>
      </c:valAx>
      <c:valAx>
        <c:axId val="7017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kzidenzGrotesk" panose="02000503050000020003" pitchFamily="2" charset="0"/>
                <a:ea typeface="Verdana" panose="020B0604030504040204" pitchFamily="34" charset="0"/>
                <a:cs typeface="+mn-cs"/>
              </a:defRPr>
            </a:pPr>
            <a:r>
              <a:rPr lang="en-US" sz="1600" b="1"/>
              <a:t>Relationship between mortality rate and diagnostic delay for 52 conditions</a:t>
            </a:r>
          </a:p>
        </c:rich>
      </c:tx>
      <c:layout>
        <c:manualLayout>
          <c:xMode val="edge"/>
          <c:yMode val="edge"/>
          <c:x val="0.12636175578661235"/>
          <c:y val="2.3545705087262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kzidenzGrotesk" panose="02000503050000020003" pitchFamily="2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82207121295134E-2"/>
          <c:y val="8.4087522043198637E-2"/>
          <c:w val="0.88679137481369241"/>
          <c:h val="0.82078458491733819"/>
        </c:manualLayout>
      </c:layout>
      <c:areaChart>
        <c:grouping val="standard"/>
        <c:varyColors val="0"/>
        <c:ser>
          <c:idx val="1"/>
          <c:order val="1"/>
          <c:tx>
            <c:strRef>
              <c:f>'Time to Dx vs. mortality'!$AC$2</c:f>
              <c:strCache>
                <c:ptCount val="1"/>
                <c:pt idx="0">
                  <c:v>p(Dx+)</c:v>
                </c:pt>
              </c:strCache>
            </c:strRef>
          </c:tx>
          <c:spPr>
            <a:solidFill>
              <a:srgbClr val="F5F5F5"/>
            </a:solidFill>
            <a:ln w="25400">
              <a:noFill/>
            </a:ln>
            <a:effectLst/>
          </c:spPr>
          <c:cat>
            <c:numRef>
              <c:f>'Time to Dx vs. mortality'!$AH$3:$AH$23</c:f>
              <c:numCache>
                <c:formatCode>General</c:formatCode>
                <c:ptCount val="21"/>
                <c:pt idx="0">
                  <c:v>0</c:v>
                </c:pt>
                <c:pt idx="1">
                  <c:v>0.12</c:v>
                </c:pt>
                <c:pt idx="2">
                  <c:v>1.2000000000000002</c:v>
                </c:pt>
                <c:pt idx="3">
                  <c:v>2.4000000000000004</c:v>
                </c:pt>
                <c:pt idx="4">
                  <c:v>4.8000000000000007</c:v>
                </c:pt>
                <c:pt idx="5">
                  <c:v>7.1999999999999993</c:v>
                </c:pt>
                <c:pt idx="6">
                  <c:v>9.6000000000000014</c:v>
                </c:pt>
                <c:pt idx="7">
                  <c:v>12</c:v>
                </c:pt>
                <c:pt idx="8">
                  <c:v>18</c:v>
                </c:pt>
                <c:pt idx="9">
                  <c:v>24</c:v>
                </c:pt>
                <c:pt idx="10">
                  <c:v>36</c:v>
                </c:pt>
                <c:pt idx="11">
                  <c:v>48</c:v>
                </c:pt>
                <c:pt idx="12">
                  <c:v>60</c:v>
                </c:pt>
                <c:pt idx="13">
                  <c:v>72</c:v>
                </c:pt>
                <c:pt idx="14">
                  <c:v>84</c:v>
                </c:pt>
                <c:pt idx="15">
                  <c:v>96</c:v>
                </c:pt>
                <c:pt idx="16">
                  <c:v>108</c:v>
                </c:pt>
                <c:pt idx="17">
                  <c:v>120</c:v>
                </c:pt>
                <c:pt idx="18">
                  <c:v>132</c:v>
                </c:pt>
                <c:pt idx="19">
                  <c:v>140</c:v>
                </c:pt>
              </c:numCache>
            </c:numRef>
          </c:cat>
          <c:val>
            <c:numRef>
              <c:f>'Time to Dx vs. mortality'!$AF$3:$AF$23</c:f>
              <c:numCache>
                <c:formatCode>0.0000%</c:formatCode>
                <c:ptCount val="21"/>
                <c:pt idx="0">
                  <c:v>1</c:v>
                </c:pt>
                <c:pt idx="1">
                  <c:v>0.99997343860111243</c:v>
                </c:pt>
                <c:pt idx="2">
                  <c:v>0.65132155989999985</c:v>
                </c:pt>
                <c:pt idx="3">
                  <c:v>0.40950999999999982</c:v>
                </c:pt>
                <c:pt idx="4">
                  <c:v>0.23156652857908377</c:v>
                </c:pt>
                <c:pt idx="5">
                  <c:v>0.16104722339245814</c:v>
                </c:pt>
                <c:pt idx="6">
                  <c:v>0.12339662821723285</c:v>
                </c:pt>
                <c:pt idx="7">
                  <c:v>9.9999999999999978E-2</c:v>
                </c:pt>
                <c:pt idx="8">
                  <c:v>6.7830248213842315E-2</c:v>
                </c:pt>
                <c:pt idx="9">
                  <c:v>5.1316701949486232E-2</c:v>
                </c:pt>
                <c:pt idx="10">
                  <c:v>3.4510615394370281E-2</c:v>
                </c:pt>
                <c:pt idx="11">
                  <c:v>2.5996253574703254E-2</c:v>
                </c:pt>
                <c:pt idx="12">
                  <c:v>2.0851637639023202E-2</c:v>
                </c:pt>
                <c:pt idx="13">
                  <c:v>1.7406806147310161E-2</c:v>
                </c:pt>
                <c:pt idx="14">
                  <c:v>1.4938794558884472E-2</c:v>
                </c:pt>
                <c:pt idx="15">
                  <c:v>1.3083718633998487E-2</c:v>
                </c:pt>
                <c:pt idx="16">
                  <c:v>1.1638466884251741E-2</c:v>
                </c:pt>
                <c:pt idx="17">
                  <c:v>1.0480741793785553E-2</c:v>
                </c:pt>
                <c:pt idx="18">
                  <c:v>9.5325035687154891E-3</c:v>
                </c:pt>
                <c:pt idx="19">
                  <c:v>8.7416109546967213E-3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A-4D9D-A7B6-FC7E1CC8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54224"/>
        <c:axId val="614851272"/>
      </c:areaChart>
      <c:scatterChart>
        <c:scatterStyle val="lineMarker"/>
        <c:varyColors val="0"/>
        <c:ser>
          <c:idx val="0"/>
          <c:order val="0"/>
          <c:tx>
            <c:strRef>
              <c:f>'Time to Dx vs. mortality'!$D$1</c:f>
              <c:strCache>
                <c:ptCount val="1"/>
                <c:pt idx="0">
                  <c:v>1-year mortality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C4B76A4-C4EC-4DB9-9E23-139D5FFF84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F27-4D3C-B3C1-6C30F6F61EF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27-4D3C-B3C1-6C30F6F61EF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F27-4D3C-B3C1-6C30F6F61EF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27-4D3C-B3C1-6C30F6F61EF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27-4D3C-B3C1-6C30F6F61EF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F27-4D3C-B3C1-6C30F6F61EF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F27-4D3C-B3C1-6C30F6F61EF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27-4D3C-B3C1-6C30F6F61EF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27-4D3C-B3C1-6C30F6F61EF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F27-4D3C-B3C1-6C30F6F61EF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27-4D3C-B3C1-6C30F6F61EF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F27-4D3C-B3C1-6C30F6F61EF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27-4D3C-B3C1-6C30F6F61EF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27-4D3C-B3C1-6C30F6F61EF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27-4D3C-B3C1-6C30F6F61EF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27-4D3C-B3C1-6C30F6F61EF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27-4D3C-B3C1-6C30F6F61EF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27-4D3C-B3C1-6C30F6F61EF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F27-4D3C-B3C1-6C30F6F61EF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27-4D3C-B3C1-6C30F6F61EF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27-4D3C-B3C1-6C30F6F61EF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27-4D3C-B3C1-6C30F6F61EF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27-4D3C-B3C1-6C30F6F61EF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F27-4D3C-B3C1-6C30F6F61EF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F27-4D3C-B3C1-6C30F6F61EF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F27-4D3C-B3C1-6C30F6F61EF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F27-4D3C-B3C1-6C30F6F61EF9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27-4D3C-B3C1-6C30F6F61EF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F27-4D3C-B3C1-6C30F6F61EF9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F27-4D3C-B3C1-6C30F6F61EF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F27-4D3C-B3C1-6C30F6F61EF9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F27-4D3C-B3C1-6C30F6F61EF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F27-4D3C-B3C1-6C30F6F61EF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0F8B474-8EA2-4BEF-9016-355EBF8C2E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481554847993165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0F27-4D3C-B3C1-6C30F6F61EF9}"/>
                </c:ext>
              </c:extLst>
            </c:dLbl>
            <c:dLbl>
              <c:idx val="34"/>
              <c:layout>
                <c:manualLayout>
                  <c:x val="-6.9391293020964542E-3"/>
                  <c:y val="-2.1583562996657559E-2"/>
                </c:manualLayout>
              </c:layout>
              <c:tx>
                <c:rich>
                  <a:bodyPr/>
                  <a:lstStyle/>
                  <a:p>
                    <a:fld id="{EA9C7542-62B0-4A54-9307-DDB3243336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F27-4D3C-B3C1-6C30F6F61EF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F27-4D3C-B3C1-6C30F6F61EF9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F27-4D3C-B3C1-6C30F6F61EF9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F27-4D3C-B3C1-6C30F6F61EF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F27-4D3C-B3C1-6C30F6F61EF9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F27-4D3C-B3C1-6C30F6F61EF9}"/>
                </c:ext>
              </c:extLst>
            </c:dLbl>
            <c:dLbl>
              <c:idx val="40"/>
              <c:layout>
                <c:manualLayout>
                  <c:x val="-4.1942942406395668E-3"/>
                  <c:y val="-1.4388875776250888E-16"/>
                </c:manualLayout>
              </c:layout>
              <c:tx>
                <c:rich>
                  <a:bodyPr/>
                  <a:lstStyle/>
                  <a:p>
                    <a:fld id="{ABF079DE-47C0-4955-9D52-D4E9B113BF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98194306790498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0F27-4D3C-B3C1-6C30F6F61EF9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F27-4D3C-B3C1-6C30F6F61EF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85B8082-DE19-434A-A4B7-1280CD2B5F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F27-4D3C-B3C1-6C30F6F61EF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CD00530-0906-4C8C-9005-7D7C8D80B9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F27-4D3C-B3C1-6C30F6F61EF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4326E70-2503-425A-A902-36C3CCBA0E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116146832884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0F27-4D3C-B3C1-6C30F6F61EF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B1CCE45-66C6-4963-9899-A4FAB6494A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62336767920893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0F27-4D3C-B3C1-6C30F6F61EF9}"/>
                </c:ext>
              </c:extLst>
            </c:dLbl>
            <c:dLbl>
              <c:idx val="46"/>
              <c:layout>
                <c:manualLayout>
                  <c:x val="-8.7987706424503126E-3"/>
                  <c:y val="-1.8394000603783565E-2"/>
                </c:manualLayout>
              </c:layout>
              <c:tx>
                <c:rich>
                  <a:bodyPr/>
                  <a:lstStyle/>
                  <a:p>
                    <a:fld id="{DF531A20-A14E-4A6D-9382-B203DBF5B9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88641611828589"/>
                      <c:h val="5.418150975402882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0F27-4D3C-B3C1-6C30F6F61EF9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F27-4D3C-B3C1-6C30F6F61EF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ED5CE5B-6FEB-4570-918D-290275205B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F27-4D3C-B3C1-6C30F6F61EF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1727B3A-8AF6-45F3-A4F2-CF7A64A721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F27-4D3C-B3C1-6C30F6F61EF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E945B53-F389-4020-AA93-AA7C566264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F27-4D3C-B3C1-6C30F6F61EF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0561D9B-8EFC-4B9D-89B8-A2F7D7EF72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F27-4D3C-B3C1-6C30F6F61EF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F27-4D3C-B3C1-6C30F6F61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l"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kzidenzGrotesk" panose="02000503050000020003" pitchFamily="2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'Time to Dx vs. mortality'!$C$2:$C$54</c:f>
              <c:numCache>
                <c:formatCode>General</c:formatCode>
                <c:ptCount val="53"/>
                <c:pt idx="0">
                  <c:v>2.222222222222222E-2</c:v>
                </c:pt>
                <c:pt idx="1">
                  <c:v>3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5.5</c:v>
                </c:pt>
                <c:pt idx="5">
                  <c:v>2.14</c:v>
                </c:pt>
                <c:pt idx="6">
                  <c:v>12</c:v>
                </c:pt>
                <c:pt idx="7">
                  <c:v>19.200000000000003</c:v>
                </c:pt>
                <c:pt idx="8">
                  <c:v>9</c:v>
                </c:pt>
                <c:pt idx="9">
                  <c:v>18</c:v>
                </c:pt>
                <c:pt idx="10">
                  <c:v>12</c:v>
                </c:pt>
                <c:pt idx="11">
                  <c:v>31.200000000000003</c:v>
                </c:pt>
                <c:pt idx="12">
                  <c:v>4</c:v>
                </c:pt>
                <c:pt idx="13">
                  <c:v>2.25</c:v>
                </c:pt>
                <c:pt idx="14">
                  <c:v>28.75</c:v>
                </c:pt>
                <c:pt idx="15">
                  <c:v>43.6</c:v>
                </c:pt>
                <c:pt idx="16">
                  <c:v>12</c:v>
                </c:pt>
                <c:pt idx="17">
                  <c:v>8</c:v>
                </c:pt>
                <c:pt idx="18">
                  <c:v>6.19</c:v>
                </c:pt>
                <c:pt idx="19">
                  <c:v>20</c:v>
                </c:pt>
                <c:pt idx="20">
                  <c:v>55.8</c:v>
                </c:pt>
                <c:pt idx="21">
                  <c:v>14.3</c:v>
                </c:pt>
                <c:pt idx="22">
                  <c:v>21.3</c:v>
                </c:pt>
                <c:pt idx="23">
                  <c:v>32.89</c:v>
                </c:pt>
                <c:pt idx="24">
                  <c:v>55.5</c:v>
                </c:pt>
                <c:pt idx="25">
                  <c:v>3.3</c:v>
                </c:pt>
                <c:pt idx="26">
                  <c:v>80.400000000000006</c:v>
                </c:pt>
                <c:pt idx="27">
                  <c:v>5.0666666666666664</c:v>
                </c:pt>
                <c:pt idx="28">
                  <c:v>96</c:v>
                </c:pt>
                <c:pt idx="29">
                  <c:v>86.4</c:v>
                </c:pt>
                <c:pt idx="30">
                  <c:v>102</c:v>
                </c:pt>
                <c:pt idx="31">
                  <c:v>34</c:v>
                </c:pt>
                <c:pt idx="32">
                  <c:v>104.39999999999999</c:v>
                </c:pt>
                <c:pt idx="33">
                  <c:v>2.4666666666666668</c:v>
                </c:pt>
                <c:pt idx="34">
                  <c:v>128.39999999999998</c:v>
                </c:pt>
                <c:pt idx="35">
                  <c:v>86.4</c:v>
                </c:pt>
                <c:pt idx="36">
                  <c:v>67.199999999999989</c:v>
                </c:pt>
                <c:pt idx="37">
                  <c:v>77.52</c:v>
                </c:pt>
                <c:pt idx="38">
                  <c:v>33</c:v>
                </c:pt>
                <c:pt idx="39">
                  <c:v>80.400000000000006</c:v>
                </c:pt>
                <c:pt idx="40">
                  <c:v>14.399999999999999</c:v>
                </c:pt>
                <c:pt idx="41">
                  <c:v>43.2</c:v>
                </c:pt>
                <c:pt idx="42">
                  <c:v>6.1</c:v>
                </c:pt>
                <c:pt idx="43">
                  <c:v>4.8</c:v>
                </c:pt>
                <c:pt idx="44">
                  <c:v>3.6</c:v>
                </c:pt>
                <c:pt idx="45">
                  <c:v>2</c:v>
                </c:pt>
                <c:pt idx="46">
                  <c:v>13</c:v>
                </c:pt>
                <c:pt idx="47">
                  <c:v>45.599999999999994</c:v>
                </c:pt>
                <c:pt idx="48">
                  <c:v>2.5</c:v>
                </c:pt>
                <c:pt idx="49">
                  <c:v>25.200000000000003</c:v>
                </c:pt>
                <c:pt idx="50">
                  <c:v>14.166666666666666</c:v>
                </c:pt>
                <c:pt idx="51">
                  <c:v>73.199999999999989</c:v>
                </c:pt>
              </c:numCache>
            </c:numRef>
          </c:xVal>
          <c:yVal>
            <c:numRef>
              <c:f>'Time to Dx vs. mortality'!$D$2:$D$54</c:f>
              <c:numCache>
                <c:formatCode>0%</c:formatCode>
                <c:ptCount val="53"/>
                <c:pt idx="0">
                  <c:v>0.56521739130434789</c:v>
                </c:pt>
                <c:pt idx="1">
                  <c:v>0.01</c:v>
                </c:pt>
                <c:pt idx="2">
                  <c:v>0.15</c:v>
                </c:pt>
                <c:pt idx="3">
                  <c:v>0.15</c:v>
                </c:pt>
                <c:pt idx="4">
                  <c:v>1.6E-2</c:v>
                </c:pt>
                <c:pt idx="5">
                  <c:v>6.0000000000000053E-2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2.7E-2</c:v>
                </c:pt>
                <c:pt idx="9">
                  <c:v>1.47E-2</c:v>
                </c:pt>
                <c:pt idx="10">
                  <c:v>2.5000000000000001E-2</c:v>
                </c:pt>
                <c:pt idx="11">
                  <c:v>0.01</c:v>
                </c:pt>
                <c:pt idx="12">
                  <c:v>7.7999999999999958E-2</c:v>
                </c:pt>
                <c:pt idx="13">
                  <c:v>0.15000000000000002</c:v>
                </c:pt>
                <c:pt idx="14" formatCode="0.00%">
                  <c:v>1.46E-2</c:v>
                </c:pt>
                <c:pt idx="15">
                  <c:v>0.01</c:v>
                </c:pt>
                <c:pt idx="16">
                  <c:v>0.04</c:v>
                </c:pt>
                <c:pt idx="17">
                  <c:v>0.06</c:v>
                </c:pt>
                <c:pt idx="18">
                  <c:v>0.08</c:v>
                </c:pt>
                <c:pt idx="19">
                  <c:v>2.5999999999999999E-2</c:v>
                </c:pt>
                <c:pt idx="20">
                  <c:v>0.01</c:v>
                </c:pt>
                <c:pt idx="21">
                  <c:v>0.04</c:v>
                </c:pt>
                <c:pt idx="22">
                  <c:v>0.03</c:v>
                </c:pt>
                <c:pt idx="23">
                  <c:v>0.02</c:v>
                </c:pt>
                <c:pt idx="24" formatCode="0.00%">
                  <c:v>1.2E-2</c:v>
                </c:pt>
                <c:pt idx="25">
                  <c:v>0.20599999999999996</c:v>
                </c:pt>
                <c:pt idx="26">
                  <c:v>0.01</c:v>
                </c:pt>
                <c:pt idx="27">
                  <c:v>0.15500000000000003</c:v>
                </c:pt>
                <c:pt idx="28">
                  <c:v>0.01</c:v>
                </c:pt>
                <c:pt idx="29" formatCode="0.00%">
                  <c:v>1.14E-2</c:v>
                </c:pt>
                <c:pt idx="30">
                  <c:v>0.01</c:v>
                </c:pt>
                <c:pt idx="31">
                  <c:v>0.03</c:v>
                </c:pt>
                <c:pt idx="32">
                  <c:v>0.01</c:v>
                </c:pt>
                <c:pt idx="33">
                  <c:v>0.4</c:v>
                </c:pt>
                <c:pt idx="34">
                  <c:v>0.01</c:v>
                </c:pt>
                <c:pt idx="35" formatCode="0.00%">
                  <c:v>1.4999999999999999E-2</c:v>
                </c:pt>
                <c:pt idx="36">
                  <c:v>0.02</c:v>
                </c:pt>
                <c:pt idx="37" formatCode="0.00%">
                  <c:v>1.7999999999999999E-2</c:v>
                </c:pt>
                <c:pt idx="38" formatCode="0.00%">
                  <c:v>4.2999999999999997E-2</c:v>
                </c:pt>
                <c:pt idx="39" formatCode="0.00%">
                  <c:v>1.7999999999999999E-2</c:v>
                </c:pt>
                <c:pt idx="40">
                  <c:v>0.1</c:v>
                </c:pt>
                <c:pt idx="41" formatCode="0.00%">
                  <c:v>3.6999999999999998E-2</c:v>
                </c:pt>
                <c:pt idx="42">
                  <c:v>0.23499999999999999</c:v>
                </c:pt>
                <c:pt idx="43">
                  <c:v>0.3</c:v>
                </c:pt>
                <c:pt idx="44">
                  <c:v>0.45</c:v>
                </c:pt>
                <c:pt idx="45">
                  <c:v>0.69</c:v>
                </c:pt>
                <c:pt idx="46">
                  <c:v>0.17499999999999999</c:v>
                </c:pt>
                <c:pt idx="47" formatCode="0.00%">
                  <c:v>5.8999999999999997E-2</c:v>
                </c:pt>
                <c:pt idx="48">
                  <c:v>0.74299999999999999</c:v>
                </c:pt>
                <c:pt idx="49">
                  <c:v>0.16</c:v>
                </c:pt>
                <c:pt idx="50">
                  <c:v>0.34100000000000003</c:v>
                </c:pt>
                <c:pt idx="51" formatCode="0.00%">
                  <c:v>0.15260000000000001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'Time to Dx vs. mortality'!$A$2:$A$53</c15:f>
                <c15:dlblRangeCache>
                  <c:ptCount val="52"/>
                  <c:pt idx="0">
                    <c:v>Basilar artery stroke</c:v>
                  </c:pt>
                  <c:pt idx="1">
                    <c:v>Ulcerative colitis</c:v>
                  </c:pt>
                  <c:pt idx="2">
                    <c:v>Pulmonary thromboembolism</c:v>
                  </c:pt>
                  <c:pt idx="3">
                    <c:v>Deep vein thrombosis</c:v>
                  </c:pt>
                  <c:pt idx="4">
                    <c:v>Crohn's disease</c:v>
                  </c:pt>
                  <c:pt idx="5">
                    <c:v>Pulmonary tuberculosis</c:v>
                  </c:pt>
                  <c:pt idx="6">
                    <c:v>Parkinson's disease</c:v>
                  </c:pt>
                  <c:pt idx="7">
                    <c:v>Psoriasis</c:v>
                  </c:pt>
                  <c:pt idx="8">
                    <c:v>Multiple sclerosis</c:v>
                  </c:pt>
                  <c:pt idx="9">
                    <c:v>Rheumatoid arthritis</c:v>
                  </c:pt>
                  <c:pt idx="10">
                    <c:v>Focal epilepsy</c:v>
                  </c:pt>
                  <c:pt idx="11">
                    <c:v>Psoriatic arthritis</c:v>
                  </c:pt>
                  <c:pt idx="12">
                    <c:v>Hodgkin's lymphoma</c:v>
                  </c:pt>
                  <c:pt idx="13">
                    <c:v>Giant cell arteritis </c:v>
                  </c:pt>
                  <c:pt idx="14">
                    <c:v>Primary Sjögren's syndrome</c:v>
                  </c:pt>
                  <c:pt idx="15">
                    <c:v>Spinal muscular atrophy type 3</c:v>
                  </c:pt>
                  <c:pt idx="16">
                    <c:v>Ataxia telangiectasia</c:v>
                  </c:pt>
                  <c:pt idx="17">
                    <c:v>Mucopolysaccharidosis I (Hurler patients)</c:v>
                  </c:pt>
                  <c:pt idx="18">
                    <c:v>Oral pemphigus vulgaris</c:v>
                  </c:pt>
                  <c:pt idx="19">
                    <c:v>Systemic lupus erythematosus</c:v>
                  </c:pt>
                  <c:pt idx="20">
                    <c:v>Cluster headache</c:v>
                  </c:pt>
                  <c:pt idx="21">
                    <c:v>Spinal muscular atrophy type 2</c:v>
                  </c:pt>
                  <c:pt idx="22">
                    <c:v>Chronic inflammatory demyelinating polyneuropathy</c:v>
                  </c:pt>
                  <c:pt idx="23">
                    <c:v>Attention deficit-hyperactivity disorder</c:v>
                  </c:pt>
                  <c:pt idx="24">
                    <c:v>Celiac disease</c:v>
                  </c:pt>
                  <c:pt idx="25">
                    <c:v>Multiple myeloma</c:v>
                  </c:pt>
                  <c:pt idx="26">
                    <c:v>Migraine with aura</c:v>
                  </c:pt>
                  <c:pt idx="27">
                    <c:v>Oral carcinoma</c:v>
                  </c:pt>
                  <c:pt idx="28">
                    <c:v>Endometriosis</c:v>
                  </c:pt>
                  <c:pt idx="29">
                    <c:v>Hidradenitis suppurativa </c:v>
                  </c:pt>
                  <c:pt idx="30">
                    <c:v>Hereditary angioedema</c:v>
                  </c:pt>
                  <c:pt idx="31">
                    <c:v>Cushing's syndrome</c:v>
                  </c:pt>
                  <c:pt idx="32">
                    <c:v>REM sleep behavior disorder</c:v>
                  </c:pt>
                  <c:pt idx="33">
                    <c:v>Progressive multifocal leukoencephalopathy</c:v>
                  </c:pt>
                  <c:pt idx="34">
                    <c:v>Migraine without aura</c:v>
                  </c:pt>
                  <c:pt idx="35">
                    <c:v>Narcolepsy type 1</c:v>
                  </c:pt>
                  <c:pt idx="36">
                    <c:v>Alpha1-antitrypsin deficiency</c:v>
                  </c:pt>
                  <c:pt idx="37">
                    <c:v>Bipolar disorder</c:v>
                  </c:pt>
                  <c:pt idx="38">
                    <c:v>Mucopolysaccharidosis III</c:v>
                  </c:pt>
                  <c:pt idx="39">
                    <c:v>Axial spondyloarthritis</c:v>
                  </c:pt>
                  <c:pt idx="40">
                    <c:v>Pulmonary arterial hypertension</c:v>
                  </c:pt>
                  <c:pt idx="41">
                    <c:v>Alzheimers</c:v>
                  </c:pt>
                  <c:pt idx="42">
                    <c:v>Bullous pemphigoid</c:v>
                  </c:pt>
                  <c:pt idx="43">
                    <c:v>Invasive bladder cancer</c:v>
                  </c:pt>
                  <c:pt idx="44">
                    <c:v>Spinal muscular atrophy type 1</c:v>
                  </c:pt>
                  <c:pt idx="45">
                    <c:v>Pancreatic ductal adenocarcinoma</c:v>
                  </c:pt>
                  <c:pt idx="46">
                    <c:v>Wild-type transthyretin cardiac amyloiodosis</c:v>
                  </c:pt>
                  <c:pt idx="47">
                    <c:v>Dementia (all types)</c:v>
                  </c:pt>
                  <c:pt idx="48">
                    <c:v>Infantile Pompe disease</c:v>
                  </c:pt>
                  <c:pt idx="49">
                    <c:v>Idiopathic pulmonary fibrosis</c:v>
                  </c:pt>
                  <c:pt idx="50">
                    <c:v>Amyotrophic lateral sclerosis</c:v>
                  </c:pt>
                  <c:pt idx="51">
                    <c:v>Fronto-temporal dementia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F27-4D3C-B3C1-6C30F6F6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56640"/>
        <c:axId val="701750736"/>
      </c:scatterChart>
      <c:valAx>
        <c:axId val="70175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kzidenzGrotesk" panose="02000503050000020003" pitchFamily="2" charset="0"/>
                    <a:ea typeface="Verdana" panose="020B0604030504040204" pitchFamily="34" charset="0"/>
                    <a:cs typeface="+mn-cs"/>
                  </a:defRPr>
                </a:pPr>
                <a:r>
                  <a:rPr lang="en-GB" sz="1200"/>
                  <a:t>Diagnostic delay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kzidenzGrotesk" panose="02000503050000020003" pitchFamily="2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kzidenzGrotesk" panose="02000503050000020003" pitchFamily="2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701750736"/>
        <c:crosses val="autoZero"/>
        <c:crossBetween val="midCat"/>
      </c:valAx>
      <c:valAx>
        <c:axId val="701750736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kzidenzGrotesk" panose="02000503050000020003" pitchFamily="2" charset="0"/>
                    <a:ea typeface="Verdana" panose="020B0604030504040204" pitchFamily="34" charset="0"/>
                    <a:cs typeface="+mn-cs"/>
                  </a:defRPr>
                </a:pPr>
                <a:r>
                  <a:rPr lang="en-GB" sz="1200"/>
                  <a:t>Mortality rate (% dying per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kzidenzGrotesk" panose="02000503050000020003" pitchFamily="2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kzidenzGrotesk" panose="02000503050000020003" pitchFamily="2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701756640"/>
        <c:crosses val="autoZero"/>
        <c:crossBetween val="midCat"/>
        <c:majorUnit val="0.2"/>
      </c:valAx>
      <c:valAx>
        <c:axId val="614851272"/>
        <c:scaling>
          <c:orientation val="minMax"/>
          <c:max val="0.8"/>
        </c:scaling>
        <c:delete val="1"/>
        <c:axPos val="l"/>
        <c:numFmt formatCode="0.0000%" sourceLinked="1"/>
        <c:majorTickMark val="out"/>
        <c:minorTickMark val="none"/>
        <c:tickLblPos val="nextTo"/>
        <c:crossAx val="614854224"/>
        <c:crossesAt val="21"/>
        <c:crossBetween val="midCat"/>
      </c:valAx>
      <c:dateAx>
        <c:axId val="6148542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14851272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kzidenzGrotesk" panose="02000503050000020003" pitchFamily="2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316978</xdr:colOff>
      <xdr:row>1</xdr:row>
      <xdr:rowOff>42117</xdr:rowOff>
    </xdr:from>
    <xdr:to>
      <xdr:col>21</xdr:col>
      <xdr:colOff>2983</xdr:colOff>
      <xdr:row>15</xdr:row>
      <xdr:rowOff>118317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361CC-055E-46C9-B973-8BAECF67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199830</xdr:colOff>
      <xdr:row>18</xdr:row>
      <xdr:rowOff>113954</xdr:rowOff>
    </xdr:from>
    <xdr:to>
      <xdr:col>29</xdr:col>
      <xdr:colOff>206834</xdr:colOff>
      <xdr:row>52</xdr:row>
      <xdr:rowOff>109472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B2563-4379-4C8E-AFB8-98223B79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386523</xdr:colOff>
      <xdr:row>48</xdr:row>
      <xdr:rowOff>186523</xdr:rowOff>
    </xdr:from>
    <xdr:to>
      <xdr:col>28</xdr:col>
      <xdr:colOff>566057</xdr:colOff>
      <xdr:row>48</xdr:row>
      <xdr:rowOff>186523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6A8647C-DDD7-46EB-A3D8-144B9391E36C}"/>
            </a:ext>
          </a:extLst>
        </xdr:cNvPr>
        <xdr:cNvCxnSpPr/>
      </xdr:nvCxnSpPr>
      <xdr:spPr>
        <a:xfrm>
          <a:off x="16742309" y="9330523"/>
          <a:ext cx="8104334" cy="0"/>
        </a:xfrm>
        <a:prstGeom prst="line">
          <a:avLst/>
        </a:prstGeom>
        <a:ln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DAC8E-0604-42FB-8918-FFD7D8D7E8DF}" name="Table1" displayName="Table1" ref="A1:L95" totalsRowShown="0" headerRowDxfId="8">
  <autoFilter ref="A1:L95" xr:uid="{CB7DAC8E-0604-42FB-8918-FFD7D8D7E8DF}"/>
  <sortState xmlns:xlrd2="http://schemas.microsoft.com/office/spreadsheetml/2017/richdata2" ref="A2:L95">
    <sortCondition ref="I1:I95"/>
  </sortState>
  <tableColumns count="12">
    <tableColumn id="1" xr3:uid="{CD152039-3306-4F06-894B-AC3027373684}" name="Indication"/>
    <tableColumn id="2" xr3:uid="{F6D4A3A8-F826-48C6-8EF1-F8FB23FAA19F}" name="Therapy area"/>
    <tableColumn id="3" xr3:uid="{B9427FC0-8D53-4CA7-AA9E-6396D8292E23}" name="Country or region"/>
    <tableColumn id="4" xr3:uid="{57910FBC-676A-4DF6-9BD3-E5BCA7F84502}" name="Year(s) of study"/>
    <tableColumn id="5" xr3:uid="{5203A16C-69D1-4658-B952-86C40919E145}" name="Diagnostic delay (time from symptoms to Dx)"/>
    <tableColumn id="6" xr3:uid="{247286E4-61F1-4606-83B9-E0962DDA0279}" name="Average or median"/>
    <tableColumn id="7" xr3:uid="{AA361716-6DC0-45AF-A51F-4EF033D9B050}" name="Unit of time"/>
    <tableColumn id="8" xr3:uid="{57C739DA-2C63-4BDD-823C-2E7C6F2B4EE4}" name="Variance"/>
    <tableColumn id="9" xr3:uid="{5E78C2B8-0EEF-4125-B043-3873E1FA0980}" name="Time in months (formula)" dataDxfId="7">
      <calculatedColumnFormula>IF(G2="Days", E2/30, IF(G2="Years", E2*12, IF(G2="Weeks", E2/4, E2)))</calculatedColumnFormula>
    </tableColumn>
    <tableColumn id="10" xr3:uid="{212BC5C4-CBBB-4840-9E91-0C5C042EF535}" name="Source"/>
    <tableColumn id="11" xr3:uid="{09123260-6049-416B-92C4-9754E0D54BFF}" name="Notes"/>
    <tableColumn id="12" xr3:uid="{BD25AE2C-FE50-4007-A9F3-9949418989A9}" name="TA groups" dataDxfId="6">
      <calculatedColumnFormula>IF(OR(Table1[[#This Row],[Therapy area]]="Neurology", Table1[[#This Row],[Therapy area]]="Oncology", Table1[[#This Row],[Therapy area]]="Rheumatology"), Table1[[#This Row],[Therapy area]], "Other")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5AA75E-6A51-4859-A811-5D073898C5A0}" name="Table2" displayName="Table2" ref="A1:G53" totalsRowShown="0">
  <autoFilter ref="A1:G53" xr:uid="{795AA75E-6A51-4859-A811-5D073898C5A0}"/>
  <sortState xmlns:xlrd2="http://schemas.microsoft.com/office/spreadsheetml/2017/richdata2" ref="A2:G53">
    <sortCondition descending="1" ref="F1:F53"/>
  </sortState>
  <tableColumns count="7">
    <tableColumn id="1" xr3:uid="{44B320DB-2993-48F9-AA44-44956EFBF433}" name="Indication"/>
    <tableColumn id="2" xr3:uid="{06B2D7A4-60E3-485C-A8B2-38BA485DB3D7}" name="Therapy area"/>
    <tableColumn id="3" xr3:uid="{3F55860B-75DA-4695-AA8F-225D33307A6B}" name="Diagnostic delay (months)">
      <calculatedColumnFormula>AVERAGEIF('Average time to Dx'!A:A, Table2[[#This Row],[Indication]],'Average time to Dx'!I:I)</calculatedColumnFormula>
    </tableColumn>
    <tableColumn id="4" xr3:uid="{7E6C9E97-7C93-41BA-9EED-DECE499F5825}" name="1-year mortality" dataDxfId="5">
      <calculatedColumnFormula>90/207</calculatedColumnFormula>
    </tableColumn>
    <tableColumn id="6" xr3:uid="{DBDFD0BE-2AA7-4AC6-AF1D-1A15F86419B6}" name="Rank" dataDxfId="4" dataCellStyle="Percent">
      <calculatedColumnFormula>_xlfn.RANK.AVG(Table2[[#This Row],[1-year mortality]], D:D)</calculatedColumnFormula>
    </tableColumn>
    <tableColumn id="7" xr3:uid="{547B0B9F-3D6E-4976-A877-C5C2CE08F47A}" name="Est. Dx rate" dataDxfId="3" dataCellStyle="Percent">
      <calculatedColumnFormula>(1-Table2[[#This Row],[1-year mortality]])^(Table2[[#This Row],[Diagnostic delay (months)]]/12)</calculatedColumnFormula>
    </tableColumn>
    <tableColumn id="5" xr3:uid="{E6823929-6A16-4830-9C35-0E11164ABDE6}" name="Sourc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6A652-9B8C-4BE6-A3C4-3A018D44C79C}" name="Table3" displayName="Table3" ref="A1:F18" totalsRowShown="0" headerRowDxfId="2">
  <autoFilter ref="A1:F18" xr:uid="{0CD6A652-9B8C-4BE6-A3C4-3A018D44C79C}"/>
  <tableColumns count="6">
    <tableColumn id="1" xr3:uid="{59799419-ECF1-48F4-9916-3C7ABAA4209F}" name="Indication"/>
    <tableColumn id="2" xr3:uid="{E43FD2B6-8031-49D5-8596-DD8D46A9AEEE}" name="Therapy area"/>
    <tableColumn id="3" xr3:uid="{DC53FF81-C91B-40C6-9CC5-FBE4FF86D6E3}" name="Percentage seeking care"/>
    <tableColumn id="4" xr3:uid="{E2162816-EDC6-4F23-8176-C393E430C422}" name="Country"/>
    <tableColumn id="7" xr3:uid="{B61B046D-13B3-4F03-9038-A09E82886DCC}" name="Notes"/>
    <tableColumn id="5" xr3:uid="{EAAFC378-7AF3-4B53-9B1E-01328FBD00AD}" name="Sourc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34C479-1C7F-4F7F-A60F-07D41922F376}" name="Table36" displayName="Table36" ref="A1:F3" totalsRowShown="0" headerRowDxfId="1">
  <autoFilter ref="A1:F3" xr:uid="{9434C479-1C7F-4F7F-A60F-07D41922F376}"/>
  <tableColumns count="6">
    <tableColumn id="1" xr3:uid="{9E5052FC-8865-4C45-ACF9-01CED35EEDD1}" name="Indication"/>
    <tableColumn id="2" xr3:uid="{433EF944-7940-4DBC-9F00-C54084F351FE}" name="Therapy area"/>
    <tableColumn id="3" xr3:uid="{7857D0D0-CB53-4B3B-97B9-C17B5404148C}" name="Percentage seeking care"/>
    <tableColumn id="4" xr3:uid="{BDFC86C7-F999-4807-B709-13D1522B2A77}" name="Country"/>
    <tableColumn id="7" xr3:uid="{94D32306-7022-4C52-963D-ED19CDF75C57}" name="Notes"/>
    <tableColumn id="5" xr3:uid="{E47BA99C-6015-413B-ABF1-1C58EC15BE2B}" name="Sourc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050C1A-9E69-474A-800C-037D14C54F8E}" name="Table35" displayName="Table35" ref="A1:F16" totalsRowShown="0" headerRowDxfId="0">
  <autoFilter ref="A1:F16" xr:uid="{0CD6A652-9B8C-4BE6-A3C4-3A018D44C79C}"/>
  <tableColumns count="6">
    <tableColumn id="1" xr3:uid="{B3D76C6A-4FD0-410E-8704-B1649668327E}" name="Indication"/>
    <tableColumn id="2" xr3:uid="{F8E9A2B9-40B9-47EB-9D01-FA7EABA2A09D}" name="Therapy area"/>
    <tableColumn id="3" xr3:uid="{E91E0EC5-BEBF-474A-8256-0D0A293F1576}" name="p(Dx+)"/>
    <tableColumn id="4" xr3:uid="{D3A47FF8-2C7C-4A09-A130-E652AB40B81B}" name="Country"/>
    <tableColumn id="7" xr3:uid="{A6AE2BBD-EC35-41FF-8490-213F6323F4EA}" name="Notes"/>
    <tableColumn id="5" xr3:uid="{276A2182-B77B-4ACC-80AA-287843F03F94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0041937/" TargetMode="External"/><Relationship Id="rId18" Type="http://schemas.openxmlformats.org/officeDocument/2006/relationships/hyperlink" Target="https://pubmed.ncbi.nlm.nih.gov/29048096/" TargetMode="External"/><Relationship Id="rId26" Type="http://schemas.openxmlformats.org/officeDocument/2006/relationships/hyperlink" Target="https://pubmed.ncbi.nlm.nih.gov/31497486/" TargetMode="External"/><Relationship Id="rId39" Type="http://schemas.openxmlformats.org/officeDocument/2006/relationships/hyperlink" Target="https://pubmed.ncbi.nlm.nih.gov/16236846/" TargetMode="External"/><Relationship Id="rId21" Type="http://schemas.openxmlformats.org/officeDocument/2006/relationships/hyperlink" Target="https://pubmed.ncbi.nlm.nih.gov/29310675/" TargetMode="External"/><Relationship Id="rId34" Type="http://schemas.openxmlformats.org/officeDocument/2006/relationships/hyperlink" Target="https://pubmed.ncbi.nlm.nih.gov/22709136/" TargetMode="External"/><Relationship Id="rId42" Type="http://schemas.openxmlformats.org/officeDocument/2006/relationships/hyperlink" Target="https://pubmed.ncbi.nlm.nih.gov/32213057/" TargetMode="External"/><Relationship Id="rId47" Type="http://schemas.openxmlformats.org/officeDocument/2006/relationships/hyperlink" Target="https://pubmed.ncbi.nlm.nih.gov/26198191/" TargetMode="External"/><Relationship Id="rId50" Type="http://schemas.openxmlformats.org/officeDocument/2006/relationships/hyperlink" Target="https://pubmed.ncbi.nlm.nih.gov/32033783/" TargetMode="External"/><Relationship Id="rId55" Type="http://schemas.openxmlformats.org/officeDocument/2006/relationships/table" Target="../tables/table1.xml"/><Relationship Id="rId7" Type="http://schemas.openxmlformats.org/officeDocument/2006/relationships/hyperlink" Target="https://pubmed.ncbi.nlm.nih.gov/28655311/" TargetMode="External"/><Relationship Id="rId12" Type="http://schemas.openxmlformats.org/officeDocument/2006/relationships/hyperlink" Target="https://pubmed.ncbi.nlm.nih.gov/31997504/" TargetMode="External"/><Relationship Id="rId17" Type="http://schemas.openxmlformats.org/officeDocument/2006/relationships/hyperlink" Target="https://pubmed.ncbi.nlm.nih.gov/33336131/" TargetMode="External"/><Relationship Id="rId25" Type="http://schemas.openxmlformats.org/officeDocument/2006/relationships/hyperlink" Target="https://pubmed.ncbi.nlm.nih.gov/23695065/" TargetMode="External"/><Relationship Id="rId33" Type="http://schemas.openxmlformats.org/officeDocument/2006/relationships/hyperlink" Target="https://pubmed.ncbi.nlm.nih.gov/19294556/" TargetMode="External"/><Relationship Id="rId38" Type="http://schemas.openxmlformats.org/officeDocument/2006/relationships/hyperlink" Target="https://pubmed.ncbi.nlm.nih.gov/8669850/" TargetMode="External"/><Relationship Id="rId46" Type="http://schemas.openxmlformats.org/officeDocument/2006/relationships/hyperlink" Target="https://pubmed.ncbi.nlm.nih.gov/22505857/" TargetMode="External"/><Relationship Id="rId2" Type="http://schemas.openxmlformats.org/officeDocument/2006/relationships/hyperlink" Target="https://pubmed.ncbi.nlm.nih.gov/16304286/" TargetMode="External"/><Relationship Id="rId16" Type="http://schemas.openxmlformats.org/officeDocument/2006/relationships/hyperlink" Target="https://pubmed.ncbi.nlm.nih.gov/30715607/" TargetMode="External"/><Relationship Id="rId20" Type="http://schemas.openxmlformats.org/officeDocument/2006/relationships/hyperlink" Target="https://pubmed.ncbi.nlm.nih.gov/24529604/" TargetMode="External"/><Relationship Id="rId29" Type="http://schemas.openxmlformats.org/officeDocument/2006/relationships/hyperlink" Target="https://pubmed.ncbi.nlm.nih.gov/23997011/" TargetMode="External"/><Relationship Id="rId41" Type="http://schemas.openxmlformats.org/officeDocument/2006/relationships/hyperlink" Target="https://pubmed.ncbi.nlm.nih.gov/24534758/" TargetMode="External"/><Relationship Id="rId54" Type="http://schemas.openxmlformats.org/officeDocument/2006/relationships/hyperlink" Target="https://pubmed.ncbi.nlm.nih.gov/27799156/" TargetMode="External"/><Relationship Id="rId1" Type="http://schemas.openxmlformats.org/officeDocument/2006/relationships/hyperlink" Target="https://pubmed.ncbi.nlm.nih.gov/17499844/" TargetMode="External"/><Relationship Id="rId6" Type="http://schemas.openxmlformats.org/officeDocument/2006/relationships/hyperlink" Target="https://pubmed.ncbi.nlm.nih.gov/29237451/" TargetMode="External"/><Relationship Id="rId11" Type="http://schemas.openxmlformats.org/officeDocument/2006/relationships/hyperlink" Target="https://pubmed.ncbi.nlm.nih.gov/31665382/" TargetMode="External"/><Relationship Id="rId24" Type="http://schemas.openxmlformats.org/officeDocument/2006/relationships/hyperlink" Target="https://pubmed.ncbi.nlm.nih.gov/23695065/" TargetMode="External"/><Relationship Id="rId32" Type="http://schemas.openxmlformats.org/officeDocument/2006/relationships/hyperlink" Target="https://pubmed.ncbi.nlm.nih.gov/17876509/" TargetMode="External"/><Relationship Id="rId37" Type="http://schemas.openxmlformats.org/officeDocument/2006/relationships/hyperlink" Target="https://pubmed.ncbi.nlm.nih.gov/33807070/" TargetMode="External"/><Relationship Id="rId40" Type="http://schemas.openxmlformats.org/officeDocument/2006/relationships/hyperlink" Target="https://pubmed.ncbi.nlm.nih.gov/24534758/" TargetMode="External"/><Relationship Id="rId45" Type="http://schemas.openxmlformats.org/officeDocument/2006/relationships/hyperlink" Target="https://pubmed.ncbi.nlm.nih.gov/23572347/" TargetMode="External"/><Relationship Id="rId53" Type="http://schemas.openxmlformats.org/officeDocument/2006/relationships/hyperlink" Target="https://pubmed.ncbi.nlm.nih.gov/23937903/" TargetMode="External"/><Relationship Id="rId5" Type="http://schemas.openxmlformats.org/officeDocument/2006/relationships/hyperlink" Target="https://pubmed.ncbi.nlm.nih.gov/32763509/" TargetMode="External"/><Relationship Id="rId15" Type="http://schemas.openxmlformats.org/officeDocument/2006/relationships/hyperlink" Target="https://pubmed.ncbi.nlm.nih.gov/30715607/" TargetMode="External"/><Relationship Id="rId23" Type="http://schemas.openxmlformats.org/officeDocument/2006/relationships/hyperlink" Target="https://pubmed.ncbi.nlm.nih.gov/33170339/" TargetMode="External"/><Relationship Id="rId28" Type="http://schemas.openxmlformats.org/officeDocument/2006/relationships/hyperlink" Target="https://pubmed.ncbi.nlm.nih.gov/23997011/" TargetMode="External"/><Relationship Id="rId36" Type="http://schemas.openxmlformats.org/officeDocument/2006/relationships/hyperlink" Target="https://pubmed.ncbi.nlm.nih.gov/11359136/" TargetMode="External"/><Relationship Id="rId49" Type="http://schemas.openxmlformats.org/officeDocument/2006/relationships/hyperlink" Target="https://pubmed.ncbi.nlm.nih.gov/29102490/" TargetMode="External"/><Relationship Id="rId10" Type="http://schemas.openxmlformats.org/officeDocument/2006/relationships/hyperlink" Target="https://pubmed.ncbi.nlm.nih.gov/31665382/" TargetMode="External"/><Relationship Id="rId19" Type="http://schemas.openxmlformats.org/officeDocument/2006/relationships/hyperlink" Target="https://pubmed.ncbi.nlm.nih.gov/33440255/" TargetMode="External"/><Relationship Id="rId31" Type="http://schemas.openxmlformats.org/officeDocument/2006/relationships/hyperlink" Target="https://pubmed.ncbi.nlm.nih.gov/14594688/" TargetMode="External"/><Relationship Id="rId44" Type="http://schemas.openxmlformats.org/officeDocument/2006/relationships/hyperlink" Target="https://pubmed.ncbi.nlm.nih.gov/26503513/" TargetMode="External"/><Relationship Id="rId52" Type="http://schemas.openxmlformats.org/officeDocument/2006/relationships/hyperlink" Target="https://pubmed.ncbi.nlm.nih.gov/29779436/" TargetMode="External"/><Relationship Id="rId4" Type="http://schemas.openxmlformats.org/officeDocument/2006/relationships/hyperlink" Target="https://pubmed.ncbi.nlm.nih.gov/32406248/" TargetMode="External"/><Relationship Id="rId9" Type="http://schemas.openxmlformats.org/officeDocument/2006/relationships/hyperlink" Target="https://pubmed.ncbi.nlm.nih.gov/31665382/" TargetMode="External"/><Relationship Id="rId14" Type="http://schemas.openxmlformats.org/officeDocument/2006/relationships/hyperlink" Target="https://pubmed.ncbi.nlm.nih.gov/32993513/" TargetMode="External"/><Relationship Id="rId22" Type="http://schemas.openxmlformats.org/officeDocument/2006/relationships/hyperlink" Target="https://pubmed.ncbi.nlm.nih.gov/27231708/" TargetMode="External"/><Relationship Id="rId27" Type="http://schemas.openxmlformats.org/officeDocument/2006/relationships/hyperlink" Target="https://pubmed.ncbi.nlm.nih.gov/31497486/" TargetMode="External"/><Relationship Id="rId30" Type="http://schemas.openxmlformats.org/officeDocument/2006/relationships/hyperlink" Target="https://pubmed.ncbi.nlm.nih.gov/32945134/" TargetMode="External"/><Relationship Id="rId35" Type="http://schemas.openxmlformats.org/officeDocument/2006/relationships/hyperlink" Target="https://pubmed.ncbi.nlm.nih.gov/22676497/" TargetMode="External"/><Relationship Id="rId43" Type="http://schemas.openxmlformats.org/officeDocument/2006/relationships/hyperlink" Target="https://pubmed.ncbi.nlm.nih.gov/31067423/" TargetMode="External"/><Relationship Id="rId48" Type="http://schemas.openxmlformats.org/officeDocument/2006/relationships/hyperlink" Target="https://pubmed.ncbi.nlm.nih.gov/26198191/" TargetMode="External"/><Relationship Id="rId8" Type="http://schemas.openxmlformats.org/officeDocument/2006/relationships/hyperlink" Target="https://pubmed.ncbi.nlm.nih.gov/31665382/" TargetMode="External"/><Relationship Id="rId51" Type="http://schemas.openxmlformats.org/officeDocument/2006/relationships/hyperlink" Target="https://pubmed.ncbi.nlm.nih.gov/25424010/" TargetMode="External"/><Relationship Id="rId3" Type="http://schemas.openxmlformats.org/officeDocument/2006/relationships/hyperlink" Target="https://pubmed.ncbi.nlm.nih.gov/16304286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eer.cancer.gov/explorer/application.html?site=3&amp;data_type=4&amp;graph_type=6&amp;compareBy=sex&amp;chk_sex_1=1&amp;chk_sex_3=3&amp;chk_sex_2=2&amp;race=1&amp;age_range=1&amp;stage=101&amp;advopt_precision=1&amp;advopt_show_ci=on&amp;advopt_display=2" TargetMode="External"/><Relationship Id="rId18" Type="http://schemas.openxmlformats.org/officeDocument/2006/relationships/hyperlink" Target="https://www.ncbi.nlm.nih.gov/pmc/articles/PMC3175288/" TargetMode="External"/><Relationship Id="rId26" Type="http://schemas.openxmlformats.org/officeDocument/2006/relationships/hyperlink" Target="https://pubmed.ncbi.nlm.nih.gov/25726514/" TargetMode="External"/><Relationship Id="rId39" Type="http://schemas.openxmlformats.org/officeDocument/2006/relationships/hyperlink" Target="https://www.ncbi.nlm.nih.gov/pmc/articles/PMC5654004/" TargetMode="External"/><Relationship Id="rId3" Type="http://schemas.openxmlformats.org/officeDocument/2006/relationships/hyperlink" Target="https://pubmed.ncbi.nlm.nih.gov/10074952/" TargetMode="External"/><Relationship Id="rId21" Type="http://schemas.openxmlformats.org/officeDocument/2006/relationships/hyperlink" Target="https://pubmed.ncbi.nlm.nih.gov/31265075/" TargetMode="External"/><Relationship Id="rId34" Type="http://schemas.openxmlformats.org/officeDocument/2006/relationships/hyperlink" Target="https://www.endocrine.org/news-and-advocacy/news-room/featured-science-from-endo-2021/largest-ever-analysis-of-its-kind-finds-cushings-syndrome-triples-risk-of-death" TargetMode="External"/><Relationship Id="rId42" Type="http://schemas.openxmlformats.org/officeDocument/2006/relationships/hyperlink" Target="https://pubmed.ncbi.nlm.nih.gov/32454305/" TargetMode="External"/><Relationship Id="rId47" Type="http://schemas.openxmlformats.org/officeDocument/2006/relationships/hyperlink" Target="https://smanewstoday.com/sma-life-expectancy/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nature.com/articles/s41582-020-00427-y" TargetMode="External"/><Relationship Id="rId12" Type="http://schemas.openxmlformats.org/officeDocument/2006/relationships/hyperlink" Target="https://seer.cancer.gov/explorer/application.html?site=83&amp;data_type=4&amp;graph_type=6&amp;compareBy=sex&amp;chk_sex_1=1&amp;chk_sex_3=3&amp;chk_sex_2=2&amp;race=1&amp;age_range=1&amp;stage=101&amp;advopt_precision=1&amp;advopt_show_ci=on&amp;advopt_display=2" TargetMode="External"/><Relationship Id="rId17" Type="http://schemas.openxmlformats.org/officeDocument/2006/relationships/hyperlink" Target="https://www.ncbi.nlm.nih.gov/pmc/articles/PMC3175288/" TargetMode="External"/><Relationship Id="rId25" Type="http://schemas.openxmlformats.org/officeDocument/2006/relationships/hyperlink" Target="https://www.thelancet.com/journals/lanhl/article/PIIS2666-7568(21)00140-9/fulltext" TargetMode="External"/><Relationship Id="rId33" Type="http://schemas.openxmlformats.org/officeDocument/2006/relationships/hyperlink" Target="https://www.ncbi.nlm.nih.gov/pmc/articles/PMC3987657/" TargetMode="External"/><Relationship Id="rId38" Type="http://schemas.openxmlformats.org/officeDocument/2006/relationships/hyperlink" Target="https://ojrd.biomedcentral.com/articles/10.1186/1750-1172-3-24" TargetMode="External"/><Relationship Id="rId46" Type="http://schemas.openxmlformats.org/officeDocument/2006/relationships/hyperlink" Target="https://smanewstoday.com/sma-life-expectancy/" TargetMode="External"/><Relationship Id="rId2" Type="http://schemas.openxmlformats.org/officeDocument/2006/relationships/hyperlink" Target="https://pubmed.ncbi.nlm.nih.gov/12416281/" TargetMode="External"/><Relationship Id="rId16" Type="http://schemas.openxmlformats.org/officeDocument/2006/relationships/hyperlink" Target="https://www.medscape.com/answers/1064187-87785/what-is-the-mortality-rate-of-pemphigus-vulgaris" TargetMode="External"/><Relationship Id="rId20" Type="http://schemas.openxmlformats.org/officeDocument/2006/relationships/hyperlink" Target="https://pubmed.ncbi.nlm.nih.gov/31954853/" TargetMode="External"/><Relationship Id="rId29" Type="http://schemas.openxmlformats.org/officeDocument/2006/relationships/hyperlink" Target="https://www.ncbi.nlm.nih.gov/pmc/articles/PMC5579328/" TargetMode="External"/><Relationship Id="rId41" Type="http://schemas.openxmlformats.org/officeDocument/2006/relationships/hyperlink" Target="https://pubmed.ncbi.nlm.nih.gov/27585505/" TargetMode="External"/><Relationship Id="rId1" Type="http://schemas.openxmlformats.org/officeDocument/2006/relationships/hyperlink" Target="https://pubmed.ncbi.nlm.nih.gov/33141492/" TargetMode="External"/><Relationship Id="rId6" Type="http://schemas.openxmlformats.org/officeDocument/2006/relationships/hyperlink" Target="https://www.ncbi.nlm.nih.gov/pmc/articles/PMC2655002/" TargetMode="External"/><Relationship Id="rId11" Type="http://schemas.openxmlformats.org/officeDocument/2006/relationships/hyperlink" Target="https://www.nejm.org/doi/full/10.1056/nejmoa1702752" TargetMode="External"/><Relationship Id="rId24" Type="http://schemas.openxmlformats.org/officeDocument/2006/relationships/hyperlink" Target="https://pubmed.ncbi.nlm.nih.gov/25280575/" TargetMode="External"/><Relationship Id="rId32" Type="http://schemas.openxmlformats.org/officeDocument/2006/relationships/hyperlink" Target="https://www.thelancet.com/journals/lanhl/article/PIIS2666-7568(21)00140-9/fulltext" TargetMode="External"/><Relationship Id="rId37" Type="http://schemas.openxmlformats.org/officeDocument/2006/relationships/hyperlink" Target="https://www.ncbi.nlm.nih.gov/pmc/articles/PMC6612605/" TargetMode="External"/><Relationship Id="rId40" Type="http://schemas.openxmlformats.org/officeDocument/2006/relationships/hyperlink" Target="https://movementdisorders.onlinelibrary.wiley.com/doi/10.1002/mds.25898" TargetMode="External"/><Relationship Id="rId45" Type="http://schemas.openxmlformats.org/officeDocument/2006/relationships/hyperlink" Target="https://pubmed.ncbi.nlm.nih.gov/22459416/" TargetMode="External"/><Relationship Id="rId5" Type="http://schemas.openxmlformats.org/officeDocument/2006/relationships/hyperlink" Target="https://pubmed.ncbi.nlm.nih.gov/32963642/" TargetMode="External"/><Relationship Id="rId15" Type="http://schemas.openxmlformats.org/officeDocument/2006/relationships/hyperlink" Target="https://pubmed.ncbi.nlm.nih.gov/29963683/" TargetMode="External"/><Relationship Id="rId23" Type="http://schemas.openxmlformats.org/officeDocument/2006/relationships/hyperlink" Target="https://www.ncbi.nlm.nih.gov/pmc/articles/PMC4433463/" TargetMode="External"/><Relationship Id="rId28" Type="http://schemas.openxmlformats.org/officeDocument/2006/relationships/hyperlink" Target="https://pubmed.ncbi.nlm.nih.gov/25726514/" TargetMode="External"/><Relationship Id="rId36" Type="http://schemas.openxmlformats.org/officeDocument/2006/relationships/hyperlink" Target="https://jnnp.bmj.com/content/88/8/621" TargetMode="External"/><Relationship Id="rId49" Type="http://schemas.openxmlformats.org/officeDocument/2006/relationships/hyperlink" Target="https://pubmed.ncbi.nlm.nih.gov/31202872/" TargetMode="External"/><Relationship Id="rId10" Type="http://schemas.openxmlformats.org/officeDocument/2006/relationships/hyperlink" Target="https://seer.cancer.gov/explorer/application.html?site=89&amp;data_type=4&amp;graph_type=6&amp;compareBy=sex&amp;chk_sex_1=1&amp;chk_sex_3=3&amp;chk_sex_2=2&amp;race=1&amp;age_range=1&amp;stage=101&amp;advopt_precision=1&amp;advopt_show_ci=on&amp;advopt_display=2" TargetMode="External"/><Relationship Id="rId19" Type="http://schemas.openxmlformats.org/officeDocument/2006/relationships/hyperlink" Target="https://www.ncbi.nlm.nih.gov/pmc/articles/PMC4945313/" TargetMode="External"/><Relationship Id="rId31" Type="http://schemas.openxmlformats.org/officeDocument/2006/relationships/hyperlink" Target="https://jamanetwork.com/journals/jama/fullarticle/2764182" TargetMode="External"/><Relationship Id="rId44" Type="http://schemas.openxmlformats.org/officeDocument/2006/relationships/hyperlink" Target="https://pubmed.ncbi.nlm.nih.gov/33878179/" TargetMode="External"/><Relationship Id="rId4" Type="http://schemas.openxmlformats.org/officeDocument/2006/relationships/hyperlink" Target="https://seer.cancer.gov/explorer/application.html?site=40&amp;data_type=4&amp;graph_type=6&amp;compareBy=sex&amp;chk_sex_1=1&amp;chk_sex_3=3&amp;chk_sex_2=2&amp;race=1&amp;age_range=1&amp;stage=101&amp;advopt_precision=1&amp;advopt_show_ci=on&amp;advopt_display=2" TargetMode="External"/><Relationship Id="rId9" Type="http://schemas.openxmlformats.org/officeDocument/2006/relationships/hyperlink" Target="https://pubmed.ncbi.nlm.nih.gov/23624887/" TargetMode="External"/><Relationship Id="rId14" Type="http://schemas.openxmlformats.org/officeDocument/2006/relationships/hyperlink" Target="https://www.ncbi.nlm.nih.gov/pmc/articles/PMC1856159/" TargetMode="External"/><Relationship Id="rId22" Type="http://schemas.openxmlformats.org/officeDocument/2006/relationships/hyperlink" Target="https://www.ncbi.nlm.nih.gov/pmc/articles/PMC3920308/" TargetMode="External"/><Relationship Id="rId27" Type="http://schemas.openxmlformats.org/officeDocument/2006/relationships/hyperlink" Target="https://www.ncbi.nlm.nih.gov/pmc/articles/PMC2082822/" TargetMode="External"/><Relationship Id="rId30" Type="http://schemas.openxmlformats.org/officeDocument/2006/relationships/hyperlink" Target="https://www.thelancet.com/journals/lanhl/article/PIIS2666-7568(21)00140-9/fulltext" TargetMode="External"/><Relationship Id="rId35" Type="http://schemas.openxmlformats.org/officeDocument/2006/relationships/hyperlink" Target="https://epilepsysociety.org.uk/sites/default/files/2020-08/Chapter37Neligan2015.pdf" TargetMode="External"/><Relationship Id="rId43" Type="http://schemas.openxmlformats.org/officeDocument/2006/relationships/hyperlink" Target="https://pubmed.ncbi.nlm.nih.gov/32627048/" TargetMode="External"/><Relationship Id="rId48" Type="http://schemas.openxmlformats.org/officeDocument/2006/relationships/hyperlink" Target="https://erj.ersjournals.com/content/50/2/1700740" TargetMode="External"/><Relationship Id="rId8" Type="http://schemas.openxmlformats.org/officeDocument/2006/relationships/hyperlink" Target="https://pubmed.ncbi.nlm.nih.gov/16737883/" TargetMode="External"/><Relationship Id="rId5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mchealthservres.biomedcentral.com/articles/10.1186/s12913-015-1119-2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pubmed.ncbi.nlm.nih.gov/24556894/" TargetMode="External"/><Relationship Id="rId1" Type="http://schemas.openxmlformats.org/officeDocument/2006/relationships/hyperlink" Target="https://pubmed.ncbi.nlm.nih.gov/29249189/" TargetMode="External"/><Relationship Id="rId6" Type="http://schemas.openxmlformats.org/officeDocument/2006/relationships/hyperlink" Target="https://pubmed.ncbi.nlm.nih.gov/31565121/" TargetMode="External"/><Relationship Id="rId5" Type="http://schemas.openxmlformats.org/officeDocument/2006/relationships/hyperlink" Target="https://bmcpublichealth.biomedcentral.com/articles/10.1186/s12889-020-08555-2" TargetMode="External"/><Relationship Id="rId4" Type="http://schemas.openxmlformats.org/officeDocument/2006/relationships/hyperlink" Target="https://www.ncbi.nlm.nih.gov/pmc/articles/PMC4351276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pubmed.ncbi.nlm.nih.gov/27617716/" TargetMode="External"/><Relationship Id="rId1" Type="http://schemas.openxmlformats.org/officeDocument/2006/relationships/hyperlink" Target="https://pubmed.ncbi.nlm.nih.gov/27617716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28159845/" TargetMode="External"/><Relationship Id="rId7" Type="http://schemas.openxmlformats.org/officeDocument/2006/relationships/table" Target="../tables/table5.xml"/><Relationship Id="rId2" Type="http://schemas.openxmlformats.org/officeDocument/2006/relationships/hyperlink" Target="https://pubmed.ncbi.nlm.nih.gov/28159845/" TargetMode="External"/><Relationship Id="rId1" Type="http://schemas.openxmlformats.org/officeDocument/2006/relationships/hyperlink" Target="https://pubmed.ncbi.nlm.nih.gov/28159845/" TargetMode="External"/><Relationship Id="rId6" Type="http://schemas.openxmlformats.org/officeDocument/2006/relationships/hyperlink" Target="https://pubmed.ncbi.nlm.nih.gov/28159845/" TargetMode="External"/><Relationship Id="rId5" Type="http://schemas.openxmlformats.org/officeDocument/2006/relationships/hyperlink" Target="https://pubmed.ncbi.nlm.nih.gov/28159845/" TargetMode="External"/><Relationship Id="rId4" Type="http://schemas.openxmlformats.org/officeDocument/2006/relationships/hyperlink" Target="https://pubmed.ncbi.nlm.nih.gov/2815984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513E-26DC-4C85-8B8F-1046086877AA}">
  <dimension ref="A1:L95"/>
  <sheetViews>
    <sheetView zoomScale="130" zoomScaleNormal="130" workbookViewId="0">
      <selection activeCell="D43" sqref="D43"/>
    </sheetView>
  </sheetViews>
  <sheetFormatPr defaultRowHeight="15" x14ac:dyDescent="0.25"/>
  <cols>
    <col min="1" max="1" width="29" bestFit="1" customWidth="1"/>
    <col min="2" max="2" width="14" bestFit="1" customWidth="1"/>
    <col min="3" max="3" width="17.7109375" customWidth="1"/>
    <col min="4" max="4" width="24.28515625" bestFit="1" customWidth="1"/>
    <col min="5" max="5" width="44" bestFit="1" customWidth="1"/>
    <col min="6" max="6" width="18.85546875" customWidth="1"/>
    <col min="7" max="7" width="24.28515625" customWidth="1"/>
    <col min="8" max="8" width="18" bestFit="1" customWidth="1"/>
    <col min="9" max="9" width="24.42578125" customWidth="1"/>
    <col min="12" max="12" width="12" bestFit="1" customWidth="1"/>
  </cols>
  <sheetData>
    <row r="1" spans="1:12" x14ac:dyDescent="0.25">
      <c r="A1" s="1" t="s">
        <v>0</v>
      </c>
      <c r="B1" s="1" t="s">
        <v>85</v>
      </c>
      <c r="C1" s="1" t="s">
        <v>3</v>
      </c>
      <c r="D1" s="1" t="s">
        <v>6</v>
      </c>
      <c r="E1" s="1" t="s">
        <v>107</v>
      </c>
      <c r="F1" s="1" t="s">
        <v>12</v>
      </c>
      <c r="G1" s="1" t="s">
        <v>15</v>
      </c>
      <c r="H1" s="1" t="s">
        <v>30</v>
      </c>
      <c r="I1" s="1" t="s">
        <v>84</v>
      </c>
      <c r="J1" s="1" t="s">
        <v>2</v>
      </c>
      <c r="K1" s="1" t="s">
        <v>1</v>
      </c>
      <c r="L1" s="1" t="s">
        <v>308</v>
      </c>
    </row>
    <row r="2" spans="1:12" x14ac:dyDescent="0.25">
      <c r="A2" t="s">
        <v>284</v>
      </c>
      <c r="B2" t="s">
        <v>89</v>
      </c>
      <c r="C2" t="s">
        <v>114</v>
      </c>
      <c r="D2" t="s">
        <v>269</v>
      </c>
      <c r="E2">
        <f>2/3</f>
        <v>0.66666666666666663</v>
      </c>
      <c r="F2" t="s">
        <v>13</v>
      </c>
      <c r="G2" t="s">
        <v>16</v>
      </c>
      <c r="I2" s="3">
        <f t="shared" ref="I2:I33" si="0">IF(G2="Days", E2/30, IF(G2="Years", E2*12, IF(G2="Weeks", E2/4, E2)))</f>
        <v>2.222222222222222E-2</v>
      </c>
      <c r="J2" s="2" t="s">
        <v>285</v>
      </c>
      <c r="L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" spans="1:12" x14ac:dyDescent="0.25">
      <c r="A3" t="s">
        <v>9</v>
      </c>
      <c r="B3" t="s">
        <v>88</v>
      </c>
      <c r="C3" t="s">
        <v>4</v>
      </c>
      <c r="D3" t="s">
        <v>11</v>
      </c>
      <c r="E3">
        <v>7</v>
      </c>
      <c r="F3" t="s">
        <v>13</v>
      </c>
      <c r="G3" t="s">
        <v>16</v>
      </c>
      <c r="I3" s="3">
        <f t="shared" si="0"/>
        <v>0.23333333333333334</v>
      </c>
      <c r="J3" s="2" t="s">
        <v>17</v>
      </c>
      <c r="L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" spans="1:12" x14ac:dyDescent="0.25">
      <c r="A4" t="s">
        <v>9</v>
      </c>
      <c r="B4" t="s">
        <v>88</v>
      </c>
      <c r="C4" t="s">
        <v>19</v>
      </c>
      <c r="D4" t="s">
        <v>18</v>
      </c>
      <c r="E4">
        <v>7.7</v>
      </c>
      <c r="F4" t="s">
        <v>14</v>
      </c>
      <c r="G4" t="s">
        <v>16</v>
      </c>
      <c r="I4" s="3">
        <f t="shared" si="0"/>
        <v>0.25666666666666665</v>
      </c>
      <c r="J4" s="2" t="s">
        <v>21</v>
      </c>
      <c r="L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" spans="1:12" x14ac:dyDescent="0.25">
      <c r="A5" t="s">
        <v>9</v>
      </c>
      <c r="B5" t="s">
        <v>88</v>
      </c>
      <c r="C5" t="s">
        <v>10</v>
      </c>
      <c r="D5" t="s">
        <v>8</v>
      </c>
      <c r="E5">
        <f>8.4+0.9</f>
        <v>9.3000000000000007</v>
      </c>
      <c r="F5" t="s">
        <v>14</v>
      </c>
      <c r="G5" t="s">
        <v>16</v>
      </c>
      <c r="I5" s="3">
        <f t="shared" si="0"/>
        <v>0.31</v>
      </c>
      <c r="J5" t="s">
        <v>7</v>
      </c>
      <c r="L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" spans="1:12" x14ac:dyDescent="0.25">
      <c r="A6" t="s">
        <v>20</v>
      </c>
      <c r="B6" t="s">
        <v>88</v>
      </c>
      <c r="C6" t="s">
        <v>19</v>
      </c>
      <c r="D6" t="s">
        <v>18</v>
      </c>
      <c r="E6">
        <v>10</v>
      </c>
      <c r="F6" t="s">
        <v>14</v>
      </c>
      <c r="G6" t="s">
        <v>16</v>
      </c>
      <c r="I6" s="3">
        <f t="shared" si="0"/>
        <v>0.33333333333333331</v>
      </c>
      <c r="J6" s="2" t="s">
        <v>21</v>
      </c>
      <c r="L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7" spans="1:12" x14ac:dyDescent="0.25">
      <c r="A7" t="s">
        <v>232</v>
      </c>
      <c r="B7" t="s">
        <v>87</v>
      </c>
      <c r="C7" t="s">
        <v>231</v>
      </c>
      <c r="D7" t="s">
        <v>230</v>
      </c>
      <c r="E7">
        <v>5.3</v>
      </c>
      <c r="F7" t="s">
        <v>13</v>
      </c>
      <c r="G7" t="s">
        <v>116</v>
      </c>
      <c r="H7" t="s">
        <v>233</v>
      </c>
      <c r="I7" s="3">
        <f t="shared" si="0"/>
        <v>1.325</v>
      </c>
      <c r="J7" t="s">
        <v>234</v>
      </c>
      <c r="L7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8" spans="1:12" x14ac:dyDescent="0.25">
      <c r="A8" t="s">
        <v>213</v>
      </c>
      <c r="B8" t="s">
        <v>307</v>
      </c>
      <c r="C8" t="s">
        <v>212</v>
      </c>
      <c r="D8" t="s">
        <v>211</v>
      </c>
      <c r="E8">
        <v>1.4</v>
      </c>
      <c r="F8" t="s">
        <v>13</v>
      </c>
      <c r="G8" t="s">
        <v>27</v>
      </c>
      <c r="H8" t="s">
        <v>215</v>
      </c>
      <c r="I8" s="3">
        <f t="shared" si="0"/>
        <v>1.4</v>
      </c>
      <c r="J8" s="2" t="s">
        <v>218</v>
      </c>
      <c r="L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" spans="1:12" x14ac:dyDescent="0.25">
      <c r="A9" t="s">
        <v>112</v>
      </c>
      <c r="B9" t="s">
        <v>87</v>
      </c>
      <c r="C9" t="s">
        <v>114</v>
      </c>
      <c r="D9" t="s">
        <v>113</v>
      </c>
      <c r="E9">
        <v>42</v>
      </c>
      <c r="F9" t="s">
        <v>13</v>
      </c>
      <c r="G9" t="s">
        <v>16</v>
      </c>
      <c r="H9" t="s">
        <v>110</v>
      </c>
      <c r="I9" s="3">
        <f t="shared" si="0"/>
        <v>1.4</v>
      </c>
      <c r="J9" t="s">
        <v>111</v>
      </c>
      <c r="L9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0" spans="1:12" x14ac:dyDescent="0.25">
      <c r="A10" t="s">
        <v>271</v>
      </c>
      <c r="B10" t="s">
        <v>87</v>
      </c>
      <c r="C10" t="s">
        <v>62</v>
      </c>
      <c r="D10" t="s">
        <v>274</v>
      </c>
      <c r="E10">
        <v>2</v>
      </c>
      <c r="F10" t="s">
        <v>13</v>
      </c>
      <c r="G10" t="s">
        <v>27</v>
      </c>
      <c r="H10" t="s">
        <v>272</v>
      </c>
      <c r="I10" s="3">
        <f t="shared" si="0"/>
        <v>2</v>
      </c>
      <c r="J10" s="2" t="s">
        <v>273</v>
      </c>
      <c r="L10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1" spans="1:12" x14ac:dyDescent="0.25">
      <c r="A11" t="s">
        <v>120</v>
      </c>
      <c r="B11" t="s">
        <v>121</v>
      </c>
      <c r="C11" t="s">
        <v>119</v>
      </c>
      <c r="D11" t="s">
        <v>118</v>
      </c>
      <c r="E11">
        <v>64.2</v>
      </c>
      <c r="F11" t="s">
        <v>14</v>
      </c>
      <c r="G11" t="s">
        <v>16</v>
      </c>
      <c r="I11" s="3">
        <f t="shared" si="0"/>
        <v>2.14</v>
      </c>
      <c r="J11" s="2" t="s">
        <v>122</v>
      </c>
      <c r="L11" t="str">
        <f>IF(OR(Table1[[#This Row],[Therapy area]]="Neurology", Table1[[#This Row],[Therapy area]]="Oncology", Table1[[#This Row],[Therapy area]]="Rheumatology"), Table1[[#This Row],[Therapy area]], "Other")</f>
        <v>Other</v>
      </c>
    </row>
    <row r="12" spans="1:12" x14ac:dyDescent="0.25">
      <c r="A12" t="s">
        <v>115</v>
      </c>
      <c r="B12" t="s">
        <v>90</v>
      </c>
      <c r="C12" t="s">
        <v>70</v>
      </c>
      <c r="D12" t="s">
        <v>118</v>
      </c>
      <c r="E12">
        <v>9</v>
      </c>
      <c r="F12" t="s">
        <v>14</v>
      </c>
      <c r="G12" t="s">
        <v>116</v>
      </c>
      <c r="H12" t="s">
        <v>117</v>
      </c>
      <c r="I12" s="3">
        <f t="shared" si="0"/>
        <v>2.25</v>
      </c>
      <c r="J12" s="2" t="s">
        <v>123</v>
      </c>
      <c r="L12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13" spans="1:12" x14ac:dyDescent="0.25">
      <c r="A13" t="s">
        <v>186</v>
      </c>
      <c r="B13" t="s">
        <v>89</v>
      </c>
      <c r="C13" t="s">
        <v>114</v>
      </c>
      <c r="D13" t="s">
        <v>187</v>
      </c>
      <c r="E13">
        <v>74</v>
      </c>
      <c r="F13" t="s">
        <v>13</v>
      </c>
      <c r="G13" t="s">
        <v>16</v>
      </c>
      <c r="H13" t="s">
        <v>188</v>
      </c>
      <c r="I13" s="3">
        <f t="shared" si="0"/>
        <v>2.4666666666666668</v>
      </c>
      <c r="J13" s="2" t="s">
        <v>189</v>
      </c>
      <c r="L1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14" spans="1:12" x14ac:dyDescent="0.25">
      <c r="A14" t="s">
        <v>204</v>
      </c>
      <c r="B14" t="s">
        <v>307</v>
      </c>
      <c r="C14" t="s">
        <v>206</v>
      </c>
      <c r="D14" t="s">
        <v>207</v>
      </c>
      <c r="E14">
        <v>2.5</v>
      </c>
      <c r="F14" t="s">
        <v>13</v>
      </c>
      <c r="G14" t="s">
        <v>27</v>
      </c>
      <c r="H14" t="s">
        <v>208</v>
      </c>
      <c r="I14" s="3">
        <f t="shared" si="0"/>
        <v>2.5</v>
      </c>
      <c r="J14" s="2" t="s">
        <v>210</v>
      </c>
      <c r="L1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15" spans="1:12" x14ac:dyDescent="0.25">
      <c r="A15" t="s">
        <v>86</v>
      </c>
      <c r="B15" t="s">
        <v>87</v>
      </c>
      <c r="C15" t="s">
        <v>4</v>
      </c>
      <c r="E15">
        <v>86</v>
      </c>
      <c r="F15" t="s">
        <v>13</v>
      </c>
      <c r="G15" t="s">
        <v>16</v>
      </c>
      <c r="H15" t="s">
        <v>31</v>
      </c>
      <c r="I15" s="3">
        <f t="shared" si="0"/>
        <v>2.8666666666666667</v>
      </c>
      <c r="J15" t="s">
        <v>5</v>
      </c>
      <c r="L15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6" spans="1:12" x14ac:dyDescent="0.25">
      <c r="A16" t="s">
        <v>159</v>
      </c>
      <c r="B16" t="s">
        <v>90</v>
      </c>
      <c r="C16" t="s">
        <v>156</v>
      </c>
      <c r="D16" t="s">
        <v>161</v>
      </c>
      <c r="E16">
        <v>3</v>
      </c>
      <c r="F16" t="s">
        <v>13</v>
      </c>
      <c r="G16" t="s">
        <v>27</v>
      </c>
      <c r="H16" t="s">
        <v>160</v>
      </c>
      <c r="I16" s="3">
        <f t="shared" si="0"/>
        <v>3</v>
      </c>
      <c r="J16" s="2" t="s">
        <v>155</v>
      </c>
      <c r="L16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17" spans="1:12" x14ac:dyDescent="0.25">
      <c r="A17" t="s">
        <v>238</v>
      </c>
      <c r="B17" t="s">
        <v>87</v>
      </c>
      <c r="C17" t="s">
        <v>114</v>
      </c>
      <c r="D17" t="s">
        <v>240</v>
      </c>
      <c r="E17">
        <v>99</v>
      </c>
      <c r="F17" t="s">
        <v>13</v>
      </c>
      <c r="G17" t="s">
        <v>16</v>
      </c>
      <c r="I17" s="3">
        <f t="shared" si="0"/>
        <v>3.3</v>
      </c>
      <c r="J17" s="2" t="s">
        <v>239</v>
      </c>
      <c r="L17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8" spans="1:12" x14ac:dyDescent="0.25">
      <c r="A18" t="s">
        <v>248</v>
      </c>
      <c r="B18" t="s">
        <v>87</v>
      </c>
      <c r="C18" t="s">
        <v>156</v>
      </c>
      <c r="D18" t="s">
        <v>249</v>
      </c>
      <c r="E18">
        <v>3.5</v>
      </c>
      <c r="F18" t="s">
        <v>13</v>
      </c>
      <c r="G18" t="s">
        <v>27</v>
      </c>
      <c r="I18" s="3">
        <f t="shared" si="0"/>
        <v>3.5</v>
      </c>
      <c r="J18" s="2" t="s">
        <v>250</v>
      </c>
      <c r="L18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9" spans="1:12" x14ac:dyDescent="0.25">
      <c r="A19" t="s">
        <v>143</v>
      </c>
      <c r="B19" t="s">
        <v>89</v>
      </c>
      <c r="C19" t="s">
        <v>70</v>
      </c>
      <c r="D19" t="s">
        <v>146</v>
      </c>
      <c r="E19">
        <v>3.6</v>
      </c>
      <c r="F19" t="s">
        <v>14</v>
      </c>
      <c r="G19" t="s">
        <v>27</v>
      </c>
      <c r="I19" s="3">
        <f t="shared" si="0"/>
        <v>3.6</v>
      </c>
      <c r="J19" t="s">
        <v>147</v>
      </c>
      <c r="L1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20" spans="1:12" x14ac:dyDescent="0.25">
      <c r="A20" t="s">
        <v>224</v>
      </c>
      <c r="B20" t="s">
        <v>90</v>
      </c>
      <c r="C20" t="s">
        <v>99</v>
      </c>
      <c r="D20" t="s">
        <v>269</v>
      </c>
      <c r="E20">
        <v>4</v>
      </c>
      <c r="F20" t="s">
        <v>14</v>
      </c>
      <c r="G20" t="s">
        <v>13</v>
      </c>
      <c r="I20" s="3">
        <f t="shared" si="0"/>
        <v>4</v>
      </c>
      <c r="J20" s="2" t="s">
        <v>270</v>
      </c>
      <c r="L20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1" spans="1:12" x14ac:dyDescent="0.25">
      <c r="A21" t="s">
        <v>258</v>
      </c>
      <c r="B21" t="s">
        <v>87</v>
      </c>
      <c r="C21" t="s">
        <v>257</v>
      </c>
      <c r="D21" t="s">
        <v>256</v>
      </c>
      <c r="E21">
        <v>4</v>
      </c>
      <c r="F21" t="s">
        <v>13</v>
      </c>
      <c r="G21" t="s">
        <v>27</v>
      </c>
      <c r="H21" t="s">
        <v>259</v>
      </c>
      <c r="I21" s="3">
        <f t="shared" si="0"/>
        <v>4</v>
      </c>
      <c r="J21" s="2" t="s">
        <v>260</v>
      </c>
      <c r="L21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22" spans="1:12" x14ac:dyDescent="0.25">
      <c r="A22" t="s">
        <v>227</v>
      </c>
      <c r="B22" t="s">
        <v>87</v>
      </c>
      <c r="C22" t="s">
        <v>228</v>
      </c>
      <c r="D22">
        <v>1988</v>
      </c>
      <c r="E22">
        <v>144</v>
      </c>
      <c r="F22" t="s">
        <v>13</v>
      </c>
      <c r="G22" t="s">
        <v>16</v>
      </c>
      <c r="I22" s="3">
        <f t="shared" si="0"/>
        <v>4.8</v>
      </c>
      <c r="J22" s="2" t="s">
        <v>229</v>
      </c>
      <c r="L22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23" spans="1:12" x14ac:dyDescent="0.25">
      <c r="A23" t="s">
        <v>157</v>
      </c>
      <c r="B23" t="s">
        <v>90</v>
      </c>
      <c r="C23" t="s">
        <v>175</v>
      </c>
      <c r="D23" t="s">
        <v>177</v>
      </c>
      <c r="E23">
        <v>5</v>
      </c>
      <c r="F23" t="s">
        <v>13</v>
      </c>
      <c r="G23" t="s">
        <v>27</v>
      </c>
      <c r="I23" s="3">
        <f t="shared" si="0"/>
        <v>5</v>
      </c>
      <c r="J23" s="2" t="s">
        <v>176</v>
      </c>
      <c r="L23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4" spans="1:12" x14ac:dyDescent="0.25">
      <c r="A24" t="s">
        <v>81</v>
      </c>
      <c r="B24" t="s">
        <v>87</v>
      </c>
      <c r="C24" t="s">
        <v>62</v>
      </c>
      <c r="D24" t="s">
        <v>82</v>
      </c>
      <c r="E24">
        <v>152</v>
      </c>
      <c r="F24" t="s">
        <v>14</v>
      </c>
      <c r="G24" t="s">
        <v>16</v>
      </c>
      <c r="I24" s="3">
        <f t="shared" si="0"/>
        <v>5.0666666666666664</v>
      </c>
      <c r="J24" t="s">
        <v>83</v>
      </c>
      <c r="L24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25" spans="1:12" x14ac:dyDescent="0.25">
      <c r="A25" t="s">
        <v>224</v>
      </c>
      <c r="B25" t="s">
        <v>90</v>
      </c>
      <c r="C25" t="s">
        <v>99</v>
      </c>
      <c r="D25" t="s">
        <v>269</v>
      </c>
      <c r="E25">
        <v>6</v>
      </c>
      <c r="F25" t="s">
        <v>14</v>
      </c>
      <c r="G25" t="s">
        <v>27</v>
      </c>
      <c r="I25" s="3">
        <f t="shared" si="0"/>
        <v>6</v>
      </c>
      <c r="J25" s="2" t="s">
        <v>270</v>
      </c>
      <c r="L25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6" spans="1:12" x14ac:dyDescent="0.25">
      <c r="A26" t="s">
        <v>157</v>
      </c>
      <c r="B26" t="s">
        <v>90</v>
      </c>
      <c r="C26" t="s">
        <v>156</v>
      </c>
      <c r="D26" t="s">
        <v>161</v>
      </c>
      <c r="E26">
        <v>6</v>
      </c>
      <c r="F26" t="s">
        <v>13</v>
      </c>
      <c r="G26" t="s">
        <v>27</v>
      </c>
      <c r="H26" t="s">
        <v>158</v>
      </c>
      <c r="I26" s="3">
        <f t="shared" si="0"/>
        <v>6</v>
      </c>
      <c r="J26" s="2" t="s">
        <v>155</v>
      </c>
      <c r="L26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7" spans="1:12" x14ac:dyDescent="0.25">
      <c r="A27" t="s">
        <v>242</v>
      </c>
      <c r="B27" t="s">
        <v>168</v>
      </c>
      <c r="C27" t="s">
        <v>64</v>
      </c>
      <c r="D27" t="s">
        <v>241</v>
      </c>
      <c r="E27">
        <v>6.1</v>
      </c>
      <c r="F27" t="s">
        <v>14</v>
      </c>
      <c r="G27" t="s">
        <v>27</v>
      </c>
      <c r="I27" s="3">
        <f t="shared" si="0"/>
        <v>6.1</v>
      </c>
      <c r="J27" s="2" t="s">
        <v>243</v>
      </c>
      <c r="L2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28" spans="1:12" x14ac:dyDescent="0.25">
      <c r="A28" t="s">
        <v>192</v>
      </c>
      <c r="B28" t="s">
        <v>168</v>
      </c>
      <c r="C28" t="s">
        <v>10</v>
      </c>
      <c r="D28" t="s">
        <v>193</v>
      </c>
      <c r="E28">
        <v>6.19</v>
      </c>
      <c r="F28" t="s">
        <v>14</v>
      </c>
      <c r="G28" t="s">
        <v>27</v>
      </c>
      <c r="H28" t="s">
        <v>191</v>
      </c>
      <c r="I28" s="3">
        <f t="shared" si="0"/>
        <v>6.19</v>
      </c>
      <c r="J28" t="s">
        <v>190</v>
      </c>
      <c r="L2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29" spans="1:12" x14ac:dyDescent="0.25">
      <c r="A29" t="s">
        <v>167</v>
      </c>
      <c r="B29" t="s">
        <v>168</v>
      </c>
      <c r="C29" t="s">
        <v>163</v>
      </c>
      <c r="D29" t="s">
        <v>169</v>
      </c>
      <c r="E29">
        <v>8</v>
      </c>
      <c r="F29" t="s">
        <v>13</v>
      </c>
      <c r="G29" t="s">
        <v>27</v>
      </c>
      <c r="H29" t="s">
        <v>170</v>
      </c>
      <c r="I29" s="3">
        <f t="shared" si="0"/>
        <v>8</v>
      </c>
      <c r="J29" s="2" t="s">
        <v>171</v>
      </c>
      <c r="L29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0" spans="1:12" x14ac:dyDescent="0.25">
      <c r="A30" t="s">
        <v>180</v>
      </c>
      <c r="B30" t="s">
        <v>307</v>
      </c>
      <c r="C30" t="s">
        <v>29</v>
      </c>
      <c r="D30" t="s">
        <v>178</v>
      </c>
      <c r="E30">
        <v>8</v>
      </c>
      <c r="F30" t="s">
        <v>13</v>
      </c>
      <c r="G30" t="s">
        <v>27</v>
      </c>
      <c r="H30" t="s">
        <v>179</v>
      </c>
      <c r="I30" s="3">
        <f t="shared" si="0"/>
        <v>8</v>
      </c>
      <c r="J30" t="s">
        <v>185</v>
      </c>
      <c r="L3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1" spans="1:12" x14ac:dyDescent="0.25">
      <c r="A31" t="s">
        <v>275</v>
      </c>
      <c r="B31" t="s">
        <v>89</v>
      </c>
      <c r="C31" t="s">
        <v>276</v>
      </c>
      <c r="D31" t="s">
        <v>279</v>
      </c>
      <c r="E31">
        <v>9</v>
      </c>
      <c r="F31" t="s">
        <v>13</v>
      </c>
      <c r="G31" t="s">
        <v>27</v>
      </c>
      <c r="H31" t="s">
        <v>277</v>
      </c>
      <c r="I31" s="3">
        <f t="shared" si="0"/>
        <v>9</v>
      </c>
      <c r="J31" s="2" t="s">
        <v>278</v>
      </c>
      <c r="L3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2" spans="1:12" x14ac:dyDescent="0.25">
      <c r="A32" t="s">
        <v>55</v>
      </c>
      <c r="B32" t="s">
        <v>89</v>
      </c>
      <c r="C32" t="s">
        <v>62</v>
      </c>
      <c r="D32" t="s">
        <v>61</v>
      </c>
      <c r="E32">
        <v>11</v>
      </c>
      <c r="F32" t="s">
        <v>13</v>
      </c>
      <c r="G32" t="s">
        <v>27</v>
      </c>
      <c r="H32" t="s">
        <v>63</v>
      </c>
      <c r="I32" s="3">
        <f t="shared" si="0"/>
        <v>11</v>
      </c>
      <c r="J32" t="s">
        <v>60</v>
      </c>
      <c r="L3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3" spans="1:12" x14ac:dyDescent="0.25">
      <c r="A33" t="s">
        <v>105</v>
      </c>
      <c r="B33" t="s">
        <v>89</v>
      </c>
      <c r="C33" t="s">
        <v>80</v>
      </c>
      <c r="D33" t="s">
        <v>106</v>
      </c>
      <c r="E33">
        <v>12</v>
      </c>
      <c r="F33" t="s">
        <v>13</v>
      </c>
      <c r="G33" t="s">
        <v>27</v>
      </c>
      <c r="H33" t="s">
        <v>108</v>
      </c>
      <c r="I33" s="3">
        <f t="shared" si="0"/>
        <v>12</v>
      </c>
      <c r="J33" s="2" t="s">
        <v>109</v>
      </c>
      <c r="L3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4" spans="1:12" x14ac:dyDescent="0.25">
      <c r="A34" t="s">
        <v>162</v>
      </c>
      <c r="B34" t="s">
        <v>89</v>
      </c>
      <c r="C34" t="s">
        <v>163</v>
      </c>
      <c r="D34" t="s">
        <v>164</v>
      </c>
      <c r="E34">
        <v>12</v>
      </c>
      <c r="F34" t="s">
        <v>13</v>
      </c>
      <c r="G34" t="s">
        <v>27</v>
      </c>
      <c r="H34" t="s">
        <v>165</v>
      </c>
      <c r="I34" s="3">
        <f t="shared" ref="I34:I65" si="1">IF(G34="Days", E34/30, IF(G34="Years", E34*12, IF(G34="Weeks", E34/4, E34)))</f>
        <v>12</v>
      </c>
      <c r="J34" s="2" t="s">
        <v>166</v>
      </c>
      <c r="L34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5" spans="1:12" x14ac:dyDescent="0.25">
      <c r="A35" t="s">
        <v>283</v>
      </c>
      <c r="B35" t="s">
        <v>89</v>
      </c>
      <c r="C35" t="s">
        <v>80</v>
      </c>
      <c r="D35" t="s">
        <v>282</v>
      </c>
      <c r="E35">
        <v>12</v>
      </c>
      <c r="F35" t="s">
        <v>13</v>
      </c>
      <c r="G35" t="s">
        <v>27</v>
      </c>
      <c r="I35" s="3">
        <f t="shared" si="1"/>
        <v>12</v>
      </c>
      <c r="J35" s="2" t="s">
        <v>286</v>
      </c>
      <c r="L35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6" spans="1:12" x14ac:dyDescent="0.25">
      <c r="A36" t="s">
        <v>55</v>
      </c>
      <c r="B36" t="s">
        <v>89</v>
      </c>
      <c r="C36" t="s">
        <v>70</v>
      </c>
      <c r="D36" t="s">
        <v>92</v>
      </c>
      <c r="E36">
        <v>13</v>
      </c>
      <c r="F36" t="s">
        <v>14</v>
      </c>
      <c r="G36" t="s">
        <v>27</v>
      </c>
      <c r="H36" t="s">
        <v>93</v>
      </c>
      <c r="I36" s="3">
        <f t="shared" si="1"/>
        <v>13</v>
      </c>
      <c r="J36" s="2" t="s">
        <v>94</v>
      </c>
      <c r="L36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7" spans="1:12" x14ac:dyDescent="0.25">
      <c r="A37" t="s">
        <v>296</v>
      </c>
      <c r="B37" t="s">
        <v>88</v>
      </c>
      <c r="C37" t="s">
        <v>99</v>
      </c>
      <c r="D37" t="s">
        <v>299</v>
      </c>
      <c r="E37">
        <v>13</v>
      </c>
      <c r="F37" t="s">
        <v>13</v>
      </c>
      <c r="G37" t="s">
        <v>27</v>
      </c>
      <c r="H37" t="s">
        <v>298</v>
      </c>
      <c r="I37" s="3">
        <f t="shared" si="1"/>
        <v>13</v>
      </c>
      <c r="J37" s="2" t="s">
        <v>297</v>
      </c>
      <c r="L3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8" spans="1:12" x14ac:dyDescent="0.25">
      <c r="A38" t="s">
        <v>126</v>
      </c>
      <c r="B38" t="s">
        <v>307</v>
      </c>
      <c r="C38" t="s">
        <v>70</v>
      </c>
      <c r="D38" t="s">
        <v>92</v>
      </c>
      <c r="E38">
        <v>14</v>
      </c>
      <c r="F38" t="s">
        <v>14</v>
      </c>
      <c r="G38" t="s">
        <v>27</v>
      </c>
      <c r="I38" s="3">
        <f t="shared" si="1"/>
        <v>14</v>
      </c>
      <c r="J38" s="2" t="s">
        <v>125</v>
      </c>
      <c r="L3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9" spans="1:12" x14ac:dyDescent="0.25">
      <c r="A39" t="s">
        <v>144</v>
      </c>
      <c r="B39" t="s">
        <v>89</v>
      </c>
      <c r="C39" t="s">
        <v>70</v>
      </c>
      <c r="D39" t="s">
        <v>146</v>
      </c>
      <c r="E39">
        <v>14.3</v>
      </c>
      <c r="F39" t="s">
        <v>14</v>
      </c>
      <c r="G39" t="s">
        <v>27</v>
      </c>
      <c r="I39" s="3">
        <f t="shared" si="1"/>
        <v>14.3</v>
      </c>
      <c r="J39" t="s">
        <v>147</v>
      </c>
      <c r="L3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0" spans="1:12" x14ac:dyDescent="0.25">
      <c r="A40" t="s">
        <v>137</v>
      </c>
      <c r="B40" t="s">
        <v>88</v>
      </c>
      <c r="C40" t="s">
        <v>136</v>
      </c>
      <c r="D40" t="s">
        <v>135</v>
      </c>
      <c r="E40">
        <v>1.2</v>
      </c>
      <c r="F40" t="s">
        <v>13</v>
      </c>
      <c r="G40" t="s">
        <v>33</v>
      </c>
      <c r="H40" t="s">
        <v>138</v>
      </c>
      <c r="I40" s="3">
        <f t="shared" si="1"/>
        <v>14.399999999999999</v>
      </c>
      <c r="J40" s="2" t="s">
        <v>139</v>
      </c>
      <c r="L4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1" spans="1:12" x14ac:dyDescent="0.25">
      <c r="A41" t="s">
        <v>25</v>
      </c>
      <c r="B41" t="s">
        <v>89</v>
      </c>
      <c r="C41" t="s">
        <v>22</v>
      </c>
      <c r="D41" t="s">
        <v>28</v>
      </c>
      <c r="E41">
        <v>17</v>
      </c>
      <c r="F41" t="s">
        <v>13</v>
      </c>
      <c r="G41" t="s">
        <v>27</v>
      </c>
      <c r="I41" s="3">
        <f t="shared" si="1"/>
        <v>17</v>
      </c>
      <c r="J41" t="s">
        <v>23</v>
      </c>
      <c r="L4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2" spans="1:12" x14ac:dyDescent="0.25">
      <c r="A42" t="s">
        <v>55</v>
      </c>
      <c r="B42" t="s">
        <v>89</v>
      </c>
      <c r="C42" t="s">
        <v>56</v>
      </c>
      <c r="D42" t="s">
        <v>58</v>
      </c>
      <c r="E42">
        <v>18.5</v>
      </c>
      <c r="F42" t="s">
        <v>14</v>
      </c>
      <c r="G42" t="s">
        <v>27</v>
      </c>
      <c r="H42" t="s">
        <v>57</v>
      </c>
      <c r="I42" s="3">
        <f t="shared" si="1"/>
        <v>18.5</v>
      </c>
      <c r="J42" s="2" t="s">
        <v>59</v>
      </c>
      <c r="L4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3" spans="1:12" x14ac:dyDescent="0.25">
      <c r="A43" t="s">
        <v>289</v>
      </c>
      <c r="B43" t="s">
        <v>168</v>
      </c>
      <c r="C43" t="s">
        <v>290</v>
      </c>
      <c r="D43">
        <v>2013</v>
      </c>
      <c r="E43">
        <v>1.6</v>
      </c>
      <c r="F43" t="s">
        <v>14</v>
      </c>
      <c r="G43" t="s">
        <v>33</v>
      </c>
      <c r="H43" t="s">
        <v>292</v>
      </c>
      <c r="I43" s="3">
        <f t="shared" si="1"/>
        <v>19.200000000000003</v>
      </c>
      <c r="J43" s="2" t="s">
        <v>293</v>
      </c>
      <c r="L4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4" spans="1:12" x14ac:dyDescent="0.25">
      <c r="A44" t="s">
        <v>303</v>
      </c>
      <c r="B44" t="s">
        <v>90</v>
      </c>
      <c r="C44" t="s">
        <v>62</v>
      </c>
      <c r="E44">
        <v>20</v>
      </c>
      <c r="F44" t="s">
        <v>14</v>
      </c>
      <c r="G44" t="s">
        <v>27</v>
      </c>
      <c r="I44" s="3">
        <f t="shared" si="1"/>
        <v>20</v>
      </c>
      <c r="J44" s="2" t="s">
        <v>302</v>
      </c>
      <c r="L44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45" spans="1:12" x14ac:dyDescent="0.25">
      <c r="A45" t="s">
        <v>149</v>
      </c>
      <c r="B45" t="s">
        <v>154</v>
      </c>
      <c r="C45" t="s">
        <v>150</v>
      </c>
      <c r="D45" t="s">
        <v>153</v>
      </c>
      <c r="E45">
        <v>1.75</v>
      </c>
      <c r="F45" t="s">
        <v>13</v>
      </c>
      <c r="G45" t="s">
        <v>33</v>
      </c>
      <c r="H45" t="s">
        <v>151</v>
      </c>
      <c r="I45" s="3">
        <f t="shared" si="1"/>
        <v>21</v>
      </c>
      <c r="J45" s="2" t="s">
        <v>152</v>
      </c>
      <c r="L4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6" spans="1:12" x14ac:dyDescent="0.25">
      <c r="A46" t="s">
        <v>195</v>
      </c>
      <c r="B46" t="s">
        <v>89</v>
      </c>
      <c r="C46" t="s">
        <v>80</v>
      </c>
      <c r="D46" t="s">
        <v>194</v>
      </c>
      <c r="E46">
        <v>21.3</v>
      </c>
      <c r="F46" t="s">
        <v>14</v>
      </c>
      <c r="G46" t="s">
        <v>27</v>
      </c>
      <c r="H46" t="s">
        <v>196</v>
      </c>
      <c r="I46" s="3">
        <f t="shared" si="1"/>
        <v>21.3</v>
      </c>
      <c r="J46" s="2" t="s">
        <v>197</v>
      </c>
      <c r="L46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7" spans="1:12" x14ac:dyDescent="0.25">
      <c r="A47" t="s">
        <v>294</v>
      </c>
      <c r="B47" t="s">
        <v>168</v>
      </c>
      <c r="C47" t="s">
        <v>70</v>
      </c>
      <c r="D47" t="s">
        <v>118</v>
      </c>
      <c r="E47">
        <v>22.6</v>
      </c>
      <c r="F47" t="s">
        <v>14</v>
      </c>
      <c r="G47" t="s">
        <v>27</v>
      </c>
      <c r="I47" s="3">
        <f t="shared" si="1"/>
        <v>22.6</v>
      </c>
      <c r="J47" s="2" t="s">
        <v>295</v>
      </c>
      <c r="L4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8" spans="1:12" x14ac:dyDescent="0.25">
      <c r="A48" t="s">
        <v>264</v>
      </c>
      <c r="B48" t="s">
        <v>154</v>
      </c>
      <c r="C48" t="s">
        <v>64</v>
      </c>
      <c r="D48" t="s">
        <v>268</v>
      </c>
      <c r="E48">
        <v>24</v>
      </c>
      <c r="F48" t="s">
        <v>13</v>
      </c>
      <c r="G48" t="s">
        <v>27</v>
      </c>
      <c r="H48" t="s">
        <v>265</v>
      </c>
      <c r="I48" s="3">
        <f t="shared" si="1"/>
        <v>24</v>
      </c>
      <c r="J48" t="s">
        <v>266</v>
      </c>
      <c r="L4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9" spans="1:12" x14ac:dyDescent="0.25">
      <c r="A49" t="s">
        <v>42</v>
      </c>
      <c r="B49" t="s">
        <v>89</v>
      </c>
      <c r="C49" t="s">
        <v>29</v>
      </c>
      <c r="D49">
        <v>2013</v>
      </c>
      <c r="E49">
        <v>2.1</v>
      </c>
      <c r="F49" t="s">
        <v>14</v>
      </c>
      <c r="G49" t="s">
        <v>33</v>
      </c>
      <c r="H49" t="s">
        <v>45</v>
      </c>
      <c r="I49" s="3">
        <f t="shared" si="1"/>
        <v>25.200000000000003</v>
      </c>
      <c r="J49" t="s">
        <v>54</v>
      </c>
      <c r="L4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50" spans="1:12" x14ac:dyDescent="0.25">
      <c r="A50" t="s">
        <v>95</v>
      </c>
      <c r="B50" t="s">
        <v>96</v>
      </c>
      <c r="C50" t="s">
        <v>99</v>
      </c>
      <c r="D50">
        <v>2016</v>
      </c>
      <c r="E50">
        <v>2.1</v>
      </c>
      <c r="F50" t="s">
        <v>13</v>
      </c>
      <c r="G50" t="s">
        <v>33</v>
      </c>
      <c r="H50" t="s">
        <v>98</v>
      </c>
      <c r="I50" s="3">
        <f t="shared" si="1"/>
        <v>25.200000000000003</v>
      </c>
      <c r="J50" t="s">
        <v>97</v>
      </c>
      <c r="L5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1" spans="1:12" x14ac:dyDescent="0.25">
      <c r="A51" t="s">
        <v>43</v>
      </c>
      <c r="B51" t="s">
        <v>89</v>
      </c>
      <c r="C51" t="s">
        <v>29</v>
      </c>
      <c r="D51">
        <v>2013</v>
      </c>
      <c r="E51">
        <v>2.2000000000000002</v>
      </c>
      <c r="F51" t="s">
        <v>14</v>
      </c>
      <c r="G51" t="s">
        <v>33</v>
      </c>
      <c r="H51" t="s">
        <v>46</v>
      </c>
      <c r="I51" s="3">
        <f t="shared" si="1"/>
        <v>26.400000000000002</v>
      </c>
      <c r="J51" t="s">
        <v>54</v>
      </c>
      <c r="L5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52" spans="1:12" x14ac:dyDescent="0.25">
      <c r="A52" t="s">
        <v>181</v>
      </c>
      <c r="B52" t="s">
        <v>307</v>
      </c>
      <c r="C52" t="s">
        <v>29</v>
      </c>
      <c r="D52" t="s">
        <v>178</v>
      </c>
      <c r="E52">
        <v>28</v>
      </c>
      <c r="F52" t="s">
        <v>13</v>
      </c>
      <c r="G52" t="s">
        <v>27</v>
      </c>
      <c r="H52" t="s">
        <v>182</v>
      </c>
      <c r="I52" s="3">
        <f t="shared" si="1"/>
        <v>28</v>
      </c>
      <c r="J52" t="s">
        <v>185</v>
      </c>
      <c r="L52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3" spans="1:12" x14ac:dyDescent="0.25">
      <c r="A53" t="s">
        <v>254</v>
      </c>
      <c r="B53" t="s">
        <v>90</v>
      </c>
      <c r="C53" t="s">
        <v>255</v>
      </c>
      <c r="D53" t="s">
        <v>251</v>
      </c>
      <c r="E53">
        <v>115</v>
      </c>
      <c r="F53" t="s">
        <v>13</v>
      </c>
      <c r="G53" t="s">
        <v>116</v>
      </c>
      <c r="H53" t="s">
        <v>252</v>
      </c>
      <c r="I53" s="3">
        <f t="shared" si="1"/>
        <v>28.75</v>
      </c>
      <c r="J53" s="2" t="s">
        <v>253</v>
      </c>
      <c r="L53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54" spans="1:12" x14ac:dyDescent="0.25">
      <c r="A54" t="s">
        <v>127</v>
      </c>
      <c r="B54" t="s">
        <v>307</v>
      </c>
      <c r="C54" t="s">
        <v>70</v>
      </c>
      <c r="D54" t="s">
        <v>92</v>
      </c>
      <c r="E54">
        <v>30</v>
      </c>
      <c r="F54" t="s">
        <v>14</v>
      </c>
      <c r="G54" t="s">
        <v>27</v>
      </c>
      <c r="I54" s="3">
        <f t="shared" si="1"/>
        <v>30</v>
      </c>
      <c r="J54" s="2" t="s">
        <v>125</v>
      </c>
      <c r="L5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5" spans="1:12" x14ac:dyDescent="0.25">
      <c r="A55" t="s">
        <v>26</v>
      </c>
      <c r="B55" t="s">
        <v>89</v>
      </c>
      <c r="C55" t="s">
        <v>22</v>
      </c>
      <c r="D55" t="s">
        <v>28</v>
      </c>
      <c r="E55">
        <v>30</v>
      </c>
      <c r="F55" t="s">
        <v>13</v>
      </c>
      <c r="G55" t="s">
        <v>27</v>
      </c>
      <c r="I55" s="3">
        <f t="shared" si="1"/>
        <v>30</v>
      </c>
      <c r="J55" t="s">
        <v>23</v>
      </c>
      <c r="L55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56" spans="1:12" x14ac:dyDescent="0.25">
      <c r="A56" t="s">
        <v>74</v>
      </c>
      <c r="B56" t="s">
        <v>90</v>
      </c>
      <c r="C56" t="s">
        <v>70</v>
      </c>
      <c r="D56" t="s">
        <v>71</v>
      </c>
      <c r="E56">
        <v>2.6</v>
      </c>
      <c r="F56" t="s">
        <v>14</v>
      </c>
      <c r="G56" t="s">
        <v>33</v>
      </c>
      <c r="H56" t="s">
        <v>76</v>
      </c>
      <c r="I56" s="3">
        <f t="shared" si="1"/>
        <v>31.200000000000003</v>
      </c>
      <c r="J56" t="s">
        <v>73</v>
      </c>
      <c r="L56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57" spans="1:12" x14ac:dyDescent="0.25">
      <c r="A57" t="s">
        <v>235</v>
      </c>
      <c r="B57" t="s">
        <v>102</v>
      </c>
      <c r="C57" t="s">
        <v>175</v>
      </c>
      <c r="D57" t="s">
        <v>237</v>
      </c>
      <c r="E57">
        <v>32.89</v>
      </c>
      <c r="F57" t="s">
        <v>14</v>
      </c>
      <c r="G57" t="s">
        <v>27</v>
      </c>
      <c r="I57" s="3">
        <f t="shared" si="1"/>
        <v>32.89</v>
      </c>
      <c r="J57" s="2" t="s">
        <v>236</v>
      </c>
      <c r="L5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8" spans="1:12" x14ac:dyDescent="0.25">
      <c r="A58" t="s">
        <v>183</v>
      </c>
      <c r="B58" t="s">
        <v>307</v>
      </c>
      <c r="C58" t="s">
        <v>29</v>
      </c>
      <c r="D58" t="s">
        <v>178</v>
      </c>
      <c r="E58">
        <v>33</v>
      </c>
      <c r="F58" t="s">
        <v>13</v>
      </c>
      <c r="G58" t="s">
        <v>27</v>
      </c>
      <c r="H58" t="s">
        <v>184</v>
      </c>
      <c r="I58" s="3">
        <f t="shared" si="1"/>
        <v>33</v>
      </c>
      <c r="J58" s="2" t="s">
        <v>185</v>
      </c>
      <c r="L5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9" spans="1:12" x14ac:dyDescent="0.25">
      <c r="A59" t="s">
        <v>34</v>
      </c>
      <c r="B59" t="s">
        <v>89</v>
      </c>
      <c r="C59" t="s">
        <v>29</v>
      </c>
      <c r="D59">
        <v>2013</v>
      </c>
      <c r="E59">
        <v>2.8</v>
      </c>
      <c r="F59" t="s">
        <v>14</v>
      </c>
      <c r="G59" t="s">
        <v>33</v>
      </c>
      <c r="H59" t="s">
        <v>36</v>
      </c>
      <c r="I59" s="3">
        <f t="shared" si="1"/>
        <v>33.599999999999994</v>
      </c>
      <c r="J59" t="s">
        <v>54</v>
      </c>
      <c r="L5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0" spans="1:12" x14ac:dyDescent="0.25">
      <c r="A60" t="s">
        <v>124</v>
      </c>
      <c r="B60" t="s">
        <v>307</v>
      </c>
      <c r="C60" t="s">
        <v>70</v>
      </c>
      <c r="D60" t="s">
        <v>92</v>
      </c>
      <c r="E60">
        <v>34</v>
      </c>
      <c r="F60" t="s">
        <v>14</v>
      </c>
      <c r="G60" t="s">
        <v>27</v>
      </c>
      <c r="I60" s="3">
        <f t="shared" si="1"/>
        <v>34</v>
      </c>
      <c r="J60" s="2" t="s">
        <v>125</v>
      </c>
      <c r="L6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1" spans="1:12" x14ac:dyDescent="0.25">
      <c r="A61" t="s">
        <v>41</v>
      </c>
      <c r="B61" t="s">
        <v>89</v>
      </c>
      <c r="C61" t="s">
        <v>29</v>
      </c>
      <c r="D61">
        <v>2013</v>
      </c>
      <c r="E61">
        <v>3</v>
      </c>
      <c r="F61" t="s">
        <v>14</v>
      </c>
      <c r="G61" t="s">
        <v>33</v>
      </c>
      <c r="H61" t="s">
        <v>44</v>
      </c>
      <c r="I61" s="3">
        <f t="shared" si="1"/>
        <v>36</v>
      </c>
      <c r="J61" t="s">
        <v>54</v>
      </c>
      <c r="L6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2" spans="1:12" x14ac:dyDescent="0.25">
      <c r="A62" t="s">
        <v>131</v>
      </c>
      <c r="B62" t="s">
        <v>89</v>
      </c>
      <c r="C62" t="s">
        <v>99</v>
      </c>
      <c r="D62" t="s">
        <v>132</v>
      </c>
      <c r="E62">
        <v>3</v>
      </c>
      <c r="F62" t="s">
        <v>13</v>
      </c>
      <c r="G62" t="s">
        <v>33</v>
      </c>
      <c r="H62" t="s">
        <v>133</v>
      </c>
      <c r="I62" s="3">
        <f t="shared" si="1"/>
        <v>36</v>
      </c>
      <c r="J62" t="s">
        <v>134</v>
      </c>
      <c r="L6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3" spans="1:12" x14ac:dyDescent="0.25">
      <c r="A63" t="s">
        <v>50</v>
      </c>
      <c r="B63" t="s">
        <v>89</v>
      </c>
      <c r="C63" t="s">
        <v>29</v>
      </c>
      <c r="D63">
        <v>2013</v>
      </c>
      <c r="E63">
        <v>3.1</v>
      </c>
      <c r="F63" t="s">
        <v>14</v>
      </c>
      <c r="G63" t="s">
        <v>33</v>
      </c>
      <c r="H63" t="s">
        <v>53</v>
      </c>
      <c r="I63" s="3">
        <f t="shared" si="1"/>
        <v>37.200000000000003</v>
      </c>
      <c r="J63" t="s">
        <v>54</v>
      </c>
      <c r="L6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4" spans="1:12" x14ac:dyDescent="0.25">
      <c r="A64" t="s">
        <v>128</v>
      </c>
      <c r="B64" t="s">
        <v>307</v>
      </c>
      <c r="C64" t="s">
        <v>70</v>
      </c>
      <c r="D64" t="s">
        <v>92</v>
      </c>
      <c r="E64">
        <v>38</v>
      </c>
      <c r="F64" t="s">
        <v>14</v>
      </c>
      <c r="G64" t="s">
        <v>27</v>
      </c>
      <c r="I64" s="3">
        <f t="shared" si="1"/>
        <v>38</v>
      </c>
      <c r="J64" s="2" t="s">
        <v>125</v>
      </c>
      <c r="L6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5" spans="1:12" x14ac:dyDescent="0.25">
      <c r="A65" t="s">
        <v>24</v>
      </c>
      <c r="B65" t="s">
        <v>89</v>
      </c>
      <c r="C65" t="s">
        <v>22</v>
      </c>
      <c r="D65" t="s">
        <v>28</v>
      </c>
      <c r="E65">
        <v>40</v>
      </c>
      <c r="F65" t="s">
        <v>13</v>
      </c>
      <c r="G65" t="s">
        <v>27</v>
      </c>
      <c r="I65" s="3">
        <f t="shared" si="1"/>
        <v>40</v>
      </c>
      <c r="J65" t="s">
        <v>23</v>
      </c>
      <c r="L65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6" spans="1:12" x14ac:dyDescent="0.25">
      <c r="A66" t="s">
        <v>172</v>
      </c>
      <c r="B66" t="s">
        <v>154</v>
      </c>
      <c r="C66" t="s">
        <v>114</v>
      </c>
      <c r="D66" t="s">
        <v>173</v>
      </c>
      <c r="E66">
        <v>3.6</v>
      </c>
      <c r="F66" t="s">
        <v>14</v>
      </c>
      <c r="G66" t="s">
        <v>33</v>
      </c>
      <c r="I66" s="3">
        <f t="shared" ref="I66:I95" si="2">IF(G66="Days", E66/30, IF(G66="Years", E66*12, IF(G66="Weeks", E66/4, E66)))</f>
        <v>43.2</v>
      </c>
      <c r="J66" s="2" t="s">
        <v>174</v>
      </c>
      <c r="L6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7" spans="1:12" x14ac:dyDescent="0.25">
      <c r="A67" t="s">
        <v>48</v>
      </c>
      <c r="B67" t="s">
        <v>89</v>
      </c>
      <c r="C67" t="s">
        <v>29</v>
      </c>
      <c r="D67">
        <v>2013</v>
      </c>
      <c r="E67">
        <v>3.6</v>
      </c>
      <c r="F67" t="s">
        <v>14</v>
      </c>
      <c r="G67" t="s">
        <v>33</v>
      </c>
      <c r="H67" t="s">
        <v>40</v>
      </c>
      <c r="I67" s="3">
        <f t="shared" si="2"/>
        <v>43.2</v>
      </c>
      <c r="J67" t="s">
        <v>54</v>
      </c>
      <c r="L67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8" spans="1:12" x14ac:dyDescent="0.25">
      <c r="A68" t="s">
        <v>145</v>
      </c>
      <c r="B68" t="s">
        <v>89</v>
      </c>
      <c r="C68" t="s">
        <v>70</v>
      </c>
      <c r="D68" t="s">
        <v>146</v>
      </c>
      <c r="E68">
        <v>43.6</v>
      </c>
      <c r="F68" t="s">
        <v>14</v>
      </c>
      <c r="G68" t="s">
        <v>27</v>
      </c>
      <c r="I68" s="3">
        <f t="shared" si="2"/>
        <v>43.6</v>
      </c>
      <c r="J68" t="s">
        <v>147</v>
      </c>
      <c r="L68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9" spans="1:12" x14ac:dyDescent="0.25">
      <c r="A69" t="s">
        <v>224</v>
      </c>
      <c r="B69" t="s">
        <v>90</v>
      </c>
      <c r="C69" t="s">
        <v>223</v>
      </c>
      <c r="D69" t="s">
        <v>225</v>
      </c>
      <c r="E69">
        <v>44</v>
      </c>
      <c r="F69" t="s">
        <v>13</v>
      </c>
      <c r="G69" t="s">
        <v>27</v>
      </c>
      <c r="I69" s="3">
        <f t="shared" si="2"/>
        <v>44</v>
      </c>
      <c r="J69" t="s">
        <v>226</v>
      </c>
      <c r="L69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70" spans="1:12" x14ac:dyDescent="0.25">
      <c r="A70" t="s">
        <v>47</v>
      </c>
      <c r="B70" t="s">
        <v>89</v>
      </c>
      <c r="C70" t="s">
        <v>29</v>
      </c>
      <c r="D70">
        <v>2013</v>
      </c>
      <c r="E70">
        <v>3.8</v>
      </c>
      <c r="F70" t="s">
        <v>14</v>
      </c>
      <c r="G70" t="s">
        <v>33</v>
      </c>
      <c r="H70" t="s">
        <v>51</v>
      </c>
      <c r="I70" s="3">
        <f t="shared" si="2"/>
        <v>45.599999999999994</v>
      </c>
      <c r="J70" t="s">
        <v>54</v>
      </c>
      <c r="L70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1" spans="1:12" x14ac:dyDescent="0.25">
      <c r="A71" t="s">
        <v>39</v>
      </c>
      <c r="B71" t="s">
        <v>89</v>
      </c>
      <c r="C71" t="s">
        <v>29</v>
      </c>
      <c r="D71">
        <v>2013</v>
      </c>
      <c r="E71">
        <v>3.9</v>
      </c>
      <c r="F71" t="s">
        <v>14</v>
      </c>
      <c r="G71" t="s">
        <v>33</v>
      </c>
      <c r="H71" t="s">
        <v>40</v>
      </c>
      <c r="I71" s="3">
        <f t="shared" si="2"/>
        <v>46.8</v>
      </c>
      <c r="J71" t="s">
        <v>54</v>
      </c>
      <c r="L7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2" spans="1:12" x14ac:dyDescent="0.25">
      <c r="A72" t="s">
        <v>25</v>
      </c>
      <c r="B72" t="s">
        <v>89</v>
      </c>
      <c r="C72" t="s">
        <v>29</v>
      </c>
      <c r="D72">
        <v>2013</v>
      </c>
      <c r="E72">
        <v>4.2</v>
      </c>
      <c r="F72" t="s">
        <v>14</v>
      </c>
      <c r="G72" t="s">
        <v>33</v>
      </c>
      <c r="H72" t="s">
        <v>37</v>
      </c>
      <c r="I72" s="3">
        <f t="shared" si="2"/>
        <v>50.400000000000006</v>
      </c>
      <c r="J72" t="s">
        <v>54</v>
      </c>
      <c r="L7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3" spans="1:12" x14ac:dyDescent="0.25">
      <c r="A73" t="s">
        <v>32</v>
      </c>
      <c r="B73" t="s">
        <v>89</v>
      </c>
      <c r="C73" t="s">
        <v>29</v>
      </c>
      <c r="D73">
        <v>2013</v>
      </c>
      <c r="E73">
        <v>4.4000000000000004</v>
      </c>
      <c r="F73" t="s">
        <v>14</v>
      </c>
      <c r="G73" t="s">
        <v>33</v>
      </c>
      <c r="H73" t="s">
        <v>35</v>
      </c>
      <c r="I73" s="3">
        <f t="shared" si="2"/>
        <v>52.800000000000004</v>
      </c>
      <c r="J73" t="s">
        <v>54</v>
      </c>
      <c r="L7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4" spans="1:12" x14ac:dyDescent="0.25">
      <c r="A74" t="s">
        <v>66</v>
      </c>
      <c r="B74" t="s">
        <v>89</v>
      </c>
      <c r="C74" t="s">
        <v>64</v>
      </c>
      <c r="D74" t="s">
        <v>65</v>
      </c>
      <c r="E74">
        <v>5.5</v>
      </c>
      <c r="F74" t="s">
        <v>13</v>
      </c>
      <c r="G74" t="s">
        <v>33</v>
      </c>
      <c r="H74" t="s">
        <v>68</v>
      </c>
      <c r="I74" s="3">
        <f t="shared" si="2"/>
        <v>66</v>
      </c>
      <c r="J74" t="s">
        <v>69</v>
      </c>
      <c r="L74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5" spans="1:12" x14ac:dyDescent="0.25">
      <c r="A75" t="s">
        <v>262</v>
      </c>
      <c r="B75" t="s">
        <v>263</v>
      </c>
      <c r="C75" t="s">
        <v>114</v>
      </c>
      <c r="D75">
        <v>2003</v>
      </c>
      <c r="E75">
        <v>5.6</v>
      </c>
      <c r="F75" t="s">
        <v>14</v>
      </c>
      <c r="G75" t="s">
        <v>33</v>
      </c>
      <c r="H75" t="s">
        <v>261</v>
      </c>
      <c r="I75" s="3">
        <f t="shared" si="2"/>
        <v>67.199999999999989</v>
      </c>
      <c r="J75" s="2" t="s">
        <v>267</v>
      </c>
      <c r="L7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76" spans="1:12" x14ac:dyDescent="0.25">
      <c r="A76" t="s">
        <v>205</v>
      </c>
      <c r="B76" t="s">
        <v>307</v>
      </c>
      <c r="C76" t="s">
        <v>212</v>
      </c>
      <c r="D76" t="s">
        <v>211</v>
      </c>
      <c r="E76">
        <v>6</v>
      </c>
      <c r="F76" t="s">
        <v>13</v>
      </c>
      <c r="G76" t="s">
        <v>33</v>
      </c>
      <c r="H76" t="s">
        <v>217</v>
      </c>
      <c r="I76" s="3">
        <f t="shared" si="2"/>
        <v>72</v>
      </c>
      <c r="J76" s="2" t="s">
        <v>218</v>
      </c>
      <c r="L7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77" spans="1:12" x14ac:dyDescent="0.25">
      <c r="A77" t="s">
        <v>49</v>
      </c>
      <c r="B77" t="s">
        <v>89</v>
      </c>
      <c r="C77" t="s">
        <v>29</v>
      </c>
      <c r="D77">
        <v>2013</v>
      </c>
      <c r="E77">
        <v>6.1</v>
      </c>
      <c r="F77" t="s">
        <v>14</v>
      </c>
      <c r="G77" t="s">
        <v>33</v>
      </c>
      <c r="H77" t="s">
        <v>52</v>
      </c>
      <c r="I77" s="3">
        <f t="shared" si="2"/>
        <v>73.199999999999989</v>
      </c>
      <c r="J77" t="s">
        <v>54</v>
      </c>
      <c r="L77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8" spans="1:12" x14ac:dyDescent="0.25">
      <c r="A78" t="s">
        <v>131</v>
      </c>
      <c r="B78" t="s">
        <v>89</v>
      </c>
      <c r="C78" t="s">
        <v>99</v>
      </c>
      <c r="D78" t="s">
        <v>132</v>
      </c>
      <c r="E78">
        <v>6.3</v>
      </c>
      <c r="F78" t="s">
        <v>14</v>
      </c>
      <c r="G78" t="s">
        <v>33</v>
      </c>
      <c r="H78" t="s">
        <v>133</v>
      </c>
      <c r="I78" s="3">
        <f t="shared" si="2"/>
        <v>75.599999999999994</v>
      </c>
      <c r="J78" t="s">
        <v>134</v>
      </c>
      <c r="L78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9" spans="1:12" x14ac:dyDescent="0.25">
      <c r="A79" t="s">
        <v>24</v>
      </c>
      <c r="B79" t="s">
        <v>89</v>
      </c>
      <c r="C79" t="s">
        <v>29</v>
      </c>
      <c r="D79">
        <v>2013</v>
      </c>
      <c r="E79">
        <v>6.4</v>
      </c>
      <c r="F79" t="s">
        <v>14</v>
      </c>
      <c r="G79" t="s">
        <v>33</v>
      </c>
      <c r="H79" t="s">
        <v>38</v>
      </c>
      <c r="I79" s="3">
        <f t="shared" si="2"/>
        <v>76.800000000000011</v>
      </c>
      <c r="J79" t="s">
        <v>54</v>
      </c>
      <c r="L7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0" spans="1:12" x14ac:dyDescent="0.25">
      <c r="A80" t="s">
        <v>101</v>
      </c>
      <c r="B80" t="s">
        <v>102</v>
      </c>
      <c r="C80" t="s">
        <v>103</v>
      </c>
      <c r="D80" t="s">
        <v>104</v>
      </c>
      <c r="E80">
        <v>6.46</v>
      </c>
      <c r="F80" t="s">
        <v>14</v>
      </c>
      <c r="G80" t="s">
        <v>33</v>
      </c>
      <c r="I80" s="3">
        <f t="shared" si="2"/>
        <v>77.52</v>
      </c>
      <c r="J80" t="s">
        <v>100</v>
      </c>
      <c r="L8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1" spans="1:12" x14ac:dyDescent="0.25">
      <c r="A81" t="s">
        <v>199</v>
      </c>
      <c r="B81" t="s">
        <v>89</v>
      </c>
      <c r="C81" t="s">
        <v>62</v>
      </c>
      <c r="D81" t="s">
        <v>203</v>
      </c>
      <c r="E81">
        <v>6.7</v>
      </c>
      <c r="F81" t="s">
        <v>14</v>
      </c>
      <c r="G81" t="s">
        <v>33</v>
      </c>
      <c r="H81" t="s">
        <v>198</v>
      </c>
      <c r="I81" s="3">
        <f t="shared" si="2"/>
        <v>80.400000000000006</v>
      </c>
      <c r="J81" s="2" t="s">
        <v>202</v>
      </c>
      <c r="L8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2" spans="1:12" x14ac:dyDescent="0.25">
      <c r="A82" t="s">
        <v>72</v>
      </c>
      <c r="B82" t="s">
        <v>90</v>
      </c>
      <c r="C82" t="s">
        <v>70</v>
      </c>
      <c r="D82" t="s">
        <v>71</v>
      </c>
      <c r="E82">
        <v>6.7</v>
      </c>
      <c r="F82" t="s">
        <v>14</v>
      </c>
      <c r="G82" t="s">
        <v>33</v>
      </c>
      <c r="H82" t="s">
        <v>75</v>
      </c>
      <c r="I82" s="3">
        <f t="shared" si="2"/>
        <v>80.400000000000006</v>
      </c>
      <c r="J82" t="s">
        <v>73</v>
      </c>
      <c r="L82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83" spans="1:12" x14ac:dyDescent="0.25">
      <c r="A83" t="s">
        <v>288</v>
      </c>
      <c r="B83" t="s">
        <v>168</v>
      </c>
      <c r="C83" t="s">
        <v>290</v>
      </c>
      <c r="D83">
        <v>2013</v>
      </c>
      <c r="E83">
        <v>7.2</v>
      </c>
      <c r="F83" t="s">
        <v>14</v>
      </c>
      <c r="G83" t="s">
        <v>33</v>
      </c>
      <c r="H83" t="s">
        <v>291</v>
      </c>
      <c r="I83" s="3">
        <f t="shared" si="2"/>
        <v>86.4</v>
      </c>
      <c r="J83" s="2" t="s">
        <v>293</v>
      </c>
      <c r="L8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4" spans="1:12" x14ac:dyDescent="0.25">
      <c r="A84" t="s">
        <v>264</v>
      </c>
      <c r="B84" t="s">
        <v>154</v>
      </c>
      <c r="C84" t="s">
        <v>64</v>
      </c>
      <c r="D84" t="s">
        <v>268</v>
      </c>
      <c r="E84">
        <v>87</v>
      </c>
      <c r="F84" t="s">
        <v>14</v>
      </c>
      <c r="G84" t="s">
        <v>27</v>
      </c>
      <c r="H84" t="s">
        <v>265</v>
      </c>
      <c r="I84" s="3">
        <f t="shared" si="2"/>
        <v>87</v>
      </c>
      <c r="J84" t="s">
        <v>266</v>
      </c>
      <c r="L8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5" spans="1:12" x14ac:dyDescent="0.25">
      <c r="A85" t="s">
        <v>77</v>
      </c>
      <c r="B85" t="s">
        <v>91</v>
      </c>
      <c r="C85" t="s">
        <v>80</v>
      </c>
      <c r="D85">
        <v>2014</v>
      </c>
      <c r="E85">
        <v>8</v>
      </c>
      <c r="F85" t="s">
        <v>13</v>
      </c>
      <c r="G85" t="s">
        <v>33</v>
      </c>
      <c r="H85" t="s">
        <v>78</v>
      </c>
      <c r="I85" s="3">
        <f t="shared" si="2"/>
        <v>96</v>
      </c>
      <c r="J85" t="s">
        <v>79</v>
      </c>
      <c r="L8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6" spans="1:12" x14ac:dyDescent="0.25">
      <c r="A86" t="s">
        <v>304</v>
      </c>
      <c r="B86" t="s">
        <v>148</v>
      </c>
      <c r="C86" t="s">
        <v>290</v>
      </c>
      <c r="D86" t="s">
        <v>203</v>
      </c>
      <c r="E86">
        <v>8.5</v>
      </c>
      <c r="F86" t="s">
        <v>13</v>
      </c>
      <c r="G86" t="s">
        <v>33</v>
      </c>
      <c r="H86" t="s">
        <v>305</v>
      </c>
      <c r="I86" s="3">
        <f t="shared" si="2"/>
        <v>102</v>
      </c>
      <c r="J86" s="2" t="s">
        <v>306</v>
      </c>
      <c r="L8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7" spans="1:12" x14ac:dyDescent="0.25">
      <c r="A87" t="s">
        <v>280</v>
      </c>
      <c r="B87" t="s">
        <v>89</v>
      </c>
      <c r="C87" t="s">
        <v>80</v>
      </c>
      <c r="D87" t="s">
        <v>281</v>
      </c>
      <c r="E87">
        <v>8.6999999999999993</v>
      </c>
      <c r="F87" t="s">
        <v>14</v>
      </c>
      <c r="G87" t="s">
        <v>33</v>
      </c>
      <c r="H87" t="s">
        <v>67</v>
      </c>
      <c r="I87" s="3">
        <f t="shared" si="2"/>
        <v>104.39999999999999</v>
      </c>
      <c r="J87" s="2" t="s">
        <v>287</v>
      </c>
      <c r="L87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8" spans="1:12" x14ac:dyDescent="0.25">
      <c r="A88" t="s">
        <v>66</v>
      </c>
      <c r="B88" t="s">
        <v>89</v>
      </c>
      <c r="C88" t="s">
        <v>64</v>
      </c>
      <c r="D88" t="s">
        <v>65</v>
      </c>
      <c r="E88">
        <v>8.9</v>
      </c>
      <c r="F88" t="s">
        <v>14</v>
      </c>
      <c r="G88" t="s">
        <v>33</v>
      </c>
      <c r="H88" t="s">
        <v>67</v>
      </c>
      <c r="I88" s="3">
        <f t="shared" si="2"/>
        <v>106.80000000000001</v>
      </c>
      <c r="J88" t="s">
        <v>69</v>
      </c>
      <c r="L88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9" spans="1:12" x14ac:dyDescent="0.25">
      <c r="A89" t="s">
        <v>200</v>
      </c>
      <c r="B89" t="s">
        <v>89</v>
      </c>
      <c r="C89" t="s">
        <v>62</v>
      </c>
      <c r="D89" t="s">
        <v>203</v>
      </c>
      <c r="E89">
        <v>10.7</v>
      </c>
      <c r="F89" t="s">
        <v>14</v>
      </c>
      <c r="G89" t="s">
        <v>33</v>
      </c>
      <c r="H89" t="s">
        <v>201</v>
      </c>
      <c r="I89" s="3">
        <f t="shared" si="2"/>
        <v>128.39999999999998</v>
      </c>
      <c r="J89" s="2" t="s">
        <v>202</v>
      </c>
      <c r="L8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90" spans="1:12" x14ac:dyDescent="0.25">
      <c r="A90" t="s">
        <v>205</v>
      </c>
      <c r="B90" t="s">
        <v>307</v>
      </c>
      <c r="C90" t="s">
        <v>206</v>
      </c>
      <c r="D90" t="s">
        <v>207</v>
      </c>
      <c r="E90">
        <v>144</v>
      </c>
      <c r="F90" t="s">
        <v>13</v>
      </c>
      <c r="G90" t="s">
        <v>27</v>
      </c>
      <c r="H90" t="s">
        <v>209</v>
      </c>
      <c r="I90" s="3">
        <f t="shared" si="2"/>
        <v>144</v>
      </c>
      <c r="J90" s="2" t="s">
        <v>210</v>
      </c>
      <c r="L9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1" spans="1:12" x14ac:dyDescent="0.25">
      <c r="A91" t="s">
        <v>214</v>
      </c>
      <c r="B91" t="s">
        <v>307</v>
      </c>
      <c r="C91" t="s">
        <v>212</v>
      </c>
      <c r="D91" t="s">
        <v>211</v>
      </c>
      <c r="E91">
        <v>12.6</v>
      </c>
      <c r="F91" t="s">
        <v>13</v>
      </c>
      <c r="G91" t="s">
        <v>33</v>
      </c>
      <c r="H91" t="s">
        <v>216</v>
      </c>
      <c r="I91" s="3">
        <f t="shared" si="2"/>
        <v>151.19999999999999</v>
      </c>
      <c r="J91" t="s">
        <v>218</v>
      </c>
      <c r="L91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2" spans="1:12" x14ac:dyDescent="0.25">
      <c r="A92" t="s">
        <v>141</v>
      </c>
      <c r="B92" t="s">
        <v>148</v>
      </c>
      <c r="C92" t="s">
        <v>114</v>
      </c>
      <c r="D92" t="s">
        <v>142</v>
      </c>
      <c r="E92">
        <v>13</v>
      </c>
      <c r="F92" t="s">
        <v>14</v>
      </c>
      <c r="G92" t="s">
        <v>33</v>
      </c>
      <c r="I92" s="3">
        <f t="shared" si="2"/>
        <v>156</v>
      </c>
      <c r="J92" s="2" t="s">
        <v>140</v>
      </c>
      <c r="L92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3" spans="1:12" x14ac:dyDescent="0.25">
      <c r="A93" t="s">
        <v>301</v>
      </c>
      <c r="B93" t="s">
        <v>307</v>
      </c>
      <c r="C93" t="s">
        <v>150</v>
      </c>
      <c r="E93">
        <v>16</v>
      </c>
      <c r="F93" t="s">
        <v>14</v>
      </c>
      <c r="G93" t="s">
        <v>33</v>
      </c>
      <c r="I93" s="3">
        <f t="shared" si="2"/>
        <v>192</v>
      </c>
      <c r="J93" s="2" t="s">
        <v>300</v>
      </c>
      <c r="L9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4" spans="1:12" x14ac:dyDescent="0.25">
      <c r="A94" t="s">
        <v>219</v>
      </c>
      <c r="B94" t="s">
        <v>102</v>
      </c>
      <c r="C94" t="s">
        <v>62</v>
      </c>
      <c r="D94" t="s">
        <v>220</v>
      </c>
      <c r="E94">
        <v>17</v>
      </c>
      <c r="F94" t="s">
        <v>13</v>
      </c>
      <c r="G94" t="s">
        <v>33</v>
      </c>
      <c r="H94" t="s">
        <v>221</v>
      </c>
      <c r="I94" s="3">
        <f t="shared" si="2"/>
        <v>204</v>
      </c>
      <c r="J94" s="2" t="s">
        <v>222</v>
      </c>
      <c r="L9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5" spans="1:12" x14ac:dyDescent="0.25">
      <c r="A95" t="s">
        <v>244</v>
      </c>
      <c r="B95" t="s">
        <v>154</v>
      </c>
      <c r="C95" t="s">
        <v>62</v>
      </c>
      <c r="D95" t="s">
        <v>245</v>
      </c>
      <c r="E95">
        <v>25.7</v>
      </c>
      <c r="F95" t="s">
        <v>14</v>
      </c>
      <c r="G95" t="s">
        <v>33</v>
      </c>
      <c r="H95" t="s">
        <v>247</v>
      </c>
      <c r="I95" s="3">
        <f t="shared" si="2"/>
        <v>308.39999999999998</v>
      </c>
      <c r="J95" s="2" t="s">
        <v>246</v>
      </c>
      <c r="L95" t="str">
        <f>IF(OR(Table1[[#This Row],[Therapy area]]="Neurology", Table1[[#This Row],[Therapy area]]="Oncology", Table1[[#This Row],[Therapy area]]="Rheumatology"), Table1[[#This Row],[Therapy area]], "Other")</f>
        <v>Other</v>
      </c>
    </row>
  </sheetData>
  <hyperlinks>
    <hyperlink ref="J3" r:id="rId1" xr:uid="{C9F59C1D-D84D-4CCF-86BC-A8E917910380}"/>
    <hyperlink ref="J6" r:id="rId2" xr:uid="{431A0463-39B0-4E5D-A9D4-6FC544FDB659}"/>
    <hyperlink ref="J4" r:id="rId3" xr:uid="{7F97E15E-39F6-4FE7-B3DB-3202D4C47572}"/>
    <hyperlink ref="J42" r:id="rId4" xr:uid="{90AACFEC-9DA5-4048-961E-3379DBE7CBAD}"/>
    <hyperlink ref="J36" r:id="rId5" xr:uid="{D9D99A3D-CDA3-4223-8C32-647D88267D12}"/>
    <hyperlink ref="J11" r:id="rId6" xr:uid="{E1B32076-0703-4E42-A21A-47C49665380C}"/>
    <hyperlink ref="J12" r:id="rId7" xr:uid="{CC76010E-14E3-485D-854C-83898F460266}"/>
    <hyperlink ref="J60" r:id="rId8" xr:uid="{25491BCD-8023-40C3-97BE-7EB19D72489D}"/>
    <hyperlink ref="J38" r:id="rId9" xr:uid="{56AFE6D4-2FD3-45E0-A520-B0C975DDEFC4}"/>
    <hyperlink ref="J54" r:id="rId10" xr:uid="{C2C4271B-F778-4B35-8993-3164B8B4E7D8}"/>
    <hyperlink ref="J64" r:id="rId11" xr:uid="{55C6D100-6206-4D8B-BAFA-BC66C02FC124}"/>
    <hyperlink ref="J40" r:id="rId12" xr:uid="{8AAFA077-B0B3-41AE-9AA6-7B005CA49431}"/>
    <hyperlink ref="J92" r:id="rId13" xr:uid="{D2925F5B-9DB9-485E-B385-1D0D4124A6DF}"/>
    <hyperlink ref="J45" r:id="rId14" xr:uid="{A7014EB7-1A14-4A91-975C-736C42E0341D}"/>
    <hyperlink ref="J26" r:id="rId15" xr:uid="{B4BCC694-9629-43FC-BCD8-A938F0B2CD5D}"/>
    <hyperlink ref="J16" r:id="rId16" xr:uid="{809FF3C6-0987-4CBC-AB01-5B401C4D95F9}"/>
    <hyperlink ref="J34" r:id="rId17" xr:uid="{BB9A6688-97E8-4C1C-853C-9B16909BDD6A}"/>
    <hyperlink ref="J29" r:id="rId18" xr:uid="{54F5B0BD-EDC0-449B-978C-3091205D8990}"/>
    <hyperlink ref="J66" r:id="rId19" xr:uid="{AA401628-B79B-4F1C-B7BF-6985C5F8280C}"/>
    <hyperlink ref="J23" r:id="rId20" xr:uid="{84F486EC-205E-4F9A-B933-301D1A6D8AFE}"/>
    <hyperlink ref="J58" r:id="rId21" xr:uid="{08022E3A-6677-4D61-9BD6-CFDAFA90F5E3}"/>
    <hyperlink ref="J13" r:id="rId22" xr:uid="{6DECA4F3-40F2-4143-BBEE-FF83E4E97D09}"/>
    <hyperlink ref="J46" r:id="rId23" xr:uid="{7FF4BD03-9DA4-4274-9BB4-7A99AE834166}"/>
    <hyperlink ref="J81" r:id="rId24" xr:uid="{BD4FAD34-7B57-49D7-8386-E4135EE382E1}"/>
    <hyperlink ref="J89" r:id="rId25" xr:uid="{F442D45C-641E-491A-8F8E-CD45EA1F2A0D}"/>
    <hyperlink ref="J14" r:id="rId26" xr:uid="{0EEA42C3-C408-4DFB-B002-B89845946938}"/>
    <hyperlink ref="J90" r:id="rId27" xr:uid="{F45016ED-0DA6-4291-8EE1-89B28E8D3870}"/>
    <hyperlink ref="J8" r:id="rId28" xr:uid="{BF2DAEB9-E775-4DAE-AF98-15F0191A7972}"/>
    <hyperlink ref="J76" r:id="rId29" xr:uid="{7BDF1C80-8230-40A2-BF97-3E12043B27AE}"/>
    <hyperlink ref="J94" r:id="rId30" xr:uid="{F8A0816B-5E53-42B2-A353-6449FB1CB84E}"/>
    <hyperlink ref="J22" r:id="rId31" xr:uid="{F341C0B3-E65C-4B06-B3E5-CC14EF88C22D}"/>
    <hyperlink ref="J57" r:id="rId32" xr:uid="{9DB87B26-F77E-461D-96A4-F16C59A0EF2C}"/>
    <hyperlink ref="J17" r:id="rId33" xr:uid="{C37E6C2F-4F6F-4C66-8D56-7645DBEBFD14}"/>
    <hyperlink ref="J27" r:id="rId34" xr:uid="{89718448-A168-4AC2-89C5-A087A96B526A}"/>
    <hyperlink ref="J95" r:id="rId35" xr:uid="{734FAC79-109C-4D3E-A93A-F5094A47E959}"/>
    <hyperlink ref="J18" r:id="rId36" xr:uid="{3A2A4CFE-991F-4728-BC2B-D2A8292F5737}"/>
    <hyperlink ref="J53" r:id="rId37" xr:uid="{62C74A25-341F-4DB2-8345-B8F5965EFA20}"/>
    <hyperlink ref="J21" r:id="rId38" xr:uid="{A244E177-F130-474F-A1B9-9F836B72410F}"/>
    <hyperlink ref="J75" r:id="rId39" xr:uid="{8BA1ED67-8567-4922-977D-A1C08524EEC1}"/>
    <hyperlink ref="J25" r:id="rId40" xr:uid="{D3A385B9-9E37-4B36-9961-1A04778FA26C}"/>
    <hyperlink ref="J20" r:id="rId41" xr:uid="{2147508D-B68A-4CBE-A808-0E079F5D7EEE}"/>
    <hyperlink ref="J10" r:id="rId42" xr:uid="{47B8DBCC-744C-4960-92D4-667FEB956DC7}"/>
    <hyperlink ref="J31" r:id="rId43" xr:uid="{6999D457-3F32-4C34-A7D2-A41A771BB8BF}"/>
    <hyperlink ref="J2" r:id="rId44" xr:uid="{304CC497-6514-4290-BDED-5321EFEEF6DD}"/>
    <hyperlink ref="J35" r:id="rId45" xr:uid="{AD7627D8-061B-4EA9-B9CF-993B0A408816}"/>
    <hyperlink ref="J87" r:id="rId46" xr:uid="{A87F35EE-A405-45CB-A192-EDD887D8DC90}"/>
    <hyperlink ref="J83" r:id="rId47" xr:uid="{A27CFF6D-E3A3-4675-937C-CDE08141483F}"/>
    <hyperlink ref="J43" r:id="rId48" xr:uid="{F850D195-1659-46C6-84D2-E2347AE92C67}"/>
    <hyperlink ref="J47" r:id="rId49" xr:uid="{9143C95C-8779-475F-9A01-E49C739398C8}"/>
    <hyperlink ref="J37" r:id="rId50" xr:uid="{D53763AC-B358-4924-97DD-D503E02F4013}"/>
    <hyperlink ref="J93" r:id="rId51" xr:uid="{24E4F951-7C3B-4B06-A237-54FF13DE4F19}"/>
    <hyperlink ref="J44" r:id="rId52" xr:uid="{CB06B5C3-8C8A-46AF-BFB3-8E22CACA346A}"/>
    <hyperlink ref="J86" r:id="rId53" xr:uid="{5B3074CF-3BD4-4335-9B82-CF84991663E9}"/>
    <hyperlink ref="J33" r:id="rId54" xr:uid="{8E771BE8-C4C9-49AC-8BB2-F35A36500141}"/>
  </hyperlinks>
  <pageMargins left="0.7" right="0.7" top="0.75" bottom="0.75" header="0.3" footer="0.3"/>
  <tableParts count="1">
    <tablePart r:id="rId5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062C-ACD4-4ECC-BC5D-69ADAC4C3F20}">
  <dimension ref="A1:AH163"/>
  <sheetViews>
    <sheetView topLeftCell="A7" zoomScale="130" zoomScaleNormal="130" workbookViewId="0">
      <selection activeCell="D51" sqref="D51"/>
    </sheetView>
  </sheetViews>
  <sheetFormatPr defaultRowHeight="15" x14ac:dyDescent="0.25"/>
  <cols>
    <col min="1" max="1" width="49.28515625" bestFit="1" customWidth="1"/>
    <col min="2" max="2" width="14.5703125" customWidth="1"/>
    <col min="3" max="3" width="25.7109375" customWidth="1"/>
    <col min="4" max="4" width="30" bestFit="1" customWidth="1"/>
    <col min="5" max="5" width="30" customWidth="1"/>
    <col min="6" max="6" width="13.140625" bestFit="1" customWidth="1"/>
    <col min="7" max="7" width="9.28515625" bestFit="1" customWidth="1"/>
    <col min="32" max="32" width="11.85546875" bestFit="1" customWidth="1"/>
  </cols>
  <sheetData>
    <row r="1" spans="1:34" x14ac:dyDescent="0.25">
      <c r="A1" s="1" t="s">
        <v>0</v>
      </c>
      <c r="B1" s="1" t="s">
        <v>85</v>
      </c>
      <c r="C1" t="s">
        <v>309</v>
      </c>
      <c r="D1" t="s">
        <v>311</v>
      </c>
      <c r="E1" t="s">
        <v>339</v>
      </c>
      <c r="F1" t="s">
        <v>359</v>
      </c>
      <c r="G1" t="s">
        <v>2</v>
      </c>
    </row>
    <row r="2" spans="1:34" x14ac:dyDescent="0.25">
      <c r="A2" t="s">
        <v>284</v>
      </c>
      <c r="B2" t="s">
        <v>89</v>
      </c>
      <c r="C2">
        <f>AVERAGEIF('Average time to Dx'!A:A, Table2[[#This Row],[Indication]],'Average time to Dx'!I:I)</f>
        <v>2.222222222222222E-2</v>
      </c>
      <c r="D2" s="5">
        <f>1 - 90/207</f>
        <v>0.56521739130434789</v>
      </c>
      <c r="E2" s="9">
        <f>_xlfn.RANK.AVG(Table2[[#This Row],[1-year mortality]], D:D)</f>
        <v>3</v>
      </c>
      <c r="F2" s="5">
        <f>(1-Table2[[#This Row],[1-year mortality]])^(Table2[[#This Row],[Diagnostic delay (months)]]/12)</f>
        <v>0.99845876462327743</v>
      </c>
      <c r="G2" s="2" t="s">
        <v>310</v>
      </c>
      <c r="AC2" t="s">
        <v>368</v>
      </c>
      <c r="AD2" s="6">
        <v>0.9</v>
      </c>
      <c r="AE2" t="s">
        <v>410</v>
      </c>
      <c r="AF2" t="s">
        <v>411</v>
      </c>
      <c r="AH2" t="s">
        <v>412</v>
      </c>
    </row>
    <row r="3" spans="1:34" x14ac:dyDescent="0.25">
      <c r="A3" t="s">
        <v>159</v>
      </c>
      <c r="B3" t="s">
        <v>90</v>
      </c>
      <c r="C3">
        <f>AVERAGEIF('Average time to Dx'!A:A, Table2[[#This Row],[Indication]],'Average time to Dx'!I:I)</f>
        <v>3</v>
      </c>
      <c r="D3" s="5">
        <v>0.01</v>
      </c>
      <c r="E3" s="9">
        <f>_xlfn.RANK.AVG(Table2[[#This Row],[1-year mortality]], D:D)</f>
        <v>47.5</v>
      </c>
      <c r="F3" s="5">
        <f>(1-Table2[[#This Row],[1-year mortality]])^(Table2[[#This Row],[Diagnostic delay (months)]]/12)</f>
        <v>0.99749056993368113</v>
      </c>
      <c r="G3" s="2" t="s">
        <v>320</v>
      </c>
      <c r="AE3" s="8">
        <v>0</v>
      </c>
      <c r="AF3" s="13">
        <v>1</v>
      </c>
      <c r="AH3">
        <f>AE3*12</f>
        <v>0</v>
      </c>
    </row>
    <row r="4" spans="1:34" x14ac:dyDescent="0.25">
      <c r="A4" t="s">
        <v>9</v>
      </c>
      <c r="B4" t="s">
        <v>88</v>
      </c>
      <c r="C4">
        <f>AVERAGEIF('Average time to Dx'!A:A, Table2[[#This Row],[Indication]],'Average time to Dx'!I:I)</f>
        <v>0.26666666666666666</v>
      </c>
      <c r="D4" s="6">
        <v>0.15</v>
      </c>
      <c r="E4" s="8">
        <f>_xlfn.RANK.AVG(Table2[[#This Row],[1-year mortality]], D:D)</f>
        <v>15.5</v>
      </c>
      <c r="F4" s="5">
        <f>(1-Table2[[#This Row],[1-year mortality]])^(Table2[[#This Row],[Diagnostic delay (months)]]/12)</f>
        <v>0.99639498197035137</v>
      </c>
      <c r="G4" s="2" t="s">
        <v>312</v>
      </c>
      <c r="AE4" s="8">
        <v>0.01</v>
      </c>
      <c r="AF4" s="13">
        <f>-(($AD$2^(1/AE4))-1)</f>
        <v>0.99997343860111243</v>
      </c>
      <c r="AH4">
        <f>AE4*12</f>
        <v>0.12</v>
      </c>
    </row>
    <row r="5" spans="1:34" x14ac:dyDescent="0.25">
      <c r="A5" t="s">
        <v>20</v>
      </c>
      <c r="B5" t="s">
        <v>88</v>
      </c>
      <c r="C5">
        <f>AVERAGEIF('Average time to Dx'!A:A, Table2[[#This Row],[Indication]],'Average time to Dx'!I:I)</f>
        <v>0.33333333333333331</v>
      </c>
      <c r="D5" s="6">
        <v>0.15</v>
      </c>
      <c r="E5" s="8">
        <f>_xlfn.RANK.AVG(Table2[[#This Row],[1-year mortality]], D:D)</f>
        <v>15.5</v>
      </c>
      <c r="F5" s="5">
        <f>(1-Table2[[#This Row],[1-year mortality]])^(Table2[[#This Row],[Diagnostic delay (months)]]/12)</f>
        <v>0.99549575994518102</v>
      </c>
      <c r="G5" s="2" t="s">
        <v>313</v>
      </c>
      <c r="AE5" s="8">
        <v>0.1</v>
      </c>
      <c r="AF5" s="13">
        <f>-(($AD$2^(1/AE5))-1)</f>
        <v>0.65132155989999985</v>
      </c>
      <c r="AH5">
        <f>AE5*12</f>
        <v>1.2000000000000002</v>
      </c>
    </row>
    <row r="6" spans="1:34" x14ac:dyDescent="0.25">
      <c r="A6" t="s">
        <v>157</v>
      </c>
      <c r="B6" t="s">
        <v>90</v>
      </c>
      <c r="C6">
        <f>AVERAGEIF('Average time to Dx'!A:A, Table2[[#This Row],[Indication]],'Average time to Dx'!I:I)</f>
        <v>5.5</v>
      </c>
      <c r="D6" s="5">
        <v>1.6E-2</v>
      </c>
      <c r="E6" s="9">
        <f>_xlfn.RANK.AVG(Table2[[#This Row],[1-year mortality]], D:D)</f>
        <v>36</v>
      </c>
      <c r="F6" s="5">
        <f>(1-Table2[[#This Row],[1-year mortality]])^(Table2[[#This Row],[Diagnostic delay (months)]]/12)</f>
        <v>0.99263462491807641</v>
      </c>
      <c r="G6" s="2" t="s">
        <v>325</v>
      </c>
      <c r="AE6" s="8">
        <v>0.2</v>
      </c>
      <c r="AF6" s="13">
        <f t="shared" ref="AF5:AF68" si="0">-(($AD$2^(1/AE6))-1)</f>
        <v>0.40950999999999982</v>
      </c>
      <c r="AH6">
        <f>AE6*12</f>
        <v>2.4000000000000004</v>
      </c>
    </row>
    <row r="7" spans="1:34" x14ac:dyDescent="0.25">
      <c r="A7" t="s">
        <v>120</v>
      </c>
      <c r="B7" t="s">
        <v>121</v>
      </c>
      <c r="C7">
        <f>AVERAGEIF('Average time to Dx'!A:A, Table2[[#This Row],[Indication]],'Average time to Dx'!I:I)</f>
        <v>2.14</v>
      </c>
      <c r="D7" s="6">
        <f>1 - 94%</f>
        <v>6.0000000000000053E-2</v>
      </c>
      <c r="E7" s="8">
        <f>_xlfn.RANK.AVG(Table2[[#This Row],[1-year mortality]], D:D)</f>
        <v>20</v>
      </c>
      <c r="F7" s="5">
        <f>(1-Table2[[#This Row],[1-year mortality]])^(Table2[[#This Row],[Diagnostic delay (months)]]/12)</f>
        <v>0.98902620920631446</v>
      </c>
      <c r="G7" s="2" t="s">
        <v>315</v>
      </c>
      <c r="AE7" s="8">
        <v>0.4</v>
      </c>
      <c r="AF7" s="13">
        <f t="shared" si="0"/>
        <v>0.23156652857908377</v>
      </c>
      <c r="AH7">
        <f>AE7*12</f>
        <v>4.8000000000000007</v>
      </c>
    </row>
    <row r="8" spans="1:34" x14ac:dyDescent="0.25">
      <c r="A8" t="s">
        <v>283</v>
      </c>
      <c r="B8" t="s">
        <v>89</v>
      </c>
      <c r="C8">
        <f>AVERAGEIF('Average time to Dx'!A:A, Table2[[#This Row],[Indication]],'Average time to Dx'!I:I)</f>
        <v>12</v>
      </c>
      <c r="D8" s="5">
        <v>1.4999999999999999E-2</v>
      </c>
      <c r="E8" s="9">
        <f>_xlfn.RANK.AVG(Table2[[#This Row],[1-year mortality]], D:D)</f>
        <v>37.5</v>
      </c>
      <c r="F8" s="5">
        <f>(1-Table2[[#This Row],[1-year mortality]])^(Table2[[#This Row],[Diagnostic delay (months)]]/12)</f>
        <v>0.98499999999999999</v>
      </c>
      <c r="G8" s="2" t="s">
        <v>349</v>
      </c>
      <c r="AE8" s="8">
        <v>0.6</v>
      </c>
      <c r="AF8" s="13">
        <f t="shared" si="0"/>
        <v>0.16104722339245814</v>
      </c>
      <c r="AH8">
        <f>AE8*12</f>
        <v>7.1999999999999993</v>
      </c>
    </row>
    <row r="9" spans="1:34" x14ac:dyDescent="0.25">
      <c r="A9" t="s">
        <v>289</v>
      </c>
      <c r="B9" t="s">
        <v>168</v>
      </c>
      <c r="C9">
        <f>AVERAGEIF('Average time to Dx'!A:A, Table2[[#This Row],[Indication]],'Average time to Dx'!I:I)</f>
        <v>19.200000000000003</v>
      </c>
      <c r="D9" s="5">
        <v>0.01</v>
      </c>
      <c r="E9" s="9">
        <f>_xlfn.RANK.AVG(Table2[[#This Row],[1-year mortality]], D:D)</f>
        <v>47.5</v>
      </c>
      <c r="F9" s="5">
        <f>(1-Table2[[#This Row],[1-year mortality]])^(Table2[[#This Row],[Diagnostic delay (months)]]/12)</f>
        <v>0.98404806422508129</v>
      </c>
      <c r="G9" s="2" t="s">
        <v>353</v>
      </c>
      <c r="AE9" s="8">
        <v>0.8</v>
      </c>
      <c r="AF9" s="13">
        <f t="shared" si="0"/>
        <v>0.12339662821723285</v>
      </c>
      <c r="AH9">
        <f>AE9*12</f>
        <v>9.6000000000000014</v>
      </c>
    </row>
    <row r="10" spans="1:34" x14ac:dyDescent="0.25">
      <c r="A10" t="s">
        <v>275</v>
      </c>
      <c r="B10" t="s">
        <v>89</v>
      </c>
      <c r="C10">
        <f>AVERAGEIF('Average time to Dx'!A:A, Table2[[#This Row],[Indication]],'Average time to Dx'!I:I)</f>
        <v>9</v>
      </c>
      <c r="D10" s="5">
        <v>2.7E-2</v>
      </c>
      <c r="E10" s="9">
        <f>_xlfn.RANK.AVG(Table2[[#This Row],[1-year mortality]], D:D)</f>
        <v>29</v>
      </c>
      <c r="F10" s="5">
        <f>(1-Table2[[#This Row],[1-year mortality]])^(Table2[[#This Row],[Diagnostic delay (months)]]/12)</f>
        <v>0.97968087549670724</v>
      </c>
      <c r="G10" s="2" t="s">
        <v>345</v>
      </c>
      <c r="AE10" s="8">
        <v>1</v>
      </c>
      <c r="AF10" s="13">
        <f t="shared" si="0"/>
        <v>9.9999999999999978E-2</v>
      </c>
      <c r="AH10">
        <f>AE10*12</f>
        <v>12</v>
      </c>
    </row>
    <row r="11" spans="1:34" x14ac:dyDescent="0.25">
      <c r="A11" t="s">
        <v>224</v>
      </c>
      <c r="B11" t="s">
        <v>90</v>
      </c>
      <c r="C11">
        <f>AVERAGEIF('Average time to Dx'!A:A, Table2[[#This Row],[Indication]],'Average time to Dx'!I:I)</f>
        <v>18</v>
      </c>
      <c r="D11" s="5">
        <v>1.47E-2</v>
      </c>
      <c r="E11" s="9">
        <f>_xlfn.RANK.AVG(Table2[[#This Row],[1-year mortality]], D:D)</f>
        <v>39</v>
      </c>
      <c r="F11" s="5">
        <f>(1-Table2[[#This Row],[1-year mortality]])^(Table2[[#This Row],[Diagnostic delay (months)]]/12)</f>
        <v>0.97803123338521247</v>
      </c>
      <c r="G11" s="2" t="s">
        <v>355</v>
      </c>
      <c r="AE11" s="8">
        <v>1.5</v>
      </c>
      <c r="AF11" s="13">
        <f t="shared" si="0"/>
        <v>6.7830248213842315E-2</v>
      </c>
      <c r="AH11">
        <f>AE11*12</f>
        <v>18</v>
      </c>
    </row>
    <row r="12" spans="1:34" x14ac:dyDescent="0.25">
      <c r="A12" t="s">
        <v>162</v>
      </c>
      <c r="B12" t="s">
        <v>89</v>
      </c>
      <c r="C12">
        <f>AVERAGEIF('Average time to Dx'!A:A, Table2[[#This Row],[Indication]],'Average time to Dx'!I:I)</f>
        <v>12</v>
      </c>
      <c r="D12" s="5">
        <v>2.5000000000000001E-2</v>
      </c>
      <c r="E12" s="9">
        <f>_xlfn.RANK.AVG(Table2[[#This Row],[1-year mortality]], D:D)</f>
        <v>31</v>
      </c>
      <c r="F12" s="5">
        <f>(1-Table2[[#This Row],[1-year mortality]])^(Table2[[#This Row],[Diagnostic delay (months)]]/12)</f>
        <v>0.97499999999999998</v>
      </c>
      <c r="G12" s="2" t="s">
        <v>344</v>
      </c>
      <c r="AE12" s="8">
        <v>2</v>
      </c>
      <c r="AF12" s="13">
        <f t="shared" si="0"/>
        <v>5.1316701949486232E-2</v>
      </c>
      <c r="AH12">
        <f>AE12*12</f>
        <v>24</v>
      </c>
    </row>
    <row r="13" spans="1:34" x14ac:dyDescent="0.25">
      <c r="A13" t="s">
        <v>74</v>
      </c>
      <c r="B13" t="s">
        <v>90</v>
      </c>
      <c r="C13">
        <f>AVERAGEIF('Average time to Dx'!A:A, Table2[[#This Row],[Indication]],'Average time to Dx'!I:I)</f>
        <v>31.200000000000003</v>
      </c>
      <c r="D13" s="6">
        <v>0.01</v>
      </c>
      <c r="E13" s="8">
        <f>_xlfn.RANK.AVG(Table2[[#This Row],[1-year mortality]], D:D)</f>
        <v>47.5</v>
      </c>
      <c r="F13" s="5">
        <f>(1-Table2[[#This Row],[1-year mortality]])^(Table2[[#This Row],[Diagnostic delay (months)]]/12)</f>
        <v>0.97420758358283044</v>
      </c>
      <c r="G13" s="2" t="s">
        <v>352</v>
      </c>
      <c r="AE13" s="8">
        <v>3</v>
      </c>
      <c r="AF13" s="13">
        <f t="shared" si="0"/>
        <v>3.4510615394370281E-2</v>
      </c>
      <c r="AH13">
        <f>AE13*12</f>
        <v>36</v>
      </c>
    </row>
    <row r="14" spans="1:34" x14ac:dyDescent="0.25">
      <c r="A14" t="s">
        <v>258</v>
      </c>
      <c r="B14" t="s">
        <v>87</v>
      </c>
      <c r="C14">
        <f>AVERAGEIF('Average time to Dx'!A:A, Table2[[#This Row],[Indication]],'Average time to Dx'!I:I)</f>
        <v>4</v>
      </c>
      <c r="D14" s="5">
        <f>1-92.2%</f>
        <v>7.7999999999999958E-2</v>
      </c>
      <c r="E14" s="9">
        <f>_xlfn.RANK.AVG(Table2[[#This Row],[1-year mortality]], D:D)</f>
        <v>19</v>
      </c>
      <c r="F14" s="5">
        <f>(1-Table2[[#This Row],[1-year mortality]])^(Table2[[#This Row],[Diagnostic delay (months)]]/12)</f>
        <v>0.97329309064034319</v>
      </c>
      <c r="G14" s="2" t="s">
        <v>323</v>
      </c>
      <c r="AE14" s="8">
        <v>4</v>
      </c>
      <c r="AF14" s="13">
        <f t="shared" si="0"/>
        <v>2.5996253574703254E-2</v>
      </c>
      <c r="AH14">
        <f>AE14*12</f>
        <v>48</v>
      </c>
    </row>
    <row r="15" spans="1:34" x14ac:dyDescent="0.25">
      <c r="A15" t="s">
        <v>115</v>
      </c>
      <c r="B15" t="s">
        <v>90</v>
      </c>
      <c r="C15">
        <f>AVERAGEIF('Average time to Dx'!A:A, Table2[[#This Row],[Indication]],'Average time to Dx'!I:I)</f>
        <v>2.25</v>
      </c>
      <c r="D15" s="6">
        <f xml:space="preserve"> 1- 85%</f>
        <v>0.15000000000000002</v>
      </c>
      <c r="E15" s="8">
        <f>_xlfn.RANK.AVG(Table2[[#This Row],[1-year mortality]], D:D)</f>
        <v>14</v>
      </c>
      <c r="F15" s="5">
        <f>(1-Table2[[#This Row],[1-year mortality]])^(Table2[[#This Row],[Diagnostic delay (months)]]/12)</f>
        <v>0.96998730104088571</v>
      </c>
      <c r="G15" s="2" t="s">
        <v>316</v>
      </c>
      <c r="AE15" s="8">
        <v>5</v>
      </c>
      <c r="AF15" s="13">
        <f t="shared" si="0"/>
        <v>2.0851637639023202E-2</v>
      </c>
      <c r="AH15">
        <f>AE15*12</f>
        <v>60</v>
      </c>
    </row>
    <row r="16" spans="1:34" x14ac:dyDescent="0.25">
      <c r="A16" t="s">
        <v>254</v>
      </c>
      <c r="B16" t="s">
        <v>90</v>
      </c>
      <c r="C16">
        <f>AVERAGEIF('Average time to Dx'!A:A, Table2[[#This Row],[Indication]],'Average time to Dx'!I:I)</f>
        <v>28.75</v>
      </c>
      <c r="D16" s="7">
        <v>1.46E-2</v>
      </c>
      <c r="E16" s="8">
        <f>_xlfn.RANK.AVG(Table2[[#This Row],[1-year mortality]], D:D)</f>
        <v>40</v>
      </c>
      <c r="F16" s="5">
        <f>(1-Table2[[#This Row],[1-year mortality]])^(Table2[[#This Row],[Diagnostic delay (months)]]/12)</f>
        <v>0.96537656833619478</v>
      </c>
      <c r="G16" s="2" t="s">
        <v>354</v>
      </c>
      <c r="AE16" s="8">
        <v>6</v>
      </c>
      <c r="AF16" s="13">
        <f t="shared" si="0"/>
        <v>1.7406806147310161E-2</v>
      </c>
      <c r="AH16">
        <f>AE16*12</f>
        <v>72</v>
      </c>
    </row>
    <row r="17" spans="1:34" x14ac:dyDescent="0.25">
      <c r="A17" t="s">
        <v>145</v>
      </c>
      <c r="B17" t="s">
        <v>89</v>
      </c>
      <c r="C17">
        <f>AVERAGEIF('Average time to Dx'!A:A, Table2[[#This Row],[Indication]],'Average time to Dx'!I:I)</f>
        <v>43.6</v>
      </c>
      <c r="D17" s="6">
        <v>0.01</v>
      </c>
      <c r="E17" s="8">
        <f>_xlfn.RANK.AVG(Table2[[#This Row],[1-year mortality]], D:D)</f>
        <v>47.5</v>
      </c>
      <c r="F17" s="5">
        <f>(1-Table2[[#This Row],[1-year mortality]])^(Table2[[#This Row],[Diagnostic delay (months)]]/12)</f>
        <v>0.96414245512074759</v>
      </c>
      <c r="G17" s="2" t="s">
        <v>356</v>
      </c>
      <c r="AE17" s="8">
        <v>7</v>
      </c>
      <c r="AF17" s="13">
        <f t="shared" si="0"/>
        <v>1.4938794558884472E-2</v>
      </c>
      <c r="AH17">
        <f>AE17*12</f>
        <v>84</v>
      </c>
    </row>
    <row r="18" spans="1:34" x14ac:dyDescent="0.25">
      <c r="A18" t="s">
        <v>105</v>
      </c>
      <c r="B18" t="s">
        <v>89</v>
      </c>
      <c r="C18">
        <f>AVERAGEIF('Average time to Dx'!A:A, Table2[[#This Row],[Indication]],'Average time to Dx'!I:I)</f>
        <v>12</v>
      </c>
      <c r="D18" s="5">
        <v>0.04</v>
      </c>
      <c r="E18" s="9">
        <f>_xlfn.RANK.AVG(Table2[[#This Row],[1-year mortality]], D:D)</f>
        <v>24.5</v>
      </c>
      <c r="F18" s="5">
        <f>(1-Table2[[#This Row],[1-year mortality]])^(Table2[[#This Row],[Diagnostic delay (months)]]/12)</f>
        <v>0.96</v>
      </c>
      <c r="G18" s="2" t="s">
        <v>337</v>
      </c>
      <c r="AE18" s="8">
        <v>8</v>
      </c>
      <c r="AF18" s="13">
        <f t="shared" si="0"/>
        <v>1.3083718633998487E-2</v>
      </c>
      <c r="AH18">
        <f>AE18*12</f>
        <v>96</v>
      </c>
    </row>
    <row r="19" spans="1:34" x14ac:dyDescent="0.25">
      <c r="A19" t="s">
        <v>180</v>
      </c>
      <c r="B19" t="s">
        <v>307</v>
      </c>
      <c r="C19">
        <f>AVERAGEIF('Average time to Dx'!A:A, Table2[[#This Row],[Indication]],'Average time to Dx'!I:I)</f>
        <v>8</v>
      </c>
      <c r="D19" s="5">
        <v>0.06</v>
      </c>
      <c r="E19" s="9">
        <f>_xlfn.RANK.AVG(Table2[[#This Row],[1-year mortality]], D:D)</f>
        <v>21</v>
      </c>
      <c r="F19" s="5">
        <f>(1-Table2[[#This Row],[1-year mortality]])^(Table2[[#This Row],[Diagnostic delay (months)]]/12)</f>
        <v>0.95958894438849585</v>
      </c>
      <c r="G19" s="2" t="s">
        <v>347</v>
      </c>
      <c r="AE19" s="8">
        <v>9</v>
      </c>
      <c r="AF19" s="13">
        <f t="shared" si="0"/>
        <v>1.1638466884251741E-2</v>
      </c>
      <c r="AH19">
        <f>AE19*12</f>
        <v>108</v>
      </c>
    </row>
    <row r="20" spans="1:34" x14ac:dyDescent="0.25">
      <c r="A20" t="s">
        <v>192</v>
      </c>
      <c r="B20" t="s">
        <v>168</v>
      </c>
      <c r="C20">
        <f>AVERAGEIF('Average time to Dx'!A:A, Table2[[#This Row],[Indication]],'Average time to Dx'!I:I)</f>
        <v>6.19</v>
      </c>
      <c r="D20" s="5">
        <v>0.08</v>
      </c>
      <c r="E20" s="9">
        <f>_xlfn.RANK.AVG(Table2[[#This Row],[1-year mortality]], D:D)</f>
        <v>18</v>
      </c>
      <c r="F20" s="5">
        <f>(1-Table2[[#This Row],[1-year mortality]])^(Table2[[#This Row],[Diagnostic delay (months)]]/12)</f>
        <v>0.95790084038094725</v>
      </c>
      <c r="G20" s="2" t="s">
        <v>327</v>
      </c>
      <c r="AE20" s="8">
        <v>10</v>
      </c>
      <c r="AF20" s="13">
        <f t="shared" si="0"/>
        <v>1.0480741793785553E-2</v>
      </c>
      <c r="AH20">
        <f>AE20*12</f>
        <v>120</v>
      </c>
    </row>
    <row r="21" spans="1:34" x14ac:dyDescent="0.25">
      <c r="A21" t="s">
        <v>303</v>
      </c>
      <c r="B21" t="s">
        <v>90</v>
      </c>
      <c r="C21">
        <f>AVERAGEIF('Average time to Dx'!A:A, Table2[[#This Row],[Indication]],'Average time to Dx'!I:I)</f>
        <v>20</v>
      </c>
      <c r="D21" s="5">
        <v>2.5999999999999999E-2</v>
      </c>
      <c r="E21" s="9">
        <f>_xlfn.RANK.AVG(Table2[[#This Row],[1-year mortality]], D:D)</f>
        <v>30</v>
      </c>
      <c r="F21" s="5">
        <f>(1-Table2[[#This Row],[1-year mortality]])^(Table2[[#This Row],[Diagnostic delay (months)]]/12)</f>
        <v>0.95704331667905429</v>
      </c>
      <c r="G21" s="2" t="s">
        <v>350</v>
      </c>
      <c r="AE21" s="8">
        <v>11</v>
      </c>
      <c r="AF21" s="13">
        <f t="shared" si="0"/>
        <v>9.5325035687154891E-3</v>
      </c>
      <c r="AH21">
        <f>AE21*12</f>
        <v>132</v>
      </c>
    </row>
    <row r="22" spans="1:34" x14ac:dyDescent="0.25">
      <c r="A22" t="s">
        <v>131</v>
      </c>
      <c r="B22" t="s">
        <v>89</v>
      </c>
      <c r="C22">
        <f>AVERAGEIF('Average time to Dx'!A:A, Table2[[#This Row],[Indication]],'Average time to Dx'!I:I)</f>
        <v>55.8</v>
      </c>
      <c r="D22" s="6">
        <v>0.01</v>
      </c>
      <c r="E22" s="8">
        <f>_xlfn.RANK.AVG(Table2[[#This Row],[1-year mortality]], D:D)</f>
        <v>47.5</v>
      </c>
      <c r="F22" s="5">
        <f>(1-Table2[[#This Row],[1-year mortality]])^(Table2[[#This Row],[Diagnostic delay (months)]]/12)</f>
        <v>0.95434115969405164</v>
      </c>
      <c r="G22" t="s">
        <v>342</v>
      </c>
      <c r="AE22" s="8">
        <v>12</v>
      </c>
      <c r="AF22" s="13">
        <f t="shared" si="0"/>
        <v>8.7416109546967213E-3</v>
      </c>
      <c r="AH22">
        <v>140</v>
      </c>
    </row>
    <row r="23" spans="1:34" x14ac:dyDescent="0.25">
      <c r="A23" t="s">
        <v>144</v>
      </c>
      <c r="B23" t="s">
        <v>89</v>
      </c>
      <c r="C23">
        <f>AVERAGEIF('Average time to Dx'!A:A, Table2[[#This Row],[Indication]],'Average time to Dx'!I:I)</f>
        <v>14.3</v>
      </c>
      <c r="D23" s="5">
        <v>0.04</v>
      </c>
      <c r="E23" s="9">
        <f>_xlfn.RANK.AVG(Table2[[#This Row],[1-year mortality]], D:D)</f>
        <v>24.5</v>
      </c>
      <c r="F23" s="5">
        <f>(1-Table2[[#This Row],[1-year mortality]])^(Table2[[#This Row],[Diagnostic delay (months)]]/12)</f>
        <v>0.95251806132826056</v>
      </c>
      <c r="G23" s="2" t="s">
        <v>356</v>
      </c>
      <c r="AE23" s="8"/>
      <c r="AF23" s="13"/>
    </row>
    <row r="24" spans="1:34" x14ac:dyDescent="0.25">
      <c r="A24" t="s">
        <v>195</v>
      </c>
      <c r="B24" t="s">
        <v>89</v>
      </c>
      <c r="C24">
        <f>AVERAGEIF('Average time to Dx'!A:A, Table2[[#This Row],[Indication]],'Average time to Dx'!I:I)</f>
        <v>21.3</v>
      </c>
      <c r="D24" s="5">
        <v>0.03</v>
      </c>
      <c r="E24" s="9">
        <f>_xlfn.RANK.AVG(Table2[[#This Row],[1-year mortality]], D:D)</f>
        <v>27.5</v>
      </c>
      <c r="F24" s="5">
        <f>(1-Table2[[#This Row],[1-year mortality]])^(Table2[[#This Row],[Diagnostic delay (months)]]/12)</f>
        <v>0.9473704370404884</v>
      </c>
      <c r="G24" s="2" t="s">
        <v>341</v>
      </c>
      <c r="AE24" s="8"/>
      <c r="AF24" s="13"/>
    </row>
    <row r="25" spans="1:34" x14ac:dyDescent="0.25">
      <c r="A25" t="s">
        <v>235</v>
      </c>
      <c r="B25" t="s">
        <v>102</v>
      </c>
      <c r="C25">
        <f>AVERAGEIF('Average time to Dx'!A:A, Table2[[#This Row],[Indication]],'Average time to Dx'!I:I)</f>
        <v>32.89</v>
      </c>
      <c r="D25" s="6">
        <v>0.02</v>
      </c>
      <c r="E25" s="8">
        <f>_xlfn.RANK.AVG(Table2[[#This Row],[1-year mortality]], D:D)</f>
        <v>32.5</v>
      </c>
      <c r="F25" s="5">
        <f>(1-Table2[[#This Row],[1-year mortality]])^(Table2[[#This Row],[Diagnostic delay (months)]]/12)</f>
        <v>0.94613288098288617</v>
      </c>
      <c r="G25" s="2" t="s">
        <v>328</v>
      </c>
      <c r="AE25" s="8"/>
      <c r="AF25" s="13"/>
    </row>
    <row r="26" spans="1:34" x14ac:dyDescent="0.25">
      <c r="A26" t="s">
        <v>264</v>
      </c>
      <c r="B26" t="s">
        <v>154</v>
      </c>
      <c r="C26">
        <f>AVERAGEIF('Average time to Dx'!A:A, Table2[[#This Row],[Indication]],'Average time to Dx'!I:I)</f>
        <v>55.5</v>
      </c>
      <c r="D26" s="7">
        <v>1.2E-2</v>
      </c>
      <c r="E26" s="8">
        <f>_xlfn.RANK.AVG(Table2[[#This Row],[1-year mortality]], D:D)</f>
        <v>41</v>
      </c>
      <c r="F26" s="5">
        <f>(1-Table2[[#This Row],[1-year mortality]])^(Table2[[#This Row],[Diagnostic delay (months)]]/12)</f>
        <v>0.94569451188445663</v>
      </c>
      <c r="G26" s="2" t="s">
        <v>340</v>
      </c>
      <c r="AE26" s="8"/>
      <c r="AF26" s="13"/>
    </row>
    <row r="27" spans="1:34" x14ac:dyDescent="0.25">
      <c r="A27" t="s">
        <v>238</v>
      </c>
      <c r="B27" t="s">
        <v>87</v>
      </c>
      <c r="C27">
        <f>AVERAGEIF('Average time to Dx'!A:A, Table2[[#This Row],[Indication]],'Average time to Dx'!I:I)</f>
        <v>3.3</v>
      </c>
      <c r="D27" s="5">
        <f>1 - 79.4%</f>
        <v>0.20599999999999996</v>
      </c>
      <c r="E27" s="9">
        <f>_xlfn.RANK.AVG(Table2[[#This Row],[1-year mortality]], D:D)</f>
        <v>9</v>
      </c>
      <c r="F27" s="5">
        <f>(1-Table2[[#This Row],[1-year mortality]])^(Table2[[#This Row],[Diagnostic delay (months)]]/12)</f>
        <v>0.93853535685012013</v>
      </c>
      <c r="G27" s="2" t="s">
        <v>321</v>
      </c>
      <c r="AE27" s="8"/>
      <c r="AF27" s="13"/>
    </row>
    <row r="28" spans="1:34" x14ac:dyDescent="0.25">
      <c r="A28" t="s">
        <v>199</v>
      </c>
      <c r="B28" t="s">
        <v>89</v>
      </c>
      <c r="C28">
        <f>AVERAGEIF('Average time to Dx'!A:A, Table2[[#This Row],[Indication]],'Average time to Dx'!I:I)</f>
        <v>80.400000000000006</v>
      </c>
      <c r="D28" s="6">
        <v>0.01</v>
      </c>
      <c r="E28" s="8">
        <f>_xlfn.RANK.AVG(Table2[[#This Row],[1-year mortality]], D:D)</f>
        <v>47.5</v>
      </c>
      <c r="F28" s="5">
        <f>(1-Table2[[#This Row],[1-year mortality]])^(Table2[[#This Row],[Diagnostic delay (months)]]/12)</f>
        <v>0.93487985972832521</v>
      </c>
      <c r="G28" s="2" t="s">
        <v>329</v>
      </c>
      <c r="AE28" s="8"/>
      <c r="AF28" s="13"/>
    </row>
    <row r="29" spans="1:34" x14ac:dyDescent="0.25">
      <c r="A29" t="s">
        <v>81</v>
      </c>
      <c r="B29" t="s">
        <v>87</v>
      </c>
      <c r="C29">
        <f>AVERAGEIF('Average time to Dx'!A:A, Table2[[#This Row],[Indication]],'Average time to Dx'!I:I)</f>
        <v>5.0666666666666664</v>
      </c>
      <c r="D29" s="5">
        <f>1 - 84.5%</f>
        <v>0.15500000000000003</v>
      </c>
      <c r="E29" s="9">
        <f>_xlfn.RANK.AVG(Table2[[#This Row],[1-year mortality]], D:D)</f>
        <v>12</v>
      </c>
      <c r="F29" s="5">
        <f>(1-Table2[[#This Row],[1-year mortality]])^(Table2[[#This Row],[Diagnostic delay (months)]]/12)</f>
        <v>0.93135934628418648</v>
      </c>
      <c r="G29" s="2" t="s">
        <v>319</v>
      </c>
      <c r="AE29" s="8"/>
      <c r="AF29" s="13"/>
    </row>
    <row r="30" spans="1:34" x14ac:dyDescent="0.25">
      <c r="A30" t="s">
        <v>77</v>
      </c>
      <c r="B30" t="s">
        <v>91</v>
      </c>
      <c r="C30">
        <f>AVERAGEIF('Average time to Dx'!A:A, Table2[[#This Row],[Indication]],'Average time to Dx'!I:I)</f>
        <v>96</v>
      </c>
      <c r="D30" s="6">
        <v>0.01</v>
      </c>
      <c r="E30" s="8">
        <f>_xlfn.RANK.AVG(Table2[[#This Row],[1-year mortality]], D:D)</f>
        <v>47.5</v>
      </c>
      <c r="F30" s="5">
        <f>(1-Table2[[#This Row],[1-year mortality]])^(Table2[[#This Row],[Diagnostic delay (months)]]/12)</f>
        <v>0.92274469442791995</v>
      </c>
      <c r="G30" s="2" t="s">
        <v>332</v>
      </c>
      <c r="AE30" s="8"/>
      <c r="AF30" s="13"/>
    </row>
    <row r="31" spans="1:34" x14ac:dyDescent="0.25">
      <c r="A31" t="s">
        <v>288</v>
      </c>
      <c r="B31" t="s">
        <v>168</v>
      </c>
      <c r="C31">
        <f>AVERAGEIF('Average time to Dx'!A:A, Table2[[#This Row],[Indication]],'Average time to Dx'!I:I)</f>
        <v>86.4</v>
      </c>
      <c r="D31" s="7">
        <v>1.14E-2</v>
      </c>
      <c r="E31" s="8">
        <f>_xlfn.RANK.AVG(Table2[[#This Row],[1-year mortality]], D:D)</f>
        <v>42</v>
      </c>
      <c r="F31" s="5">
        <f>(1-Table2[[#This Row],[1-year mortality]])^(Table2[[#This Row],[Diagnostic delay (months)]]/12)</f>
        <v>0.92076407033700591</v>
      </c>
      <c r="G31" s="2" t="s">
        <v>358</v>
      </c>
      <c r="AE31" s="8"/>
      <c r="AF31" s="13"/>
    </row>
    <row r="32" spans="1:34" x14ac:dyDescent="0.25">
      <c r="A32" t="s">
        <v>304</v>
      </c>
      <c r="B32" t="s">
        <v>148</v>
      </c>
      <c r="C32">
        <f>AVERAGEIF('Average time to Dx'!A:A, Table2[[#This Row],[Indication]],'Average time to Dx'!I:I)</f>
        <v>102</v>
      </c>
      <c r="D32" s="6">
        <v>0.01</v>
      </c>
      <c r="E32" s="8">
        <f>_xlfn.RANK.AVG(Table2[[#This Row],[1-year mortality]], D:D)</f>
        <v>47.5</v>
      </c>
      <c r="F32" s="5">
        <f>(1-Table2[[#This Row],[1-year mortality]])^(Table2[[#This Row],[Diagnostic delay (months)]]/12)</f>
        <v>0.91811937861256732</v>
      </c>
      <c r="G32" s="2" t="s">
        <v>331</v>
      </c>
      <c r="AE32" s="8"/>
      <c r="AF32" s="13"/>
    </row>
    <row r="33" spans="1:32" x14ac:dyDescent="0.25">
      <c r="A33" t="s">
        <v>124</v>
      </c>
      <c r="B33" t="s">
        <v>307</v>
      </c>
      <c r="C33">
        <f>AVERAGEIF('Average time to Dx'!A:A, Table2[[#This Row],[Indication]],'Average time to Dx'!I:I)</f>
        <v>34</v>
      </c>
      <c r="D33" s="6">
        <v>0.03</v>
      </c>
      <c r="E33" s="8">
        <f>_xlfn.RANK.AVG(Table2[[#This Row],[1-year mortality]], D:D)</f>
        <v>27.5</v>
      </c>
      <c r="F33" s="5">
        <f>(1-Table2[[#This Row],[1-year mortality]])^(Table2[[#This Row],[Diagnostic delay (months)]]/12)</f>
        <v>0.91731799631206035</v>
      </c>
      <c r="G33" s="2" t="s">
        <v>343</v>
      </c>
      <c r="AE33" s="8"/>
      <c r="AF33" s="13"/>
    </row>
    <row r="34" spans="1:32" x14ac:dyDescent="0.25">
      <c r="A34" t="s">
        <v>280</v>
      </c>
      <c r="B34" t="s">
        <v>89</v>
      </c>
      <c r="C34">
        <f>AVERAGEIF('Average time to Dx'!A:A, Table2[[#This Row],[Indication]],'Average time to Dx'!I:I)</f>
        <v>104.39999999999999</v>
      </c>
      <c r="D34" s="6">
        <v>0.01</v>
      </c>
      <c r="E34" s="8">
        <f>_xlfn.RANK.AVG(Table2[[#This Row],[1-year mortality]], D:D)</f>
        <v>47.5</v>
      </c>
      <c r="F34" s="5">
        <f>(1-Table2[[#This Row],[1-year mortality]])^(Table2[[#This Row],[Diagnostic delay (months)]]/12)</f>
        <v>0.91627575051973154</v>
      </c>
      <c r="G34" s="2" t="s">
        <v>330</v>
      </c>
      <c r="AE34" s="8"/>
      <c r="AF34" s="13"/>
    </row>
    <row r="35" spans="1:32" x14ac:dyDescent="0.25">
      <c r="A35" t="s">
        <v>186</v>
      </c>
      <c r="B35" t="s">
        <v>89</v>
      </c>
      <c r="C35">
        <f>AVERAGEIF('Average time to Dx'!A:A, Table2[[#This Row],[Indication]],'Average time to Dx'!I:I)</f>
        <v>2.4666666666666668</v>
      </c>
      <c r="D35" s="5">
        <f>1 - 60%</f>
        <v>0.4</v>
      </c>
      <c r="E35" s="9">
        <f>_xlfn.RANK.AVG(Table2[[#This Row],[1-year mortality]], D:D)</f>
        <v>5</v>
      </c>
      <c r="F35" s="5">
        <f>(1-Table2[[#This Row],[1-year mortality]])^(Table2[[#This Row],[Diagnostic delay (months)]]/12)</f>
        <v>0.90032178120559692</v>
      </c>
      <c r="G35" s="2" t="s">
        <v>317</v>
      </c>
      <c r="AE35" s="8"/>
      <c r="AF35" s="13"/>
    </row>
    <row r="36" spans="1:32" x14ac:dyDescent="0.25">
      <c r="A36" t="s">
        <v>200</v>
      </c>
      <c r="B36" t="s">
        <v>89</v>
      </c>
      <c r="C36">
        <f>AVERAGEIF('Average time to Dx'!A:A, Table2[[#This Row],[Indication]],'Average time to Dx'!I:I)</f>
        <v>128.39999999999998</v>
      </c>
      <c r="D36" s="6">
        <v>0.01</v>
      </c>
      <c r="E36" s="8">
        <f>_xlfn.RANK.AVG(Table2[[#This Row],[1-year mortality]], D:D)</f>
        <v>47.5</v>
      </c>
      <c r="F36" s="5">
        <f>(1-Table2[[#This Row],[1-year mortality]])^(Table2[[#This Row],[Diagnostic delay (months)]]/12)</f>
        <v>0.89804186308438894</v>
      </c>
      <c r="G36" s="2" t="s">
        <v>329</v>
      </c>
      <c r="AE36" s="8"/>
      <c r="AF36" s="13"/>
    </row>
    <row r="37" spans="1:32" x14ac:dyDescent="0.25">
      <c r="A37" t="s">
        <v>66</v>
      </c>
      <c r="B37" t="s">
        <v>89</v>
      </c>
      <c r="C37">
        <f>AVERAGEIF('Average time to Dx'!A:A, Table2[[#This Row],[Indication]],'Average time to Dx'!I:I)</f>
        <v>86.4</v>
      </c>
      <c r="D37" s="7">
        <v>1.4999999999999999E-2</v>
      </c>
      <c r="E37" s="8">
        <f>_xlfn.RANK.AVG(Table2[[#This Row],[1-year mortality]], D:D)</f>
        <v>37.5</v>
      </c>
      <c r="F37" s="5">
        <f>(1-Table2[[#This Row],[1-year mortality]])^(Table2[[#This Row],[Diagnostic delay (months)]]/12)</f>
        <v>0.89689346487481802</v>
      </c>
      <c r="G37" s="2" t="s">
        <v>333</v>
      </c>
      <c r="AE37" s="8"/>
      <c r="AF37" s="13"/>
    </row>
    <row r="38" spans="1:32" x14ac:dyDescent="0.25">
      <c r="A38" t="s">
        <v>262</v>
      </c>
      <c r="B38" t="s">
        <v>263</v>
      </c>
      <c r="C38">
        <f>AVERAGEIF('Average time to Dx'!A:A, Table2[[#This Row],[Indication]],'Average time to Dx'!I:I)</f>
        <v>67.199999999999989</v>
      </c>
      <c r="D38" s="6">
        <v>0.02</v>
      </c>
      <c r="E38" s="8">
        <f>_xlfn.RANK.AVG(Table2[[#This Row],[1-year mortality]], D:D)</f>
        <v>32.5</v>
      </c>
      <c r="F38" s="5">
        <f>(1-Table2[[#This Row],[1-year mortality]])^(Table2[[#This Row],[Diagnostic delay (months)]]/12)</f>
        <v>0.893029949157085</v>
      </c>
      <c r="G38" s="2" t="s">
        <v>328</v>
      </c>
      <c r="AE38" s="8"/>
      <c r="AF38" s="13"/>
    </row>
    <row r="39" spans="1:32" x14ac:dyDescent="0.25">
      <c r="A39" t="s">
        <v>101</v>
      </c>
      <c r="B39" t="s">
        <v>102</v>
      </c>
      <c r="C39">
        <f>AVERAGEIF('Average time to Dx'!A:A, Table2[[#This Row],[Indication]],'Average time to Dx'!I:I)</f>
        <v>77.52</v>
      </c>
      <c r="D39" s="7">
        <v>1.7999999999999999E-2</v>
      </c>
      <c r="E39" s="8">
        <f>_xlfn.RANK.AVG(Table2[[#This Row],[1-year mortality]], D:D)</f>
        <v>34.5</v>
      </c>
      <c r="F39" s="5">
        <f>(1-Table2[[#This Row],[1-year mortality]])^(Table2[[#This Row],[Diagnostic delay (months)]]/12)</f>
        <v>0.88928345234572226</v>
      </c>
      <c r="G39" s="2" t="s">
        <v>338</v>
      </c>
      <c r="AE39" s="8"/>
      <c r="AF39" s="13"/>
    </row>
    <row r="40" spans="1:32" x14ac:dyDescent="0.25">
      <c r="A40" t="s">
        <v>183</v>
      </c>
      <c r="B40" t="s">
        <v>307</v>
      </c>
      <c r="C40">
        <f>AVERAGEIF('Average time to Dx'!A:A, Table2[[#This Row],[Indication]],'Average time to Dx'!I:I)</f>
        <v>33</v>
      </c>
      <c r="D40" s="7">
        <v>4.2999999999999997E-2</v>
      </c>
      <c r="E40" s="8">
        <f>_xlfn.RANK.AVG(Table2[[#This Row],[1-year mortality]], D:D)</f>
        <v>23</v>
      </c>
      <c r="F40" s="5">
        <f>(1-Table2[[#This Row],[1-year mortality]])^(Table2[[#This Row],[Diagnostic delay (months)]]/12)</f>
        <v>0.88615119787687768</v>
      </c>
      <c r="G40" s="2" t="s">
        <v>348</v>
      </c>
      <c r="AE40" s="8"/>
      <c r="AF40" s="13"/>
    </row>
    <row r="41" spans="1:32" x14ac:dyDescent="0.25">
      <c r="A41" t="s">
        <v>72</v>
      </c>
      <c r="B41" t="s">
        <v>90</v>
      </c>
      <c r="C41">
        <f>AVERAGEIF('Average time to Dx'!A:A, Table2[[#This Row],[Indication]],'Average time to Dx'!I:I)</f>
        <v>80.400000000000006</v>
      </c>
      <c r="D41" s="7">
        <v>1.7999999999999999E-2</v>
      </c>
      <c r="E41" s="8">
        <f>_xlfn.RANK.AVG(Table2[[#This Row],[1-year mortality]], D:D)</f>
        <v>34.5</v>
      </c>
      <c r="F41" s="5">
        <f>(1-Table2[[#This Row],[1-year mortality]])^(Table2[[#This Row],[Diagnostic delay (months)]]/12)</f>
        <v>0.88541518959113252</v>
      </c>
      <c r="G41" s="2" t="s">
        <v>334</v>
      </c>
      <c r="AE41" s="8"/>
      <c r="AF41" s="13"/>
    </row>
    <row r="42" spans="1:32" x14ac:dyDescent="0.25">
      <c r="A42" t="s">
        <v>137</v>
      </c>
      <c r="B42" t="s">
        <v>88</v>
      </c>
      <c r="C42">
        <f>AVERAGEIF('Average time to Dx'!A:A, Table2[[#This Row],[Indication]],'Average time to Dx'!I:I)</f>
        <v>14.399999999999999</v>
      </c>
      <c r="D42" s="5">
        <v>0.1</v>
      </c>
      <c r="E42" s="9">
        <f>_xlfn.RANK.AVG(Table2[[#This Row],[1-year mortality]], D:D)</f>
        <v>17</v>
      </c>
      <c r="F42" s="5">
        <f>(1-Table2[[#This Row],[1-year mortality]])^(Table2[[#This Row],[Diagnostic delay (months)]]/12)</f>
        <v>0.88123352612487915</v>
      </c>
      <c r="G42" s="2" t="s">
        <v>357</v>
      </c>
      <c r="AE42" s="8"/>
      <c r="AF42" s="13"/>
    </row>
    <row r="43" spans="1:32" x14ac:dyDescent="0.25">
      <c r="A43" t="s">
        <v>48</v>
      </c>
      <c r="B43" t="s">
        <v>89</v>
      </c>
      <c r="C43">
        <f>AVERAGEIF('Average time to Dx'!A:A, Table2[[#This Row],[Indication]],'Average time to Dx'!I:I)</f>
        <v>43.2</v>
      </c>
      <c r="D43" s="7">
        <v>3.6999999999999998E-2</v>
      </c>
      <c r="E43" s="8">
        <f>_xlfn.RANK.AVG(Table2[[#This Row],[1-year mortality]], D:D)</f>
        <v>26</v>
      </c>
      <c r="F43" s="5">
        <f>(1-Table2[[#This Row],[1-year mortality]])^(Table2[[#This Row],[Diagnostic delay (months)]]/12)</f>
        <v>0.87308119389303096</v>
      </c>
      <c r="G43" s="2" t="s">
        <v>336</v>
      </c>
      <c r="AE43" s="8"/>
      <c r="AF43" s="13"/>
    </row>
    <row r="44" spans="1:32" x14ac:dyDescent="0.25">
      <c r="A44" t="s">
        <v>242</v>
      </c>
      <c r="B44" t="s">
        <v>168</v>
      </c>
      <c r="C44">
        <f>AVERAGEIF('Average time to Dx'!A:A, Table2[[#This Row],[Indication]],'Average time to Dx'!I:I)</f>
        <v>6.1</v>
      </c>
      <c r="D44" s="5">
        <v>0.23499999999999999</v>
      </c>
      <c r="E44" s="9">
        <f>_xlfn.RANK.AVG(Table2[[#This Row],[1-year mortality]], D:D)</f>
        <v>8</v>
      </c>
      <c r="F44" s="5">
        <f>(1-Table2[[#This Row],[1-year mortality]])^(Table2[[#This Row],[Diagnostic delay (months)]]/12)</f>
        <v>0.87269247170812358</v>
      </c>
      <c r="G44" s="2" t="s">
        <v>326</v>
      </c>
      <c r="AE44" s="8"/>
      <c r="AF44" s="13"/>
    </row>
    <row r="45" spans="1:32" x14ac:dyDescent="0.25">
      <c r="A45" t="s">
        <v>227</v>
      </c>
      <c r="B45" t="s">
        <v>87</v>
      </c>
      <c r="C45">
        <f>AVERAGEIF('Average time to Dx'!A:A, Table2[[#This Row],[Indication]],'Average time to Dx'!I:I)</f>
        <v>4.8</v>
      </c>
      <c r="D45" s="5">
        <v>0.3</v>
      </c>
      <c r="E45" s="9">
        <f>_xlfn.RANK.AVG(Table2[[#This Row],[1-year mortality]], D:D)</f>
        <v>7</v>
      </c>
      <c r="F45" s="5">
        <f>(1-Table2[[#This Row],[1-year mortality]])^(Table2[[#This Row],[Diagnostic delay (months)]]/12)</f>
        <v>0.86704016438112341</v>
      </c>
      <c r="G45" t="s">
        <v>324</v>
      </c>
      <c r="AE45" s="8"/>
      <c r="AF45" s="13"/>
    </row>
    <row r="46" spans="1:32" x14ac:dyDescent="0.25">
      <c r="A46" t="s">
        <v>143</v>
      </c>
      <c r="B46" t="s">
        <v>89</v>
      </c>
      <c r="C46">
        <f>AVERAGEIF('Average time to Dx'!A:A, Table2[[#This Row],[Indication]],'Average time to Dx'!I:I)</f>
        <v>3.6</v>
      </c>
      <c r="D46" s="5">
        <v>0.45</v>
      </c>
      <c r="E46" s="9">
        <f>_xlfn.RANK.AVG(Table2[[#This Row],[1-year mortality]], D:D)</f>
        <v>4</v>
      </c>
      <c r="F46" s="5">
        <f>(1-Table2[[#This Row],[1-year mortality]])^(Table2[[#This Row],[Diagnostic delay (months)]]/12)</f>
        <v>0.83581239395415241</v>
      </c>
      <c r="G46" s="2" t="s">
        <v>322</v>
      </c>
      <c r="AE46" s="8"/>
      <c r="AF46" s="13"/>
    </row>
    <row r="47" spans="1:32" x14ac:dyDescent="0.25">
      <c r="A47" t="s">
        <v>271</v>
      </c>
      <c r="B47" t="s">
        <v>87</v>
      </c>
      <c r="C47">
        <f>AVERAGEIF('Average time to Dx'!A:A, Table2[[#This Row],[Indication]],'Average time to Dx'!I:I)</f>
        <v>2</v>
      </c>
      <c r="D47" s="6">
        <f>1 - 31%</f>
        <v>0.69</v>
      </c>
      <c r="E47" s="8">
        <f>_xlfn.RANK.AVG(Table2[[#This Row],[1-year mortality]], D:D)</f>
        <v>2</v>
      </c>
      <c r="F47" s="5">
        <f>(1-Table2[[#This Row],[1-year mortality]])^(Table2[[#This Row],[Diagnostic delay (months)]]/12)</f>
        <v>0.8226724410181131</v>
      </c>
      <c r="G47" s="2" t="s">
        <v>314</v>
      </c>
      <c r="AE47" s="8"/>
      <c r="AF47" s="13"/>
    </row>
    <row r="48" spans="1:32" x14ac:dyDescent="0.25">
      <c r="A48" t="s">
        <v>296</v>
      </c>
      <c r="B48" t="s">
        <v>88</v>
      </c>
      <c r="C48">
        <f>AVERAGEIF('Average time to Dx'!A:A, Table2[[#This Row],[Indication]],'Average time to Dx'!I:I)</f>
        <v>13</v>
      </c>
      <c r="D48" s="5">
        <v>0.17499999999999999</v>
      </c>
      <c r="E48" s="9">
        <f>_xlfn.RANK.AVG(Table2[[#This Row],[1-year mortality]], D:D)</f>
        <v>10</v>
      </c>
      <c r="F48" s="5">
        <f>(1-Table2[[#This Row],[1-year mortality]])^(Table2[[#This Row],[Diagnostic delay (months)]]/12)</f>
        <v>0.81187987764263025</v>
      </c>
      <c r="G48" s="2" t="s">
        <v>351</v>
      </c>
      <c r="AE48" s="8"/>
      <c r="AF48" s="13"/>
    </row>
    <row r="49" spans="1:32" x14ac:dyDescent="0.25">
      <c r="A49" t="s">
        <v>47</v>
      </c>
      <c r="B49" t="s">
        <v>89</v>
      </c>
      <c r="C49">
        <f>AVERAGEIF('Average time to Dx'!A:A, Table2[[#This Row],[Indication]],'Average time to Dx'!I:I)</f>
        <v>45.599999999999994</v>
      </c>
      <c r="D49" s="7">
        <v>5.8999999999999997E-2</v>
      </c>
      <c r="E49" s="8">
        <f>_xlfn.RANK.AVG(Table2[[#This Row],[1-year mortality]], D:D)</f>
        <v>22</v>
      </c>
      <c r="F49" s="5">
        <f>(1-Table2[[#This Row],[1-year mortality]])^(Table2[[#This Row],[Diagnostic delay (months)]]/12)</f>
        <v>0.79367110443108546</v>
      </c>
      <c r="G49" s="2" t="s">
        <v>336</v>
      </c>
      <c r="AE49" s="8"/>
      <c r="AF49" s="13"/>
    </row>
    <row r="50" spans="1:32" x14ac:dyDescent="0.25">
      <c r="A50" t="s">
        <v>204</v>
      </c>
      <c r="B50" t="s">
        <v>307</v>
      </c>
      <c r="C50">
        <f>AVERAGEIF('Average time to Dx'!A:A, Table2[[#This Row],[Indication]],'Average time to Dx'!I:I)</f>
        <v>2.5</v>
      </c>
      <c r="D50" s="5">
        <f xml:space="preserve"> 1 - 25.7%</f>
        <v>0.74299999999999999</v>
      </c>
      <c r="E50" s="9">
        <f>_xlfn.RANK.AVG(Table2[[#This Row],[1-year mortality]], D:D)</f>
        <v>1</v>
      </c>
      <c r="F50" s="5">
        <f>(1-Table2[[#This Row],[1-year mortality]])^(Table2[[#This Row],[Diagnostic delay (months)]]/12)</f>
        <v>0.75347596032828135</v>
      </c>
      <c r="G50" s="2" t="s">
        <v>318</v>
      </c>
      <c r="AE50" s="8"/>
      <c r="AF50" s="13"/>
    </row>
    <row r="51" spans="1:32" x14ac:dyDescent="0.25">
      <c r="A51" t="s">
        <v>95</v>
      </c>
      <c r="B51" t="s">
        <v>96</v>
      </c>
      <c r="C51">
        <f>AVERAGEIF('Average time to Dx'!A:A, Table2[[#This Row],[Indication]],'Average time to Dx'!I:I)</f>
        <v>25.200000000000003</v>
      </c>
      <c r="D51" s="6">
        <v>0.16</v>
      </c>
      <c r="E51" s="8">
        <f>_xlfn.RANK.AVG(Table2[[#This Row],[1-year mortality]], D:D)</f>
        <v>11</v>
      </c>
      <c r="F51" s="5">
        <f>(1-Table2[[#This Row],[1-year mortality]])^(Table2[[#This Row],[Diagnostic delay (months)]]/12)</f>
        <v>0.69340425244606663</v>
      </c>
      <c r="G51" s="2" t="s">
        <v>346</v>
      </c>
      <c r="AE51" s="8"/>
      <c r="AF51" s="13"/>
    </row>
    <row r="52" spans="1:32" x14ac:dyDescent="0.25">
      <c r="A52" t="s">
        <v>55</v>
      </c>
      <c r="B52" t="s">
        <v>89</v>
      </c>
      <c r="C52">
        <f>AVERAGEIF('Average time to Dx'!A:A, Table2[[#This Row],[Indication]],'Average time to Dx'!I:I)</f>
        <v>14.166666666666666</v>
      </c>
      <c r="D52" s="5">
        <v>0.34100000000000003</v>
      </c>
      <c r="E52" s="9">
        <f>_xlfn.RANK.AVG(Table2[[#This Row],[1-year mortality]], D:D)</f>
        <v>6</v>
      </c>
      <c r="F52" s="5">
        <f>(1-Table2[[#This Row],[1-year mortality]])^(Table2[[#This Row],[Diagnostic delay (months)]]/12)</f>
        <v>0.61120116026734939</v>
      </c>
      <c r="G52" s="2" t="s">
        <v>335</v>
      </c>
      <c r="AE52" s="8"/>
      <c r="AF52" s="13"/>
    </row>
    <row r="53" spans="1:32" x14ac:dyDescent="0.25">
      <c r="A53" t="s">
        <v>49</v>
      </c>
      <c r="B53" t="s">
        <v>89</v>
      </c>
      <c r="C53">
        <f>AVERAGEIF('Average time to Dx'!A:A, Table2[[#This Row],[Indication]],'Average time to Dx'!I:I)</f>
        <v>73.199999999999989</v>
      </c>
      <c r="D53" s="7">
        <v>0.15260000000000001</v>
      </c>
      <c r="E53" s="8">
        <f>_xlfn.RANK.AVG(Table2[[#This Row],[1-year mortality]], D:D)</f>
        <v>13</v>
      </c>
      <c r="F53" s="5">
        <f>(1-Table2[[#This Row],[1-year mortality]])^(Table2[[#This Row],[Diagnostic delay (months)]]/12)</f>
        <v>0.3641997169699438</v>
      </c>
      <c r="G53" s="2" t="s">
        <v>336</v>
      </c>
      <c r="AE53" s="8"/>
      <c r="AF53" s="13"/>
    </row>
    <row r="54" spans="1:32" x14ac:dyDescent="0.25">
      <c r="AE54" s="8"/>
      <c r="AF54" s="13"/>
    </row>
    <row r="55" spans="1:32" x14ac:dyDescent="0.25">
      <c r="AE55" s="8"/>
      <c r="AF55" s="13"/>
    </row>
    <row r="56" spans="1:32" x14ac:dyDescent="0.25">
      <c r="AE56" s="8"/>
      <c r="AF56" s="13"/>
    </row>
    <row r="57" spans="1:32" x14ac:dyDescent="0.25">
      <c r="AE57" s="8"/>
      <c r="AF57" s="13"/>
    </row>
    <row r="58" spans="1:32" x14ac:dyDescent="0.25">
      <c r="AE58" s="8"/>
      <c r="AF58" s="13"/>
    </row>
    <row r="59" spans="1:32" x14ac:dyDescent="0.25">
      <c r="AE59" s="8"/>
      <c r="AF59" s="13"/>
    </row>
    <row r="60" spans="1:32" x14ac:dyDescent="0.25">
      <c r="AE60" s="8"/>
      <c r="AF60" s="13"/>
    </row>
    <row r="61" spans="1:32" x14ac:dyDescent="0.25">
      <c r="AE61" s="8"/>
      <c r="AF61" s="13"/>
    </row>
    <row r="62" spans="1:32" x14ac:dyDescent="0.25">
      <c r="AE62" s="8"/>
      <c r="AF62" s="13"/>
    </row>
    <row r="63" spans="1:32" x14ac:dyDescent="0.25">
      <c r="AE63" s="8"/>
      <c r="AF63" s="13"/>
    </row>
    <row r="64" spans="1:32" x14ac:dyDescent="0.25">
      <c r="AE64" s="8"/>
      <c r="AF64" s="13"/>
    </row>
    <row r="65" spans="31:32" x14ac:dyDescent="0.25">
      <c r="AE65" s="8"/>
      <c r="AF65" s="13"/>
    </row>
    <row r="66" spans="31:32" x14ac:dyDescent="0.25">
      <c r="AE66" s="8"/>
      <c r="AF66" s="13"/>
    </row>
    <row r="67" spans="31:32" x14ac:dyDescent="0.25">
      <c r="AE67" s="8"/>
      <c r="AF67" s="13"/>
    </row>
    <row r="68" spans="31:32" x14ac:dyDescent="0.25">
      <c r="AE68" s="8"/>
      <c r="AF68" s="13"/>
    </row>
    <row r="69" spans="31:32" x14ac:dyDescent="0.25">
      <c r="AE69" s="8"/>
      <c r="AF69" s="13"/>
    </row>
    <row r="70" spans="31:32" x14ac:dyDescent="0.25">
      <c r="AE70" s="8"/>
      <c r="AF70" s="13"/>
    </row>
    <row r="71" spans="31:32" x14ac:dyDescent="0.25">
      <c r="AE71" s="8"/>
      <c r="AF71" s="13"/>
    </row>
    <row r="72" spans="31:32" x14ac:dyDescent="0.25">
      <c r="AE72" s="8"/>
      <c r="AF72" s="13"/>
    </row>
    <row r="73" spans="31:32" x14ac:dyDescent="0.25">
      <c r="AE73" s="8"/>
      <c r="AF73" s="13"/>
    </row>
    <row r="74" spans="31:32" x14ac:dyDescent="0.25">
      <c r="AE74" s="8"/>
      <c r="AF74" s="13"/>
    </row>
    <row r="75" spans="31:32" x14ac:dyDescent="0.25">
      <c r="AE75" s="8"/>
      <c r="AF75" s="13"/>
    </row>
    <row r="76" spans="31:32" x14ac:dyDescent="0.25">
      <c r="AE76" s="8"/>
      <c r="AF76" s="13"/>
    </row>
    <row r="77" spans="31:32" x14ac:dyDescent="0.25">
      <c r="AE77" s="8"/>
      <c r="AF77" s="13"/>
    </row>
    <row r="78" spans="31:32" x14ac:dyDescent="0.25">
      <c r="AE78" s="8"/>
      <c r="AF78" s="13"/>
    </row>
    <row r="79" spans="31:32" x14ac:dyDescent="0.25">
      <c r="AE79" s="8"/>
      <c r="AF79" s="13"/>
    </row>
    <row r="80" spans="31:32" x14ac:dyDescent="0.25">
      <c r="AE80" s="8"/>
      <c r="AF80" s="13"/>
    </row>
    <row r="81" spans="31:32" x14ac:dyDescent="0.25">
      <c r="AE81" s="8"/>
      <c r="AF81" s="13"/>
    </row>
    <row r="82" spans="31:32" x14ac:dyDescent="0.25">
      <c r="AE82" s="8"/>
      <c r="AF82" s="13"/>
    </row>
    <row r="83" spans="31:32" x14ac:dyDescent="0.25">
      <c r="AE83" s="8"/>
      <c r="AF83" s="13"/>
    </row>
    <row r="84" spans="31:32" x14ac:dyDescent="0.25">
      <c r="AE84" s="8"/>
      <c r="AF84" s="13"/>
    </row>
    <row r="85" spans="31:32" x14ac:dyDescent="0.25">
      <c r="AE85" s="8"/>
      <c r="AF85" s="13"/>
    </row>
    <row r="86" spans="31:32" x14ac:dyDescent="0.25">
      <c r="AE86" s="8"/>
      <c r="AF86" s="13"/>
    </row>
    <row r="87" spans="31:32" x14ac:dyDescent="0.25">
      <c r="AE87" s="8"/>
      <c r="AF87" s="13"/>
    </row>
    <row r="88" spans="31:32" x14ac:dyDescent="0.25">
      <c r="AE88" s="8"/>
      <c r="AF88" s="13"/>
    </row>
    <row r="89" spans="31:32" x14ac:dyDescent="0.25">
      <c r="AE89" s="8"/>
      <c r="AF89" s="13"/>
    </row>
    <row r="90" spans="31:32" x14ac:dyDescent="0.25">
      <c r="AE90" s="8"/>
      <c r="AF90" s="13"/>
    </row>
    <row r="91" spans="31:32" x14ac:dyDescent="0.25">
      <c r="AE91" s="8"/>
      <c r="AF91" s="13"/>
    </row>
    <row r="92" spans="31:32" x14ac:dyDescent="0.25">
      <c r="AE92" s="8"/>
      <c r="AF92" s="13"/>
    </row>
    <row r="93" spans="31:32" x14ac:dyDescent="0.25">
      <c r="AE93" s="8"/>
      <c r="AF93" s="13"/>
    </row>
    <row r="94" spans="31:32" x14ac:dyDescent="0.25">
      <c r="AE94" s="8"/>
      <c r="AF94" s="13"/>
    </row>
    <row r="95" spans="31:32" x14ac:dyDescent="0.25">
      <c r="AE95" s="8"/>
      <c r="AF95" s="13"/>
    </row>
    <row r="96" spans="31:32" x14ac:dyDescent="0.25">
      <c r="AE96" s="8"/>
      <c r="AF96" s="13"/>
    </row>
    <row r="97" spans="31:32" x14ac:dyDescent="0.25">
      <c r="AE97" s="8"/>
      <c r="AF97" s="13"/>
    </row>
    <row r="98" spans="31:32" x14ac:dyDescent="0.25">
      <c r="AE98" s="8"/>
      <c r="AF98" s="13"/>
    </row>
    <row r="99" spans="31:32" x14ac:dyDescent="0.25">
      <c r="AE99" s="8"/>
      <c r="AF99" s="13"/>
    </row>
    <row r="100" spans="31:32" x14ac:dyDescent="0.25">
      <c r="AE100" s="8"/>
      <c r="AF100" s="13"/>
    </row>
    <row r="101" spans="31:32" x14ac:dyDescent="0.25">
      <c r="AE101" s="8"/>
      <c r="AF101" s="13"/>
    </row>
    <row r="102" spans="31:32" x14ac:dyDescent="0.25">
      <c r="AE102" s="8"/>
      <c r="AF102" s="13"/>
    </row>
    <row r="103" spans="31:32" x14ac:dyDescent="0.25">
      <c r="AE103" s="8"/>
      <c r="AF103" s="13"/>
    </row>
    <row r="104" spans="31:32" x14ac:dyDescent="0.25">
      <c r="AE104" s="8"/>
      <c r="AF104" s="13"/>
    </row>
    <row r="105" spans="31:32" x14ac:dyDescent="0.25">
      <c r="AE105" s="8"/>
      <c r="AF105" s="13"/>
    </row>
    <row r="106" spans="31:32" x14ac:dyDescent="0.25">
      <c r="AE106" s="8"/>
      <c r="AF106" s="13"/>
    </row>
    <row r="107" spans="31:32" x14ac:dyDescent="0.25">
      <c r="AE107" s="8"/>
      <c r="AF107" s="13"/>
    </row>
    <row r="108" spans="31:32" x14ac:dyDescent="0.25">
      <c r="AE108" s="8"/>
      <c r="AF108" s="13"/>
    </row>
    <row r="109" spans="31:32" x14ac:dyDescent="0.25">
      <c r="AE109" s="8"/>
      <c r="AF109" s="13"/>
    </row>
    <row r="110" spans="31:32" x14ac:dyDescent="0.25">
      <c r="AE110" s="8"/>
      <c r="AF110" s="13"/>
    </row>
    <row r="111" spans="31:32" x14ac:dyDescent="0.25">
      <c r="AE111" s="8"/>
      <c r="AF111" s="13"/>
    </row>
    <row r="112" spans="31:32" x14ac:dyDescent="0.25">
      <c r="AE112" s="8"/>
      <c r="AF112" s="13"/>
    </row>
    <row r="113" spans="31:32" x14ac:dyDescent="0.25">
      <c r="AE113" s="8"/>
      <c r="AF113" s="13"/>
    </row>
    <row r="114" spans="31:32" x14ac:dyDescent="0.25">
      <c r="AE114" s="8"/>
      <c r="AF114" s="13"/>
    </row>
    <row r="115" spans="31:32" x14ac:dyDescent="0.25">
      <c r="AE115" s="8"/>
      <c r="AF115" s="13"/>
    </row>
    <row r="116" spans="31:32" x14ac:dyDescent="0.25">
      <c r="AE116" s="8"/>
      <c r="AF116" s="13"/>
    </row>
    <row r="117" spans="31:32" x14ac:dyDescent="0.25">
      <c r="AE117" s="8"/>
      <c r="AF117" s="13"/>
    </row>
    <row r="118" spans="31:32" x14ac:dyDescent="0.25">
      <c r="AE118" s="8"/>
      <c r="AF118" s="13"/>
    </row>
    <row r="119" spans="31:32" x14ac:dyDescent="0.25">
      <c r="AE119" s="8"/>
      <c r="AF119" s="13"/>
    </row>
    <row r="120" spans="31:32" x14ac:dyDescent="0.25">
      <c r="AE120" s="8"/>
      <c r="AF120" s="13"/>
    </row>
    <row r="121" spans="31:32" x14ac:dyDescent="0.25">
      <c r="AE121" s="8"/>
      <c r="AF121" s="13"/>
    </row>
    <row r="122" spans="31:32" x14ac:dyDescent="0.25">
      <c r="AE122" s="8"/>
      <c r="AF122" s="13"/>
    </row>
    <row r="123" spans="31:32" x14ac:dyDescent="0.25">
      <c r="AE123" s="8"/>
      <c r="AF123" s="13"/>
    </row>
    <row r="124" spans="31:32" x14ac:dyDescent="0.25">
      <c r="AE124" s="8"/>
      <c r="AF124" s="13"/>
    </row>
    <row r="125" spans="31:32" x14ac:dyDescent="0.25">
      <c r="AE125" s="8"/>
      <c r="AF125" s="13"/>
    </row>
    <row r="126" spans="31:32" x14ac:dyDescent="0.25">
      <c r="AE126" s="8"/>
      <c r="AF126" s="13"/>
    </row>
    <row r="127" spans="31:32" x14ac:dyDescent="0.25">
      <c r="AE127" s="8"/>
      <c r="AF127" s="13"/>
    </row>
    <row r="128" spans="31:32" x14ac:dyDescent="0.25">
      <c r="AE128" s="8"/>
      <c r="AF128" s="13"/>
    </row>
    <row r="129" spans="31:32" x14ac:dyDescent="0.25">
      <c r="AE129" s="8"/>
      <c r="AF129" s="13"/>
    </row>
    <row r="130" spans="31:32" x14ac:dyDescent="0.25">
      <c r="AE130" s="8"/>
      <c r="AF130" s="13"/>
    </row>
    <row r="131" spans="31:32" x14ac:dyDescent="0.25">
      <c r="AE131" s="8"/>
      <c r="AF131" s="13"/>
    </row>
    <row r="132" spans="31:32" x14ac:dyDescent="0.25">
      <c r="AE132" s="8"/>
      <c r="AF132" s="13"/>
    </row>
    <row r="133" spans="31:32" x14ac:dyDescent="0.25">
      <c r="AE133" s="8"/>
      <c r="AF133" s="13"/>
    </row>
    <row r="134" spans="31:32" x14ac:dyDescent="0.25">
      <c r="AE134" s="8"/>
      <c r="AF134" s="13"/>
    </row>
    <row r="135" spans="31:32" x14ac:dyDescent="0.25">
      <c r="AE135" s="8"/>
      <c r="AF135" s="13"/>
    </row>
    <row r="136" spans="31:32" x14ac:dyDescent="0.25">
      <c r="AE136" s="8"/>
      <c r="AF136" s="13"/>
    </row>
    <row r="137" spans="31:32" x14ac:dyDescent="0.25">
      <c r="AE137" s="8"/>
      <c r="AF137" s="13"/>
    </row>
    <row r="138" spans="31:32" x14ac:dyDescent="0.25">
      <c r="AE138" s="8"/>
      <c r="AF138" s="13"/>
    </row>
    <row r="139" spans="31:32" x14ac:dyDescent="0.25">
      <c r="AE139" s="8"/>
      <c r="AF139" s="13"/>
    </row>
    <row r="140" spans="31:32" x14ac:dyDescent="0.25">
      <c r="AE140" s="8"/>
      <c r="AF140" s="13"/>
    </row>
    <row r="141" spans="31:32" x14ac:dyDescent="0.25">
      <c r="AE141" s="8"/>
      <c r="AF141" s="13"/>
    </row>
    <row r="142" spans="31:32" x14ac:dyDescent="0.25">
      <c r="AE142" s="8"/>
      <c r="AF142" s="13"/>
    </row>
    <row r="143" spans="31:32" x14ac:dyDescent="0.25">
      <c r="AE143" s="8"/>
      <c r="AF143" s="13"/>
    </row>
    <row r="144" spans="31:32" x14ac:dyDescent="0.25">
      <c r="AE144" s="8"/>
      <c r="AF144" s="13"/>
    </row>
    <row r="145" spans="31:32" x14ac:dyDescent="0.25">
      <c r="AE145" s="8"/>
      <c r="AF145" s="13"/>
    </row>
    <row r="146" spans="31:32" x14ac:dyDescent="0.25">
      <c r="AE146" s="8"/>
      <c r="AF146" s="13"/>
    </row>
    <row r="147" spans="31:32" x14ac:dyDescent="0.25">
      <c r="AE147" s="8"/>
      <c r="AF147" s="13"/>
    </row>
    <row r="148" spans="31:32" x14ac:dyDescent="0.25">
      <c r="AE148" s="8"/>
      <c r="AF148" s="13"/>
    </row>
    <row r="149" spans="31:32" x14ac:dyDescent="0.25">
      <c r="AE149" s="8"/>
      <c r="AF149" s="13"/>
    </row>
    <row r="150" spans="31:32" x14ac:dyDescent="0.25">
      <c r="AE150" s="8"/>
      <c r="AF150" s="13"/>
    </row>
    <row r="151" spans="31:32" x14ac:dyDescent="0.25">
      <c r="AE151" s="8"/>
      <c r="AF151" s="13"/>
    </row>
    <row r="152" spans="31:32" x14ac:dyDescent="0.25">
      <c r="AE152" s="8"/>
      <c r="AF152" s="13"/>
    </row>
    <row r="153" spans="31:32" x14ac:dyDescent="0.25">
      <c r="AE153" s="8"/>
      <c r="AF153" s="13"/>
    </row>
    <row r="154" spans="31:32" x14ac:dyDescent="0.25">
      <c r="AE154" s="8"/>
      <c r="AF154" s="13"/>
    </row>
    <row r="155" spans="31:32" x14ac:dyDescent="0.25">
      <c r="AE155" s="8"/>
      <c r="AF155" s="13"/>
    </row>
    <row r="156" spans="31:32" x14ac:dyDescent="0.25">
      <c r="AE156" s="8"/>
      <c r="AF156" s="13"/>
    </row>
    <row r="157" spans="31:32" x14ac:dyDescent="0.25">
      <c r="AE157" s="8"/>
      <c r="AF157" s="13"/>
    </row>
    <row r="158" spans="31:32" x14ac:dyDescent="0.25">
      <c r="AE158" s="8"/>
      <c r="AF158" s="13"/>
    </row>
    <row r="159" spans="31:32" x14ac:dyDescent="0.25">
      <c r="AE159" s="8"/>
      <c r="AF159" s="13"/>
    </row>
    <row r="160" spans="31:32" x14ac:dyDescent="0.25">
      <c r="AE160" s="8"/>
      <c r="AF160" s="13"/>
    </row>
    <row r="161" spans="31:32" x14ac:dyDescent="0.25">
      <c r="AE161" s="8"/>
      <c r="AF161" s="13"/>
    </row>
    <row r="162" spans="31:32" x14ac:dyDescent="0.25">
      <c r="AE162" s="8"/>
      <c r="AF162" s="13"/>
    </row>
    <row r="163" spans="31:32" x14ac:dyDescent="0.25">
      <c r="AE163" s="8"/>
      <c r="AF163" s="13"/>
    </row>
  </sheetData>
  <hyperlinks>
    <hyperlink ref="G2" r:id="rId1" xr:uid="{6AF47BCF-D4F5-4487-A94A-822E3E3196C5}"/>
    <hyperlink ref="G4" r:id="rId2" xr:uid="{C1EF874C-62FA-46D0-A9C1-9CF864673AE4}"/>
    <hyperlink ref="G5" r:id="rId3" xr:uid="{51F4DFF9-ABE2-4550-9F8F-59AB8BB61B07}"/>
    <hyperlink ref="G47" r:id="rId4" location="tableWrap" xr:uid="{2F5759C6-DFFA-4E65-BE10-63EBF9F46749}"/>
    <hyperlink ref="G7" r:id="rId5" xr:uid="{D7995DB1-1250-432A-9F27-652F4587D862}"/>
    <hyperlink ref="G15" r:id="rId6" xr:uid="{3FE34E01-9DD9-4CF8-8C43-05B02C1C94B7}"/>
    <hyperlink ref="G35" r:id="rId7" xr:uid="{E532265E-92A6-46D1-BE1D-8CB2281D1F89}"/>
    <hyperlink ref="G50" r:id="rId8" xr:uid="{7E0E972E-079F-4E38-A172-075C2B70D178}"/>
    <hyperlink ref="G3" r:id="rId9" xr:uid="{15457883-3CDB-4C26-9831-F38FC5829578}"/>
    <hyperlink ref="G27" r:id="rId10" xr:uid="{93496D64-29F0-47EE-A423-AF3869C86DE2}"/>
    <hyperlink ref="G46" r:id="rId11" xr:uid="{5AF632AE-BA7C-4678-9474-E84DA0642BAA}"/>
    <hyperlink ref="G14" r:id="rId12" xr:uid="{32C14DA9-F5BC-42A2-A687-E0BB12A2D609}"/>
    <hyperlink ref="G29" r:id="rId13" xr:uid="{099A90A8-94AD-4569-8CF7-0CA8B1A55121}"/>
    <hyperlink ref="G6" r:id="rId14" xr:uid="{A383851D-6E78-4578-A903-BFA8E6906E8A}"/>
    <hyperlink ref="G44" r:id="rId15" xr:uid="{2EA08BEA-48B6-4C93-846C-C9A2BA6BE7BC}"/>
    <hyperlink ref="G20" r:id="rId16" xr:uid="{C7CD80BE-AFFD-41A7-8C11-4F9EB499221D}"/>
    <hyperlink ref="G36" r:id="rId17" xr:uid="{D0CFFE48-E65D-4978-A617-D723E2440184}"/>
    <hyperlink ref="G28" r:id="rId18" xr:uid="{179588EE-9BCB-4EB5-A4F3-2C74F199E62B}"/>
    <hyperlink ref="G34" r:id="rId19" xr:uid="{C012EE1E-1D01-4395-A217-7526B493D90B}"/>
    <hyperlink ref="G32" r:id="rId20" xr:uid="{98101015-3BB1-414B-9DE9-B9BC07874CFF}"/>
    <hyperlink ref="G30" r:id="rId21" xr:uid="{4F2C8289-10D3-4C84-88CF-8894565CEAB7}"/>
    <hyperlink ref="G37" r:id="rId22" xr:uid="{F8D35E2C-5612-4B48-87C6-CE1F0F5EBBBF}"/>
    <hyperlink ref="G41" r:id="rId23" xr:uid="{2185EF58-7FEF-4C9D-877C-783F25A077B4}"/>
    <hyperlink ref="G52" r:id="rId24" xr:uid="{51A7C6AC-6FBD-41BA-8C9C-219F6DFC589C}"/>
    <hyperlink ref="G43" r:id="rId25" xr:uid="{5ED11A4D-F403-44DC-A2AF-3F1C04F7BB7B}"/>
    <hyperlink ref="G38" r:id="rId26" xr:uid="{8ABC7071-75EB-4911-B04E-C31311EFAC33}"/>
    <hyperlink ref="G18" r:id="rId27" xr:uid="{9641D813-C267-475F-BB01-B06D2882B3B9}"/>
    <hyperlink ref="G25" r:id="rId28" xr:uid="{2D323577-5E48-469E-960D-2075FC9ED64C}"/>
    <hyperlink ref="G39" r:id="rId29" xr:uid="{93826D59-92DB-4732-A32A-50113177A558}"/>
    <hyperlink ref="G53" r:id="rId30" xr:uid="{9FD73749-9CC1-4B8B-9B86-965948A19239}"/>
    <hyperlink ref="G26" r:id="rId31" xr:uid="{1576FE63-A6EB-4FD8-AED9-290BF9B142B8}"/>
    <hyperlink ref="G49" r:id="rId32" xr:uid="{3C9C5299-27F6-43BE-A9D8-961D9761CD61}"/>
    <hyperlink ref="G24" r:id="rId33" xr:uid="{9A7A9CF7-07CA-4CB4-906D-7B10D81C9336}"/>
    <hyperlink ref="G33" r:id="rId34" xr:uid="{D2E70332-6948-4F42-AB2D-04AEC35A16CF}"/>
    <hyperlink ref="G12" r:id="rId35" xr:uid="{DA72CD8E-90A9-4884-B41B-0CFE7D99887B}"/>
    <hyperlink ref="G10" r:id="rId36" xr:uid="{2CFE1E65-C65C-420D-803A-E9BA2764C4BA}"/>
    <hyperlink ref="G51" r:id="rId37" xr:uid="{F35F5160-43C4-4DBD-8B49-2A7F90C4AF82}"/>
    <hyperlink ref="G19" r:id="rId38" xr:uid="{190BF8B9-F451-4766-9015-63FB76D2C19F}"/>
    <hyperlink ref="G40" r:id="rId39" xr:uid="{D4E591CD-2610-4C5A-BB95-E796DEE0F7A4}"/>
    <hyperlink ref="G8" r:id="rId40" xr:uid="{B7D6E649-76C4-4DD6-86E8-5C6BC160373B}"/>
    <hyperlink ref="G48" r:id="rId41" xr:uid="{C3A3831A-07FF-4C5B-88CA-595A633662EF}"/>
    <hyperlink ref="G13" r:id="rId42" xr:uid="{2F24624C-97BA-488C-99D2-86A9259B0E93}"/>
    <hyperlink ref="G9" r:id="rId43" xr:uid="{D7604403-04C1-46D7-A732-66F64F549E98}"/>
    <hyperlink ref="G16" r:id="rId44" xr:uid="{E9D85BBA-1CC9-4F98-B7A1-84481F0BF3F9}"/>
    <hyperlink ref="G11" r:id="rId45" xr:uid="{CE30D8A5-4361-4534-A256-F6560C5A5577}"/>
    <hyperlink ref="G17" r:id="rId46" xr:uid="{57565AA0-69A1-45C1-971E-3FE7AD40321D}"/>
    <hyperlink ref="G23" r:id="rId47" xr:uid="{183E7377-981D-48F4-9B1C-D4C13DDD6146}"/>
    <hyperlink ref="G42" r:id="rId48" xr:uid="{14FB6AD0-A572-4A75-A382-D6BA02CCC6AA}"/>
    <hyperlink ref="G31" r:id="rId49" xr:uid="{0455663A-D08E-46F8-AE78-81DD51BE3F2E}"/>
  </hyperlinks>
  <pageMargins left="0.7" right="0.7" top="0.75" bottom="0.75" header="0.3" footer="0.3"/>
  <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13E5-5D80-43CB-BF4E-6BFBE4207054}">
  <dimension ref="A1:F18"/>
  <sheetViews>
    <sheetView topLeftCell="B1" zoomScale="190" zoomScaleNormal="190" workbookViewId="0">
      <selection activeCell="F12" sqref="F12"/>
    </sheetView>
  </sheetViews>
  <sheetFormatPr defaultRowHeight="15" x14ac:dyDescent="0.25"/>
  <cols>
    <col min="1" max="1" width="12" customWidth="1"/>
    <col min="2" max="2" width="14.5703125" customWidth="1"/>
    <col min="3" max="3" width="24.5703125" customWidth="1"/>
    <col min="4" max="5" width="10.140625" customWidth="1"/>
    <col min="6" max="6" width="54" bestFit="1" customWidth="1"/>
  </cols>
  <sheetData>
    <row r="1" spans="1:6" x14ac:dyDescent="0.25">
      <c r="A1" s="11" t="s">
        <v>0</v>
      </c>
      <c r="B1" s="10" t="s">
        <v>85</v>
      </c>
      <c r="C1" s="10" t="s">
        <v>360</v>
      </c>
      <c r="D1" s="12" t="s">
        <v>361</v>
      </c>
      <c r="E1" s="12" t="s">
        <v>1</v>
      </c>
      <c r="F1" s="12" t="s">
        <v>2</v>
      </c>
    </row>
    <row r="2" spans="1:6" x14ac:dyDescent="0.25">
      <c r="A2" t="s">
        <v>366</v>
      </c>
      <c r="B2" t="s">
        <v>366</v>
      </c>
      <c r="C2" s="6">
        <v>0.67</v>
      </c>
      <c r="D2" t="s">
        <v>363</v>
      </c>
      <c r="F2" s="2" t="s">
        <v>362</v>
      </c>
    </row>
    <row r="3" spans="1:6" x14ac:dyDescent="0.25">
      <c r="A3" t="s">
        <v>366</v>
      </c>
      <c r="B3" t="s">
        <v>366</v>
      </c>
      <c r="C3" s="6">
        <v>0.75</v>
      </c>
      <c r="D3" t="s">
        <v>363</v>
      </c>
      <c r="F3" s="2" t="s">
        <v>367</v>
      </c>
    </row>
    <row r="4" spans="1:6" x14ac:dyDescent="0.25">
      <c r="A4" t="s">
        <v>366</v>
      </c>
      <c r="B4" t="s">
        <v>366</v>
      </c>
      <c r="C4" s="6">
        <v>0.67</v>
      </c>
      <c r="D4" t="s">
        <v>363</v>
      </c>
      <c r="F4" s="2" t="s">
        <v>385</v>
      </c>
    </row>
    <row r="5" spans="1:6" x14ac:dyDescent="0.25">
      <c r="A5" t="s">
        <v>387</v>
      </c>
      <c r="B5" t="s">
        <v>102</v>
      </c>
      <c r="C5" s="6">
        <v>0.3</v>
      </c>
      <c r="D5" t="s">
        <v>371</v>
      </c>
      <c r="F5" t="s">
        <v>386</v>
      </c>
    </row>
    <row r="6" spans="1:6" x14ac:dyDescent="0.25">
      <c r="F6" s="2" t="s">
        <v>388</v>
      </c>
    </row>
    <row r="7" spans="1:6" x14ac:dyDescent="0.25">
      <c r="A7" t="s">
        <v>391</v>
      </c>
      <c r="B7" t="s">
        <v>393</v>
      </c>
      <c r="C7" s="6">
        <v>0.7</v>
      </c>
      <c r="D7" t="s">
        <v>390</v>
      </c>
      <c r="F7" s="2" t="s">
        <v>389</v>
      </c>
    </row>
    <row r="8" spans="1:6" x14ac:dyDescent="0.25">
      <c r="A8" t="s">
        <v>392</v>
      </c>
      <c r="B8" t="s">
        <v>393</v>
      </c>
      <c r="C8" s="6">
        <v>0.6</v>
      </c>
      <c r="D8" t="s">
        <v>390</v>
      </c>
      <c r="F8" t="s">
        <v>389</v>
      </c>
    </row>
    <row r="9" spans="1:6" x14ac:dyDescent="0.25">
      <c r="A9" t="s">
        <v>394</v>
      </c>
      <c r="B9" t="s">
        <v>393</v>
      </c>
      <c r="C9" s="6">
        <v>0.57999999999999996</v>
      </c>
      <c r="D9" t="s">
        <v>390</v>
      </c>
      <c r="F9" t="s">
        <v>389</v>
      </c>
    </row>
    <row r="10" spans="1:6" x14ac:dyDescent="0.25">
      <c r="A10" t="s">
        <v>395</v>
      </c>
      <c r="B10" t="s">
        <v>121</v>
      </c>
      <c r="C10" s="6">
        <v>0.91</v>
      </c>
      <c r="D10" t="s">
        <v>390</v>
      </c>
      <c r="F10" t="s">
        <v>389</v>
      </c>
    </row>
    <row r="11" spans="1:6" x14ac:dyDescent="0.25">
      <c r="A11" t="s">
        <v>396</v>
      </c>
      <c r="B11" t="s">
        <v>121</v>
      </c>
      <c r="C11" s="6">
        <v>0.64</v>
      </c>
      <c r="D11" t="s">
        <v>390</v>
      </c>
      <c r="F11" t="s">
        <v>389</v>
      </c>
    </row>
    <row r="12" spans="1:6" x14ac:dyDescent="0.25">
      <c r="A12" t="s">
        <v>395</v>
      </c>
      <c r="B12" t="s">
        <v>121</v>
      </c>
      <c r="C12" s="6">
        <v>0.68</v>
      </c>
      <c r="D12" t="s">
        <v>398</v>
      </c>
      <c r="F12" s="2" t="s">
        <v>397</v>
      </c>
    </row>
    <row r="13" spans="1:6" x14ac:dyDescent="0.25">
      <c r="A13" t="s">
        <v>399</v>
      </c>
      <c r="B13" t="s">
        <v>121</v>
      </c>
      <c r="C13" s="6">
        <v>1</v>
      </c>
      <c r="D13" t="s">
        <v>398</v>
      </c>
      <c r="F13" t="s">
        <v>397</v>
      </c>
    </row>
    <row r="14" spans="1:6" x14ac:dyDescent="0.25">
      <c r="A14" t="s">
        <v>400</v>
      </c>
      <c r="B14" t="s">
        <v>121</v>
      </c>
      <c r="C14" s="6">
        <v>1</v>
      </c>
      <c r="D14" t="s">
        <v>398</v>
      </c>
      <c r="F14" t="s">
        <v>397</v>
      </c>
    </row>
    <row r="15" spans="1:6" x14ac:dyDescent="0.25">
      <c r="A15" t="s">
        <v>401</v>
      </c>
      <c r="B15" t="s">
        <v>121</v>
      </c>
      <c r="C15" s="6">
        <v>1</v>
      </c>
      <c r="D15" t="s">
        <v>398</v>
      </c>
      <c r="F15" t="s">
        <v>397</v>
      </c>
    </row>
    <row r="16" spans="1:6" x14ac:dyDescent="0.25">
      <c r="A16" t="s">
        <v>366</v>
      </c>
      <c r="B16" t="s">
        <v>366</v>
      </c>
      <c r="C16" s="6">
        <v>0.77300000000000002</v>
      </c>
      <c r="D16" t="s">
        <v>10</v>
      </c>
      <c r="F16" t="s">
        <v>402</v>
      </c>
    </row>
    <row r="17" spans="1:6" x14ac:dyDescent="0.25">
      <c r="A17" t="s">
        <v>404</v>
      </c>
      <c r="B17" t="s">
        <v>405</v>
      </c>
      <c r="C17" s="7">
        <v>0.752</v>
      </c>
      <c r="D17" t="s">
        <v>406</v>
      </c>
      <c r="F17" t="s">
        <v>403</v>
      </c>
    </row>
    <row r="18" spans="1:6" x14ac:dyDescent="0.25">
      <c r="A18" t="s">
        <v>408</v>
      </c>
      <c r="B18" t="s">
        <v>121</v>
      </c>
      <c r="C18" s="6">
        <v>0.77</v>
      </c>
      <c r="D18" t="s">
        <v>409</v>
      </c>
      <c r="F18" t="s">
        <v>407</v>
      </c>
    </row>
  </sheetData>
  <hyperlinks>
    <hyperlink ref="F3" r:id="rId1" xr:uid="{B420FB17-4361-45D7-B47B-0C7D07D3AADB}"/>
    <hyperlink ref="F4" r:id="rId2" xr:uid="{0F4711A9-1219-4AE6-B2AC-DB3CB1F973EF}"/>
    <hyperlink ref="F6" r:id="rId3" xr:uid="{CF967FC0-D853-4ED3-A16E-AEAEDFD5BCAD}"/>
    <hyperlink ref="F2" r:id="rId4" xr:uid="{918CA7CB-07CE-4174-BBAE-FA3CB096D24F}"/>
    <hyperlink ref="F7" r:id="rId5" xr:uid="{463DF5FB-CA50-4020-8673-655B39857AF3}"/>
    <hyperlink ref="F12" r:id="rId6" xr:uid="{53F4BCF1-461B-46C0-BB41-9B6C790FBF8D}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E208-968A-4FD3-B7C9-3FFBE0E3345F}">
  <dimension ref="A1:F3"/>
  <sheetViews>
    <sheetView zoomScale="115" zoomScaleNormal="115" workbookViewId="0">
      <selection activeCell="E31" sqref="E31"/>
    </sheetView>
  </sheetViews>
  <sheetFormatPr defaultRowHeight="15" x14ac:dyDescent="0.25"/>
  <cols>
    <col min="1" max="1" width="12" customWidth="1"/>
    <col min="2" max="2" width="14.5703125" customWidth="1"/>
    <col min="3" max="3" width="24.5703125" customWidth="1"/>
    <col min="4" max="5" width="10.140625" customWidth="1"/>
    <col min="6" max="6" width="54" bestFit="1" customWidth="1"/>
  </cols>
  <sheetData>
    <row r="1" spans="1:6" x14ac:dyDescent="0.25">
      <c r="A1" s="11" t="s">
        <v>0</v>
      </c>
      <c r="B1" s="10" t="s">
        <v>85</v>
      </c>
      <c r="C1" s="10" t="s">
        <v>360</v>
      </c>
      <c r="D1" s="12" t="s">
        <v>361</v>
      </c>
      <c r="E1" s="12" t="s">
        <v>1</v>
      </c>
      <c r="F1" s="12" t="s">
        <v>2</v>
      </c>
    </row>
    <row r="2" spans="1:6" x14ac:dyDescent="0.25">
      <c r="A2" t="s">
        <v>364</v>
      </c>
      <c r="B2" t="s">
        <v>168</v>
      </c>
      <c r="C2" s="6">
        <v>0.18</v>
      </c>
      <c r="D2" t="s">
        <v>363</v>
      </c>
      <c r="F2" s="2" t="s">
        <v>365</v>
      </c>
    </row>
    <row r="3" spans="1:6" x14ac:dyDescent="0.25">
      <c r="A3" t="s">
        <v>289</v>
      </c>
      <c r="B3" t="s">
        <v>168</v>
      </c>
      <c r="C3" s="6">
        <v>0.23</v>
      </c>
      <c r="D3" t="s">
        <v>363</v>
      </c>
      <c r="F3" s="2" t="s">
        <v>365</v>
      </c>
    </row>
  </sheetData>
  <hyperlinks>
    <hyperlink ref="F2" r:id="rId1" xr:uid="{3074ED52-D4F7-4C59-892E-872192E99847}"/>
    <hyperlink ref="F3" r:id="rId2" xr:uid="{400DA64B-DEBF-4009-A7D2-042CB31D87E0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09CF-5461-4978-8AC5-CA059412643D}">
  <dimension ref="A1:F14"/>
  <sheetViews>
    <sheetView tabSelected="1" zoomScale="190" zoomScaleNormal="190" workbookViewId="0">
      <selection activeCell="C17" sqref="C17"/>
    </sheetView>
  </sheetViews>
  <sheetFormatPr defaultRowHeight="15" x14ac:dyDescent="0.25"/>
  <cols>
    <col min="1" max="1" width="12" customWidth="1"/>
    <col min="2" max="2" width="14.5703125" customWidth="1"/>
    <col min="3" max="3" width="24.5703125" customWidth="1"/>
    <col min="4" max="5" width="10.140625" customWidth="1"/>
    <col min="6" max="6" width="54" bestFit="1" customWidth="1"/>
  </cols>
  <sheetData>
    <row r="1" spans="1:6" x14ac:dyDescent="0.25">
      <c r="A1" s="11" t="s">
        <v>0</v>
      </c>
      <c r="B1" s="10" t="s">
        <v>85</v>
      </c>
      <c r="C1" s="10" t="s">
        <v>368</v>
      </c>
      <c r="D1" s="12" t="s">
        <v>361</v>
      </c>
      <c r="E1" s="12" t="s">
        <v>1</v>
      </c>
      <c r="F1" s="12" t="s">
        <v>2</v>
      </c>
    </row>
    <row r="2" spans="1:6" x14ac:dyDescent="0.25">
      <c r="A2" t="s">
        <v>370</v>
      </c>
      <c r="B2" t="s">
        <v>89</v>
      </c>
      <c r="C2" s="6">
        <f>1-0.617</f>
        <v>0.38300000000000001</v>
      </c>
      <c r="D2" t="s">
        <v>371</v>
      </c>
      <c r="F2" s="2" t="s">
        <v>369</v>
      </c>
    </row>
    <row r="3" spans="1:6" x14ac:dyDescent="0.25">
      <c r="A3" t="s">
        <v>370</v>
      </c>
      <c r="B3" t="s">
        <v>89</v>
      </c>
      <c r="C3" s="6">
        <f>1-0.431</f>
        <v>0.56899999999999995</v>
      </c>
      <c r="D3" t="s">
        <v>373</v>
      </c>
      <c r="F3" s="2" t="s">
        <v>369</v>
      </c>
    </row>
    <row r="4" spans="1:6" x14ac:dyDescent="0.25">
      <c r="A4" t="s">
        <v>370</v>
      </c>
      <c r="B4" t="s">
        <v>89</v>
      </c>
      <c r="C4" s="6">
        <f>1-0.582</f>
        <v>0.41800000000000004</v>
      </c>
      <c r="D4" t="s">
        <v>374</v>
      </c>
      <c r="F4" s="2" t="s">
        <v>369</v>
      </c>
    </row>
    <row r="5" spans="1:6" x14ac:dyDescent="0.25">
      <c r="A5" t="s">
        <v>370</v>
      </c>
      <c r="B5" t="s">
        <v>89</v>
      </c>
      <c r="C5" s="6">
        <f>1-0.607</f>
        <v>0.39300000000000002</v>
      </c>
      <c r="D5" t="s">
        <v>363</v>
      </c>
      <c r="F5" s="2" t="s">
        <v>369</v>
      </c>
    </row>
    <row r="6" spans="1:6" x14ac:dyDescent="0.25">
      <c r="A6" t="s">
        <v>370</v>
      </c>
      <c r="B6" t="s">
        <v>89</v>
      </c>
      <c r="C6" s="6">
        <f>1-0.707</f>
        <v>0.29300000000000004</v>
      </c>
      <c r="D6" t="s">
        <v>375</v>
      </c>
      <c r="F6" s="2" t="s">
        <v>369</v>
      </c>
    </row>
    <row r="7" spans="1:6" x14ac:dyDescent="0.25">
      <c r="A7" t="s">
        <v>370</v>
      </c>
      <c r="B7" t="s">
        <v>89</v>
      </c>
      <c r="C7" s="6">
        <f>1-0.932</f>
        <v>6.7999999999999949E-2</v>
      </c>
      <c r="D7" t="s">
        <v>376</v>
      </c>
      <c r="F7" s="2" t="s">
        <v>369</v>
      </c>
    </row>
    <row r="8" spans="1:6" x14ac:dyDescent="0.25">
      <c r="A8" t="s">
        <v>377</v>
      </c>
      <c r="B8" t="s">
        <v>378</v>
      </c>
      <c r="C8" s="6">
        <f>1-83.94%</f>
        <v>0.16060000000000008</v>
      </c>
      <c r="D8" t="s">
        <v>376</v>
      </c>
      <c r="F8" t="s">
        <v>379</v>
      </c>
    </row>
    <row r="9" spans="1:6" x14ac:dyDescent="0.25">
      <c r="A9" t="s">
        <v>377</v>
      </c>
      <c r="B9" t="s">
        <v>378</v>
      </c>
      <c r="C9" s="6">
        <f>1-91.51%</f>
        <v>8.4899999999999975E-2</v>
      </c>
      <c r="D9" t="s">
        <v>380</v>
      </c>
      <c r="F9" t="s">
        <v>379</v>
      </c>
    </row>
    <row r="10" spans="1:6" x14ac:dyDescent="0.25">
      <c r="A10" t="s">
        <v>377</v>
      </c>
      <c r="B10" t="s">
        <v>378</v>
      </c>
      <c r="C10" s="6">
        <f>1-59.09%</f>
        <v>0.40910000000000002</v>
      </c>
      <c r="D10" t="s">
        <v>381</v>
      </c>
      <c r="F10" t="s">
        <v>379</v>
      </c>
    </row>
    <row r="11" spans="1:6" x14ac:dyDescent="0.25">
      <c r="A11" t="s">
        <v>377</v>
      </c>
      <c r="B11" t="s">
        <v>378</v>
      </c>
      <c r="C11" s="6">
        <f>1-67.71%</f>
        <v>0.32290000000000008</v>
      </c>
      <c r="D11" t="s">
        <v>290</v>
      </c>
      <c r="F11" t="s">
        <v>379</v>
      </c>
    </row>
    <row r="12" spans="1:6" x14ac:dyDescent="0.25">
      <c r="A12" t="s">
        <v>377</v>
      </c>
      <c r="B12" t="s">
        <v>378</v>
      </c>
      <c r="C12" s="6">
        <f>1-61.92%</f>
        <v>0.38080000000000003</v>
      </c>
      <c r="D12" t="s">
        <v>19</v>
      </c>
      <c r="F12" t="s">
        <v>379</v>
      </c>
    </row>
    <row r="13" spans="1:6" x14ac:dyDescent="0.25">
      <c r="A13" t="s">
        <v>377</v>
      </c>
      <c r="B13" t="s">
        <v>378</v>
      </c>
      <c r="C13" s="6">
        <f>1-74.95%</f>
        <v>0.25049999999999994</v>
      </c>
      <c r="D13" t="s">
        <v>382</v>
      </c>
      <c r="F13" t="s">
        <v>379</v>
      </c>
    </row>
    <row r="14" spans="1:6" x14ac:dyDescent="0.25">
      <c r="A14" t="s">
        <v>383</v>
      </c>
      <c r="B14" t="s">
        <v>102</v>
      </c>
      <c r="C14" s="6">
        <f>1-28.6%</f>
        <v>0.71399999999999997</v>
      </c>
      <c r="D14" t="s">
        <v>371</v>
      </c>
      <c r="F14" t="s">
        <v>384</v>
      </c>
    </row>
  </sheetData>
  <hyperlinks>
    <hyperlink ref="F2" r:id="rId1" xr:uid="{37D7B05B-99F9-4D3C-9319-91167AE81A00}"/>
    <hyperlink ref="F3" r:id="rId2" xr:uid="{03AE718C-DFD4-4717-A879-2837AAEE7DE6}"/>
    <hyperlink ref="F4" r:id="rId3" xr:uid="{EBA0AC91-E729-4B27-BBBA-4F8F0010BBF8}"/>
    <hyperlink ref="F5" r:id="rId4" xr:uid="{4381D3B9-707B-4827-A19E-93F94016352E}"/>
    <hyperlink ref="F6" r:id="rId5" xr:uid="{A667E976-197E-4EDE-8937-6F6C2A0D089D}"/>
    <hyperlink ref="F7" r:id="rId6" xr:uid="{8A6B260D-4E1D-4226-9159-C6B7E97EB1C2}"/>
  </hyperlinks>
  <pageMargins left="0.7" right="0.7" top="0.75" bottom="0.75" header="0.3" footer="0.3"/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B8AE-C4E8-48B1-8A7A-6160AF2EA241}">
  <dimension ref="B2:B5"/>
  <sheetViews>
    <sheetView workbookViewId="0">
      <selection activeCell="B12" sqref="B12"/>
    </sheetView>
  </sheetViews>
  <sheetFormatPr defaultRowHeight="15" x14ac:dyDescent="0.25"/>
  <sheetData>
    <row r="2" spans="2:2" x14ac:dyDescent="0.25">
      <c r="B2" t="s">
        <v>130</v>
      </c>
    </row>
    <row r="3" spans="2:2" x14ac:dyDescent="0.25">
      <c r="B3" s="4" t="s">
        <v>129</v>
      </c>
    </row>
    <row r="4" spans="2:2" x14ac:dyDescent="0.25">
      <c r="B4" s="4"/>
    </row>
    <row r="5" spans="2:2" x14ac:dyDescent="0.25">
      <c r="B5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time to Dx</vt:lpstr>
      <vt:lpstr>Time to Dx vs. mortality</vt:lpstr>
      <vt:lpstr>Treatment seeking rates</vt:lpstr>
      <vt:lpstr>Treatment rates</vt:lpstr>
      <vt:lpstr>p(Dx+)</vt:lpstr>
      <vt:lpstr>Search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Telford</dc:creator>
  <cp:lastModifiedBy>Alex Telford</cp:lastModifiedBy>
  <dcterms:created xsi:type="dcterms:W3CDTF">2021-10-23T15:47:30Z</dcterms:created>
  <dcterms:modified xsi:type="dcterms:W3CDTF">2021-12-18T16:37:48Z</dcterms:modified>
</cp:coreProperties>
</file>