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OpenSCAD/libraries/threadlib/"/>
    </mc:Choice>
  </mc:AlternateContent>
  <xr:revisionPtr revIDLastSave="0" documentId="13_ncr:1_{45D69196-A20A-D44C-9691-B365CA9D6B39}" xr6:coauthVersionLast="43" xr6:coauthVersionMax="43" xr10:uidLastSave="{00000000-0000-0000-0000-000000000000}"/>
  <bookViews>
    <workbookView xWindow="16260" yWindow="460" windowWidth="22140" windowHeight="21140" activeTab="1" xr2:uid="{46C58C85-D7E3-B144-AD74-40B7546B4D31}"/>
  </bookViews>
  <sheets>
    <sheet name="BSPP thread" sheetId="1" r:id="rId1"/>
    <sheet name="THREAD_TABLE" sheetId="3" r:id="rId2"/>
    <sheet name="meta" sheetId="2" r:id="rId3"/>
  </sheets>
  <definedNames>
    <definedName name="cexternal">'BSPP thread'!$Y$1</definedName>
    <definedName name="cinternal">'BSPP thread'!$R$1</definedName>
    <definedName name="deg">meta!$B$2</definedName>
    <definedName name="phi">meta!$B$3</definedName>
    <definedName name="solver_adj" localSheetId="0" hidden="1">'BSPP thread'!$Y$1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'BSPP thread'!$Y$1</definedName>
    <definedName name="solver_lhs2" localSheetId="0" hidden="1">'BSPP thread'!$Y$1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'BSPP thread'!$Y$27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0.5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2" i="3" l="1"/>
  <c r="L52" i="3" s="1"/>
  <c r="I52" i="3"/>
  <c r="K52" i="3"/>
  <c r="H52" i="3"/>
  <c r="C52" i="3"/>
  <c r="D52" i="3"/>
  <c r="L51" i="3" l="1"/>
  <c r="J51" i="3"/>
  <c r="F51" i="3"/>
  <c r="K51" i="3" l="1"/>
  <c r="B50" i="3" l="1"/>
  <c r="J50" i="3" s="1"/>
  <c r="L50" i="3" s="1"/>
  <c r="A50" i="3"/>
  <c r="B49" i="3"/>
  <c r="C49" i="3" s="1"/>
  <c r="A49" i="3"/>
  <c r="B48" i="3"/>
  <c r="J48" i="3" s="1"/>
  <c r="L48" i="3" s="1"/>
  <c r="A48" i="3"/>
  <c r="B47" i="3"/>
  <c r="C47" i="3" s="1"/>
  <c r="A47" i="3"/>
  <c r="B46" i="3"/>
  <c r="J46" i="3" s="1"/>
  <c r="L46" i="3" s="1"/>
  <c r="A46" i="3"/>
  <c r="B45" i="3"/>
  <c r="J45" i="3" s="1"/>
  <c r="L45" i="3" s="1"/>
  <c r="A45" i="3"/>
  <c r="B44" i="3"/>
  <c r="J44" i="3" s="1"/>
  <c r="L44" i="3" s="1"/>
  <c r="A44" i="3"/>
  <c r="B43" i="3"/>
  <c r="J43" i="3" s="1"/>
  <c r="L43" i="3" s="1"/>
  <c r="A43" i="3"/>
  <c r="B42" i="3"/>
  <c r="J42" i="3" s="1"/>
  <c r="L42" i="3" s="1"/>
  <c r="A42" i="3"/>
  <c r="B41" i="3"/>
  <c r="J41" i="3" s="1"/>
  <c r="L41" i="3" s="1"/>
  <c r="A41" i="3"/>
  <c r="B40" i="3"/>
  <c r="J40" i="3" s="1"/>
  <c r="L40" i="3" s="1"/>
  <c r="A40" i="3"/>
  <c r="B39" i="3"/>
  <c r="J39" i="3" s="1"/>
  <c r="L39" i="3" s="1"/>
  <c r="A39" i="3"/>
  <c r="B38" i="3"/>
  <c r="J38" i="3" s="1"/>
  <c r="L38" i="3" s="1"/>
  <c r="A38" i="3"/>
  <c r="B37" i="3"/>
  <c r="J37" i="3" s="1"/>
  <c r="L37" i="3" s="1"/>
  <c r="A37" i="3"/>
  <c r="B36" i="3"/>
  <c r="J36" i="3" s="1"/>
  <c r="L36" i="3" s="1"/>
  <c r="A36" i="3"/>
  <c r="B35" i="3"/>
  <c r="J35" i="3" s="1"/>
  <c r="L35" i="3" s="1"/>
  <c r="A35" i="3"/>
  <c r="B34" i="3"/>
  <c r="J34" i="3" s="1"/>
  <c r="L34" i="3" s="1"/>
  <c r="A34" i="3"/>
  <c r="B33" i="3"/>
  <c r="D33" i="3" s="1"/>
  <c r="A33" i="3"/>
  <c r="B32" i="3"/>
  <c r="C32" i="3" s="1"/>
  <c r="A32" i="3"/>
  <c r="B31" i="3"/>
  <c r="J31" i="3" s="1"/>
  <c r="L31" i="3" s="1"/>
  <c r="A31" i="3"/>
  <c r="B30" i="3"/>
  <c r="C30" i="3" s="1"/>
  <c r="A30" i="3"/>
  <c r="B29" i="3"/>
  <c r="D29" i="3" s="1"/>
  <c r="A29" i="3"/>
  <c r="B28" i="3"/>
  <c r="J28" i="3" s="1"/>
  <c r="L28" i="3" s="1"/>
  <c r="A28" i="3"/>
  <c r="I27" i="3"/>
  <c r="C27" i="3"/>
  <c r="E27" i="3" s="1"/>
  <c r="G27" i="3" s="1"/>
  <c r="F27" i="3"/>
  <c r="D27" i="3"/>
  <c r="B26" i="3"/>
  <c r="D26" i="3" s="1"/>
  <c r="A26" i="3"/>
  <c r="B25" i="3"/>
  <c r="J25" i="3" s="1"/>
  <c r="L25" i="3" s="1"/>
  <c r="A25" i="3"/>
  <c r="B24" i="3"/>
  <c r="C24" i="3" s="1"/>
  <c r="A24" i="3"/>
  <c r="B23" i="3"/>
  <c r="J23" i="3" s="1"/>
  <c r="L23" i="3" s="1"/>
  <c r="A23" i="3"/>
  <c r="B22" i="3"/>
  <c r="C22" i="3" s="1"/>
  <c r="A22" i="3"/>
  <c r="B21" i="3"/>
  <c r="F21" i="3" s="1"/>
  <c r="H21" i="3" s="1"/>
  <c r="A21" i="3"/>
  <c r="B20" i="3"/>
  <c r="J20" i="3" s="1"/>
  <c r="L20" i="3" s="1"/>
  <c r="A20" i="3"/>
  <c r="B19" i="3"/>
  <c r="J19" i="3" s="1"/>
  <c r="L19" i="3" s="1"/>
  <c r="A19" i="3"/>
  <c r="B18" i="3"/>
  <c r="D18" i="3" s="1"/>
  <c r="A18" i="3"/>
  <c r="B17" i="3"/>
  <c r="F17" i="3" s="1"/>
  <c r="H17" i="3" s="1"/>
  <c r="A17" i="3"/>
  <c r="B16" i="3"/>
  <c r="A16" i="3"/>
  <c r="B15" i="3"/>
  <c r="C15" i="3" s="1"/>
  <c r="A15" i="3"/>
  <c r="B14" i="3"/>
  <c r="J14" i="3" s="1"/>
  <c r="L14" i="3" s="1"/>
  <c r="A14" i="3"/>
  <c r="B13" i="3"/>
  <c r="A13" i="3"/>
  <c r="B12" i="3"/>
  <c r="D12" i="3" s="1"/>
  <c r="A12" i="3"/>
  <c r="B11" i="3"/>
  <c r="F11" i="3" s="1"/>
  <c r="H11" i="3" s="1"/>
  <c r="A11" i="3"/>
  <c r="B10" i="3"/>
  <c r="A10" i="3"/>
  <c r="B9" i="3"/>
  <c r="J9" i="3" s="1"/>
  <c r="L9" i="3" s="1"/>
  <c r="A9" i="3"/>
  <c r="B8" i="3"/>
  <c r="C8" i="3" s="1"/>
  <c r="A8" i="3"/>
  <c r="B7" i="3"/>
  <c r="J7" i="3" s="1"/>
  <c r="L7" i="3" s="1"/>
  <c r="A7" i="3"/>
  <c r="B6" i="3"/>
  <c r="A6" i="3"/>
  <c r="B5" i="3"/>
  <c r="F5" i="3" s="1"/>
  <c r="H5" i="3" s="1"/>
  <c r="A5" i="3"/>
  <c r="B4" i="3"/>
  <c r="D4" i="3" s="1"/>
  <c r="A4" i="3"/>
  <c r="I3" i="3"/>
  <c r="C3" i="3"/>
  <c r="E3" i="3" s="1"/>
  <c r="F3" i="3"/>
  <c r="B3" i="3"/>
  <c r="B27" i="3"/>
  <c r="A3" i="3"/>
  <c r="A27" i="3"/>
  <c r="C28" i="3" l="1"/>
  <c r="C33" i="3"/>
  <c r="C37" i="3"/>
  <c r="C39" i="3"/>
  <c r="C41" i="3"/>
  <c r="I41" i="3" s="1"/>
  <c r="K41" i="3" s="1"/>
  <c r="C50" i="3"/>
  <c r="D31" i="3"/>
  <c r="D36" i="3"/>
  <c r="D39" i="3"/>
  <c r="D40" i="3"/>
  <c r="D43" i="3"/>
  <c r="D45" i="3"/>
  <c r="D47" i="3"/>
  <c r="D48" i="3"/>
  <c r="E37" i="3"/>
  <c r="G37" i="3" s="1"/>
  <c r="E39" i="3"/>
  <c r="G39" i="3" s="1"/>
  <c r="E40" i="3"/>
  <c r="G40" i="3" s="1"/>
  <c r="E41" i="3"/>
  <c r="G41" i="3" s="1"/>
  <c r="E42" i="3"/>
  <c r="G42" i="3" s="1"/>
  <c r="E43" i="3"/>
  <c r="G43" i="3" s="1"/>
  <c r="E44" i="3"/>
  <c r="G44" i="3" s="1"/>
  <c r="E47" i="3"/>
  <c r="G47" i="3" s="1"/>
  <c r="E49" i="3"/>
  <c r="G49" i="3" s="1"/>
  <c r="E50" i="3"/>
  <c r="G50" i="3" s="1"/>
  <c r="C29" i="3"/>
  <c r="E29" i="3" s="1"/>
  <c r="G29" i="3" s="1"/>
  <c r="C38" i="3"/>
  <c r="E38" i="3" s="1"/>
  <c r="G38" i="3" s="1"/>
  <c r="C44" i="3"/>
  <c r="I44" i="3" s="1"/>
  <c r="K44" i="3" s="1"/>
  <c r="D30" i="3"/>
  <c r="D37" i="3"/>
  <c r="D41" i="3"/>
  <c r="D50" i="3"/>
  <c r="E28" i="3"/>
  <c r="G28" i="3" s="1"/>
  <c r="E30" i="3"/>
  <c r="G30" i="3" s="1"/>
  <c r="E32" i="3"/>
  <c r="G32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H37" i="3" s="1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H49" i="3" s="1"/>
  <c r="F50" i="3"/>
  <c r="H50" i="3" s="1"/>
  <c r="C35" i="3"/>
  <c r="E35" i="3" s="1"/>
  <c r="G35" i="3" s="1"/>
  <c r="C45" i="3"/>
  <c r="E45" i="3" s="1"/>
  <c r="G45" i="3" s="1"/>
  <c r="D32" i="3"/>
  <c r="D38" i="3"/>
  <c r="D42" i="3"/>
  <c r="D44" i="3"/>
  <c r="D46" i="3"/>
  <c r="D49" i="3"/>
  <c r="E33" i="3"/>
  <c r="G33" i="3" s="1"/>
  <c r="C31" i="3"/>
  <c r="E31" i="3" s="1"/>
  <c r="G31" i="3" s="1"/>
  <c r="C36" i="3"/>
  <c r="E36" i="3" s="1"/>
  <c r="G36" i="3" s="1"/>
  <c r="C40" i="3"/>
  <c r="C42" i="3"/>
  <c r="I42" i="3" s="1"/>
  <c r="K42" i="3" s="1"/>
  <c r="C43" i="3"/>
  <c r="I43" i="3" s="1"/>
  <c r="K43" i="3" s="1"/>
  <c r="C46" i="3"/>
  <c r="E46" i="3" s="1"/>
  <c r="G46" i="3" s="1"/>
  <c r="D28" i="3"/>
  <c r="D35" i="3"/>
  <c r="I28" i="3"/>
  <c r="K28" i="3" s="1"/>
  <c r="I30" i="3"/>
  <c r="K30" i="3" s="1"/>
  <c r="I32" i="3"/>
  <c r="K32" i="3" s="1"/>
  <c r="I33" i="3"/>
  <c r="K33" i="3" s="1"/>
  <c r="I35" i="3"/>
  <c r="K35" i="3" s="1"/>
  <c r="I36" i="3"/>
  <c r="K36" i="3" s="1"/>
  <c r="I37" i="3"/>
  <c r="K37" i="3" s="1"/>
  <c r="I38" i="3"/>
  <c r="K38" i="3" s="1"/>
  <c r="I39" i="3"/>
  <c r="K39" i="3" s="1"/>
  <c r="I40" i="3"/>
  <c r="K40" i="3" s="1"/>
  <c r="I47" i="3"/>
  <c r="K47" i="3" s="1"/>
  <c r="I49" i="3"/>
  <c r="K49" i="3" s="1"/>
  <c r="I50" i="3"/>
  <c r="K50" i="3" s="1"/>
  <c r="C34" i="3"/>
  <c r="E34" i="3" s="1"/>
  <c r="G34" i="3" s="1"/>
  <c r="C48" i="3"/>
  <c r="E48" i="3" s="1"/>
  <c r="G48" i="3" s="1"/>
  <c r="D34" i="3"/>
  <c r="J29" i="3"/>
  <c r="L29" i="3" s="1"/>
  <c r="J30" i="3"/>
  <c r="L30" i="3" s="1"/>
  <c r="J32" i="3"/>
  <c r="L32" i="3" s="1"/>
  <c r="J33" i="3"/>
  <c r="L33" i="3" s="1"/>
  <c r="J47" i="3"/>
  <c r="L47" i="3" s="1"/>
  <c r="J49" i="3"/>
  <c r="L49" i="3" s="1"/>
  <c r="C7" i="3"/>
  <c r="C14" i="3"/>
  <c r="C20" i="3"/>
  <c r="D6" i="3"/>
  <c r="D15" i="3"/>
  <c r="E7" i="3"/>
  <c r="G7" i="3" s="1"/>
  <c r="E8" i="3"/>
  <c r="G8" i="3" s="1"/>
  <c r="E14" i="3"/>
  <c r="G14" i="3" s="1"/>
  <c r="E15" i="3"/>
  <c r="G15" i="3" s="1"/>
  <c r="E18" i="3"/>
  <c r="G18" i="3" s="1"/>
  <c r="E19" i="3"/>
  <c r="G19" i="3" s="1"/>
  <c r="E20" i="3"/>
  <c r="G20" i="3" s="1"/>
  <c r="E22" i="3"/>
  <c r="G22" i="3" s="1"/>
  <c r="E24" i="3"/>
  <c r="G24" i="3" s="1"/>
  <c r="E26" i="3"/>
  <c r="G26" i="3" s="1"/>
  <c r="C5" i="3"/>
  <c r="I5" i="3" s="1"/>
  <c r="K5" i="3" s="1"/>
  <c r="C13" i="3"/>
  <c r="E13" i="3" s="1"/>
  <c r="G13" i="3" s="1"/>
  <c r="C19" i="3"/>
  <c r="D8" i="3"/>
  <c r="D22" i="3"/>
  <c r="F6" i="3"/>
  <c r="H6" i="3" s="1"/>
  <c r="F10" i="3"/>
  <c r="H10" i="3" s="1"/>
  <c r="F12" i="3"/>
  <c r="H12" i="3" s="1"/>
  <c r="F13" i="3"/>
  <c r="H13" i="3" s="1"/>
  <c r="F18" i="3"/>
  <c r="H18" i="3" s="1"/>
  <c r="F20" i="3"/>
  <c r="H20" i="3" s="1"/>
  <c r="F22" i="3"/>
  <c r="H22" i="3" s="1"/>
  <c r="F26" i="3"/>
  <c r="H26" i="3" s="1"/>
  <c r="C9" i="3"/>
  <c r="E9" i="3" s="1"/>
  <c r="G9" i="3" s="1"/>
  <c r="C12" i="3"/>
  <c r="E12" i="3" s="1"/>
  <c r="G12" i="3" s="1"/>
  <c r="C17" i="3"/>
  <c r="I17" i="3" s="1"/>
  <c r="K17" i="3" s="1"/>
  <c r="C21" i="3"/>
  <c r="E21" i="3" s="1"/>
  <c r="G21" i="3" s="1"/>
  <c r="D5" i="3"/>
  <c r="D10" i="3"/>
  <c r="D16" i="3"/>
  <c r="D21" i="3"/>
  <c r="F7" i="3"/>
  <c r="H7" i="3" s="1"/>
  <c r="F16" i="3"/>
  <c r="H16" i="3" s="1"/>
  <c r="F25" i="3"/>
  <c r="H25" i="3" s="1"/>
  <c r="C10" i="3"/>
  <c r="E10" i="3" s="1"/>
  <c r="G10" i="3" s="1"/>
  <c r="C18" i="3"/>
  <c r="C26" i="3"/>
  <c r="D9" i="3"/>
  <c r="D19" i="3"/>
  <c r="D23" i="3"/>
  <c r="F4" i="3"/>
  <c r="H4" i="3" s="1"/>
  <c r="F14" i="3"/>
  <c r="H14" i="3" s="1"/>
  <c r="F23" i="3"/>
  <c r="H23" i="3" s="1"/>
  <c r="C4" i="3"/>
  <c r="E4" i="3" s="1"/>
  <c r="G4" i="3" s="1"/>
  <c r="C23" i="3"/>
  <c r="E23" i="3" s="1"/>
  <c r="G23" i="3" s="1"/>
  <c r="D11" i="3"/>
  <c r="D25" i="3"/>
  <c r="F9" i="3"/>
  <c r="H9" i="3" s="1"/>
  <c r="F15" i="3"/>
  <c r="H15" i="3" s="1"/>
  <c r="F24" i="3"/>
  <c r="H24" i="3" s="1"/>
  <c r="I4" i="3"/>
  <c r="K4" i="3" s="1"/>
  <c r="I7" i="3"/>
  <c r="K7" i="3" s="1"/>
  <c r="I8" i="3"/>
  <c r="K8" i="3" s="1"/>
  <c r="I11" i="3"/>
  <c r="K11" i="3" s="1"/>
  <c r="I13" i="3"/>
  <c r="K13" i="3" s="1"/>
  <c r="I14" i="3"/>
  <c r="K14" i="3" s="1"/>
  <c r="I15" i="3"/>
  <c r="K15" i="3" s="1"/>
  <c r="I16" i="3"/>
  <c r="K16" i="3" s="1"/>
  <c r="I18" i="3"/>
  <c r="K18" i="3" s="1"/>
  <c r="I19" i="3"/>
  <c r="K19" i="3" s="1"/>
  <c r="I20" i="3"/>
  <c r="K20" i="3" s="1"/>
  <c r="I22" i="3"/>
  <c r="K22" i="3" s="1"/>
  <c r="I24" i="3"/>
  <c r="K24" i="3" s="1"/>
  <c r="I25" i="3"/>
  <c r="K25" i="3" s="1"/>
  <c r="I26" i="3"/>
  <c r="K26" i="3" s="1"/>
  <c r="C6" i="3"/>
  <c r="I6" i="3" s="1"/>
  <c r="K6" i="3" s="1"/>
  <c r="C11" i="3"/>
  <c r="E11" i="3" s="1"/>
  <c r="G11" i="3" s="1"/>
  <c r="C16" i="3"/>
  <c r="E16" i="3" s="1"/>
  <c r="G16" i="3" s="1"/>
  <c r="C25" i="3"/>
  <c r="E25" i="3" s="1"/>
  <c r="G25" i="3" s="1"/>
  <c r="D7" i="3"/>
  <c r="D14" i="3"/>
  <c r="D17" i="3"/>
  <c r="D20" i="3"/>
  <c r="F8" i="3"/>
  <c r="H8" i="3" s="1"/>
  <c r="F19" i="3"/>
  <c r="H19" i="3" s="1"/>
  <c r="J4" i="3"/>
  <c r="L4" i="3" s="1"/>
  <c r="J5" i="3"/>
  <c r="L5" i="3" s="1"/>
  <c r="J6" i="3"/>
  <c r="L6" i="3" s="1"/>
  <c r="J8" i="3"/>
  <c r="L8" i="3" s="1"/>
  <c r="J10" i="3"/>
  <c r="L10" i="3" s="1"/>
  <c r="J11" i="3"/>
  <c r="L11" i="3" s="1"/>
  <c r="J12" i="3"/>
  <c r="L12" i="3" s="1"/>
  <c r="J13" i="3"/>
  <c r="L13" i="3" s="1"/>
  <c r="J15" i="3"/>
  <c r="L15" i="3" s="1"/>
  <c r="J16" i="3"/>
  <c r="L16" i="3" s="1"/>
  <c r="J17" i="3"/>
  <c r="L17" i="3" s="1"/>
  <c r="J18" i="3"/>
  <c r="L18" i="3" s="1"/>
  <c r="J21" i="3"/>
  <c r="L21" i="3" s="1"/>
  <c r="J22" i="3"/>
  <c r="L22" i="3" s="1"/>
  <c r="J24" i="3"/>
  <c r="L24" i="3" s="1"/>
  <c r="J26" i="3"/>
  <c r="L26" i="3" s="1"/>
  <c r="D13" i="3"/>
  <c r="D24" i="3"/>
  <c r="G3" i="3"/>
  <c r="K27" i="3"/>
  <c r="D3" i="3"/>
  <c r="J3" i="3"/>
  <c r="H27" i="3"/>
  <c r="K3" i="3"/>
  <c r="H3" i="3"/>
  <c r="J27" i="3"/>
  <c r="L27" i="3" s="1"/>
  <c r="L3" i="3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I34" i="3" l="1"/>
  <c r="K34" i="3" s="1"/>
  <c r="I31" i="3"/>
  <c r="K31" i="3" s="1"/>
  <c r="I46" i="3"/>
  <c r="K46" i="3" s="1"/>
  <c r="I45" i="3"/>
  <c r="K45" i="3" s="1"/>
  <c r="I48" i="3"/>
  <c r="K48" i="3" s="1"/>
  <c r="I29" i="3"/>
  <c r="K29" i="3" s="1"/>
  <c r="E6" i="3"/>
  <c r="G6" i="3" s="1"/>
  <c r="E17" i="3"/>
  <c r="G17" i="3" s="1"/>
  <c r="E5" i="3"/>
  <c r="G5" i="3" s="1"/>
  <c r="I12" i="3"/>
  <c r="K12" i="3" s="1"/>
  <c r="I10" i="3"/>
  <c r="K10" i="3" s="1"/>
  <c r="I21" i="3"/>
  <c r="K21" i="3" s="1"/>
  <c r="I9" i="3"/>
  <c r="K9" i="3" s="1"/>
  <c r="I23" i="3"/>
  <c r="K23" i="3" s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X22" i="1" l="1"/>
  <c r="Y22" i="1" s="1"/>
  <c r="X17" i="1"/>
  <c r="Y17" i="1" s="1"/>
  <c r="X16" i="1"/>
  <c r="Y16" i="1" s="1"/>
  <c r="X14" i="1"/>
  <c r="Y14" i="1" s="1"/>
  <c r="X10" i="1"/>
  <c r="Y10" i="1" s="1"/>
  <c r="X4" i="1"/>
  <c r="Y4" i="1" s="1"/>
  <c r="X26" i="1"/>
  <c r="Y26" i="1" s="1"/>
  <c r="X25" i="1"/>
  <c r="Y25" i="1" s="1"/>
  <c r="X24" i="1"/>
  <c r="Y24" i="1" s="1"/>
  <c r="W23" i="1"/>
  <c r="X21" i="1"/>
  <c r="Y21" i="1" s="1"/>
  <c r="X19" i="1"/>
  <c r="Y19" i="1" s="1"/>
  <c r="X15" i="1"/>
  <c r="Y15" i="1" s="1"/>
  <c r="X13" i="1"/>
  <c r="Y13" i="1" s="1"/>
  <c r="X11" i="1"/>
  <c r="Y11" i="1" s="1"/>
  <c r="X9" i="1"/>
  <c r="Y9" i="1" s="1"/>
  <c r="X8" i="1"/>
  <c r="Y8" i="1" s="1"/>
  <c r="X3" i="1"/>
  <c r="Y3" i="1" s="1"/>
  <c r="M26" i="1"/>
  <c r="M25" i="1"/>
  <c r="R25" i="1" s="1"/>
  <c r="M24" i="1"/>
  <c r="N24" i="1" s="1"/>
  <c r="M23" i="1"/>
  <c r="R23" i="1" s="1"/>
  <c r="M22" i="1"/>
  <c r="R22" i="1" s="1"/>
  <c r="M21" i="1"/>
  <c r="O21" i="1" s="1"/>
  <c r="P21" i="1" s="1"/>
  <c r="M20" i="1"/>
  <c r="M19" i="1"/>
  <c r="N19" i="1" s="1"/>
  <c r="M18" i="1"/>
  <c r="N18" i="1" s="1"/>
  <c r="M17" i="1"/>
  <c r="N17" i="1" s="1"/>
  <c r="M16" i="1"/>
  <c r="O16" i="1" s="1"/>
  <c r="P16" i="1" s="1"/>
  <c r="M15" i="1"/>
  <c r="N15" i="1" s="1"/>
  <c r="M14" i="1"/>
  <c r="M13" i="1"/>
  <c r="O13" i="1" s="1"/>
  <c r="P13" i="1" s="1"/>
  <c r="M12" i="1"/>
  <c r="R12" i="1" s="1"/>
  <c r="M11" i="1"/>
  <c r="M10" i="1"/>
  <c r="R10" i="1" s="1"/>
  <c r="M9" i="1"/>
  <c r="N9" i="1" s="1"/>
  <c r="M8" i="1"/>
  <c r="N8" i="1" s="1"/>
  <c r="M7" i="1"/>
  <c r="M6" i="1"/>
  <c r="O6" i="1" s="1"/>
  <c r="P6" i="1" s="1"/>
  <c r="M5" i="1"/>
  <c r="N5" i="1" s="1"/>
  <c r="M4" i="1"/>
  <c r="N4" i="1" s="1"/>
  <c r="M3" i="1"/>
  <c r="N3" i="1" s="1"/>
  <c r="O26" i="1"/>
  <c r="P26" i="1" s="1"/>
  <c r="O25" i="1"/>
  <c r="P25" i="1" s="1"/>
  <c r="O23" i="1"/>
  <c r="P23" i="1" s="1"/>
  <c r="O22" i="1"/>
  <c r="P22" i="1" s="1"/>
  <c r="O20" i="1"/>
  <c r="P20" i="1" s="1"/>
  <c r="O19" i="1"/>
  <c r="P19" i="1" s="1"/>
  <c r="O18" i="1"/>
  <c r="P18" i="1" s="1"/>
  <c r="O15" i="1"/>
  <c r="P15" i="1" s="1"/>
  <c r="O14" i="1"/>
  <c r="P14" i="1" s="1"/>
  <c r="O11" i="1"/>
  <c r="P11" i="1" s="1"/>
  <c r="O10" i="1"/>
  <c r="P10" i="1" s="1"/>
  <c r="O3" i="1"/>
  <c r="P3" i="1" s="1"/>
  <c r="N6" i="1"/>
  <c r="N7" i="1"/>
  <c r="N11" i="1"/>
  <c r="N13" i="1"/>
  <c r="N14" i="1"/>
  <c r="N20" i="1"/>
  <c r="N21" i="1"/>
  <c r="N22" i="1"/>
  <c r="N23" i="1"/>
  <c r="N26" i="1"/>
  <c r="B2" i="2"/>
  <c r="B3" i="2" s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W16" i="1" l="1"/>
  <c r="W4" i="1"/>
  <c r="W14" i="1"/>
  <c r="W26" i="1"/>
  <c r="R11" i="1"/>
  <c r="R15" i="1"/>
  <c r="R14" i="1"/>
  <c r="R4" i="1"/>
  <c r="R13" i="1"/>
  <c r="W22" i="1"/>
  <c r="W10" i="1"/>
  <c r="R3" i="1"/>
  <c r="R27" i="1" s="1"/>
  <c r="R5" i="1"/>
  <c r="R26" i="1"/>
  <c r="W6" i="1"/>
  <c r="W18" i="1"/>
  <c r="R7" i="1"/>
  <c r="W7" i="1"/>
  <c r="X18" i="1"/>
  <c r="Y18" i="1" s="1"/>
  <c r="R18" i="1"/>
  <c r="X7" i="1"/>
  <c r="Y7" i="1" s="1"/>
  <c r="O8" i="1"/>
  <c r="P8" i="1" s="1"/>
  <c r="W8" i="1"/>
  <c r="W20" i="1"/>
  <c r="X20" i="1"/>
  <c r="Y20" i="1" s="1"/>
  <c r="R6" i="1"/>
  <c r="R19" i="1"/>
  <c r="O9" i="1"/>
  <c r="P9" i="1" s="1"/>
  <c r="W9" i="1"/>
  <c r="W21" i="1"/>
  <c r="X5" i="1"/>
  <c r="Y5" i="1" s="1"/>
  <c r="X6" i="1"/>
  <c r="Y6" i="1" s="1"/>
  <c r="W11" i="1"/>
  <c r="X23" i="1"/>
  <c r="Y23" i="1" s="1"/>
  <c r="W17" i="1"/>
  <c r="O7" i="1"/>
  <c r="P7" i="1" s="1"/>
  <c r="O24" i="1"/>
  <c r="P24" i="1" s="1"/>
  <c r="N12" i="1"/>
  <c r="R8" i="1"/>
  <c r="R21" i="1"/>
  <c r="W12" i="1"/>
  <c r="W24" i="1"/>
  <c r="X12" i="1"/>
  <c r="Y12" i="1" s="1"/>
  <c r="W5" i="1"/>
  <c r="W19" i="1"/>
  <c r="R9" i="1"/>
  <c r="O12" i="1"/>
  <c r="P12" i="1" s="1"/>
  <c r="N25" i="1"/>
  <c r="N10" i="1"/>
  <c r="N27" i="1" s="1"/>
  <c r="W13" i="1"/>
  <c r="W25" i="1"/>
  <c r="R24" i="1"/>
  <c r="W3" i="1"/>
  <c r="W15" i="1"/>
  <c r="O17" i="1"/>
  <c r="P17" i="1" s="1"/>
  <c r="O5" i="1"/>
  <c r="P5" i="1" s="1"/>
  <c r="O4" i="1"/>
  <c r="P4" i="1" s="1"/>
  <c r="R17" i="1"/>
  <c r="N16" i="1"/>
  <c r="R20" i="1"/>
  <c r="R16" i="1"/>
  <c r="Y27" i="1" l="1"/>
  <c r="W27" i="1"/>
  <c r="U27" i="1"/>
  <c r="P27" i="1"/>
</calcChain>
</file>

<file path=xl/sharedStrings.xml><?xml version="1.0" encoding="utf-8"?>
<sst xmlns="http://schemas.openxmlformats.org/spreadsheetml/2006/main" count="78" uniqueCount="63">
  <si>
    <t>Pitch (P)</t>
  </si>
  <si>
    <t>Height of thread</t>
  </si>
  <si>
    <t>1/16</t>
  </si>
  <si>
    <t>1/8</t>
  </si>
  <si>
    <t>1/4</t>
  </si>
  <si>
    <t>3/8</t>
  </si>
  <si>
    <t>1/2</t>
  </si>
  <si>
    <t>5/8</t>
  </si>
  <si>
    <t>3/4</t>
  </si>
  <si>
    <t>7/8</t>
  </si>
  <si>
    <t>1 1/8</t>
  </si>
  <si>
    <t>1 1/4</t>
  </si>
  <si>
    <t>1</t>
  </si>
  <si>
    <t>1 1/2</t>
  </si>
  <si>
    <t>1 3/4</t>
  </si>
  <si>
    <t>2</t>
  </si>
  <si>
    <t>2 1/4</t>
  </si>
  <si>
    <t>2 1/2</t>
  </si>
  <si>
    <t>2 3/4</t>
  </si>
  <si>
    <t>3</t>
  </si>
  <si>
    <t>3 1/2</t>
  </si>
  <si>
    <t>4</t>
  </si>
  <si>
    <t>4 1/2</t>
  </si>
  <si>
    <t>5</t>
  </si>
  <si>
    <t>5 1/2</t>
  </si>
  <si>
    <t>6</t>
  </si>
  <si>
    <t>Threads / Inch</t>
  </si>
  <si>
    <t>Designation</t>
  </si>
  <si>
    <t>Dmajor</t>
  </si>
  <si>
    <t>Dpitch</t>
  </si>
  <si>
    <t>Dminor</t>
  </si>
  <si>
    <t>Name</t>
  </si>
  <si>
    <t>Value</t>
  </si>
  <si>
    <t>Unit</t>
  </si>
  <si>
    <t>phi</t>
  </si>
  <si>
    <t>deg</t>
  </si>
  <si>
    <t>nom</t>
  </si>
  <si>
    <t>internal</t>
  </si>
  <si>
    <t>external</t>
  </si>
  <si>
    <t>internal max delta</t>
  </si>
  <si>
    <t>external min delta</t>
  </si>
  <si>
    <t>Unit: Millimeter</t>
  </si>
  <si>
    <t>rad</t>
  </si>
  <si>
    <t>Goodness</t>
  </si>
  <si>
    <t>ok?</t>
  </si>
  <si>
    <t>min:</t>
  </si>
  <si>
    <t>Margin</t>
  </si>
  <si>
    <t>Designator</t>
  </si>
  <si>
    <t>Pitch</t>
  </si>
  <si>
    <t>r0</t>
  </si>
  <si>
    <t>z0</t>
  </si>
  <si>
    <t>r1</t>
  </si>
  <si>
    <t>z1</t>
  </si>
  <si>
    <t>r2</t>
  </si>
  <si>
    <t>z2</t>
  </si>
  <si>
    <t>r3</t>
  </si>
  <si>
    <t>z3</t>
  </si>
  <si>
    <t>Dsupport</t>
  </si>
  <si>
    <t>THREAD_TABLE</t>
  </si>
  <si>
    <t>UNITS: MM</t>
  </si>
  <si>
    <t>Rrot</t>
  </si>
  <si>
    <t>PCO-1881-ext</t>
  </si>
  <si>
    <t>PCO-1881-int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</si>
</sst>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Helvetica Neue"/>
      <family val="2"/>
    </font>
    <font>
      <sz val="12"/>
      <color rgb="FF212529"/>
      <name val="Helvetica Neue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43" fontId="4" fillId="0" borderId="3" xfId="1" quotePrefix="1" applyFont="1" applyBorder="1" applyAlignment="1">
      <alignment horizontal="right"/>
    </xf>
    <xf numFmtId="0" fontId="4" fillId="0" borderId="4" xfId="0" applyFont="1" applyBorder="1"/>
    <xf numFmtId="43" fontId="4" fillId="0" borderId="5" xfId="1" quotePrefix="1" applyFont="1" applyBorder="1" applyAlignment="1">
      <alignment horizontal="right"/>
    </xf>
    <xf numFmtId="0" fontId="4" fillId="0" borderId="6" xfId="0" applyFont="1" applyBorder="1"/>
    <xf numFmtId="0" fontId="4" fillId="2" borderId="8" xfId="0" applyFont="1" applyFill="1" applyBorder="1"/>
    <xf numFmtId="0" fontId="4" fillId="2" borderId="4" xfId="0" applyFont="1" applyFill="1" applyBorder="1"/>
    <xf numFmtId="0" fontId="4" fillId="2" borderId="9" xfId="0" applyFont="1" applyFill="1" applyBorder="1"/>
    <xf numFmtId="0" fontId="4" fillId="2" borderId="6" xfId="0" applyFont="1" applyFill="1" applyBorder="1"/>
    <xf numFmtId="164" fontId="0" fillId="0" borderId="0" xfId="0" applyNumberFormat="1"/>
    <xf numFmtId="0" fontId="2" fillId="0" borderId="0" xfId="0" applyFont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3" fillId="0" borderId="0" xfId="0" applyFont="1" applyFill="1" applyBorder="1"/>
    <xf numFmtId="43" fontId="4" fillId="0" borderId="12" xfId="1" quotePrefix="1" applyFont="1" applyBorder="1" applyAlignment="1">
      <alignment horizontal="right"/>
    </xf>
    <xf numFmtId="0" fontId="4" fillId="0" borderId="13" xfId="0" applyFont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6" xfId="0" applyFont="1" applyFill="1" applyBorder="1"/>
    <xf numFmtId="0" fontId="3" fillId="2" borderId="22" xfId="0" applyFont="1" applyFill="1" applyBorder="1" applyAlignment="1">
      <alignment textRotation="90"/>
    </xf>
    <xf numFmtId="0" fontId="3" fillId="2" borderId="23" xfId="0" applyFont="1" applyFill="1" applyBorder="1" applyAlignment="1">
      <alignment textRotation="90"/>
    </xf>
    <xf numFmtId="0" fontId="3" fillId="2" borderId="24" xfId="0" applyFont="1" applyFill="1" applyBorder="1" applyAlignment="1">
      <alignment textRotation="90"/>
    </xf>
    <xf numFmtId="0" fontId="3" fillId="2" borderId="25" xfId="0" applyFont="1" applyFill="1" applyBorder="1" applyAlignment="1">
      <alignment textRotation="90"/>
    </xf>
    <xf numFmtId="0" fontId="0" fillId="0" borderId="0" xfId="0" applyFont="1"/>
    <xf numFmtId="2" fontId="0" fillId="0" borderId="0" xfId="0" applyNumberFormat="1"/>
    <xf numFmtId="0" fontId="0" fillId="0" borderId="0" xfId="0" applyFill="1" applyBorder="1"/>
    <xf numFmtId="2" fontId="0" fillId="2" borderId="1" xfId="0" applyNumberFormat="1" applyFill="1" applyBorder="1"/>
    <xf numFmtId="0" fontId="0" fillId="2" borderId="2" xfId="0" applyFill="1" applyBorder="1"/>
    <xf numFmtId="2" fontId="0" fillId="2" borderId="3" xfId="0" applyNumberFormat="1" applyFill="1" applyBorder="1"/>
    <xf numFmtId="0" fontId="0" fillId="2" borderId="4" xfId="0" applyFill="1" applyBorder="1"/>
    <xf numFmtId="2" fontId="0" fillId="2" borderId="5" xfId="0" applyNumberFormat="1" applyFill="1" applyBorder="1"/>
    <xf numFmtId="0" fontId="0" fillId="2" borderId="6" xfId="0" applyFill="1" applyBorder="1"/>
    <xf numFmtId="2" fontId="0" fillId="2" borderId="2" xfId="0" applyNumberFormat="1" applyFill="1" applyBorder="1"/>
    <xf numFmtId="164" fontId="0" fillId="2" borderId="2" xfId="0" applyNumberFormat="1" applyFill="1" applyBorder="1"/>
    <xf numFmtId="164" fontId="0" fillId="2" borderId="4" xfId="0" applyNumberFormat="1" applyFill="1" applyBorder="1"/>
    <xf numFmtId="164" fontId="0" fillId="2" borderId="6" xfId="0" applyNumberFormat="1" applyFill="1" applyBorder="1"/>
    <xf numFmtId="164" fontId="0" fillId="0" borderId="0" xfId="0" applyNumberFormat="1" applyFill="1" applyBorder="1"/>
    <xf numFmtId="10" fontId="0" fillId="0" borderId="0" xfId="0" applyNumberFormat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0" fontId="3" fillId="2" borderId="28" xfId="0" applyFont="1" applyFill="1" applyBorder="1" applyAlignment="1">
      <alignment textRotation="90"/>
    </xf>
    <xf numFmtId="0" fontId="3" fillId="2" borderId="29" xfId="0" applyFont="1" applyFill="1" applyBorder="1" applyAlignment="1">
      <alignment textRotation="90"/>
    </xf>
    <xf numFmtId="10" fontId="0" fillId="2" borderId="2" xfId="0" applyNumberFormat="1" applyFill="1" applyBorder="1"/>
    <xf numFmtId="10" fontId="0" fillId="2" borderId="4" xfId="0" applyNumberFormat="1" applyFill="1" applyBorder="1"/>
    <xf numFmtId="10" fontId="0" fillId="2" borderId="6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164" fontId="0" fillId="0" borderId="29" xfId="0" applyNumberFormat="1" applyBorder="1"/>
    <xf numFmtId="0" fontId="0" fillId="0" borderId="31" xfId="0" applyBorder="1"/>
    <xf numFmtId="0" fontId="0" fillId="0" borderId="1" xfId="0" applyBorder="1"/>
    <xf numFmtId="0" fontId="0" fillId="0" borderId="3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3" xfId="0" applyBorder="1"/>
    <xf numFmtId="0" fontId="0" fillId="0" borderId="6" xfId="0" applyBorder="1"/>
    <xf numFmtId="0" fontId="0" fillId="0" borderId="34" xfId="0" applyBorder="1"/>
    <xf numFmtId="0" fontId="0" fillId="0" borderId="35" xfId="0" applyBorder="1"/>
    <xf numFmtId="2" fontId="0" fillId="0" borderId="10" xfId="0" applyNumberFormat="1" applyBorder="1"/>
    <xf numFmtId="0" fontId="0" fillId="0" borderId="12" xfId="0" applyBorder="1"/>
    <xf numFmtId="0" fontId="0" fillId="0" borderId="36" xfId="0" applyBorder="1"/>
    <xf numFmtId="0" fontId="0" fillId="0" borderId="13" xfId="0" applyBorder="1"/>
    <xf numFmtId="0" fontId="0" fillId="0" borderId="38" xfId="0" applyBorder="1"/>
    <xf numFmtId="2" fontId="0" fillId="0" borderId="39" xfId="0" applyNumberForma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7" xfId="0" applyBorder="1"/>
    <xf numFmtId="0" fontId="0" fillId="0" borderId="8" xfId="0" applyBorder="1"/>
    <xf numFmtId="2" fontId="0" fillId="0" borderId="2" xfId="0" applyNumberFormat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2" xfId="0" applyFont="1" applyFill="1" applyBorder="1"/>
    <xf numFmtId="0" fontId="2" fillId="2" borderId="37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2" fontId="0" fillId="0" borderId="15" xfId="0" applyNumberFormat="1" applyBorder="1"/>
    <xf numFmtId="2" fontId="0" fillId="0" borderId="16" xfId="0" applyNumberFormat="1" applyBorder="1"/>
    <xf numFmtId="0" fontId="0" fillId="0" borderId="17" xfId="0" applyBorder="1"/>
    <xf numFmtId="0" fontId="0" fillId="0" borderId="43" xfId="0" applyBorder="1"/>
    <xf numFmtId="0" fontId="0" fillId="0" borderId="44" xfId="0" applyBorder="1"/>
    <xf numFmtId="164" fontId="0" fillId="0" borderId="12" xfId="0" applyNumberFormat="1" applyBorder="1"/>
    <xf numFmtId="0" fontId="0" fillId="0" borderId="45" xfId="0" applyBorder="1"/>
    <xf numFmtId="0" fontId="0" fillId="0" borderId="32" xfId="0" applyFill="1" applyBorder="1"/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0" fillId="0" borderId="9" xfId="0" applyBorder="1"/>
    <xf numFmtId="0" fontId="0" fillId="0" borderId="46" xfId="0" applyBorder="1"/>
    <xf numFmtId="0" fontId="0" fillId="0" borderId="4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26</xdr:row>
      <xdr:rowOff>152400</xdr:rowOff>
    </xdr:from>
    <xdr:ext cx="5047857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65EA71-01B1-CA42-A6EB-5BE60C306E24}"/>
            </a:ext>
          </a:extLst>
        </xdr:cNvPr>
        <xdr:cNvSpPr txBox="1"/>
      </xdr:nvSpPr>
      <xdr:spPr>
        <a:xfrm>
          <a:off x="1143000" y="6654800"/>
          <a:ext cx="5047857" cy="95346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Data from</a:t>
          </a:r>
        </a:p>
        <a:p>
          <a:r>
            <a:rPr lang="en-US" sz="1100"/>
            <a:t>https://www.amesweb.info/Screws/British-Standard-Pipe-Parallel-Thread-BSPP.aspx</a:t>
          </a:r>
        </a:p>
        <a:p>
          <a:endParaRPr lang="en-US" sz="1100"/>
        </a:p>
        <a:p>
          <a:r>
            <a:rPr lang="en-US" sz="1100"/>
            <a:t>Even better info</a:t>
          </a:r>
          <a:r>
            <a:rPr lang="en-US" sz="1100" baseline="0"/>
            <a:t> (also on other thread types) here:</a:t>
          </a:r>
        </a:p>
        <a:p>
          <a:r>
            <a:rPr lang="en-US" sz="1100"/>
            <a:t>http://mdmetric.com/tech/thddat7.htm</a:t>
          </a:r>
        </a:p>
      </xdr:txBody>
    </xdr:sp>
    <xdr:clientData/>
  </xdr:oneCellAnchor>
  <xdr:oneCellAnchor>
    <xdr:from>
      <xdr:col>12</xdr:col>
      <xdr:colOff>254001</xdr:colOff>
      <xdr:row>27</xdr:row>
      <xdr:rowOff>50800</xdr:rowOff>
    </xdr:from>
    <xdr:ext cx="6362700" cy="250350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BBC4A0-697D-AD42-A4CA-640525E18CFF}"/>
            </a:ext>
          </a:extLst>
        </xdr:cNvPr>
        <xdr:cNvSpPr txBox="1"/>
      </xdr:nvSpPr>
      <xdr:spPr>
        <a:xfrm>
          <a:off x="6680201" y="6756400"/>
          <a:ext cx="6362700" cy="250350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Designs</a:t>
          </a:r>
          <a:r>
            <a:rPr lang="en-US" sz="1100" baseline="0"/>
            <a:t> for internal and external threads using simple formulas optimized for maximum margin. Hopefully large enough to obtain working threads from 3D-printers.</a:t>
          </a:r>
        </a:p>
        <a:p>
          <a:endParaRPr lang="en-US" sz="1100" baseline="0"/>
        </a:p>
        <a:p>
          <a:r>
            <a:rPr lang="en-US" sz="1100" baseline="0"/>
            <a:t>Find formulas in internal:Dminor cells and external:Dmajor cells.</a:t>
          </a:r>
        </a:p>
        <a:p>
          <a:endParaRPr lang="en-US" sz="1100" baseline="0"/>
        </a:p>
        <a:p>
          <a:r>
            <a:rPr lang="en-US" sz="1100" baseline="0"/>
            <a:t>Dmajor for internal :</a:t>
          </a:r>
        </a:p>
        <a:p>
          <a:endParaRPr lang="en-US" sz="1100" baseline="0"/>
        </a:p>
        <a:p>
          <a:r>
            <a:rPr lang="en-US" sz="1100" baseline="0"/>
            <a:t>The tap diameter is to be set to Dpitch+H/6</a:t>
          </a:r>
        </a:p>
        <a:p>
          <a:r>
            <a:rPr lang="en-US" sz="1100" baseline="0"/>
            <a:t>The major diameter for the *thread* (above) is a bit larger to assure overlap (avoid OpenSCAD artifacts)</a:t>
          </a:r>
        </a:p>
        <a:p>
          <a:endParaRPr lang="en-US" sz="1100" baseline="0"/>
        </a:p>
        <a:p>
          <a:r>
            <a:rPr lang="en-US" sz="1100" baseline="0"/>
            <a:t>Dminor for external:</a:t>
          </a:r>
        </a:p>
        <a:p>
          <a:endParaRPr lang="en-US" sz="1100" baseline="0"/>
        </a:p>
        <a:p>
          <a:r>
            <a:rPr lang="en-US" sz="1100" baseline="0"/>
            <a:t>The cylinder diameter is to be set to Dpitch-H/6.</a:t>
          </a:r>
        </a:p>
        <a:p>
          <a:r>
            <a:rPr lang="en-US" sz="1100" baseline="0"/>
            <a:t>The minor diameter for the *thread* (above) is a bit smaller to assure overlap (avoid OpenSCAD artifacts).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50</xdr:row>
      <xdr:rowOff>101600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C336D4-0392-E341-93B3-EC1FBBA88DB3}"/>
            </a:ext>
          </a:extLst>
        </xdr:cNvPr>
        <xdr:cNvSpPr txBox="1"/>
      </xdr:nvSpPr>
      <xdr:spPr>
        <a:xfrm>
          <a:off x="7708900" y="1031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101600</xdr:colOff>
      <xdr:row>50</xdr:row>
      <xdr:rowOff>25400</xdr:rowOff>
    </xdr:from>
    <xdr:to>
      <xdr:col>20</xdr:col>
      <xdr:colOff>736600</xdr:colOff>
      <xdr:row>52</xdr:row>
      <xdr:rowOff>50800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A35E8B53-8A92-9D41-A886-F1F7D2E015FA}"/>
            </a:ext>
          </a:extLst>
        </xdr:cNvPr>
        <xdr:cNvSpPr txBox="1">
          <a:spLocks noChangeArrowheads="1"/>
        </xdr:cNvSpPr>
      </xdr:nvSpPr>
      <xdr:spPr bwMode="auto">
        <a:xfrm>
          <a:off x="7505700" y="10236200"/>
          <a:ext cx="7239000" cy="431800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http://imajeenyus.com/mechanical/20120508_bottle_top_threads/28mm-ISBT-PCO-1881-Finish-3784253-17.pdf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0726-507D-0E4E-8A5F-51222B2316ED}">
  <dimension ref="A1:Y28"/>
  <sheetViews>
    <sheetView workbookViewId="0">
      <pane xSplit="1" topLeftCell="B1" activePane="topRight" state="frozen"/>
      <selection pane="topRight" activeCell="J11" sqref="J11"/>
    </sheetView>
  </sheetViews>
  <sheetFormatPr baseColWidth="10" defaultRowHeight="16"/>
  <cols>
    <col min="1" max="1" width="6.83203125" bestFit="1" customWidth="1"/>
    <col min="2" max="2" width="3.6640625" bestFit="1" customWidth="1"/>
    <col min="3" max="4" width="7" bestFit="1" customWidth="1"/>
    <col min="5" max="5" width="9.33203125" bestFit="1" customWidth="1"/>
    <col min="6" max="6" width="7" bestFit="1" customWidth="1"/>
    <col min="7" max="7" width="7.83203125" bestFit="1" customWidth="1"/>
    <col min="8" max="8" width="9.33203125" bestFit="1" customWidth="1"/>
    <col min="9" max="9" width="7" bestFit="1" customWidth="1"/>
    <col min="10" max="10" width="8.1640625" bestFit="1" customWidth="1"/>
    <col min="11" max="11" width="7.83203125" bestFit="1" customWidth="1"/>
    <col min="12" max="12" width="3.33203125" customWidth="1"/>
    <col min="13" max="13" width="8.33203125" bestFit="1" customWidth="1"/>
    <col min="14" max="14" width="7.1640625" bestFit="1" customWidth="1"/>
    <col min="15" max="15" width="6.6640625" bestFit="1" customWidth="1"/>
    <col min="16" max="16" width="5.6640625" bestFit="1" customWidth="1"/>
    <col min="17" max="17" width="6.6640625" bestFit="1" customWidth="1"/>
    <col min="18" max="18" width="5.6640625" bestFit="1" customWidth="1"/>
    <col min="19" max="19" width="3.5" customWidth="1"/>
    <col min="20" max="20" width="6.6640625" bestFit="1" customWidth="1"/>
    <col min="21" max="21" width="7.1640625" bestFit="1" customWidth="1"/>
    <col min="22" max="22" width="8.33203125" bestFit="1" customWidth="1"/>
    <col min="23" max="23" width="7.33203125" bestFit="1" customWidth="1"/>
    <col min="24" max="24" width="8.33203125" bestFit="1" customWidth="1"/>
    <col min="25" max="25" width="6.33203125" bestFit="1" customWidth="1"/>
  </cols>
  <sheetData>
    <row r="1" spans="1:25" ht="17" thickBot="1">
      <c r="A1" s="91" t="s">
        <v>41</v>
      </c>
      <c r="B1" s="92"/>
      <c r="C1" s="92"/>
      <c r="D1" s="93"/>
      <c r="E1" s="97" t="s">
        <v>29</v>
      </c>
      <c r="F1" s="98"/>
      <c r="G1" s="99"/>
      <c r="H1" s="98" t="s">
        <v>30</v>
      </c>
      <c r="I1" s="98"/>
      <c r="J1" s="97" t="s">
        <v>28</v>
      </c>
      <c r="K1" s="99"/>
      <c r="L1" s="17"/>
      <c r="M1" s="94" t="s">
        <v>37</v>
      </c>
      <c r="N1" s="95"/>
      <c r="O1" s="95"/>
      <c r="P1" s="95"/>
      <c r="Q1" s="96"/>
      <c r="R1" s="54">
        <v>0.27205047575333813</v>
      </c>
      <c r="T1" s="94" t="s">
        <v>38</v>
      </c>
      <c r="U1" s="95"/>
      <c r="V1" s="95"/>
      <c r="W1" s="95"/>
      <c r="X1" s="96"/>
      <c r="Y1" s="54">
        <v>0.29097758142887981</v>
      </c>
    </row>
    <row r="2" spans="1:25" ht="110" thickBot="1">
      <c r="A2" s="25" t="s">
        <v>27</v>
      </c>
      <c r="B2" s="26" t="s">
        <v>26</v>
      </c>
      <c r="C2" s="27" t="s">
        <v>0</v>
      </c>
      <c r="D2" s="28" t="s">
        <v>1</v>
      </c>
      <c r="E2" s="25" t="s">
        <v>36</v>
      </c>
      <c r="F2" s="28" t="s">
        <v>39</v>
      </c>
      <c r="G2" s="26" t="s">
        <v>40</v>
      </c>
      <c r="H2" s="27" t="s">
        <v>36</v>
      </c>
      <c r="I2" s="28" t="s">
        <v>39</v>
      </c>
      <c r="J2" s="25" t="s">
        <v>36</v>
      </c>
      <c r="K2" s="26" t="s">
        <v>40</v>
      </c>
      <c r="L2" s="17"/>
      <c r="M2" s="47" t="s">
        <v>29</v>
      </c>
      <c r="N2" s="48" t="s">
        <v>43</v>
      </c>
      <c r="O2" s="47" t="s">
        <v>30</v>
      </c>
      <c r="P2" s="48" t="s">
        <v>46</v>
      </c>
      <c r="Q2" s="25" t="s">
        <v>28</v>
      </c>
      <c r="R2" s="26" t="s">
        <v>44</v>
      </c>
      <c r="T2" s="47" t="s">
        <v>29</v>
      </c>
      <c r="U2" s="48" t="s">
        <v>43</v>
      </c>
      <c r="V2" s="47" t="s">
        <v>30</v>
      </c>
      <c r="W2" s="48" t="s">
        <v>44</v>
      </c>
      <c r="X2" s="25" t="s">
        <v>28</v>
      </c>
      <c r="Y2" s="26" t="s">
        <v>46</v>
      </c>
    </row>
    <row r="3" spans="1:25">
      <c r="A3" s="18" t="s">
        <v>2</v>
      </c>
      <c r="B3" s="19">
        <v>28</v>
      </c>
      <c r="C3" s="20">
        <v>0.90700000000000003</v>
      </c>
      <c r="D3" s="21">
        <v>0.58099999999999996</v>
      </c>
      <c r="E3" s="22">
        <v>7.1420000000000003</v>
      </c>
      <c r="F3" s="21">
        <v>0.107</v>
      </c>
      <c r="G3" s="23">
        <f>-F3</f>
        <v>-0.107</v>
      </c>
      <c r="H3" s="24">
        <v>6.5609999999999999</v>
      </c>
      <c r="I3" s="21">
        <v>0.28199999999999997</v>
      </c>
      <c r="J3" s="22">
        <v>7.7229999999999999</v>
      </c>
      <c r="K3" s="23">
        <v>-0.214</v>
      </c>
      <c r="L3" s="9"/>
      <c r="M3" s="32">
        <f>$E3+0.5*$F3</f>
        <v>7.1955</v>
      </c>
      <c r="N3" s="49">
        <f>MIN(M3-E3,E3+F3-M3)/F3</f>
        <v>0.49999999999999684</v>
      </c>
      <c r="O3" s="32">
        <f t="shared" ref="O3:O26" si="0">M3-C3*2*cinternal</f>
        <v>6.7020004369834449</v>
      </c>
      <c r="P3" s="39">
        <f>MIN(O3-H3, H3+I3-O3)</f>
        <v>0.14099956301655503</v>
      </c>
      <c r="Q3" s="44">
        <f t="shared" ref="Q3:Q26" si="1">M3+C3*5/12/TAN(phi/2)*1.05</f>
        <v>7.9577697202587458</v>
      </c>
      <c r="R3" s="33" t="b">
        <f>Q3&gt;=J3</f>
        <v>1</v>
      </c>
      <c r="T3" s="32">
        <f>$E3+0.5*$G3</f>
        <v>7.0885000000000007</v>
      </c>
      <c r="U3" s="49">
        <f>-MIN(T3-(E3+G3), E3-T3)/G3</f>
        <v>0.49999999999999684</v>
      </c>
      <c r="V3" s="32">
        <f t="shared" ref="V3:V26" si="2">T3-C3*5/12/TAN(phi/2)*1.05</f>
        <v>6.3262302797412548</v>
      </c>
      <c r="W3" s="38" t="b">
        <f>V3&lt;=H3</f>
        <v>1</v>
      </c>
      <c r="X3" s="44">
        <f t="shared" ref="X3:X26" si="3">T3+C3*2*cexternal</f>
        <v>7.6163333327119886</v>
      </c>
      <c r="Y3" s="39">
        <f>MIN(X3-(J3+K3), J3-X3)</f>
        <v>0.10666666728801122</v>
      </c>
    </row>
    <row r="4" spans="1:25">
      <c r="A4" s="1" t="s">
        <v>3</v>
      </c>
      <c r="B4" s="2">
        <v>28</v>
      </c>
      <c r="C4" s="5">
        <v>0.90700000000000003</v>
      </c>
      <c r="D4" s="11">
        <v>0.58099999999999996</v>
      </c>
      <c r="E4" s="13">
        <v>9.1470000000000002</v>
      </c>
      <c r="F4" s="11">
        <v>0.107</v>
      </c>
      <c r="G4" s="6">
        <f t="shared" ref="G4:G26" si="4">-F4</f>
        <v>-0.107</v>
      </c>
      <c r="H4" s="15">
        <v>8.5660000000000007</v>
      </c>
      <c r="I4" s="11">
        <v>0.28199999999999997</v>
      </c>
      <c r="J4" s="13">
        <v>9.7279999999999998</v>
      </c>
      <c r="K4" s="6">
        <v>-0.214</v>
      </c>
      <c r="L4" s="9"/>
      <c r="M4" s="34">
        <f t="shared" ref="M4:M26" si="5">$E4+0.5*$F4</f>
        <v>9.2004999999999999</v>
      </c>
      <c r="N4" s="50">
        <f t="shared" ref="N4:N26" si="6">MIN(M4-E4,E4+F4-M4)/F4</f>
        <v>0.49999999999999684</v>
      </c>
      <c r="O4" s="34">
        <f t="shared" si="0"/>
        <v>8.7070004369834439</v>
      </c>
      <c r="P4" s="40">
        <f t="shared" ref="P4:P26" si="7">MIN(O4-H4, H4+I4-O4)</f>
        <v>0.14099956301655681</v>
      </c>
      <c r="Q4" s="45">
        <f t="shared" si="1"/>
        <v>9.9627697202587449</v>
      </c>
      <c r="R4" s="35" t="b">
        <f t="shared" ref="R4:R26" si="8">Q4&gt;=J4</f>
        <v>1</v>
      </c>
      <c r="T4" s="34">
        <f t="shared" ref="T4:T26" si="9">$E4+0.5*$G4</f>
        <v>9.0935000000000006</v>
      </c>
      <c r="U4" s="50">
        <f t="shared" ref="U4:U26" si="10">-MIN(T4-(E4+G4), E4-T4)/G4</f>
        <v>0.49999999999999684</v>
      </c>
      <c r="V4" s="34">
        <f t="shared" si="2"/>
        <v>8.3312302797412556</v>
      </c>
      <c r="W4" s="52" t="b">
        <f t="shared" ref="W4:W26" si="11">V4&lt;=H4</f>
        <v>1</v>
      </c>
      <c r="X4" s="45">
        <f t="shared" si="3"/>
        <v>9.6213333327119877</v>
      </c>
      <c r="Y4" s="40">
        <f t="shared" ref="Y4:Y26" si="12">MIN(X4-(J4+K4), J4-X4)</f>
        <v>0.10666666728801211</v>
      </c>
    </row>
    <row r="5" spans="1:25">
      <c r="A5" s="1" t="s">
        <v>4</v>
      </c>
      <c r="B5" s="2">
        <v>19</v>
      </c>
      <c r="C5" s="5">
        <v>1.337</v>
      </c>
      <c r="D5" s="11">
        <v>0.85599999999999998</v>
      </c>
      <c r="E5" s="13">
        <v>12.301</v>
      </c>
      <c r="F5" s="11">
        <v>0.125</v>
      </c>
      <c r="G5" s="6">
        <f t="shared" si="4"/>
        <v>-0.125</v>
      </c>
      <c r="H5" s="15">
        <v>11.445</v>
      </c>
      <c r="I5" s="11">
        <v>0.44500000000000001</v>
      </c>
      <c r="J5" s="13">
        <v>13.157</v>
      </c>
      <c r="K5" s="6">
        <v>-0.25</v>
      </c>
      <c r="L5" s="9"/>
      <c r="M5" s="34">
        <f t="shared" si="5"/>
        <v>12.3635</v>
      </c>
      <c r="N5" s="50">
        <f t="shared" si="6"/>
        <v>0.5</v>
      </c>
      <c r="O5" s="34">
        <f t="shared" si="0"/>
        <v>11.636037027835574</v>
      </c>
      <c r="P5" s="40">
        <f t="shared" si="7"/>
        <v>0.19103702783557353</v>
      </c>
      <c r="Q5" s="45">
        <f t="shared" si="1"/>
        <v>13.487154482895196</v>
      </c>
      <c r="R5" s="35" t="b">
        <f t="shared" si="8"/>
        <v>1</v>
      </c>
      <c r="T5" s="34">
        <f t="shared" si="9"/>
        <v>12.2385</v>
      </c>
      <c r="U5" s="50">
        <f t="shared" si="10"/>
        <v>0.5</v>
      </c>
      <c r="V5" s="34">
        <f t="shared" si="2"/>
        <v>11.114845517104804</v>
      </c>
      <c r="W5" s="52" t="b">
        <f t="shared" si="11"/>
        <v>1</v>
      </c>
      <c r="X5" s="45">
        <f t="shared" si="3"/>
        <v>13.016574052740825</v>
      </c>
      <c r="Y5" s="40">
        <f t="shared" si="12"/>
        <v>0.10957405274082532</v>
      </c>
    </row>
    <row r="6" spans="1:25">
      <c r="A6" s="1" t="s">
        <v>5</v>
      </c>
      <c r="B6" s="2">
        <v>19</v>
      </c>
      <c r="C6" s="5">
        <v>1.337</v>
      </c>
      <c r="D6" s="11">
        <v>0.85599999999999998</v>
      </c>
      <c r="E6" s="13">
        <v>15.805999999999999</v>
      </c>
      <c r="F6" s="11">
        <v>0.125</v>
      </c>
      <c r="G6" s="6">
        <f t="shared" si="4"/>
        <v>-0.125</v>
      </c>
      <c r="H6" s="15">
        <v>14.95</v>
      </c>
      <c r="I6" s="11">
        <v>0.44500000000000001</v>
      </c>
      <c r="J6" s="13">
        <v>16.661999999999999</v>
      </c>
      <c r="K6" s="6">
        <v>-0.25</v>
      </c>
      <c r="L6" s="9"/>
      <c r="M6" s="34">
        <f t="shared" si="5"/>
        <v>15.868499999999999</v>
      </c>
      <c r="N6" s="50">
        <f t="shared" si="6"/>
        <v>0.5</v>
      </c>
      <c r="O6" s="34">
        <f t="shared" si="0"/>
        <v>15.141037027835573</v>
      </c>
      <c r="P6" s="40">
        <f t="shared" si="7"/>
        <v>0.19103702783557353</v>
      </c>
      <c r="Q6" s="45">
        <f t="shared" si="1"/>
        <v>16.992154482895195</v>
      </c>
      <c r="R6" s="35" t="b">
        <f t="shared" si="8"/>
        <v>1</v>
      </c>
      <c r="T6" s="34">
        <f t="shared" si="9"/>
        <v>15.743499999999999</v>
      </c>
      <c r="U6" s="50">
        <f t="shared" si="10"/>
        <v>0.5</v>
      </c>
      <c r="V6" s="34">
        <f t="shared" si="2"/>
        <v>14.619845517104803</v>
      </c>
      <c r="W6" s="52" t="b">
        <f t="shared" si="11"/>
        <v>1</v>
      </c>
      <c r="X6" s="45">
        <f t="shared" si="3"/>
        <v>16.521574052740824</v>
      </c>
      <c r="Y6" s="40">
        <f t="shared" si="12"/>
        <v>0.10957405274082532</v>
      </c>
    </row>
    <row r="7" spans="1:25">
      <c r="A7" s="1" t="s">
        <v>6</v>
      </c>
      <c r="B7" s="2">
        <v>14</v>
      </c>
      <c r="C7" s="5">
        <v>1.8140000000000001</v>
      </c>
      <c r="D7" s="11">
        <v>1.1619999999999999</v>
      </c>
      <c r="E7" s="13">
        <v>19.792999999999999</v>
      </c>
      <c r="F7" s="11">
        <v>0.14199999999999999</v>
      </c>
      <c r="G7" s="6">
        <f t="shared" si="4"/>
        <v>-0.14199999999999999</v>
      </c>
      <c r="H7" s="15">
        <v>18.631</v>
      </c>
      <c r="I7" s="11">
        <v>0.54100000000000004</v>
      </c>
      <c r="J7" s="13">
        <v>20.954999999999998</v>
      </c>
      <c r="K7" s="6">
        <v>-0.28399999999999997</v>
      </c>
      <c r="L7" s="9"/>
      <c r="M7" s="34">
        <f t="shared" si="5"/>
        <v>19.864000000000001</v>
      </c>
      <c r="N7" s="50">
        <f t="shared" si="6"/>
        <v>0.49999999999998562</v>
      </c>
      <c r="O7" s="34">
        <f t="shared" si="0"/>
        <v>18.877000873966889</v>
      </c>
      <c r="P7" s="40">
        <f t="shared" si="7"/>
        <v>0.24600087396688863</v>
      </c>
      <c r="Q7" s="45">
        <f t="shared" si="1"/>
        <v>21.388539440517491</v>
      </c>
      <c r="R7" s="35" t="b">
        <f t="shared" si="8"/>
        <v>1</v>
      </c>
      <c r="T7" s="34">
        <f t="shared" si="9"/>
        <v>19.721999999999998</v>
      </c>
      <c r="U7" s="50">
        <f t="shared" si="10"/>
        <v>0.49999999999998562</v>
      </c>
      <c r="V7" s="34">
        <f t="shared" si="2"/>
        <v>18.197460559482508</v>
      </c>
      <c r="W7" s="52" t="b">
        <f t="shared" si="11"/>
        <v>1</v>
      </c>
      <c r="X7" s="45">
        <f t="shared" si="3"/>
        <v>20.777666665423972</v>
      </c>
      <c r="Y7" s="40">
        <f t="shared" si="12"/>
        <v>0.10666666542397252</v>
      </c>
    </row>
    <row r="8" spans="1:25">
      <c r="A8" s="1" t="s">
        <v>7</v>
      </c>
      <c r="B8" s="2">
        <v>14</v>
      </c>
      <c r="C8" s="5">
        <v>1.8140000000000001</v>
      </c>
      <c r="D8" s="11">
        <v>1.1619999999999999</v>
      </c>
      <c r="E8" s="13">
        <v>21.748999999999999</v>
      </c>
      <c r="F8" s="11">
        <v>0.14199999999999999</v>
      </c>
      <c r="G8" s="6">
        <f t="shared" si="4"/>
        <v>-0.14199999999999999</v>
      </c>
      <c r="H8" s="15">
        <v>20.587</v>
      </c>
      <c r="I8" s="11">
        <v>0.54100000000000004</v>
      </c>
      <c r="J8" s="13">
        <v>22.911000000000001</v>
      </c>
      <c r="K8" s="6">
        <v>-0.28399999999999997</v>
      </c>
      <c r="L8" s="9"/>
      <c r="M8" s="34">
        <f t="shared" si="5"/>
        <v>21.82</v>
      </c>
      <c r="N8" s="50">
        <f t="shared" si="6"/>
        <v>0.49999999999998562</v>
      </c>
      <c r="O8" s="34">
        <f t="shared" si="0"/>
        <v>20.833000873966888</v>
      </c>
      <c r="P8" s="40">
        <f t="shared" si="7"/>
        <v>0.24600087396688863</v>
      </c>
      <c r="Q8" s="45">
        <f t="shared" si="1"/>
        <v>23.344539440517494</v>
      </c>
      <c r="R8" s="35" t="b">
        <f t="shared" si="8"/>
        <v>1</v>
      </c>
      <c r="T8" s="34">
        <f t="shared" si="9"/>
        <v>21.677999999999997</v>
      </c>
      <c r="U8" s="50">
        <f t="shared" si="10"/>
        <v>0.49999999999998562</v>
      </c>
      <c r="V8" s="34">
        <f t="shared" si="2"/>
        <v>20.153460559482504</v>
      </c>
      <c r="W8" s="52" t="b">
        <f t="shared" si="11"/>
        <v>1</v>
      </c>
      <c r="X8" s="45">
        <f t="shared" si="3"/>
        <v>22.733666665423975</v>
      </c>
      <c r="Y8" s="40">
        <f t="shared" si="12"/>
        <v>0.10666666542397252</v>
      </c>
    </row>
    <row r="9" spans="1:25">
      <c r="A9" s="1" t="s">
        <v>8</v>
      </c>
      <c r="B9" s="2">
        <v>14</v>
      </c>
      <c r="C9" s="5">
        <v>1.8140000000000001</v>
      </c>
      <c r="D9" s="11">
        <v>1.1619999999999999</v>
      </c>
      <c r="E9" s="13">
        <v>25.279</v>
      </c>
      <c r="F9" s="11">
        <v>0.14199999999999999</v>
      </c>
      <c r="G9" s="6">
        <f t="shared" si="4"/>
        <v>-0.14199999999999999</v>
      </c>
      <c r="H9" s="15">
        <v>24.117000000000001</v>
      </c>
      <c r="I9" s="11">
        <v>0.54100000000000004</v>
      </c>
      <c r="J9" s="13">
        <v>26.440999999999999</v>
      </c>
      <c r="K9" s="6">
        <v>-0.28399999999999997</v>
      </c>
      <c r="L9" s="9"/>
      <c r="M9" s="34">
        <f t="shared" si="5"/>
        <v>25.35</v>
      </c>
      <c r="N9" s="50">
        <f t="shared" si="6"/>
        <v>0.49999999999998562</v>
      </c>
      <c r="O9" s="34">
        <f t="shared" si="0"/>
        <v>24.36300087396689</v>
      </c>
      <c r="P9" s="40">
        <f t="shared" si="7"/>
        <v>0.24600087396688863</v>
      </c>
      <c r="Q9" s="45">
        <f t="shared" si="1"/>
        <v>26.874539440517495</v>
      </c>
      <c r="R9" s="35" t="b">
        <f t="shared" si="8"/>
        <v>1</v>
      </c>
      <c r="T9" s="34">
        <f t="shared" si="9"/>
        <v>25.207999999999998</v>
      </c>
      <c r="U9" s="50">
        <f t="shared" si="10"/>
        <v>0.49999999999998562</v>
      </c>
      <c r="V9" s="34">
        <f t="shared" si="2"/>
        <v>23.683460559482505</v>
      </c>
      <c r="W9" s="52" t="b">
        <f t="shared" si="11"/>
        <v>1</v>
      </c>
      <c r="X9" s="45">
        <f t="shared" si="3"/>
        <v>26.263666665423976</v>
      </c>
      <c r="Y9" s="40">
        <f t="shared" si="12"/>
        <v>0.10666666542397607</v>
      </c>
    </row>
    <row r="10" spans="1:25">
      <c r="A10" s="1" t="s">
        <v>9</v>
      </c>
      <c r="B10" s="2">
        <v>14</v>
      </c>
      <c r="C10" s="5">
        <v>1.8140000000000001</v>
      </c>
      <c r="D10" s="11">
        <v>1.1619999999999999</v>
      </c>
      <c r="E10" s="13">
        <v>29.039000000000001</v>
      </c>
      <c r="F10" s="11">
        <v>0.14199999999999999</v>
      </c>
      <c r="G10" s="6">
        <f t="shared" si="4"/>
        <v>-0.14199999999999999</v>
      </c>
      <c r="H10" s="15">
        <v>27.876999999999999</v>
      </c>
      <c r="I10" s="11">
        <v>0.54100000000000004</v>
      </c>
      <c r="J10" s="13">
        <v>30.201000000000001</v>
      </c>
      <c r="K10" s="6">
        <v>-0.28399999999999997</v>
      </c>
      <c r="L10" s="9"/>
      <c r="M10" s="34">
        <f t="shared" si="5"/>
        <v>29.110000000000003</v>
      </c>
      <c r="N10" s="50">
        <f t="shared" si="6"/>
        <v>0.49999999999998562</v>
      </c>
      <c r="O10" s="34">
        <f t="shared" si="0"/>
        <v>28.123000873966891</v>
      </c>
      <c r="P10" s="40">
        <f t="shared" si="7"/>
        <v>0.24600087396689219</v>
      </c>
      <c r="Q10" s="45">
        <f t="shared" si="1"/>
        <v>30.634539440517493</v>
      </c>
      <c r="R10" s="35" t="b">
        <f t="shared" si="8"/>
        <v>1</v>
      </c>
      <c r="T10" s="34">
        <f t="shared" si="9"/>
        <v>28.968</v>
      </c>
      <c r="U10" s="50">
        <f t="shared" si="10"/>
        <v>0.49999999999998562</v>
      </c>
      <c r="V10" s="34">
        <f t="shared" si="2"/>
        <v>27.44346055948251</v>
      </c>
      <c r="W10" s="52" t="b">
        <f t="shared" si="11"/>
        <v>1</v>
      </c>
      <c r="X10" s="45">
        <f t="shared" si="3"/>
        <v>30.023666665423974</v>
      </c>
      <c r="Y10" s="40">
        <f t="shared" si="12"/>
        <v>0.10666666542397252</v>
      </c>
    </row>
    <row r="11" spans="1:25">
      <c r="A11" s="1" t="s">
        <v>12</v>
      </c>
      <c r="B11" s="2">
        <v>11</v>
      </c>
      <c r="C11" s="5">
        <v>2.3090000000000002</v>
      </c>
      <c r="D11" s="11">
        <v>1.4790000000000001</v>
      </c>
      <c r="E11" s="13">
        <v>31.77</v>
      </c>
      <c r="F11" s="11">
        <v>0.18</v>
      </c>
      <c r="G11" s="6">
        <f t="shared" si="4"/>
        <v>-0.18</v>
      </c>
      <c r="H11" s="15">
        <v>30.291</v>
      </c>
      <c r="I11" s="11">
        <v>0.64</v>
      </c>
      <c r="J11" s="13">
        <v>33.249000000000002</v>
      </c>
      <c r="K11" s="6">
        <v>-0.36</v>
      </c>
      <c r="L11" s="9"/>
      <c r="M11" s="34">
        <f t="shared" si="5"/>
        <v>31.86</v>
      </c>
      <c r="N11" s="50">
        <f t="shared" si="6"/>
        <v>0.49999999999999922</v>
      </c>
      <c r="O11" s="34">
        <f t="shared" si="0"/>
        <v>30.603670902971082</v>
      </c>
      <c r="P11" s="40">
        <f t="shared" si="7"/>
        <v>0.31267090297108169</v>
      </c>
      <c r="Q11" s="45">
        <f t="shared" si="1"/>
        <v>33.800552132389683</v>
      </c>
      <c r="R11" s="35" t="b">
        <f t="shared" si="8"/>
        <v>1</v>
      </c>
      <c r="T11" s="34">
        <f t="shared" si="9"/>
        <v>31.68</v>
      </c>
      <c r="U11" s="50">
        <f t="shared" si="10"/>
        <v>0.49999999999999922</v>
      </c>
      <c r="V11" s="34">
        <f t="shared" si="2"/>
        <v>29.739447867610316</v>
      </c>
      <c r="W11" s="52" t="b">
        <f t="shared" si="11"/>
        <v>1</v>
      </c>
      <c r="X11" s="45">
        <f t="shared" si="3"/>
        <v>33.023734471038566</v>
      </c>
      <c r="Y11" s="40">
        <f t="shared" si="12"/>
        <v>0.13473447103856273</v>
      </c>
    </row>
    <row r="12" spans="1:25">
      <c r="A12" s="1" t="s">
        <v>10</v>
      </c>
      <c r="B12" s="2">
        <v>11</v>
      </c>
      <c r="C12" s="5">
        <v>2.3090000000000002</v>
      </c>
      <c r="D12" s="11">
        <v>1.4790000000000001</v>
      </c>
      <c r="E12" s="13">
        <v>36.417999999999999</v>
      </c>
      <c r="F12" s="11">
        <v>0.18</v>
      </c>
      <c r="G12" s="6">
        <f t="shared" si="4"/>
        <v>-0.18</v>
      </c>
      <c r="H12" s="15">
        <v>34.939</v>
      </c>
      <c r="I12" s="11">
        <v>0.64</v>
      </c>
      <c r="J12" s="13">
        <v>37.896999999999998</v>
      </c>
      <c r="K12" s="6">
        <v>-0.36</v>
      </c>
      <c r="L12" s="9"/>
      <c r="M12" s="34">
        <f t="shared" si="5"/>
        <v>36.508000000000003</v>
      </c>
      <c r="N12" s="50">
        <f t="shared" si="6"/>
        <v>0.49999999999997952</v>
      </c>
      <c r="O12" s="34">
        <f t="shared" si="0"/>
        <v>35.251670902971085</v>
      </c>
      <c r="P12" s="40">
        <f t="shared" si="7"/>
        <v>0.31267090297108524</v>
      </c>
      <c r="Q12" s="45">
        <f t="shared" si="1"/>
        <v>38.448552132389686</v>
      </c>
      <c r="R12" s="35" t="b">
        <f t="shared" si="8"/>
        <v>1</v>
      </c>
      <c r="T12" s="34">
        <f t="shared" si="9"/>
        <v>36.327999999999996</v>
      </c>
      <c r="U12" s="50">
        <f t="shared" si="10"/>
        <v>0.49999999999997952</v>
      </c>
      <c r="V12" s="34">
        <f t="shared" si="2"/>
        <v>34.387447867610312</v>
      </c>
      <c r="W12" s="52" t="b">
        <f t="shared" si="11"/>
        <v>1</v>
      </c>
      <c r="X12" s="45">
        <f t="shared" si="3"/>
        <v>37.671734471038562</v>
      </c>
      <c r="Y12" s="40">
        <f t="shared" si="12"/>
        <v>0.13473447103856273</v>
      </c>
    </row>
    <row r="13" spans="1:25">
      <c r="A13" s="1" t="s">
        <v>11</v>
      </c>
      <c r="B13" s="2">
        <v>11</v>
      </c>
      <c r="C13" s="5">
        <v>2.3090000000000002</v>
      </c>
      <c r="D13" s="11">
        <v>1.4790000000000001</v>
      </c>
      <c r="E13" s="13">
        <v>40.430999999999997</v>
      </c>
      <c r="F13" s="11">
        <v>0.18</v>
      </c>
      <c r="G13" s="6">
        <f t="shared" si="4"/>
        <v>-0.18</v>
      </c>
      <c r="H13" s="15">
        <v>38.951999999999998</v>
      </c>
      <c r="I13" s="11">
        <v>0.64</v>
      </c>
      <c r="J13" s="13">
        <v>41.91</v>
      </c>
      <c r="K13" s="6">
        <v>-0.36</v>
      </c>
      <c r="L13" s="9"/>
      <c r="M13" s="34">
        <f t="shared" si="5"/>
        <v>40.521000000000001</v>
      </c>
      <c r="N13" s="50">
        <f t="shared" si="6"/>
        <v>0.49999999999997952</v>
      </c>
      <c r="O13" s="34">
        <f t="shared" si="0"/>
        <v>39.264670902971083</v>
      </c>
      <c r="P13" s="40">
        <f t="shared" si="7"/>
        <v>0.31267090297108524</v>
      </c>
      <c r="Q13" s="45">
        <f t="shared" si="1"/>
        <v>42.461552132389684</v>
      </c>
      <c r="R13" s="35" t="b">
        <f t="shared" si="8"/>
        <v>1</v>
      </c>
      <c r="T13" s="34">
        <f t="shared" si="9"/>
        <v>40.340999999999994</v>
      </c>
      <c r="U13" s="50">
        <f t="shared" si="10"/>
        <v>0.49999999999997952</v>
      </c>
      <c r="V13" s="34">
        <f t="shared" si="2"/>
        <v>38.40044786761031</v>
      </c>
      <c r="W13" s="52" t="b">
        <f t="shared" si="11"/>
        <v>1</v>
      </c>
      <c r="X13" s="45">
        <f t="shared" si="3"/>
        <v>41.68473447103856</v>
      </c>
      <c r="Y13" s="40">
        <f t="shared" si="12"/>
        <v>0.13473447103856273</v>
      </c>
    </row>
    <row r="14" spans="1:25">
      <c r="A14" s="1" t="s">
        <v>13</v>
      </c>
      <c r="B14" s="2">
        <v>11</v>
      </c>
      <c r="C14" s="5">
        <v>2.3090000000000002</v>
      </c>
      <c r="D14" s="11">
        <v>1.4790000000000001</v>
      </c>
      <c r="E14" s="13">
        <v>46.323999999999998</v>
      </c>
      <c r="F14" s="11">
        <v>0.18</v>
      </c>
      <c r="G14" s="6">
        <f t="shared" si="4"/>
        <v>-0.18</v>
      </c>
      <c r="H14" s="15">
        <v>44.844999999999999</v>
      </c>
      <c r="I14" s="11">
        <v>0.64</v>
      </c>
      <c r="J14" s="13">
        <v>47.802999999999997</v>
      </c>
      <c r="K14" s="6">
        <v>-0.36</v>
      </c>
      <c r="L14" s="9"/>
      <c r="M14" s="34">
        <f t="shared" si="5"/>
        <v>46.414000000000001</v>
      </c>
      <c r="N14" s="50">
        <f t="shared" si="6"/>
        <v>0.49999999999997952</v>
      </c>
      <c r="O14" s="34">
        <f t="shared" si="0"/>
        <v>45.157670902971084</v>
      </c>
      <c r="P14" s="40">
        <f t="shared" si="7"/>
        <v>0.31267090297108524</v>
      </c>
      <c r="Q14" s="45">
        <f t="shared" si="1"/>
        <v>48.354552132389685</v>
      </c>
      <c r="R14" s="35" t="b">
        <f t="shared" si="8"/>
        <v>1</v>
      </c>
      <c r="T14" s="34">
        <f t="shared" si="9"/>
        <v>46.233999999999995</v>
      </c>
      <c r="U14" s="50">
        <f t="shared" si="10"/>
        <v>0.49999999999997952</v>
      </c>
      <c r="V14" s="34">
        <f t="shared" si="2"/>
        <v>44.293447867610311</v>
      </c>
      <c r="W14" s="52" t="b">
        <f t="shared" si="11"/>
        <v>1</v>
      </c>
      <c r="X14" s="45">
        <f t="shared" si="3"/>
        <v>47.577734471038561</v>
      </c>
      <c r="Y14" s="40">
        <f t="shared" si="12"/>
        <v>0.13473447103856273</v>
      </c>
    </row>
    <row r="15" spans="1:25">
      <c r="A15" s="1" t="s">
        <v>14</v>
      </c>
      <c r="B15" s="2">
        <v>11</v>
      </c>
      <c r="C15" s="5">
        <v>2.3090000000000002</v>
      </c>
      <c r="D15" s="11">
        <v>1.4790000000000001</v>
      </c>
      <c r="E15" s="13">
        <v>52.267000000000003</v>
      </c>
      <c r="F15" s="11">
        <v>0.18</v>
      </c>
      <c r="G15" s="6">
        <f t="shared" si="4"/>
        <v>-0.18</v>
      </c>
      <c r="H15" s="15">
        <v>50.787999999999997</v>
      </c>
      <c r="I15" s="11">
        <v>0.64</v>
      </c>
      <c r="J15" s="13">
        <v>53.746000000000002</v>
      </c>
      <c r="K15" s="6">
        <v>-0.36</v>
      </c>
      <c r="L15" s="9"/>
      <c r="M15" s="34">
        <f t="shared" si="5"/>
        <v>52.357000000000006</v>
      </c>
      <c r="N15" s="50">
        <f t="shared" si="6"/>
        <v>0.49999999999997952</v>
      </c>
      <c r="O15" s="34">
        <f t="shared" si="0"/>
        <v>51.100670902971089</v>
      </c>
      <c r="P15" s="40">
        <f t="shared" si="7"/>
        <v>0.31267090297109235</v>
      </c>
      <c r="Q15" s="45">
        <f t="shared" si="1"/>
        <v>54.29755213238969</v>
      </c>
      <c r="R15" s="35" t="b">
        <f t="shared" si="8"/>
        <v>1</v>
      </c>
      <c r="T15" s="34">
        <f t="shared" si="9"/>
        <v>52.177</v>
      </c>
      <c r="U15" s="50">
        <f t="shared" si="10"/>
        <v>0.49999999999997952</v>
      </c>
      <c r="V15" s="34">
        <f t="shared" si="2"/>
        <v>50.236447867610316</v>
      </c>
      <c r="W15" s="52" t="b">
        <f t="shared" si="11"/>
        <v>1</v>
      </c>
      <c r="X15" s="45">
        <f t="shared" si="3"/>
        <v>53.520734471038566</v>
      </c>
      <c r="Y15" s="40">
        <f t="shared" si="12"/>
        <v>0.13473447103856273</v>
      </c>
    </row>
    <row r="16" spans="1:25">
      <c r="A16" s="1" t="s">
        <v>15</v>
      </c>
      <c r="B16" s="2">
        <v>11</v>
      </c>
      <c r="C16" s="5">
        <v>2.3090000000000002</v>
      </c>
      <c r="D16" s="11">
        <v>1.4790000000000001</v>
      </c>
      <c r="E16" s="13">
        <v>58.134999999999998</v>
      </c>
      <c r="F16" s="11">
        <v>0.18</v>
      </c>
      <c r="G16" s="6">
        <f t="shared" si="4"/>
        <v>-0.18</v>
      </c>
      <c r="H16" s="15">
        <v>56.655999999999999</v>
      </c>
      <c r="I16" s="11">
        <v>0.64</v>
      </c>
      <c r="J16" s="13">
        <v>59.613999999999997</v>
      </c>
      <c r="K16" s="6">
        <v>-0.36</v>
      </c>
      <c r="L16" s="9"/>
      <c r="M16" s="34">
        <f t="shared" si="5"/>
        <v>58.225000000000001</v>
      </c>
      <c r="N16" s="50">
        <f t="shared" si="6"/>
        <v>0.49999999999997952</v>
      </c>
      <c r="O16" s="34">
        <f t="shared" si="0"/>
        <v>56.968670902971084</v>
      </c>
      <c r="P16" s="40">
        <f t="shared" si="7"/>
        <v>0.31267090297108524</v>
      </c>
      <c r="Q16" s="45">
        <f t="shared" si="1"/>
        <v>60.165552132389685</v>
      </c>
      <c r="R16" s="35" t="b">
        <f t="shared" si="8"/>
        <v>1</v>
      </c>
      <c r="T16" s="34">
        <f t="shared" si="9"/>
        <v>58.044999999999995</v>
      </c>
      <c r="U16" s="50">
        <f t="shared" si="10"/>
        <v>0.49999999999997952</v>
      </c>
      <c r="V16" s="34">
        <f t="shared" si="2"/>
        <v>56.104447867610311</v>
      </c>
      <c r="W16" s="52" t="b">
        <f t="shared" si="11"/>
        <v>1</v>
      </c>
      <c r="X16" s="45">
        <f t="shared" si="3"/>
        <v>59.388734471038561</v>
      </c>
      <c r="Y16" s="40">
        <f t="shared" si="12"/>
        <v>0.13473447103856273</v>
      </c>
    </row>
    <row r="17" spans="1:25">
      <c r="A17" s="1" t="s">
        <v>16</v>
      </c>
      <c r="B17" s="2">
        <v>11</v>
      </c>
      <c r="C17" s="5">
        <v>2.3090000000000002</v>
      </c>
      <c r="D17" s="11">
        <v>1.4790000000000001</v>
      </c>
      <c r="E17" s="13">
        <v>64.230999999999995</v>
      </c>
      <c r="F17" s="11">
        <v>0.217</v>
      </c>
      <c r="G17" s="6">
        <f t="shared" si="4"/>
        <v>-0.217</v>
      </c>
      <c r="H17" s="15">
        <v>62.752000000000002</v>
      </c>
      <c r="I17" s="11">
        <v>0.64</v>
      </c>
      <c r="J17" s="13">
        <v>65.709999999999994</v>
      </c>
      <c r="K17" s="6">
        <v>-0.434</v>
      </c>
      <c r="L17" s="9"/>
      <c r="M17" s="34">
        <f t="shared" si="5"/>
        <v>64.339500000000001</v>
      </c>
      <c r="N17" s="50">
        <f t="shared" si="6"/>
        <v>0.49999999999996436</v>
      </c>
      <c r="O17" s="34">
        <f t="shared" si="0"/>
        <v>63.083170902971084</v>
      </c>
      <c r="P17" s="40">
        <f t="shared" si="7"/>
        <v>0.30882909702891936</v>
      </c>
      <c r="Q17" s="45">
        <f t="shared" si="1"/>
        <v>66.280052132389685</v>
      </c>
      <c r="R17" s="35" t="b">
        <f t="shared" si="8"/>
        <v>1</v>
      </c>
      <c r="T17" s="34">
        <f t="shared" si="9"/>
        <v>64.122499999999988</v>
      </c>
      <c r="U17" s="50">
        <f t="shared" si="10"/>
        <v>0.49999999999996436</v>
      </c>
      <c r="V17" s="34">
        <f t="shared" si="2"/>
        <v>62.181947867610305</v>
      </c>
      <c r="W17" s="52" t="b">
        <f t="shared" si="11"/>
        <v>1</v>
      </c>
      <c r="X17" s="45">
        <f t="shared" si="3"/>
        <v>65.466234471038561</v>
      </c>
      <c r="Y17" s="40">
        <f t="shared" si="12"/>
        <v>0.19023447103856483</v>
      </c>
    </row>
    <row r="18" spans="1:25">
      <c r="A18" s="1" t="s">
        <v>17</v>
      </c>
      <c r="B18" s="2">
        <v>11</v>
      </c>
      <c r="C18" s="5">
        <v>2.3090000000000002</v>
      </c>
      <c r="D18" s="11">
        <v>1.4790000000000001</v>
      </c>
      <c r="E18" s="13">
        <v>73.704999999999998</v>
      </c>
      <c r="F18" s="11">
        <v>0.217</v>
      </c>
      <c r="G18" s="6">
        <f t="shared" si="4"/>
        <v>-0.217</v>
      </c>
      <c r="H18" s="15">
        <v>72.225999999999999</v>
      </c>
      <c r="I18" s="11">
        <v>0.64</v>
      </c>
      <c r="J18" s="13">
        <v>75.183999999999997</v>
      </c>
      <c r="K18" s="6">
        <v>-0.434</v>
      </c>
      <c r="L18" s="9"/>
      <c r="M18" s="34">
        <f t="shared" si="5"/>
        <v>73.813500000000005</v>
      </c>
      <c r="N18" s="50">
        <f t="shared" si="6"/>
        <v>0.49999999999996436</v>
      </c>
      <c r="O18" s="34">
        <f t="shared" si="0"/>
        <v>72.557170902971095</v>
      </c>
      <c r="P18" s="40">
        <f t="shared" si="7"/>
        <v>0.30882909702890515</v>
      </c>
      <c r="Q18" s="45">
        <f t="shared" si="1"/>
        <v>75.754052132389688</v>
      </c>
      <c r="R18" s="35" t="b">
        <f t="shared" si="8"/>
        <v>1</v>
      </c>
      <c r="T18" s="34">
        <f t="shared" si="9"/>
        <v>73.596499999999992</v>
      </c>
      <c r="U18" s="50">
        <f t="shared" si="10"/>
        <v>0.49999999999996436</v>
      </c>
      <c r="V18" s="34">
        <f t="shared" si="2"/>
        <v>71.655947867610308</v>
      </c>
      <c r="W18" s="52" t="b">
        <f t="shared" si="11"/>
        <v>1</v>
      </c>
      <c r="X18" s="45">
        <f t="shared" si="3"/>
        <v>74.940234471038565</v>
      </c>
      <c r="Y18" s="40">
        <f t="shared" si="12"/>
        <v>0.19023447103856483</v>
      </c>
    </row>
    <row r="19" spans="1:25">
      <c r="A19" s="1" t="s">
        <v>18</v>
      </c>
      <c r="B19" s="2">
        <v>11</v>
      </c>
      <c r="C19" s="5">
        <v>2.3090000000000002</v>
      </c>
      <c r="D19" s="11">
        <v>1.4790000000000001</v>
      </c>
      <c r="E19" s="13">
        <v>80.055000000000007</v>
      </c>
      <c r="F19" s="11">
        <v>0.217</v>
      </c>
      <c r="G19" s="6">
        <f t="shared" si="4"/>
        <v>-0.217</v>
      </c>
      <c r="H19" s="15">
        <v>78.575999999999993</v>
      </c>
      <c r="I19" s="11">
        <v>0.64</v>
      </c>
      <c r="J19" s="13">
        <v>81.534000000000006</v>
      </c>
      <c r="K19" s="6">
        <v>-0.434</v>
      </c>
      <c r="L19" s="9"/>
      <c r="M19" s="34">
        <f t="shared" si="5"/>
        <v>80.163500000000013</v>
      </c>
      <c r="N19" s="50">
        <f t="shared" si="6"/>
        <v>0.49999999999996436</v>
      </c>
      <c r="O19" s="34">
        <f t="shared" si="0"/>
        <v>78.907170902971103</v>
      </c>
      <c r="P19" s="40">
        <f t="shared" si="7"/>
        <v>0.30882909702889094</v>
      </c>
      <c r="Q19" s="45">
        <f t="shared" si="1"/>
        <v>82.104052132389697</v>
      </c>
      <c r="R19" s="35" t="b">
        <f t="shared" si="8"/>
        <v>1</v>
      </c>
      <c r="T19" s="34">
        <f t="shared" si="9"/>
        <v>79.9465</v>
      </c>
      <c r="U19" s="50">
        <f t="shared" si="10"/>
        <v>0.49999999999996436</v>
      </c>
      <c r="V19" s="34">
        <f t="shared" si="2"/>
        <v>78.005947867610317</v>
      </c>
      <c r="W19" s="52" t="b">
        <f t="shared" si="11"/>
        <v>1</v>
      </c>
      <c r="X19" s="45">
        <f t="shared" si="3"/>
        <v>81.290234471038573</v>
      </c>
      <c r="Y19" s="40">
        <f t="shared" si="12"/>
        <v>0.19023447103856483</v>
      </c>
    </row>
    <row r="20" spans="1:25">
      <c r="A20" s="1" t="s">
        <v>19</v>
      </c>
      <c r="B20" s="2">
        <v>11</v>
      </c>
      <c r="C20" s="5">
        <v>2.3090000000000002</v>
      </c>
      <c r="D20" s="11">
        <v>1.4790000000000001</v>
      </c>
      <c r="E20" s="13">
        <v>86.405000000000001</v>
      </c>
      <c r="F20" s="11">
        <v>0.217</v>
      </c>
      <c r="G20" s="6">
        <f t="shared" si="4"/>
        <v>-0.217</v>
      </c>
      <c r="H20" s="15">
        <v>84.926000000000002</v>
      </c>
      <c r="I20" s="11">
        <v>0.64</v>
      </c>
      <c r="J20" s="13">
        <v>87.884</v>
      </c>
      <c r="K20" s="6">
        <v>-0.434</v>
      </c>
      <c r="L20" s="9"/>
      <c r="M20" s="34">
        <f t="shared" si="5"/>
        <v>86.513500000000008</v>
      </c>
      <c r="N20" s="50">
        <f t="shared" si="6"/>
        <v>0.49999999999996436</v>
      </c>
      <c r="O20" s="34">
        <f t="shared" si="0"/>
        <v>85.257170902971097</v>
      </c>
      <c r="P20" s="40">
        <f t="shared" si="7"/>
        <v>0.30882909702890515</v>
      </c>
      <c r="Q20" s="45">
        <f t="shared" si="1"/>
        <v>88.454052132389691</v>
      </c>
      <c r="R20" s="35" t="b">
        <f t="shared" si="8"/>
        <v>1</v>
      </c>
      <c r="T20" s="34">
        <f t="shared" si="9"/>
        <v>86.296499999999995</v>
      </c>
      <c r="U20" s="50">
        <f t="shared" si="10"/>
        <v>0.49999999999996436</v>
      </c>
      <c r="V20" s="34">
        <f t="shared" si="2"/>
        <v>84.355947867610311</v>
      </c>
      <c r="W20" s="52" t="b">
        <f t="shared" si="11"/>
        <v>1</v>
      </c>
      <c r="X20" s="45">
        <f t="shared" si="3"/>
        <v>87.640234471038568</v>
      </c>
      <c r="Y20" s="40">
        <f t="shared" si="12"/>
        <v>0.19023447103856483</v>
      </c>
    </row>
    <row r="21" spans="1:25">
      <c r="A21" s="1" t="s">
        <v>20</v>
      </c>
      <c r="B21" s="2">
        <v>11</v>
      </c>
      <c r="C21" s="5">
        <v>2.3090000000000002</v>
      </c>
      <c r="D21" s="11">
        <v>1.4790000000000001</v>
      </c>
      <c r="E21" s="13">
        <v>98.850999999999999</v>
      </c>
      <c r="F21" s="11">
        <v>0.217</v>
      </c>
      <c r="G21" s="6">
        <f t="shared" si="4"/>
        <v>-0.217</v>
      </c>
      <c r="H21" s="15">
        <v>97.372</v>
      </c>
      <c r="I21" s="11">
        <v>0.64</v>
      </c>
      <c r="J21" s="13">
        <v>100.33</v>
      </c>
      <c r="K21" s="6">
        <v>-0.434</v>
      </c>
      <c r="L21" s="9"/>
      <c r="M21" s="34">
        <f t="shared" si="5"/>
        <v>98.959500000000006</v>
      </c>
      <c r="N21" s="50">
        <f t="shared" si="6"/>
        <v>0.49999999999996436</v>
      </c>
      <c r="O21" s="34">
        <f t="shared" si="0"/>
        <v>97.703170902971095</v>
      </c>
      <c r="P21" s="40">
        <f t="shared" si="7"/>
        <v>0.30882909702890515</v>
      </c>
      <c r="Q21" s="45">
        <f t="shared" si="1"/>
        <v>100.90005213238969</v>
      </c>
      <c r="R21" s="35" t="b">
        <f t="shared" si="8"/>
        <v>1</v>
      </c>
      <c r="T21" s="34">
        <f t="shared" si="9"/>
        <v>98.742499999999993</v>
      </c>
      <c r="U21" s="50">
        <f t="shared" si="10"/>
        <v>0.49999999999996436</v>
      </c>
      <c r="V21" s="34">
        <f t="shared" si="2"/>
        <v>96.801947867610309</v>
      </c>
      <c r="W21" s="52" t="b">
        <f t="shared" si="11"/>
        <v>1</v>
      </c>
      <c r="X21" s="45">
        <f t="shared" si="3"/>
        <v>100.08623447103857</v>
      </c>
      <c r="Y21" s="40">
        <f t="shared" si="12"/>
        <v>0.19023447103856483</v>
      </c>
    </row>
    <row r="22" spans="1:25">
      <c r="A22" s="1" t="s">
        <v>21</v>
      </c>
      <c r="B22" s="2">
        <v>11</v>
      </c>
      <c r="C22" s="5">
        <v>2.3090000000000002</v>
      </c>
      <c r="D22" s="11">
        <v>1.4790000000000001</v>
      </c>
      <c r="E22" s="13">
        <v>111.551</v>
      </c>
      <c r="F22" s="11">
        <v>0.217</v>
      </c>
      <c r="G22" s="6">
        <f t="shared" si="4"/>
        <v>-0.217</v>
      </c>
      <c r="H22" s="15">
        <v>110.072</v>
      </c>
      <c r="I22" s="11">
        <v>0.64</v>
      </c>
      <c r="J22" s="13">
        <v>113.03</v>
      </c>
      <c r="K22" s="6">
        <v>-0.434</v>
      </c>
      <c r="L22" s="9"/>
      <c r="M22" s="34">
        <f t="shared" si="5"/>
        <v>111.65950000000001</v>
      </c>
      <c r="N22" s="50">
        <f t="shared" si="6"/>
        <v>0.49999999999996436</v>
      </c>
      <c r="O22" s="34">
        <f t="shared" si="0"/>
        <v>110.4031709029711</v>
      </c>
      <c r="P22" s="40">
        <f t="shared" si="7"/>
        <v>0.30882909702890515</v>
      </c>
      <c r="Q22" s="45">
        <f t="shared" si="1"/>
        <v>113.60005213238969</v>
      </c>
      <c r="R22" s="35" t="b">
        <f t="shared" si="8"/>
        <v>1</v>
      </c>
      <c r="T22" s="34">
        <f t="shared" si="9"/>
        <v>111.4425</v>
      </c>
      <c r="U22" s="50">
        <f t="shared" si="10"/>
        <v>0.49999999999996436</v>
      </c>
      <c r="V22" s="34">
        <f t="shared" si="2"/>
        <v>109.50194786761031</v>
      </c>
      <c r="W22" s="52" t="b">
        <f t="shared" si="11"/>
        <v>1</v>
      </c>
      <c r="X22" s="45">
        <f t="shared" si="3"/>
        <v>112.78623447103857</v>
      </c>
      <c r="Y22" s="40">
        <f t="shared" si="12"/>
        <v>0.19023447103856483</v>
      </c>
    </row>
    <row r="23" spans="1:25">
      <c r="A23" s="1" t="s">
        <v>22</v>
      </c>
      <c r="B23" s="2">
        <v>11</v>
      </c>
      <c r="C23" s="5">
        <v>2.3090000000000002</v>
      </c>
      <c r="D23" s="11">
        <v>1.4790000000000001</v>
      </c>
      <c r="E23" s="13">
        <v>124.251</v>
      </c>
      <c r="F23" s="11">
        <v>0.217</v>
      </c>
      <c r="G23" s="6">
        <f t="shared" si="4"/>
        <v>-0.217</v>
      </c>
      <c r="H23" s="15">
        <v>122.77200000000001</v>
      </c>
      <c r="I23" s="11">
        <v>0.64</v>
      </c>
      <c r="J23" s="13">
        <v>125.73</v>
      </c>
      <c r="K23" s="6">
        <v>-0.434</v>
      </c>
      <c r="L23" s="9"/>
      <c r="M23" s="34">
        <f t="shared" si="5"/>
        <v>124.35950000000001</v>
      </c>
      <c r="N23" s="50">
        <f t="shared" si="6"/>
        <v>0.49999999999996436</v>
      </c>
      <c r="O23" s="34">
        <f t="shared" si="0"/>
        <v>123.1031709029711</v>
      </c>
      <c r="P23" s="40">
        <f t="shared" si="7"/>
        <v>0.30882909702890515</v>
      </c>
      <c r="Q23" s="45">
        <f t="shared" si="1"/>
        <v>126.30005213238969</v>
      </c>
      <c r="R23" s="35" t="b">
        <f t="shared" si="8"/>
        <v>1</v>
      </c>
      <c r="T23" s="34">
        <f t="shared" si="9"/>
        <v>124.1425</v>
      </c>
      <c r="U23" s="50">
        <f t="shared" si="10"/>
        <v>0.49999999999996436</v>
      </c>
      <c r="V23" s="34">
        <f t="shared" si="2"/>
        <v>122.20194786761031</v>
      </c>
      <c r="W23" s="52" t="b">
        <f t="shared" si="11"/>
        <v>1</v>
      </c>
      <c r="X23" s="45">
        <f t="shared" si="3"/>
        <v>125.48623447103857</v>
      </c>
      <c r="Y23" s="40">
        <f t="shared" si="12"/>
        <v>0.19023447103856483</v>
      </c>
    </row>
    <row r="24" spans="1:25">
      <c r="A24" s="1" t="s">
        <v>23</v>
      </c>
      <c r="B24" s="2">
        <v>11</v>
      </c>
      <c r="C24" s="5">
        <v>2.3090000000000002</v>
      </c>
      <c r="D24" s="11">
        <v>1.4790000000000001</v>
      </c>
      <c r="E24" s="13">
        <v>136.95099999999999</v>
      </c>
      <c r="F24" s="11">
        <v>0.217</v>
      </c>
      <c r="G24" s="6">
        <f t="shared" si="4"/>
        <v>-0.217</v>
      </c>
      <c r="H24" s="15">
        <v>135.47200000000001</v>
      </c>
      <c r="I24" s="11">
        <v>0.64</v>
      </c>
      <c r="J24" s="13">
        <v>138.43</v>
      </c>
      <c r="K24" s="6">
        <v>-0.434</v>
      </c>
      <c r="L24" s="9"/>
      <c r="M24" s="34">
        <f t="shared" si="5"/>
        <v>137.05949999999999</v>
      </c>
      <c r="N24" s="50">
        <f t="shared" si="6"/>
        <v>0.49999999999996436</v>
      </c>
      <c r="O24" s="34">
        <f t="shared" si="0"/>
        <v>135.80317090297106</v>
      </c>
      <c r="P24" s="40">
        <f t="shared" si="7"/>
        <v>0.30882909702893357</v>
      </c>
      <c r="Q24" s="45">
        <f t="shared" si="1"/>
        <v>139.00005213238967</v>
      </c>
      <c r="R24" s="35" t="b">
        <f t="shared" si="8"/>
        <v>1</v>
      </c>
      <c r="T24" s="34">
        <f t="shared" si="9"/>
        <v>136.8425</v>
      </c>
      <c r="U24" s="50">
        <f t="shared" si="10"/>
        <v>0.49999999999996436</v>
      </c>
      <c r="V24" s="34">
        <f t="shared" si="2"/>
        <v>134.90194786761032</v>
      </c>
      <c r="W24" s="52" t="b">
        <f t="shared" si="11"/>
        <v>1</v>
      </c>
      <c r="X24" s="45">
        <f t="shared" si="3"/>
        <v>138.18623447103857</v>
      </c>
      <c r="Y24" s="40">
        <f t="shared" si="12"/>
        <v>0.19023447103856483</v>
      </c>
    </row>
    <row r="25" spans="1:25">
      <c r="A25" s="1" t="s">
        <v>24</v>
      </c>
      <c r="B25" s="2">
        <v>11</v>
      </c>
      <c r="C25" s="5">
        <v>2.3090000000000002</v>
      </c>
      <c r="D25" s="11">
        <v>1.4790000000000001</v>
      </c>
      <c r="E25" s="13">
        <v>149.65100000000001</v>
      </c>
      <c r="F25" s="11">
        <v>0.217</v>
      </c>
      <c r="G25" s="6">
        <f t="shared" si="4"/>
        <v>-0.217</v>
      </c>
      <c r="H25" s="15">
        <v>148.172</v>
      </c>
      <c r="I25" s="11">
        <v>0.64</v>
      </c>
      <c r="J25" s="13">
        <v>151.13</v>
      </c>
      <c r="K25" s="6">
        <v>-0.434</v>
      </c>
      <c r="L25" s="9"/>
      <c r="M25" s="34">
        <f t="shared" si="5"/>
        <v>149.7595</v>
      </c>
      <c r="N25" s="50">
        <f t="shared" si="6"/>
        <v>0.49999999999996436</v>
      </c>
      <c r="O25" s="34">
        <f t="shared" si="0"/>
        <v>148.50317090297108</v>
      </c>
      <c r="P25" s="40">
        <f t="shared" si="7"/>
        <v>0.30882909702890515</v>
      </c>
      <c r="Q25" s="45">
        <f t="shared" si="1"/>
        <v>151.70005213238969</v>
      </c>
      <c r="R25" s="35" t="b">
        <f t="shared" si="8"/>
        <v>1</v>
      </c>
      <c r="T25" s="34">
        <f t="shared" si="9"/>
        <v>149.54250000000002</v>
      </c>
      <c r="U25" s="50">
        <f t="shared" si="10"/>
        <v>0.49999999999996436</v>
      </c>
      <c r="V25" s="34">
        <f t="shared" si="2"/>
        <v>147.60194786761033</v>
      </c>
      <c r="W25" s="52" t="b">
        <f t="shared" si="11"/>
        <v>1</v>
      </c>
      <c r="X25" s="45">
        <f t="shared" si="3"/>
        <v>150.88623447103859</v>
      </c>
      <c r="Y25" s="40">
        <f t="shared" si="12"/>
        <v>0.19023447103859326</v>
      </c>
    </row>
    <row r="26" spans="1:25" ht="17" thickBot="1">
      <c r="A26" s="3" t="s">
        <v>25</v>
      </c>
      <c r="B26" s="4">
        <v>11</v>
      </c>
      <c r="C26" s="7">
        <v>2.3090000000000002</v>
      </c>
      <c r="D26" s="12">
        <v>1.4790000000000001</v>
      </c>
      <c r="E26" s="14">
        <v>162.351</v>
      </c>
      <c r="F26" s="12">
        <v>0.217</v>
      </c>
      <c r="G26" s="8">
        <f t="shared" si="4"/>
        <v>-0.217</v>
      </c>
      <c r="H26" s="16">
        <v>160.87200000000001</v>
      </c>
      <c r="I26" s="12">
        <v>0.64</v>
      </c>
      <c r="J26" s="14">
        <v>163.83000000000001</v>
      </c>
      <c r="K26" s="8">
        <v>-0.434</v>
      </c>
      <c r="L26" s="9"/>
      <c r="M26" s="36">
        <f t="shared" si="5"/>
        <v>162.45949999999999</v>
      </c>
      <c r="N26" s="51">
        <f t="shared" si="6"/>
        <v>0.49999999999996436</v>
      </c>
      <c r="O26" s="36">
        <f t="shared" si="0"/>
        <v>161.20317090297107</v>
      </c>
      <c r="P26" s="41">
        <f t="shared" si="7"/>
        <v>0.30882909702893357</v>
      </c>
      <c r="Q26" s="46">
        <f t="shared" si="1"/>
        <v>164.40005213238967</v>
      </c>
      <c r="R26" s="37" t="b">
        <f t="shared" si="8"/>
        <v>1</v>
      </c>
      <c r="T26" s="36">
        <f t="shared" si="9"/>
        <v>162.24250000000001</v>
      </c>
      <c r="U26" s="51">
        <f t="shared" si="10"/>
        <v>0.49999999999996436</v>
      </c>
      <c r="V26" s="36">
        <f t="shared" si="2"/>
        <v>160.30194786761032</v>
      </c>
      <c r="W26" s="53" t="b">
        <f t="shared" si="11"/>
        <v>1</v>
      </c>
      <c r="X26" s="46">
        <f t="shared" si="3"/>
        <v>163.58623447103858</v>
      </c>
      <c r="Y26" s="41">
        <f t="shared" si="12"/>
        <v>0.19023447103856483</v>
      </c>
    </row>
    <row r="27" spans="1:25">
      <c r="M27" t="s">
        <v>45</v>
      </c>
      <c r="N27" s="43">
        <f>MIN(N3:N26)</f>
        <v>0.49999999999996436</v>
      </c>
      <c r="P27" s="30">
        <f>MIN(P3:P26)</f>
        <v>0.14099956301655503</v>
      </c>
      <c r="R27" s="31" t="b">
        <f>AND(R3:R26)</f>
        <v>1</v>
      </c>
      <c r="T27" t="s">
        <v>45</v>
      </c>
      <c r="U27" s="43">
        <f>MIN(U3:U26)</f>
        <v>0.49999999999996436</v>
      </c>
      <c r="W27" s="30" t="b">
        <f>AND(W3:W26)</f>
        <v>1</v>
      </c>
      <c r="Y27" s="42">
        <f>MIN(Y3:Y26)</f>
        <v>0.10666666542397252</v>
      </c>
    </row>
    <row r="28" spans="1:25">
      <c r="N28" s="30"/>
      <c r="R28" s="31"/>
    </row>
  </sheetData>
  <mergeCells count="6">
    <mergeCell ref="A1:D1"/>
    <mergeCell ref="M1:Q1"/>
    <mergeCell ref="T1:X1"/>
    <mergeCell ref="E1:G1"/>
    <mergeCell ref="H1:I1"/>
    <mergeCell ref="J1:K1"/>
  </mergeCells>
  <pageMargins left="0.7" right="0.7" top="0.75" bottom="0.75" header="0.3" footer="0.3"/>
  <ignoredErrors>
    <ignoredError sqref="A3" twoDigitTextYear="1"/>
    <ignoredError sqref="A26 A11:A2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7861-A178-2F47-B44F-F4D36A633F45}">
  <dimension ref="A1:L52"/>
  <sheetViews>
    <sheetView tabSelected="1" workbookViewId="0">
      <pane ySplit="2" topLeftCell="A26" activePane="bottomLeft" state="frozen"/>
      <selection pane="bottomLeft" activeCell="D59" sqref="D59"/>
    </sheetView>
  </sheetViews>
  <sheetFormatPr baseColWidth="10" defaultRowHeight="16"/>
  <cols>
    <col min="1" max="1" width="12.33203125" bestFit="1" customWidth="1"/>
    <col min="2" max="2" width="6.1640625" customWidth="1"/>
    <col min="3" max="3" width="7.33203125" bestFit="1" customWidth="1"/>
    <col min="4" max="4" width="8.6640625" customWidth="1"/>
    <col min="5" max="12" width="7.83203125" customWidth="1"/>
  </cols>
  <sheetData>
    <row r="1" spans="1:12" ht="17" thickBot="1">
      <c r="A1" s="100" t="s">
        <v>58</v>
      </c>
      <c r="B1" s="101"/>
      <c r="C1" s="101"/>
      <c r="D1" s="101"/>
      <c r="E1" s="102" t="s">
        <v>59</v>
      </c>
      <c r="F1" s="102"/>
      <c r="G1" s="102"/>
      <c r="H1" s="102"/>
      <c r="I1" s="102"/>
      <c r="J1" s="102"/>
      <c r="K1" s="102"/>
      <c r="L1" s="103"/>
    </row>
    <row r="2" spans="1:12" s="10" customFormat="1" ht="17" thickBot="1">
      <c r="A2" s="77" t="s">
        <v>47</v>
      </c>
      <c r="B2" s="79" t="s">
        <v>48</v>
      </c>
      <c r="C2" s="78" t="s">
        <v>60</v>
      </c>
      <c r="D2" s="81" t="s">
        <v>57</v>
      </c>
      <c r="E2" s="82" t="s">
        <v>49</v>
      </c>
      <c r="F2" s="80" t="s">
        <v>50</v>
      </c>
      <c r="G2" s="80" t="s">
        <v>51</v>
      </c>
      <c r="H2" s="80" t="s">
        <v>52</v>
      </c>
      <c r="I2" s="80" t="s">
        <v>53</v>
      </c>
      <c r="J2" s="80" t="s">
        <v>54</v>
      </c>
      <c r="K2" s="80" t="s">
        <v>55</v>
      </c>
      <c r="L2" s="81" t="s">
        <v>56</v>
      </c>
    </row>
    <row r="3" spans="1:12">
      <c r="A3" s="63" t="str">
        <f>_xlfn.CONCAT("G",'BSPP thread'!A3,"-int")</f>
        <v>G1/16-int</v>
      </c>
      <c r="B3" s="88">
        <f>'BSPP thread'!C3</f>
        <v>0.90700000000000003</v>
      </c>
      <c r="C3" s="84">
        <f>'BSPP thread'!$M3/2+5*$B3/(24*TAN(phi/2))*1.05</f>
        <v>3.9788848601293729</v>
      </c>
      <c r="D3" s="83">
        <f>'BSPP thread'!$M3+5*$B3/(12*TAN(phi/2))</f>
        <v>7.9214711621511862</v>
      </c>
      <c r="E3" s="66">
        <f>'BSPP thread'!$M3/2+5*$B3/(24*TAN(phi/2))*1.05-C3</f>
        <v>0</v>
      </c>
      <c r="F3" s="67">
        <f>0.46875*$B3</f>
        <v>0.42515625000000001</v>
      </c>
      <c r="G3" s="67">
        <f>E3</f>
        <v>0</v>
      </c>
      <c r="H3" s="67">
        <f>-F3</f>
        <v>-0.42515625000000001</v>
      </c>
      <c r="I3" s="67">
        <f>'BSPP thread'!$M3/2-$B3*(cinternal-TAN((PI()+phi)/4)/12*(1-SIN(phi/2)))-C3</f>
        <v>-0.56084140616326339</v>
      </c>
      <c r="J3" s="67">
        <f>-0.13701*$B3</f>
        <v>-0.12426806999999999</v>
      </c>
      <c r="K3" s="67">
        <f>I3</f>
        <v>-0.56084140616326339</v>
      </c>
      <c r="L3" s="68">
        <f>-J3</f>
        <v>0.12426806999999999</v>
      </c>
    </row>
    <row r="4" spans="1:12">
      <c r="A4" s="64" t="str">
        <f>_xlfn.CONCAT("G",'BSPP thread'!A4,"-int")</f>
        <v>G1/8-int</v>
      </c>
      <c r="B4" s="59">
        <f>'BSPP thread'!C4</f>
        <v>0.90700000000000003</v>
      </c>
      <c r="C4" s="85">
        <f>'BSPP thread'!$M4/2+5*$B4/(24*TAN(phi/2))*1.05</f>
        <v>4.9813848601293724</v>
      </c>
      <c r="D4" s="65">
        <f>'BSPP thread'!$M4+5*$B4/(12*TAN(phi/2))</f>
        <v>9.9264711621511861</v>
      </c>
      <c r="E4" s="59">
        <f>'BSPP thread'!$M4/2+5*$B4/(24*TAN(phi/2))*1.05-C4</f>
        <v>0</v>
      </c>
      <c r="F4" s="55">
        <f t="shared" ref="F4:F26" si="0">0.46875*$B4</f>
        <v>0.42515625000000001</v>
      </c>
      <c r="G4" s="55">
        <f t="shared" ref="G4:G26" si="1">E4</f>
        <v>0</v>
      </c>
      <c r="H4" s="55">
        <f t="shared" ref="H4:H26" si="2">-F4</f>
        <v>-0.42515625000000001</v>
      </c>
      <c r="I4" s="55">
        <f>'BSPP thread'!$M4/2-$B4*(cinternal-TAN((PI()+phi)/4)/12*(1-SIN(phi/2)))-C4</f>
        <v>-0.56084140616326295</v>
      </c>
      <c r="J4" s="55">
        <f t="shared" ref="J4:J26" si="3">-0.13701*$B4</f>
        <v>-0.12426806999999999</v>
      </c>
      <c r="K4" s="55">
        <f t="shared" ref="K4:K26" si="4">I4</f>
        <v>-0.56084140616326295</v>
      </c>
      <c r="L4" s="60">
        <f t="shared" ref="L4:L26" si="5">-J4</f>
        <v>0.12426806999999999</v>
      </c>
    </row>
    <row r="5" spans="1:12">
      <c r="A5" s="64" t="str">
        <f>_xlfn.CONCAT("G",'BSPP thread'!A5,"-int")</f>
        <v>G1/4-int</v>
      </c>
      <c r="B5" s="59">
        <f>'BSPP thread'!C5</f>
        <v>1.337</v>
      </c>
      <c r="C5" s="85">
        <f>'BSPP thread'!$M5/2+5*$B5/(24*TAN(phi/2))*1.05</f>
        <v>6.7435772414475981</v>
      </c>
      <c r="D5" s="65">
        <f>'BSPP thread'!$M5+5*$B5/(12*TAN(phi/2))</f>
        <v>13.433647126566854</v>
      </c>
      <c r="E5" s="59">
        <f>'BSPP thread'!$M5/2+5*$B5/(24*TAN(phi/2))*1.05-C5</f>
        <v>0</v>
      </c>
      <c r="F5" s="55">
        <f t="shared" si="0"/>
        <v>0.62671874999999999</v>
      </c>
      <c r="G5" s="55">
        <f t="shared" si="1"/>
        <v>0</v>
      </c>
      <c r="H5" s="55">
        <f t="shared" si="2"/>
        <v>-0.62671874999999999</v>
      </c>
      <c r="I5" s="55">
        <f>'BSPP thread'!$M5/2-$B5*(cinternal-TAN((PI()+phi)/4)/12*(1-SIN(phi/2)))-C5</f>
        <v>-0.82673093719987101</v>
      </c>
      <c r="J5" s="55">
        <f t="shared" si="3"/>
        <v>-0.18318236999999998</v>
      </c>
      <c r="K5" s="55">
        <f t="shared" si="4"/>
        <v>-0.82673093719987101</v>
      </c>
      <c r="L5" s="60">
        <f t="shared" si="5"/>
        <v>0.18318236999999998</v>
      </c>
    </row>
    <row r="6" spans="1:12">
      <c r="A6" s="64" t="str">
        <f>_xlfn.CONCAT("G",'BSPP thread'!A6,"-int")</f>
        <v>G3/8-int</v>
      </c>
      <c r="B6" s="59">
        <f>'BSPP thread'!C6</f>
        <v>1.337</v>
      </c>
      <c r="C6" s="85">
        <f>'BSPP thread'!$M6/2+5*$B6/(24*TAN(phi/2))*1.05</f>
        <v>8.4960772414475976</v>
      </c>
      <c r="D6" s="65">
        <f>'BSPP thread'!$M6+5*$B6/(12*TAN(phi/2))</f>
        <v>16.938647126566853</v>
      </c>
      <c r="E6" s="59">
        <f>'BSPP thread'!$M6/2+5*$B6/(24*TAN(phi/2))*1.05-C6</f>
        <v>0</v>
      </c>
      <c r="F6" s="55">
        <f t="shared" si="0"/>
        <v>0.62671874999999999</v>
      </c>
      <c r="G6" s="55">
        <f t="shared" si="1"/>
        <v>0</v>
      </c>
      <c r="H6" s="55">
        <f t="shared" si="2"/>
        <v>-0.62671874999999999</v>
      </c>
      <c r="I6" s="55">
        <f>'BSPP thread'!$M6/2-$B6*(cinternal-TAN((PI()+phi)/4)/12*(1-SIN(phi/2)))-C6</f>
        <v>-0.82673093719987101</v>
      </c>
      <c r="J6" s="55">
        <f t="shared" si="3"/>
        <v>-0.18318236999999998</v>
      </c>
      <c r="K6" s="55">
        <f t="shared" si="4"/>
        <v>-0.82673093719987101</v>
      </c>
      <c r="L6" s="60">
        <f t="shared" si="5"/>
        <v>0.18318236999999998</v>
      </c>
    </row>
    <row r="7" spans="1:12">
      <c r="A7" s="64" t="str">
        <f>_xlfn.CONCAT("G",'BSPP thread'!A7,"-int")</f>
        <v>G1/2-int</v>
      </c>
      <c r="B7" s="59">
        <f>'BSPP thread'!C7</f>
        <v>1.8140000000000001</v>
      </c>
      <c r="C7" s="85">
        <f>'BSPP thread'!$M7/2+5*$B7/(24*TAN(phi/2))*1.05</f>
        <v>10.694269720258745</v>
      </c>
      <c r="D7" s="65">
        <f>'BSPP thread'!$M7+5*$B7/(12*TAN(phi/2))</f>
        <v>21.315942324302373</v>
      </c>
      <c r="E7" s="59">
        <f>'BSPP thread'!$M7/2+5*$B7/(24*TAN(phi/2))*1.05-C7</f>
        <v>0</v>
      </c>
      <c r="F7" s="55">
        <f t="shared" si="0"/>
        <v>0.85031250000000003</v>
      </c>
      <c r="G7" s="55">
        <f t="shared" si="1"/>
        <v>0</v>
      </c>
      <c r="H7" s="55">
        <f t="shared" si="2"/>
        <v>-0.85031250000000003</v>
      </c>
      <c r="I7" s="55">
        <f>'BSPP thread'!$M7/2-$B7*(cinternal-TAN((PI()+phi)/4)/12*(1-SIN(phi/2)))-C7</f>
        <v>-1.1216828123265259</v>
      </c>
      <c r="J7" s="55">
        <f t="shared" si="3"/>
        <v>-0.24853613999999999</v>
      </c>
      <c r="K7" s="55">
        <f t="shared" si="4"/>
        <v>-1.1216828123265259</v>
      </c>
      <c r="L7" s="60">
        <f t="shared" si="5"/>
        <v>0.24853613999999999</v>
      </c>
    </row>
    <row r="8" spans="1:12">
      <c r="A8" s="64" t="str">
        <f>_xlfn.CONCAT("G",'BSPP thread'!A8,"-int")</f>
        <v>G5/8-int</v>
      </c>
      <c r="B8" s="59">
        <f>'BSPP thread'!C8</f>
        <v>1.8140000000000001</v>
      </c>
      <c r="C8" s="85">
        <f>'BSPP thread'!$M8/2+5*$B8/(24*TAN(phi/2))*1.05</f>
        <v>11.672269720258747</v>
      </c>
      <c r="D8" s="65">
        <f>'BSPP thread'!$M8+5*$B8/(12*TAN(phi/2))</f>
        <v>23.271942324302373</v>
      </c>
      <c r="E8" s="59">
        <f>'BSPP thread'!$M8/2+5*$B8/(24*TAN(phi/2))*1.05-C8</f>
        <v>0</v>
      </c>
      <c r="F8" s="55">
        <f t="shared" si="0"/>
        <v>0.85031250000000003</v>
      </c>
      <c r="G8" s="55">
        <f t="shared" si="1"/>
        <v>0</v>
      </c>
      <c r="H8" s="55">
        <f t="shared" si="2"/>
        <v>-0.85031250000000003</v>
      </c>
      <c r="I8" s="55">
        <f>'BSPP thread'!$M8/2-$B8*(cinternal-TAN((PI()+phi)/4)/12*(1-SIN(phi/2)))-C8</f>
        <v>-1.1216828123265277</v>
      </c>
      <c r="J8" s="55">
        <f t="shared" si="3"/>
        <v>-0.24853613999999999</v>
      </c>
      <c r="K8" s="55">
        <f t="shared" si="4"/>
        <v>-1.1216828123265277</v>
      </c>
      <c r="L8" s="60">
        <f t="shared" si="5"/>
        <v>0.24853613999999999</v>
      </c>
    </row>
    <row r="9" spans="1:12">
      <c r="A9" s="64" t="str">
        <f>_xlfn.CONCAT("G",'BSPP thread'!A9,"-int")</f>
        <v>G3/4-int</v>
      </c>
      <c r="B9" s="59">
        <f>'BSPP thread'!C9</f>
        <v>1.8140000000000001</v>
      </c>
      <c r="C9" s="85">
        <f>'BSPP thread'!$M9/2+5*$B9/(24*TAN(phi/2))*1.05</f>
        <v>13.437269720258747</v>
      </c>
      <c r="D9" s="65">
        <f>'BSPP thread'!$M9+5*$B9/(12*TAN(phi/2))</f>
        <v>26.801942324302374</v>
      </c>
      <c r="E9" s="59">
        <f>'BSPP thread'!$M9/2+5*$B9/(24*TAN(phi/2))*1.05-C9</f>
        <v>0</v>
      </c>
      <c r="F9" s="55">
        <f t="shared" si="0"/>
        <v>0.85031250000000003</v>
      </c>
      <c r="G9" s="55">
        <f t="shared" si="1"/>
        <v>0</v>
      </c>
      <c r="H9" s="55">
        <f t="shared" si="2"/>
        <v>-0.85031250000000003</v>
      </c>
      <c r="I9" s="55">
        <f>'BSPP thread'!$M9/2-$B9*(cinternal-TAN((PI()+phi)/4)/12*(1-SIN(phi/2)))-C9</f>
        <v>-1.1216828123265277</v>
      </c>
      <c r="J9" s="55">
        <f t="shared" si="3"/>
        <v>-0.24853613999999999</v>
      </c>
      <c r="K9" s="55">
        <f t="shared" si="4"/>
        <v>-1.1216828123265277</v>
      </c>
      <c r="L9" s="60">
        <f t="shared" si="5"/>
        <v>0.24853613999999999</v>
      </c>
    </row>
    <row r="10" spans="1:12">
      <c r="A10" s="64" t="str">
        <f>_xlfn.CONCAT("G",'BSPP thread'!A10,"-int")</f>
        <v>G7/8-int</v>
      </c>
      <c r="B10" s="59">
        <f>'BSPP thread'!C10</f>
        <v>1.8140000000000001</v>
      </c>
      <c r="C10" s="85">
        <f>'BSPP thread'!$M10/2+5*$B10/(24*TAN(phi/2))*1.05</f>
        <v>15.317269720258746</v>
      </c>
      <c r="D10" s="65">
        <f>'BSPP thread'!$M10+5*$B10/(12*TAN(phi/2))</f>
        <v>30.561942324302375</v>
      </c>
      <c r="E10" s="59">
        <f>'BSPP thread'!$M10/2+5*$B10/(24*TAN(phi/2))*1.05-C10</f>
        <v>0</v>
      </c>
      <c r="F10" s="55">
        <f t="shared" si="0"/>
        <v>0.85031250000000003</v>
      </c>
      <c r="G10" s="55">
        <f t="shared" si="1"/>
        <v>0</v>
      </c>
      <c r="H10" s="55">
        <f t="shared" si="2"/>
        <v>-0.85031250000000003</v>
      </c>
      <c r="I10" s="55">
        <f>'BSPP thread'!$M10/2-$B10*(cinternal-TAN((PI()+phi)/4)/12*(1-SIN(phi/2)))-C10</f>
        <v>-1.1216828123265259</v>
      </c>
      <c r="J10" s="55">
        <f t="shared" si="3"/>
        <v>-0.24853613999999999</v>
      </c>
      <c r="K10" s="55">
        <f t="shared" si="4"/>
        <v>-1.1216828123265259</v>
      </c>
      <c r="L10" s="60">
        <f t="shared" si="5"/>
        <v>0.24853613999999999</v>
      </c>
    </row>
    <row r="11" spans="1:12">
      <c r="A11" s="64" t="str">
        <f>_xlfn.CONCAT("G",'BSPP thread'!A11,"-int")</f>
        <v>G1-int</v>
      </c>
      <c r="B11" s="59">
        <f>'BSPP thread'!C11</f>
        <v>2.3090000000000002</v>
      </c>
      <c r="C11" s="85">
        <f>'BSPP thread'!$M11/2+5*$B11/(24*TAN(phi/2))*1.05</f>
        <v>16.900276066194841</v>
      </c>
      <c r="D11" s="65">
        <f>'BSPP thread'!$M11+5*$B11/(12*TAN(phi/2))</f>
        <v>33.708144887990173</v>
      </c>
      <c r="E11" s="59">
        <f>'BSPP thread'!$M11/2+5*$B11/(24*TAN(phi/2))*1.05-C11</f>
        <v>0</v>
      </c>
      <c r="F11" s="55">
        <f t="shared" si="0"/>
        <v>1.0823437500000002</v>
      </c>
      <c r="G11" s="55">
        <f t="shared" si="1"/>
        <v>0</v>
      </c>
      <c r="H11" s="55">
        <f t="shared" si="2"/>
        <v>-1.0823437500000002</v>
      </c>
      <c r="I11" s="55">
        <f>'BSPP thread'!$M11/2-$B11*(cinternal-TAN((PI()+phi)/4)/12*(1-SIN(phi/2)))-C11</f>
        <v>-1.4277649468919229</v>
      </c>
      <c r="J11" s="55">
        <f t="shared" si="3"/>
        <v>-0.31635608999999998</v>
      </c>
      <c r="K11" s="55">
        <f t="shared" si="4"/>
        <v>-1.4277649468919229</v>
      </c>
      <c r="L11" s="60">
        <f t="shared" si="5"/>
        <v>0.31635608999999998</v>
      </c>
    </row>
    <row r="12" spans="1:12">
      <c r="A12" s="64" t="str">
        <f>_xlfn.CONCAT("G",'BSPP thread'!A12,"-int")</f>
        <v>G1 1/8-int</v>
      </c>
      <c r="B12" s="59">
        <f>'BSPP thread'!C12</f>
        <v>2.3090000000000002</v>
      </c>
      <c r="C12" s="85">
        <f>'BSPP thread'!$M12/2+5*$B12/(24*TAN(phi/2))*1.05</f>
        <v>19.224276066194843</v>
      </c>
      <c r="D12" s="65">
        <f>'BSPP thread'!$M12+5*$B12/(12*TAN(phi/2))</f>
        <v>38.356144887990176</v>
      </c>
      <c r="E12" s="59">
        <f>'BSPP thread'!$M12/2+5*$B12/(24*TAN(phi/2))*1.05-C12</f>
        <v>0</v>
      </c>
      <c r="F12" s="55">
        <f t="shared" si="0"/>
        <v>1.0823437500000002</v>
      </c>
      <c r="G12" s="55">
        <f t="shared" si="1"/>
        <v>0</v>
      </c>
      <c r="H12" s="55">
        <f t="shared" si="2"/>
        <v>-1.0823437500000002</v>
      </c>
      <c r="I12" s="55">
        <f>'BSPP thread'!$M12/2-$B12*(cinternal-TAN((PI()+phi)/4)/12*(1-SIN(phi/2)))-C12</f>
        <v>-1.4277649468919229</v>
      </c>
      <c r="J12" s="55">
        <f t="shared" si="3"/>
        <v>-0.31635608999999998</v>
      </c>
      <c r="K12" s="55">
        <f t="shared" si="4"/>
        <v>-1.4277649468919229</v>
      </c>
      <c r="L12" s="60">
        <f t="shared" si="5"/>
        <v>0.31635608999999998</v>
      </c>
    </row>
    <row r="13" spans="1:12">
      <c r="A13" s="64" t="str">
        <f>_xlfn.CONCAT("G",'BSPP thread'!A13,"-int")</f>
        <v>G1 1/4-int</v>
      </c>
      <c r="B13" s="59">
        <f>'BSPP thread'!C13</f>
        <v>2.3090000000000002</v>
      </c>
      <c r="C13" s="85">
        <f>'BSPP thread'!$M13/2+5*$B13/(24*TAN(phi/2))*1.05</f>
        <v>21.230776066194842</v>
      </c>
      <c r="D13" s="65">
        <f>'BSPP thread'!$M13+5*$B13/(12*TAN(phi/2))</f>
        <v>42.369144887990174</v>
      </c>
      <c r="E13" s="59">
        <f>'BSPP thread'!$M13/2+5*$B13/(24*TAN(phi/2))*1.05-C13</f>
        <v>0</v>
      </c>
      <c r="F13" s="55">
        <f t="shared" si="0"/>
        <v>1.0823437500000002</v>
      </c>
      <c r="G13" s="55">
        <f t="shared" si="1"/>
        <v>0</v>
      </c>
      <c r="H13" s="55">
        <f t="shared" si="2"/>
        <v>-1.0823437500000002</v>
      </c>
      <c r="I13" s="55">
        <f>'BSPP thread'!$M13/2-$B13*(cinternal-TAN((PI()+phi)/4)/12*(1-SIN(phi/2)))-C13</f>
        <v>-1.4277649468919229</v>
      </c>
      <c r="J13" s="55">
        <f t="shared" si="3"/>
        <v>-0.31635608999999998</v>
      </c>
      <c r="K13" s="55">
        <f t="shared" si="4"/>
        <v>-1.4277649468919229</v>
      </c>
      <c r="L13" s="60">
        <f t="shared" si="5"/>
        <v>0.31635608999999998</v>
      </c>
    </row>
    <row r="14" spans="1:12">
      <c r="A14" s="64" t="str">
        <f>_xlfn.CONCAT("G",'BSPP thread'!A14,"-int")</f>
        <v>G1 1/2-int</v>
      </c>
      <c r="B14" s="59">
        <f>'BSPP thread'!C14</f>
        <v>2.3090000000000002</v>
      </c>
      <c r="C14" s="85">
        <f>'BSPP thread'!$M14/2+5*$B14/(24*TAN(phi/2))*1.05</f>
        <v>24.177276066194842</v>
      </c>
      <c r="D14" s="65">
        <f>'BSPP thread'!$M14+5*$B14/(12*TAN(phi/2))</f>
        <v>48.262144887990175</v>
      </c>
      <c r="E14" s="59">
        <f>'BSPP thread'!$M14/2+5*$B14/(24*TAN(phi/2))*1.05-C14</f>
        <v>0</v>
      </c>
      <c r="F14" s="55">
        <f t="shared" si="0"/>
        <v>1.0823437500000002</v>
      </c>
      <c r="G14" s="55">
        <f t="shared" si="1"/>
        <v>0</v>
      </c>
      <c r="H14" s="55">
        <f t="shared" si="2"/>
        <v>-1.0823437500000002</v>
      </c>
      <c r="I14" s="55">
        <f>'BSPP thread'!$M14/2-$B14*(cinternal-TAN((PI()+phi)/4)/12*(1-SIN(phi/2)))-C14</f>
        <v>-1.4277649468919229</v>
      </c>
      <c r="J14" s="55">
        <f t="shared" si="3"/>
        <v>-0.31635608999999998</v>
      </c>
      <c r="K14" s="55">
        <f t="shared" si="4"/>
        <v>-1.4277649468919229</v>
      </c>
      <c r="L14" s="60">
        <f t="shared" si="5"/>
        <v>0.31635608999999998</v>
      </c>
    </row>
    <row r="15" spans="1:12">
      <c r="A15" s="64" t="str">
        <f>_xlfn.CONCAT("G",'BSPP thread'!A15,"-int")</f>
        <v>G1 3/4-int</v>
      </c>
      <c r="B15" s="59">
        <f>'BSPP thread'!C15</f>
        <v>2.3090000000000002</v>
      </c>
      <c r="C15" s="85">
        <f>'BSPP thread'!$M15/2+5*$B15/(24*TAN(phi/2))*1.05</f>
        <v>27.148776066194845</v>
      </c>
      <c r="D15" s="65">
        <f>'BSPP thread'!$M15+5*$B15/(12*TAN(phi/2))</f>
        <v>54.20514488799018</v>
      </c>
      <c r="E15" s="59">
        <f>'BSPP thread'!$M15/2+5*$B15/(24*TAN(phi/2))*1.05-C15</f>
        <v>0</v>
      </c>
      <c r="F15" s="55">
        <f t="shared" si="0"/>
        <v>1.0823437500000002</v>
      </c>
      <c r="G15" s="55">
        <f t="shared" si="1"/>
        <v>0</v>
      </c>
      <c r="H15" s="55">
        <f t="shared" si="2"/>
        <v>-1.0823437500000002</v>
      </c>
      <c r="I15" s="55">
        <f>'BSPP thread'!$M15/2-$B15*(cinternal-TAN((PI()+phi)/4)/12*(1-SIN(phi/2)))-C15</f>
        <v>-1.4277649468919229</v>
      </c>
      <c r="J15" s="55">
        <f t="shared" si="3"/>
        <v>-0.31635608999999998</v>
      </c>
      <c r="K15" s="55">
        <f t="shared" si="4"/>
        <v>-1.4277649468919229</v>
      </c>
      <c r="L15" s="60">
        <f t="shared" si="5"/>
        <v>0.31635608999999998</v>
      </c>
    </row>
    <row r="16" spans="1:12">
      <c r="A16" s="64" t="str">
        <f>_xlfn.CONCAT("G",'BSPP thread'!A16,"-int")</f>
        <v>G2-int</v>
      </c>
      <c r="B16" s="59">
        <f>'BSPP thread'!C16</f>
        <v>2.3090000000000002</v>
      </c>
      <c r="C16" s="85">
        <f>'BSPP thread'!$M16/2+5*$B16/(24*TAN(phi/2))*1.05</f>
        <v>30.082776066194842</v>
      </c>
      <c r="D16" s="65">
        <f>'BSPP thread'!$M16+5*$B16/(12*TAN(phi/2))</f>
        <v>60.073144887990175</v>
      </c>
      <c r="E16" s="59">
        <f>'BSPP thread'!$M16/2+5*$B16/(24*TAN(phi/2))*1.05-C16</f>
        <v>0</v>
      </c>
      <c r="F16" s="55">
        <f t="shared" si="0"/>
        <v>1.0823437500000002</v>
      </c>
      <c r="G16" s="55">
        <f t="shared" si="1"/>
        <v>0</v>
      </c>
      <c r="H16" s="55">
        <f t="shared" si="2"/>
        <v>-1.0823437500000002</v>
      </c>
      <c r="I16" s="55">
        <f>'BSPP thread'!$M16/2-$B16*(cinternal-TAN((PI()+phi)/4)/12*(1-SIN(phi/2)))-C16</f>
        <v>-1.4277649468919229</v>
      </c>
      <c r="J16" s="55">
        <f t="shared" si="3"/>
        <v>-0.31635608999999998</v>
      </c>
      <c r="K16" s="55">
        <f t="shared" si="4"/>
        <v>-1.4277649468919229</v>
      </c>
      <c r="L16" s="60">
        <f t="shared" si="5"/>
        <v>0.31635608999999998</v>
      </c>
    </row>
    <row r="17" spans="1:12">
      <c r="A17" s="64" t="str">
        <f>_xlfn.CONCAT("G",'BSPP thread'!A17,"-int")</f>
        <v>G2 1/4-int</v>
      </c>
      <c r="B17" s="59">
        <f>'BSPP thread'!C17</f>
        <v>2.3090000000000002</v>
      </c>
      <c r="C17" s="85">
        <f>'BSPP thread'!$M17/2+5*$B17/(24*TAN(phi/2))*1.05</f>
        <v>33.140026066194842</v>
      </c>
      <c r="D17" s="65">
        <f>'BSPP thread'!$M17+5*$B17/(12*TAN(phi/2))</f>
        <v>66.187644887990174</v>
      </c>
      <c r="E17" s="59">
        <f>'BSPP thread'!$M17/2+5*$B17/(24*TAN(phi/2))*1.05-C17</f>
        <v>0</v>
      </c>
      <c r="F17" s="55">
        <f t="shared" si="0"/>
        <v>1.0823437500000002</v>
      </c>
      <c r="G17" s="55">
        <f t="shared" si="1"/>
        <v>0</v>
      </c>
      <c r="H17" s="55">
        <f t="shared" si="2"/>
        <v>-1.0823437500000002</v>
      </c>
      <c r="I17" s="55">
        <f>'BSPP thread'!$M17/2-$B17*(cinternal-TAN((PI()+phi)/4)/12*(1-SIN(phi/2)))-C17</f>
        <v>-1.4277649468919229</v>
      </c>
      <c r="J17" s="55">
        <f t="shared" si="3"/>
        <v>-0.31635608999999998</v>
      </c>
      <c r="K17" s="55">
        <f t="shared" si="4"/>
        <v>-1.4277649468919229</v>
      </c>
      <c r="L17" s="60">
        <f t="shared" si="5"/>
        <v>0.31635608999999998</v>
      </c>
    </row>
    <row r="18" spans="1:12">
      <c r="A18" s="64" t="str">
        <f>_xlfn.CONCAT("G",'BSPP thread'!A18,"-int")</f>
        <v>G2 1/2-int</v>
      </c>
      <c r="B18" s="59">
        <f>'BSPP thread'!C18</f>
        <v>2.3090000000000002</v>
      </c>
      <c r="C18" s="85">
        <f>'BSPP thread'!$M18/2+5*$B18/(24*TAN(phi/2))*1.05</f>
        <v>37.877026066194844</v>
      </c>
      <c r="D18" s="65">
        <f>'BSPP thread'!$M18+5*$B18/(12*TAN(phi/2))</f>
        <v>75.661644887990178</v>
      </c>
      <c r="E18" s="59">
        <f>'BSPP thread'!$M18/2+5*$B18/(24*TAN(phi/2))*1.05-C18</f>
        <v>0</v>
      </c>
      <c r="F18" s="55">
        <f t="shared" si="0"/>
        <v>1.0823437500000002</v>
      </c>
      <c r="G18" s="55">
        <f t="shared" si="1"/>
        <v>0</v>
      </c>
      <c r="H18" s="55">
        <f t="shared" si="2"/>
        <v>-1.0823437500000002</v>
      </c>
      <c r="I18" s="55">
        <f>'BSPP thread'!$M18/2-$B18*(cinternal-TAN((PI()+phi)/4)/12*(1-SIN(phi/2)))-C18</f>
        <v>-1.4277649468919265</v>
      </c>
      <c r="J18" s="55">
        <f t="shared" si="3"/>
        <v>-0.31635608999999998</v>
      </c>
      <c r="K18" s="55">
        <f t="shared" si="4"/>
        <v>-1.4277649468919265</v>
      </c>
      <c r="L18" s="60">
        <f t="shared" si="5"/>
        <v>0.31635608999999998</v>
      </c>
    </row>
    <row r="19" spans="1:12">
      <c r="A19" s="64" t="str">
        <f>_xlfn.CONCAT("G",'BSPP thread'!A19,"-int")</f>
        <v>G2 3/4-int</v>
      </c>
      <c r="B19" s="59">
        <f>'BSPP thread'!C19</f>
        <v>2.3090000000000002</v>
      </c>
      <c r="C19" s="85">
        <f>'BSPP thread'!$M19/2+5*$B19/(24*TAN(phi/2))*1.05</f>
        <v>41.052026066194848</v>
      </c>
      <c r="D19" s="65">
        <f>'BSPP thread'!$M19+5*$B19/(12*TAN(phi/2))</f>
        <v>82.011644887990187</v>
      </c>
      <c r="E19" s="59">
        <f>'BSPP thread'!$M19/2+5*$B19/(24*TAN(phi/2))*1.05-C19</f>
        <v>0</v>
      </c>
      <c r="F19" s="55">
        <f t="shared" si="0"/>
        <v>1.0823437500000002</v>
      </c>
      <c r="G19" s="55">
        <f t="shared" si="1"/>
        <v>0</v>
      </c>
      <c r="H19" s="55">
        <f t="shared" si="2"/>
        <v>-1.0823437500000002</v>
      </c>
      <c r="I19" s="55">
        <f>'BSPP thread'!$M19/2-$B19*(cinternal-TAN((PI()+phi)/4)/12*(1-SIN(phi/2)))-C19</f>
        <v>-1.4277649468919265</v>
      </c>
      <c r="J19" s="55">
        <f t="shared" si="3"/>
        <v>-0.31635608999999998</v>
      </c>
      <c r="K19" s="55">
        <f t="shared" si="4"/>
        <v>-1.4277649468919265</v>
      </c>
      <c r="L19" s="60">
        <f t="shared" si="5"/>
        <v>0.31635608999999998</v>
      </c>
    </row>
    <row r="20" spans="1:12">
      <c r="A20" s="64" t="str">
        <f>_xlfn.CONCAT("G",'BSPP thread'!A20,"-int")</f>
        <v>G3-int</v>
      </c>
      <c r="B20" s="59">
        <f>'BSPP thread'!C20</f>
        <v>2.3090000000000002</v>
      </c>
      <c r="C20" s="85">
        <f>'BSPP thread'!$M20/2+5*$B20/(24*TAN(phi/2))*1.05</f>
        <v>44.227026066194846</v>
      </c>
      <c r="D20" s="65">
        <f>'BSPP thread'!$M20+5*$B20/(12*TAN(phi/2))</f>
        <v>88.361644887990181</v>
      </c>
      <c r="E20" s="59">
        <f>'BSPP thread'!$M20/2+5*$B20/(24*TAN(phi/2))*1.05-C20</f>
        <v>0</v>
      </c>
      <c r="F20" s="55">
        <f t="shared" si="0"/>
        <v>1.0823437500000002</v>
      </c>
      <c r="G20" s="55">
        <f t="shared" si="1"/>
        <v>0</v>
      </c>
      <c r="H20" s="55">
        <f t="shared" si="2"/>
        <v>-1.0823437500000002</v>
      </c>
      <c r="I20" s="55">
        <f>'BSPP thread'!$M20/2-$B20*(cinternal-TAN((PI()+phi)/4)/12*(1-SIN(phi/2)))-C20</f>
        <v>-1.4277649468919265</v>
      </c>
      <c r="J20" s="55">
        <f t="shared" si="3"/>
        <v>-0.31635608999999998</v>
      </c>
      <c r="K20" s="55">
        <f t="shared" si="4"/>
        <v>-1.4277649468919265</v>
      </c>
      <c r="L20" s="60">
        <f t="shared" si="5"/>
        <v>0.31635608999999998</v>
      </c>
    </row>
    <row r="21" spans="1:12">
      <c r="A21" s="64" t="str">
        <f>_xlfn.CONCAT("G",'BSPP thread'!A21,"-int")</f>
        <v>G3 1/2-int</v>
      </c>
      <c r="B21" s="59">
        <f>'BSPP thread'!C21</f>
        <v>2.3090000000000002</v>
      </c>
      <c r="C21" s="85">
        <f>'BSPP thread'!$M21/2+5*$B21/(24*TAN(phi/2))*1.05</f>
        <v>50.450026066194845</v>
      </c>
      <c r="D21" s="65">
        <f>'BSPP thread'!$M21+5*$B21/(12*TAN(phi/2))</f>
        <v>100.80764488799018</v>
      </c>
      <c r="E21" s="59">
        <f>'BSPP thread'!$M21/2+5*$B21/(24*TAN(phi/2))*1.05-C21</f>
        <v>0</v>
      </c>
      <c r="F21" s="55">
        <f t="shared" si="0"/>
        <v>1.0823437500000002</v>
      </c>
      <c r="G21" s="55">
        <f t="shared" si="1"/>
        <v>0</v>
      </c>
      <c r="H21" s="55">
        <f t="shared" si="2"/>
        <v>-1.0823437500000002</v>
      </c>
      <c r="I21" s="55">
        <f>'BSPP thread'!$M21/2-$B21*(cinternal-TAN((PI()+phi)/4)/12*(1-SIN(phi/2)))-C21</f>
        <v>-1.4277649468919265</v>
      </c>
      <c r="J21" s="55">
        <f t="shared" si="3"/>
        <v>-0.31635608999999998</v>
      </c>
      <c r="K21" s="55">
        <f t="shared" si="4"/>
        <v>-1.4277649468919265</v>
      </c>
      <c r="L21" s="60">
        <f t="shared" si="5"/>
        <v>0.31635608999999998</v>
      </c>
    </row>
    <row r="22" spans="1:12">
      <c r="A22" s="64" t="str">
        <f>_xlfn.CONCAT("G",'BSPP thread'!A22,"-int")</f>
        <v>G4-int</v>
      </c>
      <c r="B22" s="59">
        <f>'BSPP thread'!C22</f>
        <v>2.3090000000000002</v>
      </c>
      <c r="C22" s="85">
        <f>'BSPP thread'!$M22/2+5*$B22/(24*TAN(phi/2))*1.05</f>
        <v>56.800026066194846</v>
      </c>
      <c r="D22" s="65">
        <f>'BSPP thread'!$M22+5*$B22/(12*TAN(phi/2))</f>
        <v>113.50764488799018</v>
      </c>
      <c r="E22" s="59">
        <f>'BSPP thread'!$M22/2+5*$B22/(24*TAN(phi/2))*1.05-C22</f>
        <v>0</v>
      </c>
      <c r="F22" s="55">
        <f t="shared" si="0"/>
        <v>1.0823437500000002</v>
      </c>
      <c r="G22" s="55">
        <f t="shared" si="1"/>
        <v>0</v>
      </c>
      <c r="H22" s="55">
        <f t="shared" si="2"/>
        <v>-1.0823437500000002</v>
      </c>
      <c r="I22" s="55">
        <f>'BSPP thread'!$M22/2-$B22*(cinternal-TAN((PI()+phi)/4)/12*(1-SIN(phi/2)))-C22</f>
        <v>-1.4277649468919265</v>
      </c>
      <c r="J22" s="55">
        <f t="shared" si="3"/>
        <v>-0.31635608999999998</v>
      </c>
      <c r="K22" s="55">
        <f t="shared" si="4"/>
        <v>-1.4277649468919265</v>
      </c>
      <c r="L22" s="60">
        <f t="shared" si="5"/>
        <v>0.31635608999999998</v>
      </c>
    </row>
    <row r="23" spans="1:12">
      <c r="A23" s="64" t="str">
        <f>_xlfn.CONCAT("G",'BSPP thread'!A23,"-int")</f>
        <v>G4 1/2-int</v>
      </c>
      <c r="B23" s="59">
        <f>'BSPP thread'!C23</f>
        <v>2.3090000000000002</v>
      </c>
      <c r="C23" s="85">
        <f>'BSPP thread'!$M23/2+5*$B23/(24*TAN(phi/2))*1.05</f>
        <v>63.150026066194847</v>
      </c>
      <c r="D23" s="65">
        <f>'BSPP thread'!$M23+5*$B23/(12*TAN(phi/2))</f>
        <v>126.20764488799018</v>
      </c>
      <c r="E23" s="59">
        <f>'BSPP thread'!$M23/2+5*$B23/(24*TAN(phi/2))*1.05-C23</f>
        <v>0</v>
      </c>
      <c r="F23" s="55">
        <f t="shared" si="0"/>
        <v>1.0823437500000002</v>
      </c>
      <c r="G23" s="55">
        <f t="shared" si="1"/>
        <v>0</v>
      </c>
      <c r="H23" s="55">
        <f t="shared" si="2"/>
        <v>-1.0823437500000002</v>
      </c>
      <c r="I23" s="55">
        <f>'BSPP thread'!$M23/2-$B23*(cinternal-TAN((PI()+phi)/4)/12*(1-SIN(phi/2)))-C23</f>
        <v>-1.4277649468919265</v>
      </c>
      <c r="J23" s="55">
        <f t="shared" si="3"/>
        <v>-0.31635608999999998</v>
      </c>
      <c r="K23" s="55">
        <f t="shared" si="4"/>
        <v>-1.4277649468919265</v>
      </c>
      <c r="L23" s="60">
        <f t="shared" si="5"/>
        <v>0.31635608999999998</v>
      </c>
    </row>
    <row r="24" spans="1:12">
      <c r="A24" s="64" t="str">
        <f>_xlfn.CONCAT("G",'BSPP thread'!A24,"-int")</f>
        <v>G5-int</v>
      </c>
      <c r="B24" s="59">
        <f>'BSPP thread'!C24</f>
        <v>2.3090000000000002</v>
      </c>
      <c r="C24" s="85">
        <f>'BSPP thread'!$M24/2+5*$B24/(24*TAN(phi/2))*1.05</f>
        <v>69.500026066194835</v>
      </c>
      <c r="D24" s="65">
        <f>'BSPP thread'!$M24+5*$B24/(12*TAN(phi/2))</f>
        <v>138.90764488799016</v>
      </c>
      <c r="E24" s="59">
        <f>'BSPP thread'!$M24/2+5*$B24/(24*TAN(phi/2))*1.05-C24</f>
        <v>0</v>
      </c>
      <c r="F24" s="55">
        <f t="shared" si="0"/>
        <v>1.0823437500000002</v>
      </c>
      <c r="G24" s="55">
        <f t="shared" si="1"/>
        <v>0</v>
      </c>
      <c r="H24" s="55">
        <f t="shared" si="2"/>
        <v>-1.0823437500000002</v>
      </c>
      <c r="I24" s="55">
        <f>'BSPP thread'!$M24/2-$B24*(cinternal-TAN((PI()+phi)/4)/12*(1-SIN(phi/2)))-C24</f>
        <v>-1.4277649468919265</v>
      </c>
      <c r="J24" s="55">
        <f t="shared" si="3"/>
        <v>-0.31635608999999998</v>
      </c>
      <c r="K24" s="55">
        <f t="shared" si="4"/>
        <v>-1.4277649468919265</v>
      </c>
      <c r="L24" s="60">
        <f t="shared" si="5"/>
        <v>0.31635608999999998</v>
      </c>
    </row>
    <row r="25" spans="1:12">
      <c r="A25" s="64" t="str">
        <f>_xlfn.CONCAT("G",'BSPP thread'!A25,"-int")</f>
        <v>G5 1/2-int</v>
      </c>
      <c r="B25" s="59">
        <f>'BSPP thread'!C25</f>
        <v>2.3090000000000002</v>
      </c>
      <c r="C25" s="85">
        <f>'BSPP thread'!$M25/2+5*$B25/(24*TAN(phi/2))*1.05</f>
        <v>75.850026066194843</v>
      </c>
      <c r="D25" s="65">
        <f>'BSPP thread'!$M25+5*$B25/(12*TAN(phi/2))</f>
        <v>151.60764488799018</v>
      </c>
      <c r="E25" s="59">
        <f>'BSPP thread'!$M25/2+5*$B25/(24*TAN(phi/2))*1.05-C25</f>
        <v>0</v>
      </c>
      <c r="F25" s="55">
        <f t="shared" si="0"/>
        <v>1.0823437500000002</v>
      </c>
      <c r="G25" s="55">
        <f t="shared" si="1"/>
        <v>0</v>
      </c>
      <c r="H25" s="55">
        <f t="shared" si="2"/>
        <v>-1.0823437500000002</v>
      </c>
      <c r="I25" s="55">
        <f>'BSPP thread'!$M25/2-$B25*(cinternal-TAN((PI()+phi)/4)/12*(1-SIN(phi/2)))-C25</f>
        <v>-1.4277649468919265</v>
      </c>
      <c r="J25" s="55">
        <f t="shared" si="3"/>
        <v>-0.31635608999999998</v>
      </c>
      <c r="K25" s="55">
        <f t="shared" si="4"/>
        <v>-1.4277649468919265</v>
      </c>
      <c r="L25" s="60">
        <f t="shared" si="5"/>
        <v>0.31635608999999998</v>
      </c>
    </row>
    <row r="26" spans="1:12" ht="17" thickBot="1">
      <c r="A26" s="72" t="str">
        <f>_xlfn.CONCAT("G",'BSPP thread'!A26,"-int")</f>
        <v>G6-int</v>
      </c>
      <c r="B26" s="69">
        <f>'BSPP thread'!C26</f>
        <v>2.3090000000000002</v>
      </c>
      <c r="C26" s="86">
        <f>'BSPP thread'!$M26/2+5*$B26/(24*TAN(phi/2))*1.05</f>
        <v>82.200026066194837</v>
      </c>
      <c r="D26" s="70">
        <f>'BSPP thread'!$M26+5*$B26/(12*TAN(phi/2))</f>
        <v>164.30764488799016</v>
      </c>
      <c r="E26" s="69">
        <f>'BSPP thread'!$M26/2+5*$B26/(24*TAN(phi/2))*1.05-C26</f>
        <v>0</v>
      </c>
      <c r="F26" s="71">
        <f t="shared" si="0"/>
        <v>1.0823437500000002</v>
      </c>
      <c r="G26" s="71">
        <f t="shared" si="1"/>
        <v>0</v>
      </c>
      <c r="H26" s="71">
        <f t="shared" si="2"/>
        <v>-1.0823437500000002</v>
      </c>
      <c r="I26" s="71">
        <f>'BSPP thread'!$M26/2-$B26*(cinternal-TAN((PI()+phi)/4)/12*(1-SIN(phi/2)))-C26</f>
        <v>-1.4277649468919265</v>
      </c>
      <c r="J26" s="71">
        <f t="shared" si="3"/>
        <v>-0.31635608999999998</v>
      </c>
      <c r="K26" s="71">
        <f t="shared" si="4"/>
        <v>-1.4277649468919265</v>
      </c>
      <c r="L26" s="73">
        <f t="shared" si="5"/>
        <v>0.31635608999999998</v>
      </c>
    </row>
    <row r="27" spans="1:12">
      <c r="A27" s="63" t="str">
        <f>_xlfn.CONCAT("G",'BSPP thread'!A3,"-ext")</f>
        <v>G1/16-ext</v>
      </c>
      <c r="B27" s="56">
        <f>'BSPP thread'!C3</f>
        <v>0.90700000000000003</v>
      </c>
      <c r="C27" s="87">
        <f>'BSPP thread'!$M3/2-5*$B27/(24*TAN(phi/2))*1.05</f>
        <v>3.2166151398706271</v>
      </c>
      <c r="D27" s="76">
        <f>'BSPP thread'!$M3-5*$B27/(12*TAN(phi/2))</f>
        <v>6.4695288378488138</v>
      </c>
      <c r="E27" s="74">
        <f>'BSPP thread'!$M3/2-5*$B27/(24*TAN(phi/2))*1.05-C27</f>
        <v>0</v>
      </c>
      <c r="F27" s="57">
        <f>-0.46875*$B27</f>
        <v>-0.42515625000000001</v>
      </c>
      <c r="G27" s="57">
        <f>E27</f>
        <v>0</v>
      </c>
      <c r="H27" s="57">
        <f t="shared" ref="H27" si="6">-F27</f>
        <v>0.42515625000000001</v>
      </c>
      <c r="I27" s="57">
        <f>'BSPP thread'!$M3/2+$B27*(cexternal-TAN((PI()+phi)/4)/12*(1-SIN(phi/2)))-C27</f>
        <v>0.57800829101097984</v>
      </c>
      <c r="J27" s="57">
        <f>0.13701*$B27</f>
        <v>0.12426806999999999</v>
      </c>
      <c r="K27" s="57">
        <f>I27</f>
        <v>0.57800829101097984</v>
      </c>
      <c r="L27" s="58">
        <f t="shared" ref="L27" si="7">-J27</f>
        <v>-0.12426806999999999</v>
      </c>
    </row>
    <row r="28" spans="1:12">
      <c r="A28" s="64" t="str">
        <f>_xlfn.CONCAT("G",'BSPP thread'!A4,"-ext")</f>
        <v>G1/8-ext</v>
      </c>
      <c r="B28" s="59">
        <f>'BSPP thread'!C4</f>
        <v>0.90700000000000003</v>
      </c>
      <c r="C28" s="85">
        <f>'BSPP thread'!$M4/2-5*$B28/(24*TAN(phi/2))*1.05</f>
        <v>4.2191151398706275</v>
      </c>
      <c r="D28" s="60">
        <f>'BSPP thread'!$M4-5*$B28/(12*TAN(phi/2))</f>
        <v>8.4745288378488137</v>
      </c>
      <c r="E28" s="75">
        <f>'BSPP thread'!$M4/2-5*$B28/(24*TAN(phi/2))*1.05-C28</f>
        <v>0</v>
      </c>
      <c r="F28" s="55">
        <f t="shared" ref="F28:F50" si="8">-0.46875*$B28</f>
        <v>-0.42515625000000001</v>
      </c>
      <c r="G28" s="55">
        <f t="shared" ref="G28:G50" si="9">E28</f>
        <v>0</v>
      </c>
      <c r="H28" s="55">
        <f t="shared" ref="H28:H50" si="10">-F28</f>
        <v>0.42515625000000001</v>
      </c>
      <c r="I28" s="55">
        <f>'BSPP thread'!$M4/2+$B28*(cexternal-TAN((PI()+phi)/4)/12*(1-SIN(phi/2)))-C28</f>
        <v>0.57800829101097939</v>
      </c>
      <c r="J28" s="55">
        <f t="shared" ref="J28:J50" si="11">0.13701*$B28</f>
        <v>0.12426806999999999</v>
      </c>
      <c r="K28" s="55">
        <f t="shared" ref="K28:K50" si="12">I28</f>
        <v>0.57800829101097939</v>
      </c>
      <c r="L28" s="60">
        <f t="shared" ref="L28:L50" si="13">-J28</f>
        <v>-0.12426806999999999</v>
      </c>
    </row>
    <row r="29" spans="1:12">
      <c r="A29" s="64" t="str">
        <f>_xlfn.CONCAT("G",'BSPP thread'!A5,"-ext")</f>
        <v>G1/4-ext</v>
      </c>
      <c r="B29" s="59">
        <f>'BSPP thread'!C5</f>
        <v>1.337</v>
      </c>
      <c r="C29" s="85">
        <f>'BSPP thread'!$M5/2-5*$B29/(24*TAN(phi/2))*1.05</f>
        <v>5.6199227585524021</v>
      </c>
      <c r="D29" s="60">
        <f>'BSPP thread'!$M5-5*$B29/(12*TAN(phi/2))</f>
        <v>11.293352873433147</v>
      </c>
      <c r="E29" s="75">
        <f>'BSPP thread'!$M5/2-5*$B29/(24*TAN(phi/2))*1.05-C29</f>
        <v>0</v>
      </c>
      <c r="F29" s="55">
        <f t="shared" si="8"/>
        <v>-0.62671874999999999</v>
      </c>
      <c r="G29" s="55">
        <f t="shared" si="9"/>
        <v>0</v>
      </c>
      <c r="H29" s="55">
        <f t="shared" si="10"/>
        <v>0.62671874999999999</v>
      </c>
      <c r="I29" s="55">
        <f>'BSPP thread'!$M5/2+$B29*(cexternal-TAN((PI()+phi)/4)/12*(1-SIN(phi/2)))-C29</f>
        <v>0.85203647748807043</v>
      </c>
      <c r="J29" s="55">
        <f t="shared" si="11"/>
        <v>0.18318236999999998</v>
      </c>
      <c r="K29" s="55">
        <f t="shared" si="12"/>
        <v>0.85203647748807043</v>
      </c>
      <c r="L29" s="60">
        <f t="shared" si="13"/>
        <v>-0.18318236999999998</v>
      </c>
    </row>
    <row r="30" spans="1:12">
      <c r="A30" s="64" t="str">
        <f>_xlfn.CONCAT("G",'BSPP thread'!A6,"-ext")</f>
        <v>G3/8-ext</v>
      </c>
      <c r="B30" s="59">
        <f>'BSPP thread'!C6</f>
        <v>1.337</v>
      </c>
      <c r="C30" s="85">
        <f>'BSPP thread'!$M6/2-5*$B30/(24*TAN(phi/2))*1.05</f>
        <v>7.3724227585524016</v>
      </c>
      <c r="D30" s="60">
        <f>'BSPP thread'!$M6-5*$B30/(12*TAN(phi/2))</f>
        <v>14.798352873433146</v>
      </c>
      <c r="E30" s="75">
        <f>'BSPP thread'!$M6/2-5*$B30/(24*TAN(phi/2))*1.05-C30</f>
        <v>0</v>
      </c>
      <c r="F30" s="55">
        <f t="shared" si="8"/>
        <v>-0.62671874999999999</v>
      </c>
      <c r="G30" s="55">
        <f t="shared" si="9"/>
        <v>0</v>
      </c>
      <c r="H30" s="55">
        <f t="shared" si="10"/>
        <v>0.62671874999999999</v>
      </c>
      <c r="I30" s="55">
        <f>'BSPP thread'!$M6/2+$B30*(cexternal-TAN((PI()+phi)/4)/12*(1-SIN(phi/2)))-C30</f>
        <v>0.85203647748807043</v>
      </c>
      <c r="J30" s="55">
        <f t="shared" si="11"/>
        <v>0.18318236999999998</v>
      </c>
      <c r="K30" s="55">
        <f t="shared" si="12"/>
        <v>0.85203647748807043</v>
      </c>
      <c r="L30" s="60">
        <f t="shared" si="13"/>
        <v>-0.18318236999999998</v>
      </c>
    </row>
    <row r="31" spans="1:12">
      <c r="A31" s="64" t="str">
        <f>_xlfn.CONCAT("G",'BSPP thread'!A7,"-ext")</f>
        <v>G1/2-ext</v>
      </c>
      <c r="B31" s="59">
        <f>'BSPP thread'!C7</f>
        <v>1.8140000000000001</v>
      </c>
      <c r="C31" s="85">
        <f>'BSPP thread'!$M7/2-5*$B31/(24*TAN(phi/2))*1.05</f>
        <v>9.1697302797412554</v>
      </c>
      <c r="D31" s="60">
        <f>'BSPP thread'!$M7-5*$B31/(12*TAN(phi/2))</f>
        <v>18.412057675697628</v>
      </c>
      <c r="E31" s="75">
        <f>'BSPP thread'!$M7/2-5*$B31/(24*TAN(phi/2))*1.05-C31</f>
        <v>0</v>
      </c>
      <c r="F31" s="55">
        <f t="shared" si="8"/>
        <v>-0.85031250000000003</v>
      </c>
      <c r="G31" s="55">
        <f t="shared" si="9"/>
        <v>0</v>
      </c>
      <c r="H31" s="55">
        <f t="shared" si="10"/>
        <v>0.85031250000000003</v>
      </c>
      <c r="I31" s="55">
        <f>'BSPP thread'!$M7/2+$B31*(cexternal-TAN((PI()+phi)/4)/12*(1-SIN(phi/2)))-C31</f>
        <v>1.1560165820219588</v>
      </c>
      <c r="J31" s="55">
        <f t="shared" si="11"/>
        <v>0.24853613999999999</v>
      </c>
      <c r="K31" s="55">
        <f t="shared" si="12"/>
        <v>1.1560165820219588</v>
      </c>
      <c r="L31" s="60">
        <f t="shared" si="13"/>
        <v>-0.24853613999999999</v>
      </c>
    </row>
    <row r="32" spans="1:12">
      <c r="A32" s="64" t="str">
        <f>_xlfn.CONCAT("G",'BSPP thread'!A8,"-ext")</f>
        <v>G5/8-ext</v>
      </c>
      <c r="B32" s="59">
        <f>'BSPP thread'!C8</f>
        <v>1.8140000000000001</v>
      </c>
      <c r="C32" s="85">
        <f>'BSPP thread'!$M8/2-5*$B32/(24*TAN(phi/2))*1.05</f>
        <v>10.147730279741253</v>
      </c>
      <c r="D32" s="60">
        <f>'BSPP thread'!$M8-5*$B32/(12*TAN(phi/2))</f>
        <v>20.368057675697628</v>
      </c>
      <c r="E32" s="75">
        <f>'BSPP thread'!$M8/2-5*$B32/(24*TAN(phi/2))*1.05-C32</f>
        <v>0</v>
      </c>
      <c r="F32" s="55">
        <f t="shared" si="8"/>
        <v>-0.85031250000000003</v>
      </c>
      <c r="G32" s="55">
        <f t="shared" si="9"/>
        <v>0</v>
      </c>
      <c r="H32" s="55">
        <f t="shared" si="10"/>
        <v>0.85031250000000003</v>
      </c>
      <c r="I32" s="55">
        <f>'BSPP thread'!$M8/2+$B32*(cexternal-TAN((PI()+phi)/4)/12*(1-SIN(phi/2)))-C32</f>
        <v>1.1560165820219606</v>
      </c>
      <c r="J32" s="55">
        <f t="shared" si="11"/>
        <v>0.24853613999999999</v>
      </c>
      <c r="K32" s="55">
        <f t="shared" si="12"/>
        <v>1.1560165820219606</v>
      </c>
      <c r="L32" s="60">
        <f t="shared" si="13"/>
        <v>-0.24853613999999999</v>
      </c>
    </row>
    <row r="33" spans="1:12">
      <c r="A33" s="64" t="str">
        <f>_xlfn.CONCAT("G",'BSPP thread'!A9,"-ext")</f>
        <v>G3/4-ext</v>
      </c>
      <c r="B33" s="59">
        <f>'BSPP thread'!C9</f>
        <v>1.8140000000000001</v>
      </c>
      <c r="C33" s="85">
        <f>'BSPP thread'!$M9/2-5*$B33/(24*TAN(phi/2))*1.05</f>
        <v>11.912730279741254</v>
      </c>
      <c r="D33" s="60">
        <f>'BSPP thread'!$M9-5*$B33/(12*TAN(phi/2))</f>
        <v>23.898057675697629</v>
      </c>
      <c r="E33" s="75">
        <f>'BSPP thread'!$M9/2-5*$B33/(24*TAN(phi/2))*1.05-C33</f>
        <v>0</v>
      </c>
      <c r="F33" s="55">
        <f t="shared" si="8"/>
        <v>-0.85031250000000003</v>
      </c>
      <c r="G33" s="55">
        <f t="shared" si="9"/>
        <v>0</v>
      </c>
      <c r="H33" s="55">
        <f t="shared" si="10"/>
        <v>0.85031250000000003</v>
      </c>
      <c r="I33" s="55">
        <f>'BSPP thread'!$M9/2+$B33*(cexternal-TAN((PI()+phi)/4)/12*(1-SIN(phi/2)))-C33</f>
        <v>1.1560165820219606</v>
      </c>
      <c r="J33" s="55">
        <f t="shared" si="11"/>
        <v>0.24853613999999999</v>
      </c>
      <c r="K33" s="55">
        <f t="shared" si="12"/>
        <v>1.1560165820219606</v>
      </c>
      <c r="L33" s="60">
        <f t="shared" si="13"/>
        <v>-0.24853613999999999</v>
      </c>
    </row>
    <row r="34" spans="1:12">
      <c r="A34" s="64" t="str">
        <f>_xlfn.CONCAT("G",'BSPP thread'!A10,"-ext")</f>
        <v>G7/8-ext</v>
      </c>
      <c r="B34" s="59">
        <f>'BSPP thread'!C10</f>
        <v>1.8140000000000001</v>
      </c>
      <c r="C34" s="85">
        <f>'BSPP thread'!$M10/2-5*$B34/(24*TAN(phi/2))*1.05</f>
        <v>13.792730279741257</v>
      </c>
      <c r="D34" s="60">
        <f>'BSPP thread'!$M10-5*$B34/(12*TAN(phi/2))</f>
        <v>27.658057675697631</v>
      </c>
      <c r="E34" s="75">
        <f>'BSPP thread'!$M10/2-5*$B34/(24*TAN(phi/2))*1.05-C34</f>
        <v>0</v>
      </c>
      <c r="F34" s="55">
        <f t="shared" si="8"/>
        <v>-0.85031250000000003</v>
      </c>
      <c r="G34" s="55">
        <f t="shared" si="9"/>
        <v>0</v>
      </c>
      <c r="H34" s="55">
        <f t="shared" si="10"/>
        <v>0.85031250000000003</v>
      </c>
      <c r="I34" s="55">
        <f>'BSPP thread'!$M10/2+$B34*(cexternal-TAN((PI()+phi)/4)/12*(1-SIN(phi/2)))-C34</f>
        <v>1.1560165820219588</v>
      </c>
      <c r="J34" s="55">
        <f t="shared" si="11"/>
        <v>0.24853613999999999</v>
      </c>
      <c r="K34" s="55">
        <f t="shared" si="12"/>
        <v>1.1560165820219588</v>
      </c>
      <c r="L34" s="60">
        <f t="shared" si="13"/>
        <v>-0.24853613999999999</v>
      </c>
    </row>
    <row r="35" spans="1:12">
      <c r="A35" s="64" t="str">
        <f>_xlfn.CONCAT("G",'BSPP thread'!A11,"-ext")</f>
        <v>G1-ext</v>
      </c>
      <c r="B35" s="59">
        <f>'BSPP thread'!C11</f>
        <v>2.3090000000000002</v>
      </c>
      <c r="C35" s="85">
        <f>'BSPP thread'!$M11/2-5*$B35/(24*TAN(phi/2))*1.05</f>
        <v>14.959723933805158</v>
      </c>
      <c r="D35" s="60">
        <f>'BSPP thread'!$M11-5*$B35/(12*TAN(phi/2))</f>
        <v>30.011855112009822</v>
      </c>
      <c r="E35" s="75">
        <f>'BSPP thread'!$M11/2-5*$B35/(24*TAN(phi/2))*1.05-C35</f>
        <v>0</v>
      </c>
      <c r="F35" s="55">
        <f t="shared" si="8"/>
        <v>-1.0823437500000002</v>
      </c>
      <c r="G35" s="55">
        <f t="shared" si="9"/>
        <v>0</v>
      </c>
      <c r="H35" s="55">
        <f t="shared" si="10"/>
        <v>1.0823437500000002</v>
      </c>
      <c r="I35" s="55">
        <f>'BSPP thread'!$M11/2+$B35*(cexternal-TAN((PI()+phi)/4)/12*(1-SIN(phi/2)))-C35</f>
        <v>1.4714676338967507</v>
      </c>
      <c r="J35" s="55">
        <f t="shared" si="11"/>
        <v>0.31635608999999998</v>
      </c>
      <c r="K35" s="55">
        <f t="shared" si="12"/>
        <v>1.4714676338967507</v>
      </c>
      <c r="L35" s="60">
        <f t="shared" si="13"/>
        <v>-0.31635608999999998</v>
      </c>
    </row>
    <row r="36" spans="1:12">
      <c r="A36" s="64" t="str">
        <f>_xlfn.CONCAT("G",'BSPP thread'!A12,"-ext")</f>
        <v>G1 1/8-ext</v>
      </c>
      <c r="B36" s="59">
        <f>'BSPP thread'!C12</f>
        <v>2.3090000000000002</v>
      </c>
      <c r="C36" s="85">
        <f>'BSPP thread'!$M12/2-5*$B36/(24*TAN(phi/2))*1.05</f>
        <v>17.28372393380516</v>
      </c>
      <c r="D36" s="60">
        <f>'BSPP thread'!$M12-5*$B36/(12*TAN(phi/2))</f>
        <v>34.659855112009829</v>
      </c>
      <c r="E36" s="75">
        <f>'BSPP thread'!$M12/2-5*$B36/(24*TAN(phi/2))*1.05-C36</f>
        <v>0</v>
      </c>
      <c r="F36" s="55">
        <f t="shared" si="8"/>
        <v>-1.0823437500000002</v>
      </c>
      <c r="G36" s="55">
        <f t="shared" si="9"/>
        <v>0</v>
      </c>
      <c r="H36" s="55">
        <f t="shared" si="10"/>
        <v>1.0823437500000002</v>
      </c>
      <c r="I36" s="55">
        <f>'BSPP thread'!$M12/2+$B36*(cexternal-TAN((PI()+phi)/4)/12*(1-SIN(phi/2)))-C36</f>
        <v>1.4714676338967507</v>
      </c>
      <c r="J36" s="55">
        <f t="shared" si="11"/>
        <v>0.31635608999999998</v>
      </c>
      <c r="K36" s="55">
        <f t="shared" si="12"/>
        <v>1.4714676338967507</v>
      </c>
      <c r="L36" s="60">
        <f t="shared" si="13"/>
        <v>-0.31635608999999998</v>
      </c>
    </row>
    <row r="37" spans="1:12">
      <c r="A37" s="64" t="str">
        <f>_xlfn.CONCAT("G",'BSPP thread'!A13,"-ext")</f>
        <v>G1 1/4-ext</v>
      </c>
      <c r="B37" s="59">
        <f>'BSPP thread'!C13</f>
        <v>2.3090000000000002</v>
      </c>
      <c r="C37" s="85">
        <f>'BSPP thread'!$M13/2-5*$B37/(24*TAN(phi/2))*1.05</f>
        <v>19.290223933805159</v>
      </c>
      <c r="D37" s="60">
        <f>'BSPP thread'!$M13-5*$B37/(12*TAN(phi/2))</f>
        <v>38.672855112009827</v>
      </c>
      <c r="E37" s="75">
        <f>'BSPP thread'!$M13/2-5*$B37/(24*TAN(phi/2))*1.05-C37</f>
        <v>0</v>
      </c>
      <c r="F37" s="55">
        <f t="shared" si="8"/>
        <v>-1.0823437500000002</v>
      </c>
      <c r="G37" s="55">
        <f t="shared" si="9"/>
        <v>0</v>
      </c>
      <c r="H37" s="55">
        <f t="shared" si="10"/>
        <v>1.0823437500000002</v>
      </c>
      <c r="I37" s="55">
        <f>'BSPP thread'!$M13/2+$B37*(cexternal-TAN((PI()+phi)/4)/12*(1-SIN(phi/2)))-C37</f>
        <v>1.4714676338967507</v>
      </c>
      <c r="J37" s="55">
        <f t="shared" si="11"/>
        <v>0.31635608999999998</v>
      </c>
      <c r="K37" s="55">
        <f t="shared" si="12"/>
        <v>1.4714676338967507</v>
      </c>
      <c r="L37" s="60">
        <f t="shared" si="13"/>
        <v>-0.31635608999999998</v>
      </c>
    </row>
    <row r="38" spans="1:12">
      <c r="A38" s="64" t="str">
        <f>_xlfn.CONCAT("G",'BSPP thread'!A14,"-ext")</f>
        <v>G1 1/2-ext</v>
      </c>
      <c r="B38" s="59">
        <f>'BSPP thread'!C14</f>
        <v>2.3090000000000002</v>
      </c>
      <c r="C38" s="85">
        <f>'BSPP thread'!$M14/2-5*$B38/(24*TAN(phi/2))*1.05</f>
        <v>22.236723933805159</v>
      </c>
      <c r="D38" s="60">
        <f>'BSPP thread'!$M14-5*$B38/(12*TAN(phi/2))</f>
        <v>44.565855112009828</v>
      </c>
      <c r="E38" s="75">
        <f>'BSPP thread'!$M14/2-5*$B38/(24*TAN(phi/2))*1.05-C38</f>
        <v>0</v>
      </c>
      <c r="F38" s="55">
        <f t="shared" si="8"/>
        <v>-1.0823437500000002</v>
      </c>
      <c r="G38" s="55">
        <f t="shared" si="9"/>
        <v>0</v>
      </c>
      <c r="H38" s="55">
        <f t="shared" si="10"/>
        <v>1.0823437500000002</v>
      </c>
      <c r="I38" s="55">
        <f>'BSPP thread'!$M14/2+$B38*(cexternal-TAN((PI()+phi)/4)/12*(1-SIN(phi/2)))-C38</f>
        <v>1.4714676338967507</v>
      </c>
      <c r="J38" s="55">
        <f t="shared" si="11"/>
        <v>0.31635608999999998</v>
      </c>
      <c r="K38" s="55">
        <f t="shared" si="12"/>
        <v>1.4714676338967507</v>
      </c>
      <c r="L38" s="60">
        <f t="shared" si="13"/>
        <v>-0.31635608999999998</v>
      </c>
    </row>
    <row r="39" spans="1:12">
      <c r="A39" s="64" t="str">
        <f>_xlfn.CONCAT("G",'BSPP thread'!A15,"-ext")</f>
        <v>G1 3/4-ext</v>
      </c>
      <c r="B39" s="59">
        <f>'BSPP thread'!C15</f>
        <v>2.3090000000000002</v>
      </c>
      <c r="C39" s="85">
        <f>'BSPP thread'!$M15/2-5*$B39/(24*TAN(phi/2))*1.05</f>
        <v>25.208223933805161</v>
      </c>
      <c r="D39" s="60">
        <f>'BSPP thread'!$M15-5*$B39/(12*TAN(phi/2))</f>
        <v>50.508855112009833</v>
      </c>
      <c r="E39" s="75">
        <f>'BSPP thread'!$M15/2-5*$B39/(24*TAN(phi/2))*1.05-C39</f>
        <v>0</v>
      </c>
      <c r="F39" s="55">
        <f t="shared" si="8"/>
        <v>-1.0823437500000002</v>
      </c>
      <c r="G39" s="55">
        <f t="shared" si="9"/>
        <v>0</v>
      </c>
      <c r="H39" s="55">
        <f t="shared" si="10"/>
        <v>1.0823437500000002</v>
      </c>
      <c r="I39" s="55">
        <f>'BSPP thread'!$M15/2+$B39*(cexternal-TAN((PI()+phi)/4)/12*(1-SIN(phi/2)))-C39</f>
        <v>1.4714676338967507</v>
      </c>
      <c r="J39" s="55">
        <f t="shared" si="11"/>
        <v>0.31635608999999998</v>
      </c>
      <c r="K39" s="55">
        <f t="shared" si="12"/>
        <v>1.4714676338967507</v>
      </c>
      <c r="L39" s="60">
        <f t="shared" si="13"/>
        <v>-0.31635608999999998</v>
      </c>
    </row>
    <row r="40" spans="1:12">
      <c r="A40" s="64" t="str">
        <f>_xlfn.CONCAT("G",'BSPP thread'!A16,"-ext")</f>
        <v>G2-ext</v>
      </c>
      <c r="B40" s="59">
        <f>'BSPP thread'!C16</f>
        <v>2.3090000000000002</v>
      </c>
      <c r="C40" s="85">
        <f>'BSPP thread'!$M16/2-5*$B40/(24*TAN(phi/2))*1.05</f>
        <v>28.142223933805159</v>
      </c>
      <c r="D40" s="60">
        <f>'BSPP thread'!$M16-5*$B40/(12*TAN(phi/2))</f>
        <v>56.376855112009828</v>
      </c>
      <c r="E40" s="75">
        <f>'BSPP thread'!$M16/2-5*$B40/(24*TAN(phi/2))*1.05-C40</f>
        <v>0</v>
      </c>
      <c r="F40" s="55">
        <f t="shared" si="8"/>
        <v>-1.0823437500000002</v>
      </c>
      <c r="G40" s="55">
        <f t="shared" si="9"/>
        <v>0</v>
      </c>
      <c r="H40" s="55">
        <f t="shared" si="10"/>
        <v>1.0823437500000002</v>
      </c>
      <c r="I40" s="55">
        <f>'BSPP thread'!$M16/2+$B40*(cexternal-TAN((PI()+phi)/4)/12*(1-SIN(phi/2)))-C40</f>
        <v>1.4714676338967507</v>
      </c>
      <c r="J40" s="55">
        <f t="shared" si="11"/>
        <v>0.31635608999999998</v>
      </c>
      <c r="K40" s="55">
        <f t="shared" si="12"/>
        <v>1.4714676338967507</v>
      </c>
      <c r="L40" s="60">
        <f t="shared" si="13"/>
        <v>-0.31635608999999998</v>
      </c>
    </row>
    <row r="41" spans="1:12">
      <c r="A41" s="64" t="str">
        <f>_xlfn.CONCAT("G",'BSPP thread'!A17,"-ext")</f>
        <v>G2 1/4-ext</v>
      </c>
      <c r="B41" s="59">
        <f>'BSPP thread'!C17</f>
        <v>2.3090000000000002</v>
      </c>
      <c r="C41" s="85">
        <f>'BSPP thread'!$M17/2-5*$B41/(24*TAN(phi/2))*1.05</f>
        <v>31.199473933805159</v>
      </c>
      <c r="D41" s="60">
        <f>'BSPP thread'!$M17-5*$B41/(12*TAN(phi/2))</f>
        <v>62.491355112009828</v>
      </c>
      <c r="E41" s="75">
        <f>'BSPP thread'!$M17/2-5*$B41/(24*TAN(phi/2))*1.05-C41</f>
        <v>0</v>
      </c>
      <c r="F41" s="55">
        <f t="shared" si="8"/>
        <v>-1.0823437500000002</v>
      </c>
      <c r="G41" s="55">
        <f t="shared" si="9"/>
        <v>0</v>
      </c>
      <c r="H41" s="55">
        <f t="shared" si="10"/>
        <v>1.0823437500000002</v>
      </c>
      <c r="I41" s="55">
        <f>'BSPP thread'!$M17/2+$B41*(cexternal-TAN((PI()+phi)/4)/12*(1-SIN(phi/2)))-C41</f>
        <v>1.4714676338967507</v>
      </c>
      <c r="J41" s="55">
        <f t="shared" si="11"/>
        <v>0.31635608999999998</v>
      </c>
      <c r="K41" s="55">
        <f t="shared" si="12"/>
        <v>1.4714676338967507</v>
      </c>
      <c r="L41" s="60">
        <f t="shared" si="13"/>
        <v>-0.31635608999999998</v>
      </c>
    </row>
    <row r="42" spans="1:12">
      <c r="A42" s="64" t="str">
        <f>_xlfn.CONCAT("G",'BSPP thread'!A18,"-ext")</f>
        <v>G2 1/2-ext</v>
      </c>
      <c r="B42" s="59">
        <f>'BSPP thread'!C18</f>
        <v>2.3090000000000002</v>
      </c>
      <c r="C42" s="85">
        <f>'BSPP thread'!$M18/2-5*$B42/(24*TAN(phi/2))*1.05</f>
        <v>35.936473933805161</v>
      </c>
      <c r="D42" s="60">
        <f>'BSPP thread'!$M18-5*$B42/(12*TAN(phi/2))</f>
        <v>71.965355112009831</v>
      </c>
      <c r="E42" s="75">
        <f>'BSPP thread'!$M18/2-5*$B42/(24*TAN(phi/2))*1.05-C42</f>
        <v>0</v>
      </c>
      <c r="F42" s="55">
        <f t="shared" si="8"/>
        <v>-1.0823437500000002</v>
      </c>
      <c r="G42" s="55">
        <f t="shared" si="9"/>
        <v>0</v>
      </c>
      <c r="H42" s="55">
        <f t="shared" si="10"/>
        <v>1.0823437500000002</v>
      </c>
      <c r="I42" s="55">
        <f>'BSPP thread'!$M18/2+$B42*(cexternal-TAN((PI()+phi)/4)/12*(1-SIN(phi/2)))-C42</f>
        <v>1.4714676338967507</v>
      </c>
      <c r="J42" s="55">
        <f t="shared" si="11"/>
        <v>0.31635608999999998</v>
      </c>
      <c r="K42" s="55">
        <f t="shared" si="12"/>
        <v>1.4714676338967507</v>
      </c>
      <c r="L42" s="60">
        <f t="shared" si="13"/>
        <v>-0.31635608999999998</v>
      </c>
    </row>
    <row r="43" spans="1:12">
      <c r="A43" s="64" t="str">
        <f>_xlfn.CONCAT("G",'BSPP thread'!A19,"-ext")</f>
        <v>G2 3/4-ext</v>
      </c>
      <c r="B43" s="59">
        <f>'BSPP thread'!C19</f>
        <v>2.3090000000000002</v>
      </c>
      <c r="C43" s="85">
        <f>'BSPP thread'!$M19/2-5*$B43/(24*TAN(phi/2))*1.05</f>
        <v>39.111473933805165</v>
      </c>
      <c r="D43" s="60">
        <f>'BSPP thread'!$M19-5*$B43/(12*TAN(phi/2))</f>
        <v>78.31535511200984</v>
      </c>
      <c r="E43" s="75">
        <f>'BSPP thread'!$M19/2-5*$B43/(24*TAN(phi/2))*1.05-C43</f>
        <v>0</v>
      </c>
      <c r="F43" s="55">
        <f t="shared" si="8"/>
        <v>-1.0823437500000002</v>
      </c>
      <c r="G43" s="55">
        <f t="shared" si="9"/>
        <v>0</v>
      </c>
      <c r="H43" s="55">
        <f t="shared" si="10"/>
        <v>1.0823437500000002</v>
      </c>
      <c r="I43" s="55">
        <f>'BSPP thread'!$M19/2+$B43*(cexternal-TAN((PI()+phi)/4)/12*(1-SIN(phi/2)))-C43</f>
        <v>1.4714676338967507</v>
      </c>
      <c r="J43" s="55">
        <f t="shared" si="11"/>
        <v>0.31635608999999998</v>
      </c>
      <c r="K43" s="55">
        <f t="shared" si="12"/>
        <v>1.4714676338967507</v>
      </c>
      <c r="L43" s="60">
        <f t="shared" si="13"/>
        <v>-0.31635608999999998</v>
      </c>
    </row>
    <row r="44" spans="1:12">
      <c r="A44" s="64" t="str">
        <f>_xlfn.CONCAT("G",'BSPP thread'!A20,"-ext")</f>
        <v>G3-ext</v>
      </c>
      <c r="B44" s="59">
        <f>'BSPP thread'!C20</f>
        <v>2.3090000000000002</v>
      </c>
      <c r="C44" s="85">
        <f>'BSPP thread'!$M20/2-5*$B44/(24*TAN(phi/2))*1.05</f>
        <v>42.286473933805162</v>
      </c>
      <c r="D44" s="60">
        <f>'BSPP thread'!$M20-5*$B44/(12*TAN(phi/2))</f>
        <v>84.665355112009834</v>
      </c>
      <c r="E44" s="75">
        <f>'BSPP thread'!$M20/2-5*$B44/(24*TAN(phi/2))*1.05-C44</f>
        <v>0</v>
      </c>
      <c r="F44" s="55">
        <f t="shared" si="8"/>
        <v>-1.0823437500000002</v>
      </c>
      <c r="G44" s="55">
        <f t="shared" si="9"/>
        <v>0</v>
      </c>
      <c r="H44" s="55">
        <f t="shared" si="10"/>
        <v>1.0823437500000002</v>
      </c>
      <c r="I44" s="55">
        <f>'BSPP thread'!$M20/2+$B44*(cexternal-TAN((PI()+phi)/4)/12*(1-SIN(phi/2)))-C44</f>
        <v>1.4714676338967507</v>
      </c>
      <c r="J44" s="55">
        <f t="shared" si="11"/>
        <v>0.31635608999999998</v>
      </c>
      <c r="K44" s="55">
        <f t="shared" si="12"/>
        <v>1.4714676338967507</v>
      </c>
      <c r="L44" s="60">
        <f t="shared" si="13"/>
        <v>-0.31635608999999998</v>
      </c>
    </row>
    <row r="45" spans="1:12">
      <c r="A45" s="64" t="str">
        <f>_xlfn.CONCAT("G",'BSPP thread'!A21,"-ext")</f>
        <v>G3 1/2-ext</v>
      </c>
      <c r="B45" s="59">
        <f>'BSPP thread'!C21</f>
        <v>2.3090000000000002</v>
      </c>
      <c r="C45" s="85">
        <f>'BSPP thread'!$M21/2-5*$B45/(24*TAN(phi/2))*1.05</f>
        <v>48.509473933805161</v>
      </c>
      <c r="D45" s="60">
        <f>'BSPP thread'!$M21-5*$B45/(12*TAN(phi/2))</f>
        <v>97.111355112009832</v>
      </c>
      <c r="E45" s="75">
        <f>'BSPP thread'!$M21/2-5*$B45/(24*TAN(phi/2))*1.05-C45</f>
        <v>0</v>
      </c>
      <c r="F45" s="55">
        <f t="shared" si="8"/>
        <v>-1.0823437500000002</v>
      </c>
      <c r="G45" s="55">
        <f t="shared" si="9"/>
        <v>0</v>
      </c>
      <c r="H45" s="55">
        <f t="shared" si="10"/>
        <v>1.0823437500000002</v>
      </c>
      <c r="I45" s="55">
        <f>'BSPP thread'!$M21/2+$B45*(cexternal-TAN((PI()+phi)/4)/12*(1-SIN(phi/2)))-C45</f>
        <v>1.4714676338967507</v>
      </c>
      <c r="J45" s="55">
        <f t="shared" si="11"/>
        <v>0.31635608999999998</v>
      </c>
      <c r="K45" s="55">
        <f t="shared" si="12"/>
        <v>1.4714676338967507</v>
      </c>
      <c r="L45" s="60">
        <f t="shared" si="13"/>
        <v>-0.31635608999999998</v>
      </c>
    </row>
    <row r="46" spans="1:12">
      <c r="A46" s="64" t="str">
        <f>_xlfn.CONCAT("G",'BSPP thread'!A22,"-ext")</f>
        <v>G4-ext</v>
      </c>
      <c r="B46" s="59">
        <f>'BSPP thread'!C22</f>
        <v>2.3090000000000002</v>
      </c>
      <c r="C46" s="85">
        <f>'BSPP thread'!$M22/2-5*$B46/(24*TAN(phi/2))*1.05</f>
        <v>54.859473933805162</v>
      </c>
      <c r="D46" s="60">
        <f>'BSPP thread'!$M22-5*$B46/(12*TAN(phi/2))</f>
        <v>109.81135511200984</v>
      </c>
      <c r="E46" s="75">
        <f>'BSPP thread'!$M22/2-5*$B46/(24*TAN(phi/2))*1.05-C46</f>
        <v>0</v>
      </c>
      <c r="F46" s="55">
        <f t="shared" si="8"/>
        <v>-1.0823437500000002</v>
      </c>
      <c r="G46" s="55">
        <f t="shared" si="9"/>
        <v>0</v>
      </c>
      <c r="H46" s="55">
        <f t="shared" si="10"/>
        <v>1.0823437500000002</v>
      </c>
      <c r="I46" s="55">
        <f>'BSPP thread'!$M22/2+$B46*(cexternal-TAN((PI()+phi)/4)/12*(1-SIN(phi/2)))-C46</f>
        <v>1.4714676338967507</v>
      </c>
      <c r="J46" s="55">
        <f t="shared" si="11"/>
        <v>0.31635608999999998</v>
      </c>
      <c r="K46" s="55">
        <f t="shared" si="12"/>
        <v>1.4714676338967507</v>
      </c>
      <c r="L46" s="60">
        <f t="shared" si="13"/>
        <v>-0.31635608999999998</v>
      </c>
    </row>
    <row r="47" spans="1:12">
      <c r="A47" s="64" t="str">
        <f>_xlfn.CONCAT("G",'BSPP thread'!A23,"-ext")</f>
        <v>G4 1/2-ext</v>
      </c>
      <c r="B47" s="59">
        <f>'BSPP thread'!C23</f>
        <v>2.3090000000000002</v>
      </c>
      <c r="C47" s="85">
        <f>'BSPP thread'!$M23/2-5*$B47/(24*TAN(phi/2))*1.05</f>
        <v>61.209473933805164</v>
      </c>
      <c r="D47" s="60">
        <f>'BSPP thread'!$M23-5*$B47/(12*TAN(phi/2))</f>
        <v>122.51135511200984</v>
      </c>
      <c r="E47" s="75">
        <f>'BSPP thread'!$M23/2-5*$B47/(24*TAN(phi/2))*1.05-C47</f>
        <v>0</v>
      </c>
      <c r="F47" s="55">
        <f t="shared" si="8"/>
        <v>-1.0823437500000002</v>
      </c>
      <c r="G47" s="55">
        <f t="shared" si="9"/>
        <v>0</v>
      </c>
      <c r="H47" s="55">
        <f t="shared" si="10"/>
        <v>1.0823437500000002</v>
      </c>
      <c r="I47" s="55">
        <f>'BSPP thread'!$M23/2+$B47*(cexternal-TAN((PI()+phi)/4)/12*(1-SIN(phi/2)))-C47</f>
        <v>1.4714676338967507</v>
      </c>
      <c r="J47" s="55">
        <f t="shared" si="11"/>
        <v>0.31635608999999998</v>
      </c>
      <c r="K47" s="55">
        <f t="shared" si="12"/>
        <v>1.4714676338967507</v>
      </c>
      <c r="L47" s="60">
        <f t="shared" si="13"/>
        <v>-0.31635608999999998</v>
      </c>
    </row>
    <row r="48" spans="1:12">
      <c r="A48" s="64" t="str">
        <f>_xlfn.CONCAT("G",'BSPP thread'!A24,"-ext")</f>
        <v>G5-ext</v>
      </c>
      <c r="B48" s="59">
        <f>'BSPP thread'!C24</f>
        <v>2.3090000000000002</v>
      </c>
      <c r="C48" s="85">
        <f>'BSPP thread'!$M24/2-5*$B48/(24*TAN(phi/2))*1.05</f>
        <v>67.559473933805151</v>
      </c>
      <c r="D48" s="60">
        <f>'BSPP thread'!$M24-5*$B48/(12*TAN(phi/2))</f>
        <v>135.21135511200981</v>
      </c>
      <c r="E48" s="75">
        <f>'BSPP thread'!$M24/2-5*$B48/(24*TAN(phi/2))*1.05-C48</f>
        <v>0</v>
      </c>
      <c r="F48" s="55">
        <f t="shared" si="8"/>
        <v>-1.0823437500000002</v>
      </c>
      <c r="G48" s="55">
        <f t="shared" si="9"/>
        <v>0</v>
      </c>
      <c r="H48" s="55">
        <f t="shared" si="10"/>
        <v>1.0823437500000002</v>
      </c>
      <c r="I48" s="55">
        <f>'BSPP thread'!$M24/2+$B48*(cexternal-TAN((PI()+phi)/4)/12*(1-SIN(phi/2)))-C48</f>
        <v>1.4714676338967507</v>
      </c>
      <c r="J48" s="55">
        <f t="shared" si="11"/>
        <v>0.31635608999999998</v>
      </c>
      <c r="K48" s="55">
        <f t="shared" si="12"/>
        <v>1.4714676338967507</v>
      </c>
      <c r="L48" s="60">
        <f t="shared" si="13"/>
        <v>-0.31635608999999998</v>
      </c>
    </row>
    <row r="49" spans="1:12">
      <c r="A49" s="64" t="str">
        <f>_xlfn.CONCAT("G",'BSPP thread'!A25,"-ext")</f>
        <v>G5 1/2-ext</v>
      </c>
      <c r="B49" s="59">
        <f>'BSPP thread'!C25</f>
        <v>2.3090000000000002</v>
      </c>
      <c r="C49" s="85">
        <f>'BSPP thread'!$M25/2-5*$B49/(24*TAN(phi/2))*1.05</f>
        <v>73.90947393380516</v>
      </c>
      <c r="D49" s="60">
        <f>'BSPP thread'!$M25-5*$B49/(12*TAN(phi/2))</f>
        <v>147.91135511200983</v>
      </c>
      <c r="E49" s="75">
        <f>'BSPP thread'!$M25/2-5*$B49/(24*TAN(phi/2))*1.05-C49</f>
        <v>0</v>
      </c>
      <c r="F49" s="55">
        <f t="shared" si="8"/>
        <v>-1.0823437500000002</v>
      </c>
      <c r="G49" s="55">
        <f t="shared" si="9"/>
        <v>0</v>
      </c>
      <c r="H49" s="55">
        <f t="shared" si="10"/>
        <v>1.0823437500000002</v>
      </c>
      <c r="I49" s="55">
        <f>'BSPP thread'!$M25/2+$B49*(cexternal-TAN((PI()+phi)/4)/12*(1-SIN(phi/2)))-C49</f>
        <v>1.4714676338967507</v>
      </c>
      <c r="J49" s="55">
        <f t="shared" si="11"/>
        <v>0.31635608999999998</v>
      </c>
      <c r="K49" s="55">
        <f t="shared" si="12"/>
        <v>1.4714676338967507</v>
      </c>
      <c r="L49" s="60">
        <f t="shared" si="13"/>
        <v>-0.31635608999999998</v>
      </c>
    </row>
    <row r="50" spans="1:12" ht="17" thickBot="1">
      <c r="A50" s="72" t="str">
        <f>_xlfn.CONCAT("G",'BSPP thread'!A26,"-ext")</f>
        <v>G6-ext</v>
      </c>
      <c r="B50" s="69">
        <f>'BSPP thread'!C26</f>
        <v>2.3090000000000002</v>
      </c>
      <c r="C50" s="86">
        <f>'BSPP thread'!$M26/2-5*$B50/(24*TAN(phi/2))*1.05</f>
        <v>80.259473933805154</v>
      </c>
      <c r="D50" s="73">
        <f>'BSPP thread'!$M26-5*$B50/(12*TAN(phi/2))</f>
        <v>160.61135511200982</v>
      </c>
      <c r="E50" s="89">
        <f>'BSPP thread'!$M26/2-5*$B50/(24*TAN(phi/2))*1.05-C50</f>
        <v>0</v>
      </c>
      <c r="F50" s="71">
        <f t="shared" si="8"/>
        <v>-1.0823437500000002</v>
      </c>
      <c r="G50" s="71">
        <f t="shared" si="9"/>
        <v>0</v>
      </c>
      <c r="H50" s="71">
        <f t="shared" si="10"/>
        <v>1.0823437500000002</v>
      </c>
      <c r="I50" s="71">
        <f>'BSPP thread'!$M26/2+$B50*(cexternal-TAN((PI()+phi)/4)/12*(1-SIN(phi/2)))-C50</f>
        <v>1.4714676338967507</v>
      </c>
      <c r="J50" s="71">
        <f t="shared" si="11"/>
        <v>0.31635608999999998</v>
      </c>
      <c r="K50" s="71">
        <f t="shared" si="12"/>
        <v>1.4714676338967507</v>
      </c>
      <c r="L50" s="73">
        <f t="shared" si="13"/>
        <v>-0.31635608999999998</v>
      </c>
    </row>
    <row r="51" spans="1:12">
      <c r="A51" s="105" t="s">
        <v>61</v>
      </c>
      <c r="B51" s="74">
        <v>2.7</v>
      </c>
      <c r="C51" s="57">
        <v>11.523809999999999</v>
      </c>
      <c r="D51" s="57">
        <v>24.2</v>
      </c>
      <c r="E51" s="57">
        <v>0</v>
      </c>
      <c r="F51" s="57">
        <f>-0.8-I51*(TAN(10/180*PI()) + TAN(20/180*PI()))</f>
        <v>-1.9757893962557214</v>
      </c>
      <c r="G51" s="57">
        <v>0</v>
      </c>
      <c r="H51" s="57">
        <v>0</v>
      </c>
      <c r="I51" s="57">
        <v>2.1761900000000001</v>
      </c>
      <c r="J51" s="90">
        <f>H51-I51*TAN(10*PI()/180)</f>
        <v>-0.3837210121479544</v>
      </c>
      <c r="K51" s="57">
        <f>I51</f>
        <v>2.1761900000000001</v>
      </c>
      <c r="L51" s="58">
        <f>J51-0.8</f>
        <v>-1.1837210121479544</v>
      </c>
    </row>
    <row r="52" spans="1:12" ht="17" thickBot="1">
      <c r="A52" s="106" t="s">
        <v>62</v>
      </c>
      <c r="B52" s="104">
        <v>2.7</v>
      </c>
      <c r="C52" s="61">
        <f>D52/2+0.08</f>
        <v>13.91</v>
      </c>
      <c r="D52" s="61">
        <f>27.4+2*0.13</f>
        <v>27.66</v>
      </c>
      <c r="E52" s="61">
        <v>0</v>
      </c>
      <c r="F52" s="61">
        <v>0</v>
      </c>
      <c r="G52" s="61">
        <v>0</v>
      </c>
      <c r="H52" s="61">
        <f>-F51</f>
        <v>1.9757893962557214</v>
      </c>
      <c r="I52" s="61">
        <f>-I51</f>
        <v>-2.1761900000000001</v>
      </c>
      <c r="J52" s="61">
        <f>H52+I52*TAN(20/180*PI())</f>
        <v>1.1837210121479544</v>
      </c>
      <c r="K52" s="61">
        <f>I52</f>
        <v>-2.1761900000000001</v>
      </c>
      <c r="L52" s="62">
        <f>J52-0.8</f>
        <v>0.3837210121479544</v>
      </c>
    </row>
  </sheetData>
  <mergeCells count="2">
    <mergeCell ref="A1:D1"/>
    <mergeCell ref="E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EFB4-BDC1-B447-A377-45693BA5A02A}">
  <dimension ref="A1:C3"/>
  <sheetViews>
    <sheetView workbookViewId="0">
      <selection activeCell="B3" sqref="B3"/>
    </sheetView>
  </sheetViews>
  <sheetFormatPr baseColWidth="10" defaultRowHeight="16"/>
  <sheetData>
    <row r="1" spans="1:3" s="10" customFormat="1">
      <c r="A1" s="10" t="s">
        <v>31</v>
      </c>
      <c r="B1" s="10" t="s">
        <v>32</v>
      </c>
      <c r="C1" s="10" t="s">
        <v>33</v>
      </c>
    </row>
    <row r="2" spans="1:3" s="29" customFormat="1">
      <c r="A2" s="29" t="s">
        <v>35</v>
      </c>
      <c r="B2" s="29">
        <f>PI()/180</f>
        <v>1.7453292519943295E-2</v>
      </c>
      <c r="C2" s="29" t="s">
        <v>42</v>
      </c>
    </row>
    <row r="3" spans="1:3">
      <c r="A3" t="s">
        <v>34</v>
      </c>
      <c r="B3">
        <f>55*deg</f>
        <v>0.95993108859688125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BSPP thread</vt:lpstr>
      <vt:lpstr>THREAD_TABLE</vt:lpstr>
      <vt:lpstr>meta</vt:lpstr>
      <vt:lpstr>cexternal</vt:lpstr>
      <vt:lpstr>cinternal</vt:lpstr>
      <vt:lpstr>deg</vt:lpstr>
      <vt:lpstr>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Schlatter</dc:creator>
  <cp:lastModifiedBy>Adrian Schlatter</cp:lastModifiedBy>
  <dcterms:created xsi:type="dcterms:W3CDTF">2019-03-26T17:09:32Z</dcterms:created>
  <dcterms:modified xsi:type="dcterms:W3CDTF">2019-04-08T20:28:11Z</dcterms:modified>
</cp:coreProperties>
</file>