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Contacts\Downloads\"/>
    </mc:Choice>
  </mc:AlternateContent>
  <xr:revisionPtr revIDLastSave="0" documentId="13_ncr:1_{95650AC2-8290-4EDE-84E8-8205E5B54DF0}" xr6:coauthVersionLast="47" xr6:coauthVersionMax="47" xr10:uidLastSave="{00000000-0000-0000-0000-000000000000}"/>
  <bookViews>
    <workbookView xWindow="-108" yWindow="-108" windowWidth="23256" windowHeight="12456" tabRatio="609" activeTab="2" xr2:uid="{D4886810-D9CC-4231-AA87-2302A306BB27}"/>
  </bookViews>
  <sheets>
    <sheet name="HistoricalFS" sheetId="3" r:id="rId1"/>
    <sheet name="Financials&gt;" sheetId="1" r:id="rId2"/>
    <sheet name="Data&gt;" sheetId="4" r:id="rId3"/>
    <sheet name="Data Sheet" sheetId="2" r:id="rId4"/>
    <sheet name="Cash Flow Data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O12" i="4"/>
  <c r="O13" i="4"/>
  <c r="O14" i="4"/>
  <c r="O15" i="4"/>
  <c r="O17" i="4"/>
  <c r="O18" i="4"/>
  <c r="O19" i="4"/>
  <c r="O21" i="4"/>
  <c r="O22" i="4"/>
  <c r="O23" i="4"/>
  <c r="O24" i="4"/>
  <c r="O25" i="4"/>
  <c r="O27" i="4"/>
  <c r="O28" i="4"/>
  <c r="O29" i="4"/>
  <c r="O30" i="4"/>
  <c r="O31" i="4"/>
  <c r="O34" i="4"/>
  <c r="O35" i="4"/>
  <c r="O36" i="4"/>
  <c r="O37" i="4"/>
  <c r="O39" i="4"/>
  <c r="O40" i="4"/>
  <c r="O41" i="4"/>
  <c r="O11" i="4"/>
  <c r="O6" i="4"/>
  <c r="O7" i="4"/>
  <c r="O8" i="4"/>
  <c r="O9" i="4"/>
  <c r="O5" i="4"/>
  <c r="N12" i="4"/>
  <c r="N13" i="4"/>
  <c r="N14" i="4"/>
  <c r="N15" i="4"/>
  <c r="N17" i="4"/>
  <c r="N18" i="4"/>
  <c r="N19" i="4"/>
  <c r="N21" i="4"/>
  <c r="N22" i="4"/>
  <c r="N23" i="4"/>
  <c r="N24" i="4"/>
  <c r="N25" i="4"/>
  <c r="N27" i="4"/>
  <c r="N28" i="4"/>
  <c r="N29" i="4"/>
  <c r="N30" i="4"/>
  <c r="N31" i="4"/>
  <c r="N34" i="4"/>
  <c r="N35" i="4"/>
  <c r="N36" i="4"/>
  <c r="N37" i="4"/>
  <c r="N39" i="4"/>
  <c r="N40" i="4"/>
  <c r="N41" i="4"/>
  <c r="N6" i="4"/>
  <c r="N7" i="4"/>
  <c r="N8" i="4"/>
  <c r="N9" i="4"/>
  <c r="N5" i="4"/>
  <c r="L41" i="4"/>
  <c r="K41" i="4"/>
  <c r="J41" i="4"/>
  <c r="I41" i="4"/>
  <c r="H41" i="4"/>
  <c r="G41" i="4"/>
  <c r="F41" i="4"/>
  <c r="E41" i="4"/>
  <c r="D41" i="4"/>
  <c r="L40" i="4"/>
  <c r="K40" i="4"/>
  <c r="J40" i="4"/>
  <c r="I40" i="4"/>
  <c r="H40" i="4"/>
  <c r="G40" i="4"/>
  <c r="F40" i="4"/>
  <c r="E40" i="4"/>
  <c r="D40" i="4"/>
  <c r="L39" i="4"/>
  <c r="K39" i="4"/>
  <c r="J39" i="4"/>
  <c r="I39" i="4"/>
  <c r="H39" i="4"/>
  <c r="G39" i="4"/>
  <c r="F39" i="4"/>
  <c r="E39" i="4"/>
  <c r="D39" i="4"/>
  <c r="C41" i="4"/>
  <c r="C40" i="4"/>
  <c r="C39" i="4"/>
  <c r="D37" i="4"/>
  <c r="E37" i="4"/>
  <c r="F37" i="4"/>
  <c r="G37" i="4"/>
  <c r="H37" i="4"/>
  <c r="I37" i="4"/>
  <c r="J37" i="4"/>
  <c r="K37" i="4"/>
  <c r="L37" i="4"/>
  <c r="C37" i="4"/>
  <c r="D34" i="4" l="1"/>
  <c r="E34" i="4"/>
  <c r="F34" i="4"/>
  <c r="G34" i="4"/>
  <c r="H34" i="4"/>
  <c r="I34" i="4"/>
  <c r="J34" i="4"/>
  <c r="K34" i="4"/>
  <c r="L34" i="4"/>
  <c r="D35" i="4"/>
  <c r="E35" i="4"/>
  <c r="F35" i="4"/>
  <c r="G35" i="4"/>
  <c r="H35" i="4"/>
  <c r="I35" i="4"/>
  <c r="J35" i="4"/>
  <c r="K35" i="4"/>
  <c r="L35" i="4"/>
  <c r="D36" i="4"/>
  <c r="E36" i="4"/>
  <c r="F36" i="4"/>
  <c r="G36" i="4"/>
  <c r="H36" i="4"/>
  <c r="I36" i="4"/>
  <c r="J36" i="4"/>
  <c r="K36" i="4"/>
  <c r="L36" i="4"/>
  <c r="C35" i="4"/>
  <c r="C36" i="4"/>
  <c r="C34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C30" i="4"/>
  <c r="D30" i="4"/>
  <c r="E30" i="4"/>
  <c r="F30" i="4"/>
  <c r="G30" i="4"/>
  <c r="H30" i="4"/>
  <c r="I30" i="4"/>
  <c r="J30" i="4"/>
  <c r="K30" i="4"/>
  <c r="L30" i="4"/>
  <c r="C31" i="4"/>
  <c r="D31" i="4"/>
  <c r="E31" i="4"/>
  <c r="F31" i="4"/>
  <c r="G31" i="4"/>
  <c r="H31" i="4"/>
  <c r="I31" i="4"/>
  <c r="J31" i="4"/>
  <c r="K31" i="4"/>
  <c r="L31" i="4"/>
  <c r="L25" i="4" l="1"/>
  <c r="K25" i="4"/>
  <c r="J25" i="4"/>
  <c r="I25" i="4"/>
  <c r="H25" i="4"/>
  <c r="G25" i="4"/>
  <c r="F25" i="4"/>
  <c r="E25" i="4"/>
  <c r="D25" i="4"/>
  <c r="F24" i="4"/>
  <c r="L23" i="4"/>
  <c r="K23" i="4"/>
  <c r="J23" i="4"/>
  <c r="I23" i="4"/>
  <c r="H23" i="4"/>
  <c r="G23" i="4"/>
  <c r="G24" i="4" s="1"/>
  <c r="F23" i="4"/>
  <c r="E23" i="4"/>
  <c r="D23" i="4"/>
  <c r="L22" i="4"/>
  <c r="L24" i="4" s="1"/>
  <c r="K22" i="4"/>
  <c r="K24" i="4" s="1"/>
  <c r="J22" i="4"/>
  <c r="J24" i="4" s="1"/>
  <c r="I22" i="4"/>
  <c r="I24" i="4" s="1"/>
  <c r="H22" i="4"/>
  <c r="H24" i="4" s="1"/>
  <c r="G22" i="4"/>
  <c r="F22" i="4"/>
  <c r="E22" i="4"/>
  <c r="E24" i="4" s="1"/>
  <c r="D22" i="4"/>
  <c r="D24" i="4" s="1"/>
  <c r="L21" i="4"/>
  <c r="K21" i="4"/>
  <c r="J21" i="4"/>
  <c r="I21" i="4"/>
  <c r="H21" i="4"/>
  <c r="G21" i="4"/>
  <c r="F21" i="4"/>
  <c r="E21" i="4"/>
  <c r="D21" i="4"/>
  <c r="C24" i="4"/>
  <c r="C25" i="4"/>
  <c r="C23" i="4" l="1"/>
  <c r="C22" i="4"/>
  <c r="C21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C19" i="4"/>
  <c r="C18" i="4"/>
  <c r="C17" i="4"/>
  <c r="L15" i="4"/>
  <c r="K15" i="4"/>
  <c r="J15" i="4"/>
  <c r="I15" i="4"/>
  <c r="H15" i="4"/>
  <c r="G15" i="4"/>
  <c r="F15" i="4"/>
  <c r="E15" i="4"/>
  <c r="D15" i="4"/>
  <c r="L14" i="4"/>
  <c r="K14" i="4"/>
  <c r="J14" i="4"/>
  <c r="I14" i="4"/>
  <c r="H14" i="4"/>
  <c r="G14" i="4"/>
  <c r="F14" i="4"/>
  <c r="E14" i="4"/>
  <c r="D14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1" i="4"/>
  <c r="K11" i="4"/>
  <c r="J11" i="4"/>
  <c r="I11" i="4"/>
  <c r="H11" i="4"/>
  <c r="G11" i="4"/>
  <c r="F11" i="4"/>
  <c r="E11" i="4"/>
  <c r="D11" i="4"/>
  <c r="C11" i="4"/>
  <c r="C15" i="4"/>
  <c r="C14" i="4"/>
  <c r="C13" i="4"/>
  <c r="C12" i="4"/>
  <c r="L9" i="4"/>
  <c r="K9" i="4"/>
  <c r="J9" i="4"/>
  <c r="I9" i="4"/>
  <c r="H9" i="4"/>
  <c r="G9" i="4"/>
  <c r="F9" i="4"/>
  <c r="E9" i="4"/>
  <c r="L8" i="4"/>
  <c r="K8" i="4"/>
  <c r="J8" i="4"/>
  <c r="I8" i="4"/>
  <c r="H8" i="4"/>
  <c r="G8" i="4"/>
  <c r="F8" i="4"/>
  <c r="E8" i="4"/>
  <c r="L7" i="4"/>
  <c r="K7" i="4"/>
  <c r="J7" i="4"/>
  <c r="I7" i="4"/>
  <c r="H7" i="4"/>
  <c r="G7" i="4"/>
  <c r="F7" i="4"/>
  <c r="E7" i="4"/>
  <c r="L6" i="4"/>
  <c r="K6" i="4"/>
  <c r="J6" i="4"/>
  <c r="I6" i="4"/>
  <c r="H6" i="4"/>
  <c r="G6" i="4"/>
  <c r="F6" i="4"/>
  <c r="E6" i="4"/>
  <c r="L5" i="4"/>
  <c r="K5" i="4"/>
  <c r="J5" i="4"/>
  <c r="I5" i="4"/>
  <c r="H5" i="4"/>
  <c r="G5" i="4"/>
  <c r="F5" i="4"/>
  <c r="E5" i="4"/>
  <c r="D9" i="4"/>
  <c r="D8" i="4"/>
  <c r="D7" i="4"/>
  <c r="D6" i="4"/>
  <c r="D5" i="4"/>
  <c r="L3" i="4"/>
  <c r="K3" i="4"/>
  <c r="J3" i="4"/>
  <c r="I3" i="4"/>
  <c r="H3" i="4"/>
  <c r="G3" i="4"/>
  <c r="F3" i="4"/>
  <c r="E3" i="4"/>
  <c r="D3" i="4"/>
  <c r="C3" i="4"/>
  <c r="B2" i="4"/>
  <c r="C8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E105" i="1" s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D96" i="1"/>
  <c r="D105" i="1" s="1"/>
  <c r="E96" i="1"/>
  <c r="F96" i="1"/>
  <c r="F105" i="1" s="1"/>
  <c r="G96" i="1"/>
  <c r="G105" i="1" s="1"/>
  <c r="H96" i="1"/>
  <c r="H105" i="1" s="1"/>
  <c r="I96" i="1"/>
  <c r="I105" i="1" s="1"/>
  <c r="J96" i="1"/>
  <c r="J105" i="1" s="1"/>
  <c r="K96" i="1"/>
  <c r="K105" i="1" s="1"/>
  <c r="L96" i="1"/>
  <c r="L105" i="1" s="1"/>
  <c r="C96" i="1"/>
  <c r="C105" i="1" s="1"/>
  <c r="C81" i="1"/>
  <c r="C82" i="1"/>
  <c r="C93" i="1" s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J93" i="1" s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D81" i="1"/>
  <c r="D93" i="1" s="1"/>
  <c r="E81" i="1"/>
  <c r="E93" i="1" s="1"/>
  <c r="F81" i="1"/>
  <c r="F93" i="1" s="1"/>
  <c r="G81" i="1"/>
  <c r="G93" i="1" s="1"/>
  <c r="H81" i="1"/>
  <c r="H93" i="1" s="1"/>
  <c r="I81" i="1"/>
  <c r="I93" i="1" s="1"/>
  <c r="J81" i="1"/>
  <c r="K81" i="1"/>
  <c r="K93" i="1" s="1"/>
  <c r="L81" i="1"/>
  <c r="L93" i="1" s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D70" i="1"/>
  <c r="D78" i="1" s="1"/>
  <c r="D107" i="1" s="1"/>
  <c r="E70" i="1"/>
  <c r="E78" i="1" s="1"/>
  <c r="E107" i="1" s="1"/>
  <c r="F70" i="1"/>
  <c r="F78" i="1" s="1"/>
  <c r="G70" i="1"/>
  <c r="G78" i="1" s="1"/>
  <c r="G107" i="1" s="1"/>
  <c r="H70" i="1"/>
  <c r="H78" i="1" s="1"/>
  <c r="I70" i="1"/>
  <c r="I78" i="1" s="1"/>
  <c r="J70" i="1"/>
  <c r="J78" i="1" s="1"/>
  <c r="J107" i="1" s="1"/>
  <c r="K70" i="1"/>
  <c r="K78" i="1" s="1"/>
  <c r="K107" i="1" s="1"/>
  <c r="L70" i="1"/>
  <c r="L78" i="1" s="1"/>
  <c r="L107" i="1" s="1"/>
  <c r="C70" i="1"/>
  <c r="C78" i="1" s="1"/>
  <c r="D56" i="1"/>
  <c r="E56" i="1"/>
  <c r="F56" i="1"/>
  <c r="G56" i="1"/>
  <c r="H56" i="1"/>
  <c r="I56" i="1"/>
  <c r="J56" i="1"/>
  <c r="K56" i="1"/>
  <c r="L56" i="1"/>
  <c r="C56" i="1"/>
  <c r="E62" i="1"/>
  <c r="F62" i="1"/>
  <c r="C60" i="1"/>
  <c r="C62" i="1" s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D59" i="1"/>
  <c r="D62" i="1" s="1"/>
  <c r="E59" i="1"/>
  <c r="F59" i="1"/>
  <c r="G59" i="1"/>
  <c r="G62" i="1" s="1"/>
  <c r="H59" i="1"/>
  <c r="H62" i="1" s="1"/>
  <c r="I59" i="1"/>
  <c r="I62" i="1" s="1"/>
  <c r="J59" i="1"/>
  <c r="J62" i="1" s="1"/>
  <c r="K59" i="1"/>
  <c r="K62" i="1" s="1"/>
  <c r="L59" i="1"/>
  <c r="L62" i="1" s="1"/>
  <c r="C59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D53" i="1"/>
  <c r="D57" i="1" s="1"/>
  <c r="D64" i="1" s="1"/>
  <c r="D66" i="1" s="1"/>
  <c r="E53" i="1"/>
  <c r="E57" i="1" s="1"/>
  <c r="E64" i="1" s="1"/>
  <c r="E66" i="1" s="1"/>
  <c r="F53" i="1"/>
  <c r="F57" i="1" s="1"/>
  <c r="F64" i="1" s="1"/>
  <c r="F66" i="1" s="1"/>
  <c r="G53" i="1"/>
  <c r="G57" i="1" s="1"/>
  <c r="H53" i="1"/>
  <c r="H57" i="1" s="1"/>
  <c r="I53" i="1"/>
  <c r="I57" i="1" s="1"/>
  <c r="J53" i="1"/>
  <c r="J57" i="1" s="1"/>
  <c r="J64" i="1" s="1"/>
  <c r="J66" i="1" s="1"/>
  <c r="K53" i="1"/>
  <c r="K57" i="1" s="1"/>
  <c r="K64" i="1" s="1"/>
  <c r="K66" i="1" s="1"/>
  <c r="L53" i="1"/>
  <c r="L57" i="1" s="1"/>
  <c r="L64" i="1" s="1"/>
  <c r="L66" i="1" s="1"/>
  <c r="C53" i="1"/>
  <c r="C57" i="1" s="1"/>
  <c r="C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D47" i="1"/>
  <c r="E47" i="1"/>
  <c r="F47" i="1"/>
  <c r="G47" i="1"/>
  <c r="H47" i="1"/>
  <c r="I47" i="1"/>
  <c r="J47" i="1"/>
  <c r="K47" i="1"/>
  <c r="L47" i="1"/>
  <c r="M43" i="1"/>
  <c r="M41" i="1"/>
  <c r="D40" i="1"/>
  <c r="E40" i="1"/>
  <c r="F40" i="1"/>
  <c r="G40" i="1"/>
  <c r="H40" i="1"/>
  <c r="I40" i="1"/>
  <c r="J40" i="1"/>
  <c r="K40" i="1"/>
  <c r="L40" i="1"/>
  <c r="C40" i="1"/>
  <c r="M35" i="1"/>
  <c r="L35" i="1"/>
  <c r="D35" i="1"/>
  <c r="E35" i="1"/>
  <c r="F35" i="1"/>
  <c r="G35" i="1"/>
  <c r="H35" i="1"/>
  <c r="I35" i="1"/>
  <c r="J35" i="1"/>
  <c r="K35" i="1"/>
  <c r="C35" i="1"/>
  <c r="Q24" i="1"/>
  <c r="M29" i="1"/>
  <c r="D29" i="1"/>
  <c r="E29" i="1"/>
  <c r="F29" i="1"/>
  <c r="G29" i="1"/>
  <c r="H29" i="1"/>
  <c r="I29" i="1"/>
  <c r="J29" i="1"/>
  <c r="K29" i="1"/>
  <c r="L29" i="1"/>
  <c r="C29" i="1"/>
  <c r="M23" i="1"/>
  <c r="D23" i="1"/>
  <c r="E23" i="1"/>
  <c r="F23" i="1"/>
  <c r="G23" i="1"/>
  <c r="H23" i="1"/>
  <c r="I23" i="1"/>
  <c r="J23" i="1"/>
  <c r="K23" i="1"/>
  <c r="L23" i="1"/>
  <c r="C23" i="1"/>
  <c r="M20" i="1"/>
  <c r="E20" i="1"/>
  <c r="F20" i="1"/>
  <c r="F21" i="1" s="1"/>
  <c r="G20" i="1"/>
  <c r="H20" i="1"/>
  <c r="I20" i="1"/>
  <c r="J20" i="1"/>
  <c r="K20" i="1"/>
  <c r="L20" i="1"/>
  <c r="D20" i="1"/>
  <c r="C20" i="1"/>
  <c r="M17" i="1"/>
  <c r="D14" i="1"/>
  <c r="E14" i="1"/>
  <c r="F14" i="1"/>
  <c r="G14" i="1"/>
  <c r="H14" i="1"/>
  <c r="I14" i="1"/>
  <c r="J14" i="1"/>
  <c r="J15" i="1" s="1"/>
  <c r="K14" i="1"/>
  <c r="L14" i="1"/>
  <c r="C14" i="1"/>
  <c r="M8" i="1"/>
  <c r="D8" i="1"/>
  <c r="E8" i="1"/>
  <c r="F8" i="1"/>
  <c r="G8" i="1"/>
  <c r="H8" i="1"/>
  <c r="H9" i="1" s="1"/>
  <c r="I8" i="1"/>
  <c r="J8" i="1"/>
  <c r="K8" i="1"/>
  <c r="L8" i="1"/>
  <c r="M5" i="1"/>
  <c r="C5" i="1"/>
  <c r="D5" i="1"/>
  <c r="E5" i="1"/>
  <c r="F5" i="1"/>
  <c r="G5" i="1"/>
  <c r="H5" i="1"/>
  <c r="I5" i="1"/>
  <c r="J5" i="1"/>
  <c r="J11" i="1" s="1"/>
  <c r="K5" i="1"/>
  <c r="K24" i="1" s="1"/>
  <c r="L5" i="1"/>
  <c r="L11" i="1" s="1"/>
  <c r="C3" i="1"/>
  <c r="D3" i="1"/>
  <c r="E3" i="1"/>
  <c r="F3" i="1"/>
  <c r="G3" i="1"/>
  <c r="H3" i="1"/>
  <c r="I3" i="1"/>
  <c r="J3" i="1"/>
  <c r="K3" i="1"/>
  <c r="L3" i="1"/>
  <c r="B2" i="1"/>
  <c r="L104" i="3"/>
  <c r="K104" i="3"/>
  <c r="J104" i="3"/>
  <c r="I104" i="3"/>
  <c r="H104" i="3"/>
  <c r="G104" i="3"/>
  <c r="F104" i="3"/>
  <c r="E104" i="3"/>
  <c r="D104" i="3"/>
  <c r="C104" i="3"/>
  <c r="L103" i="3"/>
  <c r="K103" i="3"/>
  <c r="J103" i="3"/>
  <c r="I103" i="3"/>
  <c r="H103" i="3"/>
  <c r="G103" i="3"/>
  <c r="F103" i="3"/>
  <c r="E103" i="3"/>
  <c r="D103" i="3"/>
  <c r="C103" i="3"/>
  <c r="L102" i="3"/>
  <c r="K102" i="3"/>
  <c r="J102" i="3"/>
  <c r="I102" i="3"/>
  <c r="H102" i="3"/>
  <c r="G102" i="3"/>
  <c r="F102" i="3"/>
  <c r="E102" i="3"/>
  <c r="D102" i="3"/>
  <c r="C102" i="3"/>
  <c r="L101" i="3"/>
  <c r="K101" i="3"/>
  <c r="J101" i="3"/>
  <c r="I101" i="3"/>
  <c r="H101" i="3"/>
  <c r="G101" i="3"/>
  <c r="F101" i="3"/>
  <c r="E101" i="3"/>
  <c r="D101" i="3"/>
  <c r="C101" i="3"/>
  <c r="L100" i="3"/>
  <c r="K100" i="3"/>
  <c r="J100" i="3"/>
  <c r="I100" i="3"/>
  <c r="H100" i="3"/>
  <c r="G100" i="3"/>
  <c r="F100" i="3"/>
  <c r="E100" i="3"/>
  <c r="D100" i="3"/>
  <c r="C100" i="3"/>
  <c r="L99" i="3"/>
  <c r="K99" i="3"/>
  <c r="J99" i="3"/>
  <c r="I99" i="3"/>
  <c r="H99" i="3"/>
  <c r="G99" i="3"/>
  <c r="F99" i="3"/>
  <c r="E99" i="3"/>
  <c r="D99" i="3"/>
  <c r="C99" i="3"/>
  <c r="L98" i="3"/>
  <c r="K98" i="3"/>
  <c r="J98" i="3"/>
  <c r="I98" i="3"/>
  <c r="H98" i="3"/>
  <c r="G98" i="3"/>
  <c r="F98" i="3"/>
  <c r="E98" i="3"/>
  <c r="D98" i="3"/>
  <c r="C98" i="3"/>
  <c r="L97" i="3"/>
  <c r="K97" i="3"/>
  <c r="J97" i="3"/>
  <c r="I97" i="3"/>
  <c r="H97" i="3"/>
  <c r="G97" i="3"/>
  <c r="F97" i="3"/>
  <c r="E97" i="3"/>
  <c r="D97" i="3"/>
  <c r="C97" i="3"/>
  <c r="L96" i="3"/>
  <c r="K96" i="3"/>
  <c r="J96" i="3"/>
  <c r="I96" i="3"/>
  <c r="H96" i="3"/>
  <c r="G96" i="3"/>
  <c r="F96" i="3"/>
  <c r="E96" i="3"/>
  <c r="D96" i="3"/>
  <c r="C96" i="3"/>
  <c r="L92" i="3"/>
  <c r="K92" i="3"/>
  <c r="J92" i="3"/>
  <c r="I92" i="3"/>
  <c r="H92" i="3"/>
  <c r="G92" i="3"/>
  <c r="F92" i="3"/>
  <c r="E92" i="3"/>
  <c r="D92" i="3"/>
  <c r="C92" i="3"/>
  <c r="L91" i="3"/>
  <c r="K91" i="3"/>
  <c r="J91" i="3"/>
  <c r="I91" i="3"/>
  <c r="H91" i="3"/>
  <c r="G91" i="3"/>
  <c r="F91" i="3"/>
  <c r="E91" i="3"/>
  <c r="D91" i="3"/>
  <c r="C91" i="3"/>
  <c r="L90" i="3"/>
  <c r="K90" i="3"/>
  <c r="J90" i="3"/>
  <c r="I90" i="3"/>
  <c r="H90" i="3"/>
  <c r="G90" i="3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K88" i="3"/>
  <c r="J88" i="3"/>
  <c r="I88" i="3"/>
  <c r="H88" i="3"/>
  <c r="G88" i="3"/>
  <c r="F88" i="3"/>
  <c r="E88" i="3"/>
  <c r="D88" i="3"/>
  <c r="C88" i="3"/>
  <c r="L87" i="3"/>
  <c r="K87" i="3"/>
  <c r="J87" i="3"/>
  <c r="I87" i="3"/>
  <c r="H87" i="3"/>
  <c r="G87" i="3"/>
  <c r="F87" i="3"/>
  <c r="E87" i="3"/>
  <c r="D87" i="3"/>
  <c r="C87" i="3"/>
  <c r="L86" i="3"/>
  <c r="K86" i="3"/>
  <c r="J86" i="3"/>
  <c r="I86" i="3"/>
  <c r="H86" i="3"/>
  <c r="G86" i="3"/>
  <c r="F86" i="3"/>
  <c r="E86" i="3"/>
  <c r="D86" i="3"/>
  <c r="C86" i="3"/>
  <c r="L85" i="3"/>
  <c r="K85" i="3"/>
  <c r="J85" i="3"/>
  <c r="I85" i="3"/>
  <c r="H85" i="3"/>
  <c r="G85" i="3"/>
  <c r="F85" i="3"/>
  <c r="E85" i="3"/>
  <c r="D85" i="3"/>
  <c r="C85" i="3"/>
  <c r="L84" i="3"/>
  <c r="K84" i="3"/>
  <c r="J84" i="3"/>
  <c r="I84" i="3"/>
  <c r="H84" i="3"/>
  <c r="G84" i="3"/>
  <c r="F84" i="3"/>
  <c r="E84" i="3"/>
  <c r="D84" i="3"/>
  <c r="C84" i="3"/>
  <c r="L83" i="3"/>
  <c r="K83" i="3"/>
  <c r="J83" i="3"/>
  <c r="I83" i="3"/>
  <c r="H83" i="3"/>
  <c r="G83" i="3"/>
  <c r="F83" i="3"/>
  <c r="E83" i="3"/>
  <c r="D83" i="3"/>
  <c r="C83" i="3"/>
  <c r="L82" i="3"/>
  <c r="K82" i="3"/>
  <c r="J82" i="3"/>
  <c r="I82" i="3"/>
  <c r="H82" i="3"/>
  <c r="G82" i="3"/>
  <c r="F82" i="3"/>
  <c r="E82" i="3"/>
  <c r="D82" i="3"/>
  <c r="C82" i="3"/>
  <c r="L81" i="3"/>
  <c r="K81" i="3"/>
  <c r="J81" i="3"/>
  <c r="I81" i="3"/>
  <c r="H81" i="3"/>
  <c r="H93" i="3" s="1"/>
  <c r="G81" i="3"/>
  <c r="G93" i="3" s="1"/>
  <c r="F81" i="3"/>
  <c r="E81" i="3"/>
  <c r="D81" i="3"/>
  <c r="C81" i="3"/>
  <c r="L77" i="3"/>
  <c r="K77" i="3"/>
  <c r="J77" i="3"/>
  <c r="I77" i="3"/>
  <c r="H77" i="3"/>
  <c r="G77" i="3"/>
  <c r="F77" i="3"/>
  <c r="E77" i="3"/>
  <c r="D77" i="3"/>
  <c r="C77" i="3"/>
  <c r="L76" i="3"/>
  <c r="K76" i="3"/>
  <c r="J76" i="3"/>
  <c r="I76" i="3"/>
  <c r="H76" i="3"/>
  <c r="G76" i="3"/>
  <c r="F76" i="3"/>
  <c r="E76" i="3"/>
  <c r="D76" i="3"/>
  <c r="C76" i="3"/>
  <c r="L75" i="3"/>
  <c r="K75" i="3"/>
  <c r="J75" i="3"/>
  <c r="I75" i="3"/>
  <c r="H75" i="3"/>
  <c r="G75" i="3"/>
  <c r="F75" i="3"/>
  <c r="E75" i="3"/>
  <c r="D75" i="3"/>
  <c r="C75" i="3"/>
  <c r="L74" i="3"/>
  <c r="K74" i="3"/>
  <c r="J74" i="3"/>
  <c r="I74" i="3"/>
  <c r="H74" i="3"/>
  <c r="G74" i="3"/>
  <c r="F74" i="3"/>
  <c r="E74" i="3"/>
  <c r="D74" i="3"/>
  <c r="C74" i="3"/>
  <c r="L73" i="3"/>
  <c r="K73" i="3"/>
  <c r="J73" i="3"/>
  <c r="I73" i="3"/>
  <c r="H73" i="3"/>
  <c r="G73" i="3"/>
  <c r="F73" i="3"/>
  <c r="E73" i="3"/>
  <c r="D73" i="3"/>
  <c r="C73" i="3"/>
  <c r="L72" i="3"/>
  <c r="K72" i="3"/>
  <c r="J72" i="3"/>
  <c r="I72" i="3"/>
  <c r="H72" i="3"/>
  <c r="G72" i="3"/>
  <c r="F72" i="3"/>
  <c r="E72" i="3"/>
  <c r="D72" i="3"/>
  <c r="C72" i="3"/>
  <c r="L71" i="3"/>
  <c r="K71" i="3"/>
  <c r="J71" i="3"/>
  <c r="I71" i="3"/>
  <c r="H71" i="3"/>
  <c r="G71" i="3"/>
  <c r="F71" i="3"/>
  <c r="E71" i="3"/>
  <c r="D71" i="3"/>
  <c r="C71" i="3"/>
  <c r="L70" i="3"/>
  <c r="K70" i="3"/>
  <c r="J70" i="3"/>
  <c r="I70" i="3"/>
  <c r="H70" i="3"/>
  <c r="H78" i="3" s="1"/>
  <c r="G70" i="3"/>
  <c r="G78" i="3" s="1"/>
  <c r="F70" i="3"/>
  <c r="E70" i="3"/>
  <c r="D70" i="3"/>
  <c r="C70" i="3"/>
  <c r="L56" i="3"/>
  <c r="K56" i="3"/>
  <c r="J56" i="3"/>
  <c r="I56" i="3"/>
  <c r="H56" i="3"/>
  <c r="G56" i="3"/>
  <c r="F56" i="3"/>
  <c r="E56" i="3"/>
  <c r="D56" i="3"/>
  <c r="C56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L62" i="3" s="1"/>
  <c r="K59" i="3"/>
  <c r="K62" i="3" s="1"/>
  <c r="J59" i="3"/>
  <c r="I59" i="3"/>
  <c r="I62" i="3" s="1"/>
  <c r="H59" i="3"/>
  <c r="H62" i="3" s="1"/>
  <c r="G59" i="3"/>
  <c r="G62" i="3" s="1"/>
  <c r="F59" i="3"/>
  <c r="F62" i="3" s="1"/>
  <c r="E59" i="3"/>
  <c r="E62" i="3" s="1"/>
  <c r="D59" i="3"/>
  <c r="D62" i="3" s="1"/>
  <c r="C61" i="3"/>
  <c r="C60" i="3"/>
  <c r="C59" i="3"/>
  <c r="C62" i="3" s="1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J57" i="3" s="1"/>
  <c r="I53" i="3"/>
  <c r="I57" i="3" s="1"/>
  <c r="H53" i="3"/>
  <c r="G53" i="3"/>
  <c r="F53" i="3"/>
  <c r="E53" i="3"/>
  <c r="E57" i="3" s="1"/>
  <c r="D53" i="3"/>
  <c r="C53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M18" i="3" s="1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B15" i="2" s="1"/>
  <c r="K32" i="2"/>
  <c r="J32" i="2"/>
  <c r="I32" i="2"/>
  <c r="H32" i="2"/>
  <c r="G32" i="2"/>
  <c r="F32" i="2"/>
  <c r="E32" i="2"/>
  <c r="D32" i="2"/>
  <c r="C32" i="2"/>
  <c r="B32" i="2"/>
  <c r="K15" i="2"/>
  <c r="B6" i="2"/>
  <c r="E1" i="2"/>
  <c r="I64" i="1" l="1"/>
  <c r="I66" i="1" s="1"/>
  <c r="I107" i="1"/>
  <c r="H64" i="1"/>
  <c r="H66" i="1" s="1"/>
  <c r="H107" i="1"/>
  <c r="F107" i="1"/>
  <c r="G64" i="1"/>
  <c r="G66" i="1" s="1"/>
  <c r="C64" i="1"/>
  <c r="C66" i="1" s="1"/>
  <c r="C107" i="1"/>
  <c r="F57" i="3"/>
  <c r="D78" i="3"/>
  <c r="L78" i="3"/>
  <c r="D93" i="3"/>
  <c r="L93" i="3"/>
  <c r="D105" i="3"/>
  <c r="L105" i="3"/>
  <c r="E78" i="3"/>
  <c r="E107" i="3" s="1"/>
  <c r="E93" i="3"/>
  <c r="E105" i="3"/>
  <c r="H57" i="3"/>
  <c r="F78" i="3"/>
  <c r="F93" i="3"/>
  <c r="F105" i="3"/>
  <c r="C57" i="3"/>
  <c r="C64" i="3" s="1"/>
  <c r="C66" i="3" s="1"/>
  <c r="K57" i="3"/>
  <c r="K64" i="3" s="1"/>
  <c r="K66" i="3" s="1"/>
  <c r="G57" i="3"/>
  <c r="J62" i="3"/>
  <c r="J64" i="3" s="1"/>
  <c r="J66" i="3" s="1"/>
  <c r="I78" i="3"/>
  <c r="I93" i="3"/>
  <c r="I105" i="3"/>
  <c r="G105" i="3"/>
  <c r="D57" i="3"/>
  <c r="L57" i="3"/>
  <c r="J78" i="3"/>
  <c r="J93" i="3"/>
  <c r="J105" i="3"/>
  <c r="H105" i="3"/>
  <c r="D21" i="1"/>
  <c r="E64" i="3"/>
  <c r="E66" i="3" s="1"/>
  <c r="C78" i="3"/>
  <c r="C107" i="3" s="1"/>
  <c r="K78" i="3"/>
  <c r="C93" i="3"/>
  <c r="K93" i="3"/>
  <c r="C105" i="3"/>
  <c r="K105" i="3"/>
  <c r="F24" i="1"/>
  <c r="G11" i="1"/>
  <c r="G12" i="1" s="1"/>
  <c r="L24" i="1"/>
  <c r="E21" i="1"/>
  <c r="I11" i="1"/>
  <c r="I12" i="1" s="1"/>
  <c r="L6" i="1"/>
  <c r="L15" i="1"/>
  <c r="D15" i="1"/>
  <c r="I21" i="1"/>
  <c r="C24" i="1"/>
  <c r="K6" i="1"/>
  <c r="K15" i="1"/>
  <c r="D24" i="1"/>
  <c r="J6" i="1"/>
  <c r="M26" i="1"/>
  <c r="M27" i="1" s="1"/>
  <c r="F6" i="1"/>
  <c r="C21" i="1"/>
  <c r="J24" i="1"/>
  <c r="L21" i="1"/>
  <c r="C15" i="1"/>
  <c r="G24" i="1"/>
  <c r="H21" i="1"/>
  <c r="G21" i="1"/>
  <c r="C9" i="1"/>
  <c r="E9" i="1"/>
  <c r="D6" i="1"/>
  <c r="L9" i="1"/>
  <c r="D9" i="1"/>
  <c r="H15" i="1"/>
  <c r="M24" i="1"/>
  <c r="J9" i="1"/>
  <c r="F15" i="1"/>
  <c r="K21" i="1"/>
  <c r="I24" i="1"/>
  <c r="H11" i="1"/>
  <c r="H17" i="1" s="1"/>
  <c r="F9" i="1"/>
  <c r="K9" i="1"/>
  <c r="G15" i="1"/>
  <c r="M21" i="1"/>
  <c r="I15" i="1"/>
  <c r="M6" i="1"/>
  <c r="I9" i="1"/>
  <c r="J21" i="1"/>
  <c r="H24" i="1"/>
  <c r="L17" i="1"/>
  <c r="L12" i="1"/>
  <c r="J17" i="1"/>
  <c r="J12" i="1"/>
  <c r="G17" i="1"/>
  <c r="M32" i="1"/>
  <c r="M33" i="1" s="1"/>
  <c r="I6" i="1"/>
  <c r="F11" i="1"/>
  <c r="H6" i="1"/>
  <c r="C11" i="1"/>
  <c r="E11" i="1"/>
  <c r="M18" i="1"/>
  <c r="G9" i="1"/>
  <c r="G6" i="1"/>
  <c r="D11" i="1"/>
  <c r="E15" i="1"/>
  <c r="K11" i="1"/>
  <c r="M11" i="1"/>
  <c r="M12" i="1" s="1"/>
  <c r="E6" i="1"/>
  <c r="M9" i="1"/>
  <c r="E24" i="1"/>
  <c r="D64" i="3"/>
  <c r="D66" i="3" s="1"/>
  <c r="L64" i="3"/>
  <c r="L66" i="3" s="1"/>
  <c r="J107" i="3"/>
  <c r="G64" i="3"/>
  <c r="G66" i="3" s="1"/>
  <c r="H64" i="3"/>
  <c r="H66" i="3" s="1"/>
  <c r="I64" i="3"/>
  <c r="I66" i="3" s="1"/>
  <c r="G107" i="3"/>
  <c r="H107" i="3"/>
  <c r="F64" i="3"/>
  <c r="F66" i="3" s="1"/>
  <c r="L41" i="3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I107" i="3" l="1"/>
  <c r="F107" i="3"/>
  <c r="L107" i="3"/>
  <c r="J18" i="3"/>
  <c r="D107" i="3"/>
  <c r="K107" i="3"/>
  <c r="I17" i="1"/>
  <c r="I18" i="1" s="1"/>
  <c r="M30" i="1"/>
  <c r="H12" i="1"/>
  <c r="K17" i="1"/>
  <c r="K12" i="1"/>
  <c r="C12" i="1"/>
  <c r="C17" i="1"/>
  <c r="G18" i="1"/>
  <c r="G26" i="1"/>
  <c r="L26" i="1"/>
  <c r="L18" i="1"/>
  <c r="H18" i="1"/>
  <c r="H26" i="1"/>
  <c r="F17" i="1"/>
  <c r="F12" i="1"/>
  <c r="J26" i="1"/>
  <c r="J18" i="1"/>
  <c r="D12" i="1"/>
  <c r="D17" i="1"/>
  <c r="E12" i="1"/>
  <c r="E17" i="1"/>
  <c r="C13" i="3"/>
  <c r="C27" i="3"/>
  <c r="C33" i="3" s="1"/>
  <c r="K18" i="3"/>
  <c r="K19" i="3" s="1"/>
  <c r="C31" i="3"/>
  <c r="E18" i="3"/>
  <c r="E13" i="3"/>
  <c r="G18" i="3"/>
  <c r="G13" i="3"/>
  <c r="F18" i="3"/>
  <c r="F13" i="3"/>
  <c r="L18" i="3"/>
  <c r="L13" i="3"/>
  <c r="H18" i="3"/>
  <c r="H13" i="3"/>
  <c r="J19" i="3"/>
  <c r="J27" i="3"/>
  <c r="M31" i="3"/>
  <c r="M33" i="3"/>
  <c r="M28" i="3"/>
  <c r="I18" i="3"/>
  <c r="I13" i="3"/>
  <c r="D18" i="3"/>
  <c r="D13" i="3"/>
  <c r="C28" i="3" l="1"/>
  <c r="I26" i="1"/>
  <c r="J27" i="1"/>
  <c r="J32" i="1"/>
  <c r="J30" i="1"/>
  <c r="C26" i="1"/>
  <c r="C18" i="1"/>
  <c r="I30" i="1"/>
  <c r="I27" i="1"/>
  <c r="I32" i="1"/>
  <c r="L32" i="1"/>
  <c r="L27" i="1"/>
  <c r="L30" i="1"/>
  <c r="G27" i="1"/>
  <c r="G32" i="1"/>
  <c r="G30" i="1"/>
  <c r="E18" i="1"/>
  <c r="E26" i="1"/>
  <c r="F26" i="1"/>
  <c r="F18" i="1"/>
  <c r="D26" i="1"/>
  <c r="D18" i="1"/>
  <c r="H30" i="1"/>
  <c r="H27" i="1"/>
  <c r="H32" i="1"/>
  <c r="K26" i="1"/>
  <c r="K18" i="1"/>
  <c r="K27" i="3"/>
  <c r="K28" i="3" s="1"/>
  <c r="G19" i="3"/>
  <c r="G27" i="3"/>
  <c r="F19" i="3"/>
  <c r="F27" i="3"/>
  <c r="I19" i="3"/>
  <c r="I27" i="3"/>
  <c r="C38" i="3"/>
  <c r="C34" i="3"/>
  <c r="J33" i="3"/>
  <c r="J28" i="3"/>
  <c r="J31" i="3"/>
  <c r="D19" i="3"/>
  <c r="D27" i="3"/>
  <c r="H19" i="3"/>
  <c r="H27" i="3"/>
  <c r="E19" i="3"/>
  <c r="E27" i="3"/>
  <c r="L19" i="3"/>
  <c r="L27" i="3"/>
  <c r="M34" i="3"/>
  <c r="M38" i="3"/>
  <c r="L37" i="1" l="1"/>
  <c r="L33" i="1"/>
  <c r="F32" i="1"/>
  <c r="F30" i="1"/>
  <c r="F27" i="1"/>
  <c r="K32" i="1"/>
  <c r="K27" i="1"/>
  <c r="K30" i="1"/>
  <c r="H33" i="1"/>
  <c r="H37" i="1"/>
  <c r="C32" i="1"/>
  <c r="C30" i="1"/>
  <c r="C27" i="1"/>
  <c r="E32" i="1"/>
  <c r="E27" i="1"/>
  <c r="E30" i="1"/>
  <c r="I33" i="1"/>
  <c r="I37" i="1"/>
  <c r="G33" i="1"/>
  <c r="G37" i="1"/>
  <c r="D27" i="1"/>
  <c r="D32" i="1"/>
  <c r="D30" i="1"/>
  <c r="J33" i="1"/>
  <c r="J37" i="1"/>
  <c r="K33" i="3"/>
  <c r="K31" i="3"/>
  <c r="M44" i="3"/>
  <c r="M42" i="3"/>
  <c r="C42" i="3"/>
  <c r="L31" i="3"/>
  <c r="L33" i="3"/>
  <c r="L28" i="3"/>
  <c r="K34" i="3"/>
  <c r="K38" i="3"/>
  <c r="E31" i="3"/>
  <c r="E33" i="3"/>
  <c r="E28" i="3"/>
  <c r="J38" i="3"/>
  <c r="J34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E37" i="1" l="1"/>
  <c r="E33" i="1"/>
  <c r="D37" i="1"/>
  <c r="D33" i="1"/>
  <c r="C33" i="1"/>
  <c r="C37" i="1"/>
  <c r="I38" i="1"/>
  <c r="I43" i="1"/>
  <c r="I41" i="1"/>
  <c r="H38" i="1"/>
  <c r="H41" i="1"/>
  <c r="H43" i="1" s="1"/>
  <c r="K37" i="1"/>
  <c r="K33" i="1"/>
  <c r="G41" i="1"/>
  <c r="G43" i="1" s="1"/>
  <c r="F33" i="1"/>
  <c r="F37" i="1"/>
  <c r="G38" i="1" s="1"/>
  <c r="J38" i="1"/>
  <c r="J43" i="1"/>
  <c r="J41" i="1"/>
  <c r="L38" i="1"/>
  <c r="L41" i="1"/>
  <c r="L43" i="1" s="1"/>
  <c r="J44" i="3"/>
  <c r="J39" i="3"/>
  <c r="J42" i="3"/>
  <c r="K39" i="3"/>
  <c r="K44" i="3"/>
  <c r="K42" i="3"/>
  <c r="F34" i="3"/>
  <c r="F38" i="3"/>
  <c r="I38" i="3"/>
  <c r="I34" i="3"/>
  <c r="D38" i="3"/>
  <c r="D34" i="3"/>
  <c r="H34" i="3"/>
  <c r="H38" i="3"/>
  <c r="E34" i="3"/>
  <c r="E38" i="3"/>
  <c r="G34" i="3"/>
  <c r="G38" i="3"/>
  <c r="L38" i="3"/>
  <c r="L34" i="3"/>
  <c r="E38" i="1" l="1"/>
  <c r="E41" i="1"/>
  <c r="E43" i="1" s="1"/>
  <c r="K38" i="1"/>
  <c r="K41" i="1"/>
  <c r="K43" i="1" s="1"/>
  <c r="C41" i="1"/>
  <c r="C43" i="1" s="1"/>
  <c r="C44" i="3" s="1"/>
  <c r="F38" i="1"/>
  <c r="F41" i="1"/>
  <c r="F43" i="1" s="1"/>
  <c r="D38" i="1"/>
  <c r="D41" i="1"/>
  <c r="D43" i="1" s="1"/>
  <c r="E44" i="3"/>
  <c r="E39" i="3"/>
  <c r="E42" i="3"/>
  <c r="H39" i="3"/>
  <c r="H42" i="3"/>
  <c r="H44" i="3" s="1"/>
  <c r="G39" i="3"/>
  <c r="G42" i="3"/>
  <c r="G44" i="3" s="1"/>
  <c r="I44" i="3"/>
  <c r="I39" i="3"/>
  <c r="I42" i="3"/>
  <c r="F39" i="3"/>
  <c r="F42" i="3"/>
  <c r="F44" i="3"/>
  <c r="L39" i="3"/>
  <c r="L42" i="3"/>
  <c r="L44" i="3" s="1"/>
  <c r="M39" i="3"/>
  <c r="D39" i="3"/>
  <c r="D42" i="3"/>
  <c r="D44" i="3" s="1"/>
</calcChain>
</file>

<file path=xl/sharedStrings.xml><?xml version="1.0" encoding="utf-8"?>
<sst xmlns="http://schemas.openxmlformats.org/spreadsheetml/2006/main" count="312" uniqueCount="166">
  <si>
    <t>COMPANY NAME</t>
  </si>
  <si>
    <t>FEDERAL BANK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</si>
  <si>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</si>
  <si>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</si>
  <si>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</si>
  <si>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</si>
  <si>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</si>
  <si>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</si>
  <si>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</si>
  <si>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</si>
  <si>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</si>
  <si>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</si>
  <si>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</si>
  <si>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</si>
  <si>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</si>
  <si>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</si>
  <si>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</si>
  <si>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</si>
  <si>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</si>
  <si>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</si>
  <si>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</si>
  <si>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</si>
  <si>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</si>
  <si>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</si>
  <si>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</si>
  <si>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</si>
  <si>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</si>
  <si>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</si>
  <si>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</si>
  <si>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</si>
  <si>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</si>
  <si>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</si>
  <si>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</si>
  <si>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</si>
  <si>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</si>
  <si>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</si>
  <si>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</si>
  <si>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</si>
  <si>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</si>
  <si>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</si>
  <si>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</si>
  <si>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</si>
  <si>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</si>
  <si>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</si>
  <si>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</si>
  <si>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</si>
  <si>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</si>
  <si>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</si>
  <si>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</si>
  <si>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</si>
  <si>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</si>
  <si>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</si>
  <si>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</si>
  <si>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</si>
  <si>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</si>
  <si>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</si>
  <si>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</si>
  <si>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</si>
  <si>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</si>
  <si>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</si>
  <si>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</si>
  <si>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</si>
  <si>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</si>
  <si>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</si>
  <si>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</si>
  <si>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</si>
  <si>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</si>
  <si>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</si>
  <si>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</si>
  <si>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</si>
  <si>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</si>
  <si>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</si>
  <si>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</si>
  <si>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</si>
  <si>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</si>
  <si>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</si>
  <si>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</si>
  <si>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</si>
  <si>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</si>
  <si>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</si>
  <si>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</si>
  <si>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</si>
  <si>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</si>
  <si>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</si>
  <si>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</si>
  <si>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</si>
  <si>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</si>
  <si>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</si>
  <si>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</si>
  <si>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</si>
  <si>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</si>
  <si>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</si>
  <si>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</si>
  <si>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</si>
  <si>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</si>
  <si>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</si>
  <si>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</si>
  <si>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</si>
  <si>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</si>
  <si>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</si>
  <si>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</si>
  <si>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</si>
  <si>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</si>
  <si>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</si>
  <si>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</si>
  <si>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</si>
  <si>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</si>
  <si>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</si>
  <si>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</si>
  <si>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</si>
  <si>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</si>
  <si>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</si>
  <si>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</si>
  <si>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</si>
  <si>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</si>
  <si>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</si>
  <si>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</si>
  <si>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</si>
  <si>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</si>
  <si>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</si>
  <si>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</si>
  <si>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</si>
  <si>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</si>
  <si>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</si>
  <si>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</si>
  <si>
    <t>Gross Margin</t>
  </si>
  <si>
    <t>EPS</t>
  </si>
  <si>
    <t xml:space="preserve"> Total Liabilities</t>
  </si>
  <si>
    <t>Fixed Assests Net Block</t>
  </si>
  <si>
    <t>Total Non Current Assests</t>
  </si>
  <si>
    <t>Total Current Assests</t>
  </si>
  <si>
    <t>Total Assests</t>
  </si>
  <si>
    <t>Cashflow statement</t>
  </si>
  <si>
    <t xml:space="preserve">Cash from Operating Activity </t>
  </si>
  <si>
    <t>Operating Activites</t>
  </si>
  <si>
    <t>SalesGrowth</t>
  </si>
  <si>
    <t>EBITDA Growth</t>
  </si>
  <si>
    <t>EBIT Growth</t>
  </si>
  <si>
    <t>Net Profit Growth</t>
  </si>
  <si>
    <t>Dividend Growth</t>
  </si>
  <si>
    <t>EBITDA Margin</t>
  </si>
  <si>
    <t>EBIT Margin</t>
  </si>
  <si>
    <t>EBT Margin</t>
  </si>
  <si>
    <t>Net Profit Margin</t>
  </si>
  <si>
    <t>SalesExpenses%Sales</t>
  </si>
  <si>
    <t>OperatingIncome%Sales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</si>
  <si>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</si>
  <si>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</si>
  <si>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</si>
  <si>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</si>
  <si>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</si>
  <si>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</si>
  <si>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</si>
  <si>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Inventory Turnover</t>
  </si>
  <si>
    <t>Fixed Asset Turnover</t>
  </si>
  <si>
    <t>Capital Turnover Ratio</t>
  </si>
  <si>
    <t>Debtor Days</t>
  </si>
  <si>
    <t>Payable Days</t>
  </si>
  <si>
    <t>Inventory Days</t>
  </si>
  <si>
    <t>Cash Conversion Cycle</t>
  </si>
  <si>
    <t>CFO/Sales</t>
  </si>
  <si>
    <t>CFO/Total Assets</t>
  </si>
  <si>
    <t>CFO/Total Debt</t>
  </si>
  <si>
    <t>Trends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</si>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</sst>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&quot;₹&quot;\ #,##0.0"/>
    <numFmt numFmtId="169" formatCode="#,##0.0;\(#,##0.0\)\,\-"/>
    <numFmt numFmtId="170" formatCode="0.00&quot;x&quot;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i/>
      <sz val="11"/>
      <color theme="2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67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3" fontId="0" fillId="0" borderId="0" xfId="0" applyNumberFormat="1"/>
    <xf numFmtId="0" fontId="2" fillId="6" borderId="0" xfId="0" applyFont="1" applyFill="1"/>
    <xf numFmtId="17" fontId="2" fillId="6" borderId="0" xfId="0" applyNumberFormat="1" applyFont="1" applyFill="1"/>
    <xf numFmtId="17" fontId="2" fillId="6" borderId="0" xfId="0" applyNumberFormat="1" applyFont="1" applyFill="1" applyAlignment="1">
      <alignment horizontal="right"/>
    </xf>
    <xf numFmtId="168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10" fontId="15" fillId="0" borderId="0" xfId="1" applyNumberFormat="1" applyFon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right"/>
    </xf>
    <xf numFmtId="0" fontId="3" fillId="7" borderId="0" xfId="0" applyFont="1" applyFill="1"/>
    <xf numFmtId="0" fontId="0" fillId="7" borderId="0" xfId="0" applyFill="1"/>
    <xf numFmtId="0" fontId="2" fillId="8" borderId="0" xfId="0" applyFont="1" applyFill="1"/>
    <xf numFmtId="167" fontId="3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0" fontId="0" fillId="0" borderId="0" xfId="0" applyNumberFormat="1"/>
    <xf numFmtId="17" fontId="2" fillId="6" borderId="0" xfId="0" applyNumberFormat="1" applyFont="1" applyFill="1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0" fontId="0" fillId="0" borderId="2" xfId="0" applyBorder="1"/>
    <xf numFmtId="10" fontId="0" fillId="0" borderId="2" xfId="1" applyNumberFormat="1" applyFont="1" applyBorder="1"/>
    <xf numFmtId="170" fontId="0" fillId="0" borderId="2" xfId="1" applyNumberFormat="1" applyFont="1" applyBorder="1"/>
    <xf numFmtId="170" fontId="0" fillId="0" borderId="1" xfId="1" applyNumberFormat="1" applyFont="1" applyBorder="1"/>
    <xf numFmtId="170" fontId="0" fillId="0" borderId="0" xfId="1" applyNumberFormat="1" applyFont="1" applyBorder="1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107"/>
  <sheetViews>
    <sheetView showGridLines="0" workbookViewId="0">
      <pane ySplit="3" topLeftCell="A4" activePane="bottomLeft" state="frozen"/>
      <selection pane="bottomLeft" activeCell="C9" sqref="C9"/>
    </sheetView>
  </sheetViews>
  <sheetFormatPr defaultRowHeight="14.4" x14ac:dyDescent="0.3"/>
  <cols>
    <col min="1" max="1" width="1.88671875" customWidth="1"/>
    <col min="2" max="2" width="28.44140625" bestFit="1" customWidth="1"/>
    <col min="3" max="13" width="13" customWidth="1"/>
  </cols>
  <sheetData>
    <row r="2" spans="1:13" x14ac:dyDescent="0.3">
      <c r="B2" s="63" t="str">
        <f>"Historical Financial Statement - "&amp;'Data Sheet'!B1</f>
        <v>Historical Financial Statement - FEDERAL BANK LTD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x14ac:dyDescent="0.3">
      <c r="B3" s="12" t="s">
        <v>56</v>
      </c>
      <c r="C3" s="13">
        <f>'Data Sheet'!B16</f>
        <v>42094</v>
      </c>
      <c r="D3" s="13">
        <f>'Data Sheet'!C16</f>
        <v>42460</v>
      </c>
      <c r="E3" s="13">
        <f>'Data Sheet'!D16</f>
        <v>42825</v>
      </c>
      <c r="F3" s="13">
        <f>'Data Sheet'!E16</f>
        <v>43190</v>
      </c>
      <c r="G3" s="13">
        <f>'Data Sheet'!F16</f>
        <v>43555</v>
      </c>
      <c r="H3" s="13">
        <f>'Data Sheet'!G16</f>
        <v>43921</v>
      </c>
      <c r="I3" s="13">
        <f>'Data Sheet'!H16</f>
        <v>44286</v>
      </c>
      <c r="J3" s="13">
        <f>'Data Sheet'!I16</f>
        <v>44651</v>
      </c>
      <c r="K3" s="13">
        <f>'Data Sheet'!J16</f>
        <v>45016</v>
      </c>
      <c r="L3" s="13">
        <f>'Data Sheet'!K16</f>
        <v>45382</v>
      </c>
      <c r="M3" s="14" t="s">
        <v>57</v>
      </c>
    </row>
    <row r="4" spans="1:13" x14ac:dyDescent="0.3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</row>
    <row r="5" spans="1:13" x14ac:dyDescent="0.3">
      <c r="A5" t="s">
        <v>59</v>
      </c>
      <c r="B5" s="26" t="s">
        <v>58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3">
      <c r="B6" t="s">
        <v>12</v>
      </c>
      <c r="C6" s="16">
        <f>IFERROR('Data Sheet'!B17,0)</f>
        <v>7487.77</v>
      </c>
      <c r="D6" s="16">
        <f>IFERROR('Data Sheet'!C17,0)</f>
        <v>7826.28</v>
      </c>
      <c r="E6" s="16">
        <f>IFERROR('Data Sheet'!D17,0)</f>
        <v>8783.27</v>
      </c>
      <c r="F6" s="16">
        <f>IFERROR('Data Sheet'!E17,0)</f>
        <v>9914.9</v>
      </c>
      <c r="G6" s="16">
        <f>IFERROR('Data Sheet'!F17,0)</f>
        <v>11635.44</v>
      </c>
      <c r="H6" s="16">
        <f>IFERROR('Data Sheet'!G17,0)</f>
        <v>13590.39</v>
      </c>
      <c r="I6" s="16">
        <f>IFERROR('Data Sheet'!H17,0)</f>
        <v>14314.08</v>
      </c>
      <c r="J6" s="16">
        <f>IFERROR('Data Sheet'!I17,0)</f>
        <v>14381.53</v>
      </c>
      <c r="K6" s="16">
        <f>IFERROR('Data Sheet'!J17,0)</f>
        <v>17811.78</v>
      </c>
      <c r="L6" s="16">
        <f>IFERROR('Data Sheet'!K17,0)</f>
        <v>23565.48</v>
      </c>
      <c r="M6" s="16">
        <f>IFERROR(SUM('Data Sheet'!H42:K42),0)</f>
        <v>27337.35</v>
      </c>
    </row>
    <row r="7" spans="1:13" x14ac:dyDescent="0.3">
      <c r="B7" s="19" t="s">
        <v>60</v>
      </c>
      <c r="C7" s="20" t="s">
        <v>61</v>
      </c>
      <c r="D7" s="21">
        <f>D6/C6-1</f>
        <v>4.5208386475545925E-2</v>
      </c>
      <c r="E7" s="21">
        <f t="shared" ref="E7:M7" si="0">E6/D6-1</f>
        <v>0.12227903933925188</v>
      </c>
      <c r="F7" s="21">
        <f t="shared" si="0"/>
        <v>0.12883925918251382</v>
      </c>
      <c r="G7" s="21">
        <f t="shared" si="0"/>
        <v>0.1735307466540259</v>
      </c>
      <c r="H7" s="21">
        <f t="shared" si="0"/>
        <v>0.16801685196262439</v>
      </c>
      <c r="I7" s="21">
        <f t="shared" si="0"/>
        <v>5.3250127479785414E-2</v>
      </c>
      <c r="J7" s="21">
        <f t="shared" si="0"/>
        <v>4.7121435677319745E-3</v>
      </c>
      <c r="K7" s="21">
        <f t="shared" si="0"/>
        <v>0.23851773768159568</v>
      </c>
      <c r="L7" s="21">
        <f t="shared" si="0"/>
        <v>0.32302779396556658</v>
      </c>
      <c r="M7" s="21">
        <f t="shared" si="0"/>
        <v>0.16005912037437797</v>
      </c>
    </row>
    <row r="9" spans="1:13" x14ac:dyDescent="0.3">
      <c r="B9" t="s">
        <v>62</v>
      </c>
      <c r="C9" s="16">
        <f>IFERROR(SUM('Data Sheet'!B18,'Data Sheet'!B20:B22)-1*'Data Sheet'!B19,0)</f>
        <v>963.43</v>
      </c>
      <c r="D9" s="16">
        <f>IFERROR(SUM('Data Sheet'!C18,'Data Sheet'!C20:C22)-1*'Data Sheet'!C19,0)</f>
        <v>1133.69</v>
      </c>
      <c r="E9" s="16">
        <f>IFERROR(SUM('Data Sheet'!D18,'Data Sheet'!D20:D22)-1*'Data Sheet'!D19,0)</f>
        <v>1253.7199999999998</v>
      </c>
      <c r="F9" s="16">
        <f>IFERROR(SUM('Data Sheet'!E18,'Data Sheet'!E20:E22)-1*'Data Sheet'!E19,0)</f>
        <v>1336.88</v>
      </c>
      <c r="G9" s="16">
        <f>IFERROR(SUM('Data Sheet'!F18,'Data Sheet'!F20:F22)-1*'Data Sheet'!F19,0)</f>
        <v>1494.48</v>
      </c>
      <c r="H9" s="16">
        <f>IFERROR(SUM('Data Sheet'!G18,'Data Sheet'!G20:G22)-1*'Data Sheet'!G19,0)</f>
        <v>1954.4099999999999</v>
      </c>
      <c r="I9" s="16">
        <f>IFERROR(SUM('Data Sheet'!H18,'Data Sheet'!H20:H22)-1*'Data Sheet'!H19,0)</f>
        <v>2244.46</v>
      </c>
      <c r="J9" s="16">
        <f>IFERROR(SUM('Data Sheet'!I18,'Data Sheet'!I20:I22)-1*'Data Sheet'!I19,0)</f>
        <v>2600.65</v>
      </c>
      <c r="K9" s="16">
        <f>IFERROR(SUM('Data Sheet'!J18,'Data Sheet'!J20:J22)-1*'Data Sheet'!J19,0)</f>
        <v>2559.3100000000004</v>
      </c>
      <c r="L9" s="16">
        <f>IFERROR(SUM('Data Sheet'!K18,'Data Sheet'!K20:K22)-1*'Data Sheet'!K19,0)</f>
        <v>3308.4300000000003</v>
      </c>
      <c r="M9" s="16">
        <f>IFERROR(SUM('Data Sheet'!H43:K43),0)</f>
        <v>8462.66</v>
      </c>
    </row>
    <row r="10" spans="1:13" x14ac:dyDescent="0.3">
      <c r="B10" s="19" t="s">
        <v>63</v>
      </c>
      <c r="C10" s="21">
        <f>C9/C6</f>
        <v>0.12866714656032435</v>
      </c>
      <c r="D10" s="21">
        <f t="shared" ref="D10:M10" si="1">D9/D6</f>
        <v>0.14485681575410031</v>
      </c>
      <c r="E10" s="21">
        <f t="shared" si="1"/>
        <v>0.14273954916562961</v>
      </c>
      <c r="F10" s="21">
        <f t="shared" si="1"/>
        <v>0.13483544967674915</v>
      </c>
      <c r="G10" s="21">
        <f t="shared" si="1"/>
        <v>0.12844207008931333</v>
      </c>
      <c r="H10" s="21">
        <f t="shared" si="1"/>
        <v>0.14380823508376139</v>
      </c>
      <c r="I10" s="21">
        <f t="shared" si="1"/>
        <v>0.15680085621988979</v>
      </c>
      <c r="J10" s="21">
        <f t="shared" si="1"/>
        <v>0.18083263741757657</v>
      </c>
      <c r="K10" s="21">
        <f t="shared" si="1"/>
        <v>0.14368636935780707</v>
      </c>
      <c r="L10" s="21">
        <f t="shared" si="1"/>
        <v>0.1403930664684106</v>
      </c>
      <c r="M10" s="21">
        <f t="shared" si="1"/>
        <v>0.30956402138466238</v>
      </c>
    </row>
    <row r="12" spans="1:13" x14ac:dyDescent="0.3">
      <c r="B12" t="s">
        <v>64</v>
      </c>
      <c r="C12" s="22">
        <f>C6-C9</f>
        <v>6524.34</v>
      </c>
      <c r="D12" s="22">
        <f t="shared" ref="D12:M12" si="2">D6-D9</f>
        <v>6692.59</v>
      </c>
      <c r="E12" s="22">
        <f t="shared" si="2"/>
        <v>7529.5500000000011</v>
      </c>
      <c r="F12" s="22">
        <f t="shared" si="2"/>
        <v>8578.02</v>
      </c>
      <c r="G12" s="22">
        <f t="shared" si="2"/>
        <v>10140.960000000001</v>
      </c>
      <c r="H12" s="22">
        <f t="shared" si="2"/>
        <v>11635.98</v>
      </c>
      <c r="I12" s="22">
        <f t="shared" si="2"/>
        <v>12069.619999999999</v>
      </c>
      <c r="J12" s="22">
        <f t="shared" si="2"/>
        <v>11780.880000000001</v>
      </c>
      <c r="K12" s="22">
        <f t="shared" si="2"/>
        <v>15252.469999999998</v>
      </c>
      <c r="L12" s="22">
        <f t="shared" si="2"/>
        <v>20257.05</v>
      </c>
      <c r="M12" s="22">
        <f t="shared" si="2"/>
        <v>18874.689999999999</v>
      </c>
    </row>
    <row r="13" spans="1:13" x14ac:dyDescent="0.3">
      <c r="B13" s="19" t="s">
        <v>70</v>
      </c>
      <c r="C13" s="21">
        <f>C12/C6</f>
        <v>0.87133285343967559</v>
      </c>
      <c r="D13" s="21">
        <f t="shared" ref="D13:M13" si="3">D12/D6</f>
        <v>0.85514318424589975</v>
      </c>
      <c r="E13" s="21">
        <f t="shared" si="3"/>
        <v>0.85726045083437041</v>
      </c>
      <c r="F13" s="21">
        <f t="shared" si="3"/>
        <v>0.8651645503232509</v>
      </c>
      <c r="G13" s="21">
        <f t="shared" si="3"/>
        <v>0.8715579299106867</v>
      </c>
      <c r="H13" s="21">
        <f t="shared" si="3"/>
        <v>0.85619176491623861</v>
      </c>
      <c r="I13" s="21">
        <f t="shared" si="3"/>
        <v>0.84319914378011018</v>
      </c>
      <c r="J13" s="21">
        <f t="shared" si="3"/>
        <v>0.81916736258242351</v>
      </c>
      <c r="K13" s="21">
        <f t="shared" si="3"/>
        <v>0.8563136306421929</v>
      </c>
      <c r="L13" s="21">
        <f t="shared" si="3"/>
        <v>0.85960693353158946</v>
      </c>
      <c r="M13" s="21">
        <f t="shared" si="3"/>
        <v>0.69043597861533756</v>
      </c>
    </row>
    <row r="15" spans="1:13" x14ac:dyDescent="0.3">
      <c r="B15" t="s">
        <v>65</v>
      </c>
      <c r="C15" s="22">
        <f>IFERROR(SUM('Data Sheet'!B23:B24),0)</f>
        <v>737.49</v>
      </c>
      <c r="D15" s="22">
        <f>IFERROR(SUM('Data Sheet'!C23:C24),0)</f>
        <v>1394.92</v>
      </c>
      <c r="E15" s="22">
        <f>IFERROR(SUM('Data Sheet'!D23:D24),0)</f>
        <v>1494.85</v>
      </c>
      <c r="F15" s="22">
        <f>IFERROR(SUM('Data Sheet'!E23:E24),0)</f>
        <v>1993.8899999999999</v>
      </c>
      <c r="G15" s="22">
        <f>IFERROR(SUM('Data Sheet'!F23:F24),0)</f>
        <v>2077.4899999999998</v>
      </c>
      <c r="H15" s="22">
        <f>IFERROR(SUM('Data Sheet'!G23:G24),0)</f>
        <v>2653.79</v>
      </c>
      <c r="I15" s="22">
        <f>IFERROR(SUM('Data Sheet'!H23:H24),0)</f>
        <v>3282.82</v>
      </c>
      <c r="J15" s="22">
        <f>IFERROR(SUM('Data Sheet'!I23:I24),0)</f>
        <v>3157.26</v>
      </c>
      <c r="K15" s="22">
        <f>IFERROR(SUM('Data Sheet'!J23:J24),0)</f>
        <v>3268.3500000000004</v>
      </c>
      <c r="L15" s="22">
        <f>IFERROR(SUM('Data Sheet'!K23:K24),0)</f>
        <v>3483.91</v>
      </c>
      <c r="M15" s="22"/>
    </row>
    <row r="16" spans="1:13" x14ac:dyDescent="0.3">
      <c r="B16" s="19" t="s">
        <v>66</v>
      </c>
      <c r="C16" s="21">
        <f>C15/C6</f>
        <v>9.8492608613779536E-2</v>
      </c>
      <c r="D16" s="21">
        <f t="shared" ref="D16:M16" si="4">D15/D6</f>
        <v>0.17823538130503894</v>
      </c>
      <c r="E16" s="21">
        <f t="shared" si="4"/>
        <v>0.17019287805111305</v>
      </c>
      <c r="F16" s="21">
        <f t="shared" si="4"/>
        <v>0.20110036409847803</v>
      </c>
      <c r="G16" s="21">
        <f t="shared" si="4"/>
        <v>0.17854846915973951</v>
      </c>
      <c r="H16" s="21">
        <f t="shared" si="4"/>
        <v>0.19526959859135756</v>
      </c>
      <c r="I16" s="21">
        <f t="shared" si="4"/>
        <v>0.22934201848809005</v>
      </c>
      <c r="J16" s="21">
        <f t="shared" si="4"/>
        <v>0.2195357517593747</v>
      </c>
      <c r="K16" s="21">
        <f t="shared" si="4"/>
        <v>0.18349373279930475</v>
      </c>
      <c r="L16" s="21">
        <f t="shared" si="4"/>
        <v>0.14783955175112071</v>
      </c>
      <c r="M16" s="21">
        <f t="shared" si="4"/>
        <v>0</v>
      </c>
    </row>
    <row r="18" spans="2:13" x14ac:dyDescent="0.3">
      <c r="B18" t="s">
        <v>28</v>
      </c>
      <c r="C18" s="22">
        <f t="shared" ref="C18:L18" si="5">C12-C15</f>
        <v>5786.85</v>
      </c>
      <c r="D18" s="22">
        <f t="shared" si="5"/>
        <v>5297.67</v>
      </c>
      <c r="E18" s="22">
        <f t="shared" si="5"/>
        <v>6034.7000000000007</v>
      </c>
      <c r="F18" s="22">
        <f t="shared" si="5"/>
        <v>6584.130000000001</v>
      </c>
      <c r="G18" s="22">
        <f t="shared" si="5"/>
        <v>8063.4700000000012</v>
      </c>
      <c r="H18" s="22">
        <f t="shared" si="5"/>
        <v>8982.1899999999987</v>
      </c>
      <c r="I18" s="22">
        <f t="shared" si="5"/>
        <v>8786.7999999999993</v>
      </c>
      <c r="J18" s="22">
        <f t="shared" si="5"/>
        <v>8623.6200000000008</v>
      </c>
      <c r="K18" s="22">
        <f t="shared" si="5"/>
        <v>11984.119999999997</v>
      </c>
      <c r="L18" s="22">
        <f t="shared" si="5"/>
        <v>16773.14</v>
      </c>
      <c r="M18" s="22">
        <f>IFERROR(SUM('Data Sheet'!H51:K51),0)</f>
        <v>22534.55</v>
      </c>
    </row>
    <row r="19" spans="2:13" x14ac:dyDescent="0.3">
      <c r="B19" s="19" t="s">
        <v>67</v>
      </c>
      <c r="C19" s="21">
        <f>C18/C6</f>
        <v>0.77284024482589608</v>
      </c>
      <c r="D19" s="21">
        <f t="shared" ref="D19:M19" si="6">D18/D6</f>
        <v>0.67690780294086084</v>
      </c>
      <c r="E19" s="21">
        <f t="shared" si="6"/>
        <v>0.68706757278325736</v>
      </c>
      <c r="F19" s="21">
        <f t="shared" si="6"/>
        <v>0.66406418622477292</v>
      </c>
      <c r="G19" s="21">
        <f t="shared" si="6"/>
        <v>0.69300946075094716</v>
      </c>
      <c r="H19" s="21">
        <f t="shared" si="6"/>
        <v>0.66092216632488099</v>
      </c>
      <c r="I19" s="21">
        <f t="shared" si="6"/>
        <v>0.61385712529202008</v>
      </c>
      <c r="J19" s="21">
        <f t="shared" si="6"/>
        <v>0.59963161082304872</v>
      </c>
      <c r="K19" s="21">
        <f t="shared" si="6"/>
        <v>0.67281989784288809</v>
      </c>
      <c r="L19" s="21">
        <f t="shared" si="6"/>
        <v>0.71176738178046872</v>
      </c>
      <c r="M19" s="21">
        <f t="shared" si="6"/>
        <v>0.8243136222055174</v>
      </c>
    </row>
    <row r="21" spans="2:13" x14ac:dyDescent="0.3">
      <c r="B21" t="s">
        <v>22</v>
      </c>
      <c r="C21" s="22">
        <f>IFERROR('Data Sheet'!B27,0)</f>
        <v>5056.33</v>
      </c>
      <c r="D21" s="22">
        <f>IFERROR('Data Sheet'!C27,0)</f>
        <v>5259.35</v>
      </c>
      <c r="E21" s="22">
        <f>IFERROR('Data Sheet'!D27,0)</f>
        <v>5652.58</v>
      </c>
      <c r="F21" s="22">
        <f>IFERROR('Data Sheet'!E27,0)</f>
        <v>6226.42</v>
      </c>
      <c r="G21" s="22">
        <f>IFERROR('Data Sheet'!F27,0)</f>
        <v>7316.33</v>
      </c>
      <c r="H21" s="22">
        <f>IFERROR('Data Sheet'!G27,0)</f>
        <v>8678.31</v>
      </c>
      <c r="I21" s="22">
        <f>IFERROR('Data Sheet'!H27,0)</f>
        <v>8434.9599999999991</v>
      </c>
      <c r="J21" s="22">
        <f>IFERROR('Data Sheet'!I27,0)</f>
        <v>7959.38</v>
      </c>
      <c r="K21" s="22">
        <f>IFERROR('Data Sheet'!J27,0)</f>
        <v>9975.24</v>
      </c>
      <c r="L21" s="22">
        <f>IFERROR('Data Sheet'!K27,0)</f>
        <v>14494.67</v>
      </c>
      <c r="M21" s="22">
        <f>IFERROR(SUM('Data Sheet'!H46:K46),0)</f>
        <v>17111.14</v>
      </c>
    </row>
    <row r="22" spans="2:13" x14ac:dyDescent="0.3">
      <c r="B22" s="19" t="s">
        <v>68</v>
      </c>
      <c r="C22" s="21">
        <f>C21/C6</f>
        <v>0.67527848745354091</v>
      </c>
      <c r="D22" s="21">
        <f t="shared" ref="D22:M22" si="7">D21/D6</f>
        <v>0.67201147927240024</v>
      </c>
      <c r="E22" s="21">
        <f t="shared" si="7"/>
        <v>0.64356213574215526</v>
      </c>
      <c r="F22" s="21">
        <f t="shared" si="7"/>
        <v>0.62798616224066817</v>
      </c>
      <c r="G22" s="21">
        <f t="shared" si="7"/>
        <v>0.62879702013847349</v>
      </c>
      <c r="H22" s="21">
        <f t="shared" si="7"/>
        <v>0.63856224876548795</v>
      </c>
      <c r="I22" s="21">
        <f t="shared" si="7"/>
        <v>0.58927713132803494</v>
      </c>
      <c r="J22" s="21">
        <f t="shared" si="7"/>
        <v>0.55344459177848249</v>
      </c>
      <c r="K22" s="21">
        <f t="shared" si="7"/>
        <v>0.56003611093332617</v>
      </c>
      <c r="L22" s="21">
        <f t="shared" si="7"/>
        <v>0.61508061792078927</v>
      </c>
      <c r="M22" s="21">
        <f t="shared" si="7"/>
        <v>0.62592533658163652</v>
      </c>
    </row>
    <row r="24" spans="2:13" x14ac:dyDescent="0.3">
      <c r="B24" t="s">
        <v>21</v>
      </c>
      <c r="C24" s="22">
        <f>IFERROR('Data Sheet'!B26,0)</f>
        <v>79.489999999999995</v>
      </c>
      <c r="D24" s="22">
        <f>IFERROR('Data Sheet'!C26,0)</f>
        <v>108.17</v>
      </c>
      <c r="E24" s="22">
        <f>IFERROR('Data Sheet'!D26,0)</f>
        <v>123.91</v>
      </c>
      <c r="F24" s="22">
        <f>IFERROR('Data Sheet'!E26,0)</f>
        <v>124.73</v>
      </c>
      <c r="G24" s="22">
        <f>IFERROR('Data Sheet'!F26,0)</f>
        <v>122.26</v>
      </c>
      <c r="H24" s="22">
        <f>IFERROR('Data Sheet'!G26,0)</f>
        <v>125.73</v>
      </c>
      <c r="I24" s="22">
        <f>IFERROR('Data Sheet'!H26,0)</f>
        <v>114.92</v>
      </c>
      <c r="J24" s="22">
        <f>IFERROR('Data Sheet'!I26,0)</f>
        <v>138.9</v>
      </c>
      <c r="K24" s="22">
        <f>IFERROR('Data Sheet'!J26,0)</f>
        <v>182.18</v>
      </c>
      <c r="L24" s="22">
        <f>IFERROR('Data Sheet'!K26,0)</f>
        <v>233.95</v>
      </c>
      <c r="M24" s="22">
        <f>IFERROR(SUM('Data Sheet'!H45:K45),0)</f>
        <v>0</v>
      </c>
    </row>
    <row r="25" spans="2:13" x14ac:dyDescent="0.3">
      <c r="B25" s="19" t="s">
        <v>69</v>
      </c>
      <c r="C25" s="21">
        <f>C24/C6</f>
        <v>1.0615977787779271E-2</v>
      </c>
      <c r="D25" s="21">
        <f t="shared" ref="D25:M25" si="8">D24/D6</f>
        <v>1.3821381294816951E-2</v>
      </c>
      <c r="E25" s="21">
        <f t="shared" si="8"/>
        <v>1.4107502103430725E-2</v>
      </c>
      <c r="F25" s="21">
        <f t="shared" si="8"/>
        <v>1.2580056278933728E-2</v>
      </c>
      <c r="G25" s="21">
        <f t="shared" si="8"/>
        <v>1.0507552787002468E-2</v>
      </c>
      <c r="H25" s="21">
        <f t="shared" si="8"/>
        <v>9.251390136706894E-3</v>
      </c>
      <c r="I25" s="21">
        <f t="shared" si="8"/>
        <v>8.0284586924203299E-3</v>
      </c>
      <c r="J25" s="21">
        <f t="shared" si="8"/>
        <v>9.6582213436261655E-3</v>
      </c>
      <c r="K25" s="21">
        <f t="shared" si="8"/>
        <v>1.0228062551861747E-2</v>
      </c>
      <c r="L25" s="21">
        <f t="shared" si="8"/>
        <v>9.9276568947460429E-3</v>
      </c>
      <c r="M25" s="21">
        <f t="shared" si="8"/>
        <v>0</v>
      </c>
    </row>
    <row r="27" spans="2:13" x14ac:dyDescent="0.3">
      <c r="B27" t="s">
        <v>71</v>
      </c>
      <c r="C27" s="22">
        <f>IFERROR(C18-SUM(C24,C21),0)</f>
        <v>651.03000000000065</v>
      </c>
      <c r="D27" s="22">
        <f t="shared" ref="D27:M27" si="9">IFERROR(D18-SUM(D24,D21),0)</f>
        <v>-69.850000000000364</v>
      </c>
      <c r="E27" s="22">
        <f t="shared" si="9"/>
        <v>258.21000000000095</v>
      </c>
      <c r="F27" s="22">
        <f t="shared" si="9"/>
        <v>232.98000000000138</v>
      </c>
      <c r="G27" s="22">
        <f t="shared" si="9"/>
        <v>624.88000000000102</v>
      </c>
      <c r="H27" s="22">
        <f t="shared" si="9"/>
        <v>178.14999999999964</v>
      </c>
      <c r="I27" s="16">
        <f t="shared" si="9"/>
        <v>236.92000000000007</v>
      </c>
      <c r="J27" s="16">
        <f t="shared" si="9"/>
        <v>525.34000000000106</v>
      </c>
      <c r="K27" s="16">
        <f t="shared" si="9"/>
        <v>1826.6999999999971</v>
      </c>
      <c r="L27" s="16">
        <f t="shared" si="9"/>
        <v>2044.5199999999986</v>
      </c>
      <c r="M27" s="16">
        <f t="shared" si="9"/>
        <v>5423.41</v>
      </c>
    </row>
    <row r="28" spans="2:13" x14ac:dyDescent="0.3">
      <c r="B28" s="19" t="s">
        <v>72</v>
      </c>
      <c r="C28" s="21">
        <f>C27/C6</f>
        <v>8.6945779584576E-2</v>
      </c>
      <c r="D28" s="21">
        <f t="shared" ref="D28:M28" si="10">D27/D6</f>
        <v>-8.9250576263563749E-3</v>
      </c>
      <c r="E28" s="21">
        <f t="shared" si="10"/>
        <v>2.9397934937671382E-2</v>
      </c>
      <c r="F28" s="21">
        <f t="shared" si="10"/>
        <v>2.3497967705171145E-2</v>
      </c>
      <c r="G28" s="21">
        <f t="shared" si="10"/>
        <v>5.3704887825471233E-2</v>
      </c>
      <c r="H28" s="21">
        <f t="shared" si="10"/>
        <v>1.3108527422686152E-2</v>
      </c>
      <c r="I28" s="21">
        <f t="shared" si="10"/>
        <v>1.6551535271564787E-2</v>
      </c>
      <c r="J28" s="21">
        <f t="shared" si="10"/>
        <v>3.6528797700940099E-2</v>
      </c>
      <c r="K28" s="21">
        <f t="shared" si="10"/>
        <v>0.10255572435770019</v>
      </c>
      <c r="L28" s="21">
        <f t="shared" si="10"/>
        <v>8.67591069649334E-2</v>
      </c>
      <c r="M28" s="21">
        <f t="shared" si="10"/>
        <v>0.19838828562388089</v>
      </c>
    </row>
    <row r="30" spans="2:13" x14ac:dyDescent="0.3">
      <c r="B30" t="s">
        <v>24</v>
      </c>
      <c r="C30" s="16">
        <f>IFERROR('Data Sheet'!B29,0)</f>
        <v>517.48</v>
      </c>
      <c r="D30" s="16">
        <f>IFERROR('Data Sheet'!C29,0)</f>
        <v>250.61</v>
      </c>
      <c r="E30" s="16">
        <f>IFERROR('Data Sheet'!D29,0)</f>
        <v>488.66</v>
      </c>
      <c r="F30" s="16">
        <f>IFERROR('Data Sheet'!E29,0)</f>
        <v>483.55</v>
      </c>
      <c r="G30" s="16">
        <f>IFERROR('Data Sheet'!F29,0)</f>
        <v>677.58</v>
      </c>
      <c r="H30" s="16">
        <f>IFERROR('Data Sheet'!G29,0)</f>
        <v>507.2</v>
      </c>
      <c r="I30" s="16">
        <f>IFERROR('Data Sheet'!H29,0)</f>
        <v>561.36</v>
      </c>
      <c r="J30" s="16">
        <f>IFERROR('Data Sheet'!I29,0)</f>
        <v>680.88</v>
      </c>
      <c r="K30" s="16">
        <f>IFERROR('Data Sheet'!J29,0)</f>
        <v>1087.18</v>
      </c>
      <c r="L30" s="16">
        <f>IFERROR('Data Sheet'!K29,0)</f>
        <v>1333.47</v>
      </c>
      <c r="M30" s="16">
        <f>IFERROR(SUM('Data Sheet'!H48:K48),0)</f>
        <v>1384.71</v>
      </c>
    </row>
    <row r="31" spans="2:13" x14ac:dyDescent="0.3">
      <c r="B31" s="19" t="s">
        <v>27</v>
      </c>
      <c r="C31" s="21">
        <f>C30/C27</f>
        <v>0.79486352395434845</v>
      </c>
      <c r="D31" s="21">
        <f t="shared" ref="D31:M31" si="11">D30/D27</f>
        <v>-3.5878310665712054</v>
      </c>
      <c r="E31" s="21">
        <f t="shared" si="11"/>
        <v>1.8924906084194966</v>
      </c>
      <c r="F31" s="21">
        <f t="shared" si="11"/>
        <v>2.0755000429221271</v>
      </c>
      <c r="G31" s="21">
        <f t="shared" si="11"/>
        <v>1.0843361925489676</v>
      </c>
      <c r="H31" s="21">
        <f t="shared" si="11"/>
        <v>2.8470390120684872</v>
      </c>
      <c r="I31" s="21">
        <f t="shared" si="11"/>
        <v>2.369407394901232</v>
      </c>
      <c r="J31" s="21">
        <f t="shared" si="11"/>
        <v>1.2960749229070672</v>
      </c>
      <c r="K31" s="21">
        <f t="shared" si="11"/>
        <v>0.59516067225050739</v>
      </c>
      <c r="L31" s="21">
        <f t="shared" si="11"/>
        <v>0.65221665721049482</v>
      </c>
      <c r="M31" s="21">
        <f t="shared" si="11"/>
        <v>0.2553209143324956</v>
      </c>
    </row>
    <row r="33" spans="1:13" x14ac:dyDescent="0.3">
      <c r="B33" t="s">
        <v>73</v>
      </c>
      <c r="C33" s="16">
        <f>IFERROR(C27-C30,0)</f>
        <v>133.55000000000064</v>
      </c>
      <c r="D33" s="16">
        <f t="shared" ref="D33:M33" si="12">IFERROR(D27-D30,0)</f>
        <v>-320.46000000000038</v>
      </c>
      <c r="E33" s="16">
        <f t="shared" si="12"/>
        <v>-230.44999999999908</v>
      </c>
      <c r="F33" s="16">
        <f t="shared" si="12"/>
        <v>-250.56999999999863</v>
      </c>
      <c r="G33" s="16">
        <f t="shared" si="12"/>
        <v>-52.699999999999022</v>
      </c>
      <c r="H33" s="16">
        <f t="shared" si="12"/>
        <v>-329.05000000000035</v>
      </c>
      <c r="I33" s="16">
        <f t="shared" si="12"/>
        <v>-324.43999999999994</v>
      </c>
      <c r="J33" s="16">
        <f t="shared" si="12"/>
        <v>-155.53999999999894</v>
      </c>
      <c r="K33" s="16">
        <f t="shared" si="12"/>
        <v>739.51999999999703</v>
      </c>
      <c r="L33" s="16">
        <f t="shared" si="12"/>
        <v>711.04999999999859</v>
      </c>
      <c r="M33" s="16">
        <f t="shared" si="12"/>
        <v>4038.7</v>
      </c>
    </row>
    <row r="34" spans="1:13" x14ac:dyDescent="0.3">
      <c r="B34" s="19" t="s">
        <v>74</v>
      </c>
      <c r="C34" s="21">
        <f>C33/C6</f>
        <v>1.783575083102187E-2</v>
      </c>
      <c r="D34" s="21">
        <f t="shared" ref="D34:M34" si="13">D33/D6</f>
        <v>-4.0946656649136035E-2</v>
      </c>
      <c r="E34" s="21">
        <f t="shared" si="13"/>
        <v>-2.6237380838799111E-2</v>
      </c>
      <c r="F34" s="21">
        <f t="shared" si="13"/>
        <v>-2.5272065275494322E-2</v>
      </c>
      <c r="G34" s="21">
        <f t="shared" si="13"/>
        <v>-4.5292657604696527E-3</v>
      </c>
      <c r="H34" s="21">
        <f t="shared" si="13"/>
        <v>-2.4211961540470905E-2</v>
      </c>
      <c r="I34" s="21">
        <f t="shared" si="13"/>
        <v>-2.2665794797849387E-2</v>
      </c>
      <c r="J34" s="21">
        <f t="shared" si="13"/>
        <v>-1.0815260963193688E-2</v>
      </c>
      <c r="K34" s="21">
        <f t="shared" si="13"/>
        <v>4.1518590505833612E-2</v>
      </c>
      <c r="L34" s="21">
        <f t="shared" si="13"/>
        <v>3.0173372237696776E-2</v>
      </c>
      <c r="M34" s="21">
        <f t="shared" si="13"/>
        <v>0.14773560714553532</v>
      </c>
    </row>
    <row r="36" spans="1:13" x14ac:dyDescent="0.3">
      <c r="B36" t="s">
        <v>75</v>
      </c>
      <c r="C36">
        <f>IFERROR('Data Sheet'!B93,0)</f>
        <v>171.33</v>
      </c>
      <c r="D36">
        <f>IFERROR('Data Sheet'!C93,0)</f>
        <v>171.89</v>
      </c>
      <c r="E36">
        <f>IFERROR('Data Sheet'!D93,0)</f>
        <v>172.4</v>
      </c>
      <c r="F36">
        <f>IFERROR('Data Sheet'!E93,0)</f>
        <v>197.21</v>
      </c>
      <c r="G36">
        <f>IFERROR('Data Sheet'!F93,0)</f>
        <v>198.51</v>
      </c>
      <c r="H36">
        <f>IFERROR('Data Sheet'!G93,0)</f>
        <v>199.27</v>
      </c>
      <c r="I36">
        <f>IFERROR('Data Sheet'!H93,0)</f>
        <v>199.62</v>
      </c>
      <c r="J36">
        <f>IFERROR('Data Sheet'!I93,0)</f>
        <v>210.25</v>
      </c>
      <c r="K36">
        <f>IFERROR('Data Sheet'!J93,0)</f>
        <v>211.62</v>
      </c>
      <c r="L36">
        <f>IFERROR('Data Sheet'!K93,0)</f>
        <v>243.54</v>
      </c>
      <c r="M36">
        <f>L36</f>
        <v>243.54</v>
      </c>
    </row>
    <row r="37" spans="1:13" x14ac:dyDescent="0.3"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3">
      <c r="B38" t="s">
        <v>77</v>
      </c>
      <c r="C38" s="22">
        <f>IFERROR(C33/C36,0)</f>
        <v>0.77948987334384301</v>
      </c>
      <c r="D38" s="22">
        <f t="shared" ref="D38:M38" si="14">IFERROR(D33/D36,0)</f>
        <v>-1.8643318401303182</v>
      </c>
      <c r="E38" s="22">
        <f t="shared" si="14"/>
        <v>-1.336716937354983</v>
      </c>
      <c r="F38" s="22">
        <f t="shared" si="14"/>
        <v>-1.2705745144769465</v>
      </c>
      <c r="G38" s="22">
        <f t="shared" si="14"/>
        <v>-0.26547780968212698</v>
      </c>
      <c r="H38" s="22">
        <f t="shared" si="14"/>
        <v>-1.6512771616399877</v>
      </c>
      <c r="I38" s="22">
        <f t="shared" si="14"/>
        <v>-1.6252880472898503</v>
      </c>
      <c r="J38" s="22">
        <f t="shared" si="14"/>
        <v>-0.73978596908441829</v>
      </c>
      <c r="K38" s="22">
        <f t="shared" si="14"/>
        <v>3.4945657310272988</v>
      </c>
      <c r="L38" s="22">
        <f t="shared" si="14"/>
        <v>2.919643590375292</v>
      </c>
      <c r="M38" s="22">
        <f t="shared" si="14"/>
        <v>16.583312802824999</v>
      </c>
    </row>
    <row r="39" spans="1:13" x14ac:dyDescent="0.3">
      <c r="B39" s="19" t="s">
        <v>78</v>
      </c>
      <c r="C39" s="21"/>
      <c r="D39" s="21">
        <f>IFERROR(D38/C38-1,0)</f>
        <v>-3.3917332397568396</v>
      </c>
      <c r="E39" s="21">
        <f t="shared" ref="E39:M39" si="15">IFERROR(E38/D38-1,0)</f>
        <v>-0.28300482318558406</v>
      </c>
      <c r="F39" s="21">
        <f t="shared" si="15"/>
        <v>-4.9481248445101045E-2</v>
      </c>
      <c r="G39" s="21">
        <f t="shared" si="15"/>
        <v>-0.79105687493549692</v>
      </c>
      <c r="H39" s="21">
        <f t="shared" si="15"/>
        <v>5.2200195323939287</v>
      </c>
      <c r="I39" s="21">
        <f t="shared" si="15"/>
        <v>-1.5738795977972564E-2</v>
      </c>
      <c r="J39" s="21">
        <f t="shared" si="15"/>
        <v>-0.5448277797169534</v>
      </c>
      <c r="K39" s="21">
        <f t="shared" si="15"/>
        <v>-5.7237523784781699</v>
      </c>
      <c r="L39" s="21">
        <f t="shared" si="15"/>
        <v>-0.16451890875808384</v>
      </c>
      <c r="M39" s="21">
        <f t="shared" si="15"/>
        <v>4.6799099922649718</v>
      </c>
    </row>
    <row r="41" spans="1:13" x14ac:dyDescent="0.3">
      <c r="B41" t="s">
        <v>76</v>
      </c>
      <c r="C41" s="16">
        <f>IFERROR('Data Sheet'!B31/HistoricalFS!C36,0)</f>
        <v>1.0999824899317108</v>
      </c>
      <c r="D41" s="16">
        <f>IFERROR('Data Sheet'!C31/HistoricalFS!D36,0)</f>
        <v>0.70004072371865733</v>
      </c>
      <c r="E41" s="16">
        <f>IFERROR('Data Sheet'!D31/HistoricalFS!E36,0)</f>
        <v>0.89999999999999991</v>
      </c>
      <c r="F41" s="16">
        <f>IFERROR('Data Sheet'!E31/HistoricalFS!F36,0)</f>
        <v>1.0000507073677805</v>
      </c>
      <c r="G41" s="16">
        <f>IFERROR('Data Sheet'!F31/HistoricalFS!G36,0)</f>
        <v>1.3999798498816183</v>
      </c>
      <c r="H41" s="16">
        <f>IFERROR('Data Sheet'!G31/HistoricalFS!H36,0)</f>
        <v>0</v>
      </c>
      <c r="I41" s="16">
        <f>IFERROR('Data Sheet'!H31/HistoricalFS!I36,0)</f>
        <v>0.69997996192766254</v>
      </c>
      <c r="J41" s="16">
        <f>IFERROR('Data Sheet'!I31/HistoricalFS!J36,0)</f>
        <v>1.8000475624256835</v>
      </c>
      <c r="K41" s="16">
        <f>IFERROR('Data Sheet'!J31/HistoricalFS!K36,0)</f>
        <v>1</v>
      </c>
      <c r="L41" s="16">
        <f>IFERROR('Data Sheet'!K31/HistoricalFS!L36,0)</f>
        <v>1.1999671511866634</v>
      </c>
      <c r="M41" s="16">
        <f>IFERROR('Data Sheet'!L31/HistoricalFS!M36,0)</f>
        <v>0</v>
      </c>
    </row>
    <row r="42" spans="1:13" x14ac:dyDescent="0.3">
      <c r="B42" s="19" t="s">
        <v>79</v>
      </c>
      <c r="C42" s="21">
        <f>IFERROR(C41/C38,0)</f>
        <v>1.4111568700861035</v>
      </c>
      <c r="D42" s="21">
        <f t="shared" ref="D42:M42" si="16">IFERROR(D41/D38,0)</f>
        <v>-0.37549148099606772</v>
      </c>
      <c r="E42" s="21">
        <f t="shared" si="16"/>
        <v>-0.67329138641788078</v>
      </c>
      <c r="F42" s="21">
        <f t="shared" si="16"/>
        <v>-0.78708544518498258</v>
      </c>
      <c r="G42" s="21">
        <f t="shared" si="16"/>
        <v>-5.2734345351044629</v>
      </c>
      <c r="H42" s="21">
        <f t="shared" si="16"/>
        <v>0</v>
      </c>
      <c r="I42" s="21">
        <f t="shared" si="16"/>
        <v>-0.43068055726790788</v>
      </c>
      <c r="J42" s="21">
        <f t="shared" si="16"/>
        <v>-2.4332004629034496</v>
      </c>
      <c r="K42" s="21">
        <f t="shared" si="16"/>
        <v>0.28615858935525862</v>
      </c>
      <c r="L42" s="21">
        <f t="shared" si="16"/>
        <v>0.41099782012516783</v>
      </c>
      <c r="M42" s="21">
        <f t="shared" si="16"/>
        <v>0</v>
      </c>
    </row>
    <row r="44" spans="1:13" x14ac:dyDescent="0.3">
      <c r="B44" t="s">
        <v>80</v>
      </c>
      <c r="C44" s="17">
        <f>'Financials&gt;'!C43</f>
        <v>0</v>
      </c>
      <c r="D44" s="17">
        <f t="shared" ref="D44:M44" si="17">IFERROR(IF(D38&gt;D41,1-D42,0),0)</f>
        <v>0</v>
      </c>
      <c r="E44" s="17">
        <f t="shared" si="17"/>
        <v>0</v>
      </c>
      <c r="F44" s="17">
        <f t="shared" si="17"/>
        <v>0</v>
      </c>
      <c r="G44" s="17">
        <f t="shared" si="17"/>
        <v>0</v>
      </c>
      <c r="H44" s="17">
        <f t="shared" si="17"/>
        <v>0</v>
      </c>
      <c r="I44" s="17">
        <f t="shared" si="17"/>
        <v>0</v>
      </c>
      <c r="J44" s="17">
        <f t="shared" si="17"/>
        <v>0</v>
      </c>
      <c r="K44" s="17">
        <f t="shared" si="17"/>
        <v>0.71384141064474138</v>
      </c>
      <c r="L44" s="17">
        <f t="shared" si="17"/>
        <v>0.58900217987483217</v>
      </c>
      <c r="M44" s="17">
        <f t="shared" si="17"/>
        <v>1</v>
      </c>
    </row>
    <row r="46" spans="1:13" x14ac:dyDescent="0.3">
      <c r="A46" t="s">
        <v>59</v>
      </c>
      <c r="B46" s="26" t="s">
        <v>81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3">
      <c r="B47" t="s">
        <v>33</v>
      </c>
      <c r="C47" s="16">
        <f>IFERROR('Data Sheet'!B57,0)</f>
        <v>171.33</v>
      </c>
      <c r="D47" s="16">
        <f>IFERROR('Data Sheet'!C57,0)</f>
        <v>343.79</v>
      </c>
      <c r="E47" s="16">
        <f>IFERROR('Data Sheet'!D57,0)</f>
        <v>344.81</v>
      </c>
      <c r="F47" s="16">
        <f>IFERROR('Data Sheet'!E57,0)</f>
        <v>394.43</v>
      </c>
      <c r="G47" s="16">
        <f>IFERROR('Data Sheet'!F57,0)</f>
        <v>397.01</v>
      </c>
      <c r="H47" s="16">
        <f>IFERROR('Data Sheet'!G57,0)</f>
        <v>398.53</v>
      </c>
      <c r="I47" s="16">
        <f>IFERROR('Data Sheet'!H57,0)</f>
        <v>399.23</v>
      </c>
      <c r="J47" s="16">
        <f>IFERROR('Data Sheet'!I57,0)</f>
        <v>420.51</v>
      </c>
      <c r="K47" s="16">
        <f>IFERROR('Data Sheet'!J57,0)</f>
        <v>423.24</v>
      </c>
      <c r="L47" s="16">
        <f>IFERROR('Data Sheet'!K57,0)</f>
        <v>487.07</v>
      </c>
    </row>
    <row r="48" spans="1:13" x14ac:dyDescent="0.3">
      <c r="B48" t="s">
        <v>34</v>
      </c>
      <c r="C48" s="16">
        <f>IFERROR('Data Sheet'!B58,0)</f>
        <v>7528.94</v>
      </c>
      <c r="D48" s="16">
        <f>IFERROR('Data Sheet'!C58,0)</f>
        <v>7720.34</v>
      </c>
      <c r="E48" s="16">
        <f>IFERROR('Data Sheet'!D58,0)</f>
        <v>8606.56</v>
      </c>
      <c r="F48" s="16">
        <f>IFERROR('Data Sheet'!E58,0)</f>
        <v>11879.81</v>
      </c>
      <c r="G48" s="16">
        <f>IFERROR('Data Sheet'!F58,0)</f>
        <v>13101.24</v>
      </c>
      <c r="H48" s="16">
        <f>IFERROR('Data Sheet'!G58,0)</f>
        <v>14423.83</v>
      </c>
      <c r="I48" s="16">
        <f>IFERROR('Data Sheet'!H58,0)</f>
        <v>16104.72</v>
      </c>
      <c r="J48" s="16">
        <f>IFERROR('Data Sheet'!I58,0)</f>
        <v>18835.009999999998</v>
      </c>
      <c r="K48" s="16">
        <f>IFERROR('Data Sheet'!J58,0)</f>
        <v>21699.17</v>
      </c>
      <c r="L48" s="16">
        <f>IFERROR('Data Sheet'!K58,0)</f>
        <v>29618.28</v>
      </c>
    </row>
    <row r="49" spans="2:13" x14ac:dyDescent="0.3">
      <c r="B49" t="s">
        <v>35</v>
      </c>
      <c r="C49" s="16">
        <f>IFERROR('Data Sheet'!B59,0)</f>
        <v>73215.67</v>
      </c>
      <c r="D49" s="16">
        <f>IFERROR('Data Sheet'!C59,0)</f>
        <v>84407.22</v>
      </c>
      <c r="E49" s="16">
        <f>IFERROR('Data Sheet'!D59,0)</f>
        <v>104007.57</v>
      </c>
      <c r="F49" s="16">
        <f>IFERROR('Data Sheet'!E59,0)</f>
        <v>124298.94</v>
      </c>
      <c r="G49" s="16">
        <f>IFERROR('Data Sheet'!F59,0)</f>
        <v>143585.22</v>
      </c>
      <c r="H49" s="16">
        <f>IFERROR('Data Sheet'!G59,0)</f>
        <v>164779.63</v>
      </c>
      <c r="I49" s="16">
        <f>IFERROR('Data Sheet'!H59,0)</f>
        <v>184456.7</v>
      </c>
      <c r="J49" s="16">
        <f>IFERROR('Data Sheet'!I59,0)</f>
        <v>201264.91</v>
      </c>
      <c r="K49" s="16">
        <f>IFERROR('Data Sheet'!J59,0)</f>
        <v>238850.48</v>
      </c>
      <c r="L49" s="16">
        <f>IFERROR('Data Sheet'!K59,0)</f>
        <v>277614.63</v>
      </c>
    </row>
    <row r="50" spans="2:13" x14ac:dyDescent="0.3">
      <c r="B50" t="s">
        <v>36</v>
      </c>
      <c r="C50" s="16">
        <f>IFERROR('Data Sheet'!B60,0)</f>
        <v>1992.77</v>
      </c>
      <c r="D50" s="16">
        <f>IFERROR('Data Sheet'!C60,0)</f>
        <v>2234.38</v>
      </c>
      <c r="E50" s="16">
        <f>IFERROR('Data Sheet'!D60,0)</f>
        <v>2526.8000000000002</v>
      </c>
      <c r="F50" s="16">
        <f>IFERROR('Data Sheet'!E60,0)</f>
        <v>2640.48</v>
      </c>
      <c r="G50" s="16">
        <f>IFERROR('Data Sheet'!F60,0)</f>
        <v>3469</v>
      </c>
      <c r="H50" s="16">
        <f>IFERROR('Data Sheet'!G60,0)</f>
        <v>3751.34</v>
      </c>
      <c r="I50" s="16">
        <f>IFERROR('Data Sheet'!H60,0)</f>
        <v>4005.87</v>
      </c>
      <c r="J50" s="16">
        <f>IFERROR('Data Sheet'!I60,0)</f>
        <v>5720.62</v>
      </c>
      <c r="K50" s="16">
        <f>IFERROR('Data Sheet'!J60,0)</f>
        <v>7031.17</v>
      </c>
      <c r="L50" s="16">
        <f>IFERROR('Data Sheet'!K60,0)</f>
        <v>10118.969999999999</v>
      </c>
    </row>
    <row r="51" spans="2:13" x14ac:dyDescent="0.3">
      <c r="B51" s="15" t="s">
        <v>82</v>
      </c>
      <c r="C51" s="28">
        <f>IFERROR('Data Sheet'!B61,0)</f>
        <v>82908.710000000006</v>
      </c>
      <c r="D51" s="28">
        <f>IFERROR('Data Sheet'!C61,0)</f>
        <v>94705.73</v>
      </c>
      <c r="E51" s="28">
        <f>IFERROR('Data Sheet'!D61,0)</f>
        <v>115485.74</v>
      </c>
      <c r="F51" s="28">
        <f>IFERROR('Data Sheet'!E61,0)</f>
        <v>139213.66</v>
      </c>
      <c r="G51" s="28">
        <f>IFERROR('Data Sheet'!F61,0)</f>
        <v>160552.47</v>
      </c>
      <c r="H51" s="28">
        <f>IFERROR('Data Sheet'!G61,0)</f>
        <v>183353.33</v>
      </c>
      <c r="I51" s="28">
        <f>IFERROR('Data Sheet'!H61,0)</f>
        <v>204966.52</v>
      </c>
      <c r="J51" s="28">
        <f>IFERROR('Data Sheet'!I61,0)</f>
        <v>226241.05</v>
      </c>
      <c r="K51" s="28">
        <f>IFERROR('Data Sheet'!J61,0)</f>
        <v>268004.06</v>
      </c>
      <c r="L51" s="28">
        <f>IFERROR('Data Sheet'!K61,0)</f>
        <v>317838.95</v>
      </c>
      <c r="M51" s="15"/>
    </row>
    <row r="53" spans="2:13" x14ac:dyDescent="0.3">
      <c r="B53" t="s">
        <v>83</v>
      </c>
      <c r="C53" s="16">
        <f>IFERROR('Data Sheet'!B62,0)</f>
        <v>446.1</v>
      </c>
      <c r="D53" s="16">
        <f>IFERROR('Data Sheet'!C62,0)</f>
        <v>507.88</v>
      </c>
      <c r="E53" s="16">
        <f>IFERROR('Data Sheet'!D62,0)</f>
        <v>477.4</v>
      </c>
      <c r="F53" s="16">
        <f>IFERROR('Data Sheet'!E62,0)</f>
        <v>451.73</v>
      </c>
      <c r="G53" s="16">
        <f>IFERROR('Data Sheet'!F62,0)</f>
        <v>461.58</v>
      </c>
      <c r="H53" s="16">
        <f>IFERROR('Data Sheet'!G62,0)</f>
        <v>477.2</v>
      </c>
      <c r="I53" s="16">
        <f>IFERROR('Data Sheet'!H62,0)</f>
        <v>504.41</v>
      </c>
      <c r="J53" s="16">
        <f>IFERROR('Data Sheet'!I62,0)</f>
        <v>643.26</v>
      </c>
      <c r="K53" s="16">
        <f>IFERROR('Data Sheet'!J62,0)</f>
        <v>890.32</v>
      </c>
      <c r="L53" s="16">
        <f>IFERROR('Data Sheet'!K62,0)</f>
        <v>996.05</v>
      </c>
    </row>
    <row r="54" spans="2:13" x14ac:dyDescent="0.3">
      <c r="B54" t="s">
        <v>39</v>
      </c>
      <c r="C54" s="16">
        <f>IFERROR('Data Sheet'!B63,0)</f>
        <v>26.58</v>
      </c>
      <c r="D54" s="16">
        <f>IFERROR('Data Sheet'!C63,0)</f>
        <v>15.76</v>
      </c>
      <c r="E54" s="16">
        <f>IFERROR('Data Sheet'!D63,0)</f>
        <v>14.94</v>
      </c>
      <c r="F54" s="16">
        <f>IFERROR('Data Sheet'!E63,0)</f>
        <v>9.6199999999999992</v>
      </c>
      <c r="G54" s="16">
        <f>IFERROR('Data Sheet'!F63,0)</f>
        <v>18.350000000000001</v>
      </c>
      <c r="H54" s="16">
        <f>IFERROR('Data Sheet'!G63,0)</f>
        <v>27.61</v>
      </c>
      <c r="I54" s="16">
        <f>IFERROR('Data Sheet'!H63,0)</f>
        <v>13.08</v>
      </c>
      <c r="J54" s="16">
        <f>IFERROR('Data Sheet'!I63,0)</f>
        <v>28.85</v>
      </c>
      <c r="K54" s="16">
        <f>IFERROR('Data Sheet'!J63,0)</f>
        <v>81.39</v>
      </c>
      <c r="L54" s="16">
        <f>IFERROR('Data Sheet'!K63,0)</f>
        <v>66.989999999999995</v>
      </c>
    </row>
    <row r="55" spans="2:13" x14ac:dyDescent="0.3">
      <c r="B55" t="s">
        <v>40</v>
      </c>
      <c r="C55" s="16">
        <f>IFERROR('Data Sheet'!B64,0)</f>
        <v>20349.439999999999</v>
      </c>
      <c r="D55" s="16">
        <f>IFERROR('Data Sheet'!C64,0)</f>
        <v>24920.47</v>
      </c>
      <c r="E55" s="16">
        <f>IFERROR('Data Sheet'!D64,0)</f>
        <v>27912.26</v>
      </c>
      <c r="F55" s="16">
        <f>IFERROR('Data Sheet'!E64,0)</f>
        <v>30594.68</v>
      </c>
      <c r="G55" s="16">
        <f>IFERROR('Data Sheet'!F64,0)</f>
        <v>31675.7</v>
      </c>
      <c r="H55" s="16">
        <f>IFERROR('Data Sheet'!G64,0)</f>
        <v>35715.39</v>
      </c>
      <c r="I55" s="16">
        <f>IFERROR('Data Sheet'!H64,0)</f>
        <v>36731.67</v>
      </c>
      <c r="J55" s="16">
        <f>IFERROR('Data Sheet'!I64,0)</f>
        <v>39065.19</v>
      </c>
      <c r="K55" s="16">
        <f>IFERROR('Data Sheet'!J64,0)</f>
        <v>48702.239999999998</v>
      </c>
      <c r="L55" s="16">
        <f>IFERROR('Data Sheet'!K64,0)</f>
        <v>61043.12</v>
      </c>
    </row>
    <row r="56" spans="2:13" x14ac:dyDescent="0.3">
      <c r="B56" t="s">
        <v>41</v>
      </c>
      <c r="C56" s="16">
        <f>IFERROR('Data Sheet'!B65-SUM('Data Sheet'!B67:B69),0)</f>
        <v>57302.149999999994</v>
      </c>
      <c r="D56" s="16">
        <f>IFERROR('Data Sheet'!C65-SUM('Data Sheet'!C67:C69),0)</f>
        <v>63838.479999999996</v>
      </c>
      <c r="E56" s="16">
        <f>IFERROR('Data Sheet'!D65-SUM('Data Sheet'!D67:D69),0)</f>
        <v>79626.5</v>
      </c>
      <c r="F56" s="16">
        <f>IFERROR('Data Sheet'!E65-SUM('Data Sheet'!E67:E69),0)</f>
        <v>98962.420000000013</v>
      </c>
      <c r="G56" s="16">
        <f>IFERROR('Data Sheet'!F65-SUM('Data Sheet'!F67:F69),0)</f>
        <v>118343.37</v>
      </c>
      <c r="H56" s="16">
        <f>IFERROR('Data Sheet'!G65-SUM('Data Sheet'!G67:G69),0)</f>
        <v>134375.82</v>
      </c>
      <c r="I56" s="16">
        <f>IFERROR('Data Sheet'!H65-SUM('Data Sheet'!H67:H69),0)</f>
        <v>147901.62999999998</v>
      </c>
      <c r="J56" s="16">
        <f>IFERROR('Data Sheet'!I65-SUM('Data Sheet'!I67:I69),0)</f>
        <v>165367.64000000001</v>
      </c>
      <c r="K56" s="16">
        <f>IFERROR('Data Sheet'!J65-SUM('Data Sheet'!J67:J69),0)</f>
        <v>200526.18</v>
      </c>
      <c r="L56" s="16">
        <f>IFERROR('Data Sheet'!K65-SUM('Data Sheet'!K67:K69),0)</f>
        <v>236538.97</v>
      </c>
    </row>
    <row r="57" spans="2:13" x14ac:dyDescent="0.3">
      <c r="B57" s="15" t="s">
        <v>84</v>
      </c>
      <c r="C57" s="28">
        <f>SUM(C53:C56)</f>
        <v>78124.26999999999</v>
      </c>
      <c r="D57" s="28">
        <f t="shared" ref="D57:L57" si="18">SUM(D53:D56)</f>
        <v>89282.59</v>
      </c>
      <c r="E57" s="28">
        <f t="shared" si="18"/>
        <v>108031.1</v>
      </c>
      <c r="F57" s="28">
        <f t="shared" si="18"/>
        <v>130018.45000000001</v>
      </c>
      <c r="G57" s="28">
        <f t="shared" si="18"/>
        <v>150499</v>
      </c>
      <c r="H57" s="28">
        <f t="shared" si="18"/>
        <v>170596.02000000002</v>
      </c>
      <c r="I57" s="28">
        <f t="shared" si="18"/>
        <v>185150.78999999998</v>
      </c>
      <c r="J57" s="28">
        <f t="shared" si="18"/>
        <v>205104.94</v>
      </c>
      <c r="K57" s="28">
        <f t="shared" si="18"/>
        <v>250200.13</v>
      </c>
      <c r="L57" s="28">
        <f t="shared" si="18"/>
        <v>298645.13</v>
      </c>
    </row>
    <row r="58" spans="2:13" x14ac:dyDescent="0.3">
      <c r="B58" s="15"/>
    </row>
    <row r="59" spans="2:13" x14ac:dyDescent="0.3">
      <c r="B59" t="s">
        <v>42</v>
      </c>
      <c r="C59" s="16">
        <f>IFERROR('Data Sheet'!B67,0)</f>
        <v>0</v>
      </c>
      <c r="D59" s="16">
        <f>IFERROR('Data Sheet'!C67,0)</f>
        <v>0</v>
      </c>
      <c r="E59" s="16">
        <f>IFERROR('Data Sheet'!D67,0)</f>
        <v>0</v>
      </c>
      <c r="F59" s="16">
        <f>IFERROR('Data Sheet'!E67,0)</f>
        <v>0</v>
      </c>
      <c r="G59" s="16">
        <f>IFERROR('Data Sheet'!F67,0)</f>
        <v>0</v>
      </c>
      <c r="H59" s="16">
        <f>IFERROR('Data Sheet'!G67,0)</f>
        <v>0</v>
      </c>
      <c r="I59" s="16">
        <f>IFERROR('Data Sheet'!H67,0)</f>
        <v>0</v>
      </c>
      <c r="J59" s="16">
        <f>IFERROR('Data Sheet'!I67,0)</f>
        <v>0</v>
      </c>
      <c r="K59" s="16">
        <f>IFERROR('Data Sheet'!J67,0)</f>
        <v>0</v>
      </c>
      <c r="L59" s="16">
        <f>IFERROR('Data Sheet'!K67,0)</f>
        <v>0</v>
      </c>
    </row>
    <row r="60" spans="2:13" x14ac:dyDescent="0.3">
      <c r="B60" t="s">
        <v>43</v>
      </c>
      <c r="C60" s="16">
        <f>IFERROR('Data Sheet'!B68,0)</f>
        <v>0</v>
      </c>
      <c r="D60" s="16">
        <f>IFERROR('Data Sheet'!C68,0)</f>
        <v>0</v>
      </c>
      <c r="E60" s="16">
        <f>IFERROR('Data Sheet'!D68,0)</f>
        <v>0</v>
      </c>
      <c r="F60" s="16">
        <f>IFERROR('Data Sheet'!E68,0)</f>
        <v>0</v>
      </c>
      <c r="G60" s="16">
        <f>IFERROR('Data Sheet'!F68,0)</f>
        <v>0</v>
      </c>
      <c r="H60" s="16">
        <f>IFERROR('Data Sheet'!G68,0)</f>
        <v>0</v>
      </c>
      <c r="I60" s="16">
        <f>IFERROR('Data Sheet'!H68,0)</f>
        <v>0</v>
      </c>
      <c r="J60" s="16">
        <f>IFERROR('Data Sheet'!I68,0)</f>
        <v>0</v>
      </c>
      <c r="K60" s="16">
        <f>IFERROR('Data Sheet'!J68,0)</f>
        <v>0</v>
      </c>
      <c r="L60" s="16">
        <f>IFERROR('Data Sheet'!K68,0)</f>
        <v>0</v>
      </c>
    </row>
    <row r="61" spans="2:13" x14ac:dyDescent="0.3">
      <c r="B61" t="s">
        <v>44</v>
      </c>
      <c r="C61" s="16">
        <f>IFERROR('Data Sheet'!B69,0)</f>
        <v>4784.4399999999996</v>
      </c>
      <c r="D61" s="16">
        <f>IFERROR('Data Sheet'!C69,0)</f>
        <v>5423.14</v>
      </c>
      <c r="E61" s="16">
        <f>IFERROR('Data Sheet'!D69,0)</f>
        <v>7454.64</v>
      </c>
      <c r="F61" s="16">
        <f>IFERROR('Data Sheet'!E69,0)</f>
        <v>9195.2099999999991</v>
      </c>
      <c r="G61" s="16">
        <f>IFERROR('Data Sheet'!F69,0)</f>
        <v>10053.469999999999</v>
      </c>
      <c r="H61" s="16">
        <f>IFERROR('Data Sheet'!G69,0)</f>
        <v>12757.31</v>
      </c>
      <c r="I61" s="16">
        <f>IFERROR('Data Sheet'!H69,0)</f>
        <v>19815.73</v>
      </c>
      <c r="J61" s="16">
        <f>IFERROR('Data Sheet'!I69,0)</f>
        <v>21136.11</v>
      </c>
      <c r="K61" s="16">
        <f>IFERROR('Data Sheet'!J69,0)</f>
        <v>17803.93</v>
      </c>
      <c r="L61" s="16">
        <f>IFERROR('Data Sheet'!K69,0)</f>
        <v>19193.82</v>
      </c>
    </row>
    <row r="62" spans="2:13" x14ac:dyDescent="0.3">
      <c r="B62" s="15" t="s">
        <v>85</v>
      </c>
      <c r="C62" s="28">
        <f>IFERROR(SUM(C59:C61),0)</f>
        <v>4784.4399999999996</v>
      </c>
      <c r="D62" s="28">
        <f t="shared" ref="D62:L62" si="19">IFERROR(SUM(D59:D61),0)</f>
        <v>5423.14</v>
      </c>
      <c r="E62" s="28">
        <f t="shared" si="19"/>
        <v>7454.64</v>
      </c>
      <c r="F62" s="28">
        <f t="shared" si="19"/>
        <v>9195.2099999999991</v>
      </c>
      <c r="G62" s="28">
        <f t="shared" si="19"/>
        <v>10053.469999999999</v>
      </c>
      <c r="H62" s="28">
        <f t="shared" si="19"/>
        <v>12757.31</v>
      </c>
      <c r="I62" s="28">
        <f t="shared" si="19"/>
        <v>19815.73</v>
      </c>
      <c r="J62" s="28">
        <f t="shared" si="19"/>
        <v>21136.11</v>
      </c>
      <c r="K62" s="28">
        <f t="shared" si="19"/>
        <v>17803.93</v>
      </c>
      <c r="L62" s="28">
        <f t="shared" si="19"/>
        <v>19193.82</v>
      </c>
    </row>
    <row r="64" spans="2:13" x14ac:dyDescent="0.3">
      <c r="B64" s="15" t="s">
        <v>86</v>
      </c>
      <c r="C64" s="28">
        <f>IFERROR(C62+C57,0)</f>
        <v>82908.709999999992</v>
      </c>
      <c r="D64" s="28">
        <f t="shared" ref="D64:L64" si="20">IFERROR(D62+D57,0)</f>
        <v>94705.73</v>
      </c>
      <c r="E64" s="28">
        <f t="shared" si="20"/>
        <v>115485.74</v>
      </c>
      <c r="F64" s="28">
        <f t="shared" si="20"/>
        <v>139213.66</v>
      </c>
      <c r="G64" s="28">
        <f t="shared" si="20"/>
        <v>160552.47</v>
      </c>
      <c r="H64" s="28">
        <f t="shared" si="20"/>
        <v>183353.33000000002</v>
      </c>
      <c r="I64" s="28">
        <f t="shared" si="20"/>
        <v>204966.52</v>
      </c>
      <c r="J64" s="28">
        <f t="shared" si="20"/>
        <v>226241.05</v>
      </c>
      <c r="K64" s="28">
        <f t="shared" si="20"/>
        <v>268004.06</v>
      </c>
      <c r="L64" s="28">
        <f t="shared" si="20"/>
        <v>317838.95</v>
      </c>
    </row>
    <row r="66" spans="1:13" x14ac:dyDescent="0.3">
      <c r="B66" s="18" t="s">
        <v>87</v>
      </c>
      <c r="C66" s="18" t="b">
        <f>C64=C51</f>
        <v>1</v>
      </c>
      <c r="D66" s="18" t="b">
        <f t="shared" ref="D66:L66" si="21">D64=D51</f>
        <v>1</v>
      </c>
      <c r="E66" s="18" t="b">
        <f t="shared" si="21"/>
        <v>1</v>
      </c>
      <c r="F66" s="18" t="b">
        <f t="shared" si="21"/>
        <v>1</v>
      </c>
      <c r="G66" s="18" t="b">
        <f t="shared" si="21"/>
        <v>1</v>
      </c>
      <c r="H66" s="18" t="b">
        <f t="shared" si="21"/>
        <v>1</v>
      </c>
      <c r="I66" s="18" t="b">
        <f t="shared" si="21"/>
        <v>1</v>
      </c>
      <c r="J66" s="18" t="b">
        <f t="shared" si="21"/>
        <v>1</v>
      </c>
      <c r="K66" s="18" t="b">
        <f t="shared" si="21"/>
        <v>1</v>
      </c>
      <c r="L66" s="18" t="b">
        <f t="shared" si="21"/>
        <v>1</v>
      </c>
    </row>
    <row r="68" spans="1:13" x14ac:dyDescent="0.3">
      <c r="A68" t="s">
        <v>59</v>
      </c>
      <c r="B68" s="26" t="s">
        <v>118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3">
      <c r="B69" s="15" t="s">
        <v>120</v>
      </c>
    </row>
    <row r="70" spans="1:13" x14ac:dyDescent="0.3">
      <c r="B70" t="s">
        <v>88</v>
      </c>
      <c r="C70" s="16">
        <f>IFERROR('Cash Flow Data'!E4,0)</f>
        <v>24406</v>
      </c>
      <c r="D70" s="16">
        <f>IFERROR('Cash Flow Data'!F4,0)</f>
        <v>36303</v>
      </c>
      <c r="E70" s="16">
        <f>IFERROR('Cash Flow Data'!G4,0)</f>
        <v>43397</v>
      </c>
      <c r="F70" s="16">
        <f>IFERROR('Cash Flow Data'!H4,0)</f>
        <v>38626</v>
      </c>
      <c r="G70" s="16">
        <f>IFERROR('Cash Flow Data'!I4,0)</f>
        <v>28840</v>
      </c>
      <c r="H70" s="16">
        <f>IFERROR('Cash Flow Data'!J4,0)</f>
        <v>33312</v>
      </c>
      <c r="I70" s="16">
        <f>IFERROR('Cash Flow Data'!K4,0)</f>
        <v>28771</v>
      </c>
      <c r="J70" s="16">
        <f>IFERROR('Cash Flow Data'!L4,0)</f>
        <v>23352</v>
      </c>
      <c r="K70" s="16">
        <f>IFERROR('Cash Flow Data'!M4,0)</f>
        <v>31198</v>
      </c>
      <c r="L70" s="16">
        <f>IFERROR('Cash Flow Data'!N4,0)</f>
        <v>26666</v>
      </c>
    </row>
    <row r="71" spans="1:13" x14ac:dyDescent="0.3">
      <c r="B71" t="s">
        <v>42</v>
      </c>
      <c r="C71" s="16">
        <f>IFERROR('Cash Flow Data'!E5,0)</f>
        <v>-5177</v>
      </c>
      <c r="D71" s="16">
        <f>IFERROR('Cash Flow Data'!F5,0)</f>
        <v>445</v>
      </c>
      <c r="E71" s="16">
        <f>IFERROR('Cash Flow Data'!G5,0)</f>
        <v>-3179</v>
      </c>
      <c r="F71" s="16">
        <f>IFERROR('Cash Flow Data'!H5,0)</f>
        <v>-2223</v>
      </c>
      <c r="G71" s="16">
        <f>IFERROR('Cash Flow Data'!I5,0)</f>
        <v>-4152</v>
      </c>
      <c r="H71" s="16">
        <f>IFERROR('Cash Flow Data'!J5,0)</f>
        <v>-10688</v>
      </c>
      <c r="I71" s="16">
        <f>IFERROR('Cash Flow Data'!K5,0)</f>
        <v>-9109</v>
      </c>
      <c r="J71" s="16">
        <f>IFERROR('Cash Flow Data'!L5,0)</f>
        <v>9950</v>
      </c>
      <c r="K71" s="16">
        <f>IFERROR('Cash Flow Data'!M5,0)</f>
        <v>-5505</v>
      </c>
      <c r="L71" s="16">
        <f>IFERROR('Cash Flow Data'!N5,0)</f>
        <v>337</v>
      </c>
    </row>
    <row r="72" spans="1:13" x14ac:dyDescent="0.3">
      <c r="B72" t="s">
        <v>43</v>
      </c>
      <c r="C72" s="16">
        <f>IFERROR('Cash Flow Data'!E6,0)</f>
        <v>-2656</v>
      </c>
      <c r="D72" s="16">
        <f>IFERROR('Cash Flow Data'!F6,0)</f>
        <v>-2853</v>
      </c>
      <c r="E72" s="16">
        <f>IFERROR('Cash Flow Data'!G6,0)</f>
        <v>-3692</v>
      </c>
      <c r="F72" s="16">
        <f>IFERROR('Cash Flow Data'!H6,0)</f>
        <v>-5743</v>
      </c>
      <c r="G72" s="16">
        <f>IFERROR('Cash Flow Data'!I6,0)</f>
        <v>-6621</v>
      </c>
      <c r="H72" s="16">
        <f>IFERROR('Cash Flow Data'!J6,0)</f>
        <v>-3560</v>
      </c>
      <c r="I72" s="16">
        <f>IFERROR('Cash Flow Data'!K6,0)</f>
        <v>2069</v>
      </c>
      <c r="J72" s="16">
        <f>IFERROR('Cash Flow Data'!L6,0)</f>
        <v>2326</v>
      </c>
      <c r="K72" s="16">
        <f>IFERROR('Cash Flow Data'!M6,0)</f>
        <v>3814</v>
      </c>
      <c r="L72" s="16">
        <f>IFERROR('Cash Flow Data'!N6,0)</f>
        <v>597</v>
      </c>
    </row>
    <row r="73" spans="1:13" x14ac:dyDescent="0.3">
      <c r="B73" t="s">
        <v>89</v>
      </c>
      <c r="C73" s="16">
        <f>IFERROR('Cash Flow Data'!E7,0)</f>
        <v>8132</v>
      </c>
      <c r="D73" s="16">
        <f>IFERROR('Cash Flow Data'!F7,0)</f>
        <v>4694</v>
      </c>
      <c r="E73" s="16">
        <f>IFERROR('Cash Flow Data'!G7,0)</f>
        <v>3598</v>
      </c>
      <c r="F73" s="16">
        <f>IFERROR('Cash Flow Data'!H7,0)</f>
        <v>3947</v>
      </c>
      <c r="G73" s="16">
        <f>IFERROR('Cash Flow Data'!I7,0)</f>
        <v>9301</v>
      </c>
      <c r="H73" s="16">
        <f>IFERROR('Cash Flow Data'!J7,0)</f>
        <v>7320</v>
      </c>
      <c r="I73" s="16">
        <f>IFERROR('Cash Flow Data'!K7,0)</f>
        <v>-4692</v>
      </c>
      <c r="J73" s="16">
        <f>IFERROR('Cash Flow Data'!L7,0)</f>
        <v>-8085</v>
      </c>
      <c r="K73" s="16">
        <f>IFERROR('Cash Flow Data'!M7,0)</f>
        <v>5748</v>
      </c>
      <c r="L73" s="16">
        <f>IFERROR('Cash Flow Data'!N7,0)</f>
        <v>-7012</v>
      </c>
    </row>
    <row r="74" spans="1:13" x14ac:dyDescent="0.3">
      <c r="B74" t="s">
        <v>90</v>
      </c>
      <c r="C74" s="16">
        <f>IFERROR('Cash Flow Data'!E8,0)</f>
        <v>0</v>
      </c>
      <c r="D74" s="16">
        <f>IFERROR('Cash Flow Data'!F8,0)</f>
        <v>0</v>
      </c>
      <c r="E74" s="16">
        <f>IFERROR('Cash Flow Data'!G8,0)</f>
        <v>0</v>
      </c>
      <c r="F74" s="16">
        <f>IFERROR('Cash Flow Data'!H8,0)</f>
        <v>-520</v>
      </c>
      <c r="G74" s="16">
        <f>IFERROR('Cash Flow Data'!I8,0)</f>
        <v>0</v>
      </c>
      <c r="H74" s="16">
        <f>IFERROR('Cash Flow Data'!J8,0)</f>
        <v>0</v>
      </c>
      <c r="I74" s="16">
        <f>IFERROR('Cash Flow Data'!K8,0)</f>
        <v>0</v>
      </c>
      <c r="J74" s="16">
        <f>IFERROR('Cash Flow Data'!L8,0)</f>
        <v>0</v>
      </c>
      <c r="K74" s="16">
        <f>IFERROR('Cash Flow Data'!M8,0)</f>
        <v>0</v>
      </c>
      <c r="L74" s="16">
        <f>IFERROR('Cash Flow Data'!N8,0)</f>
        <v>0</v>
      </c>
    </row>
    <row r="75" spans="1:13" x14ac:dyDescent="0.3">
      <c r="B75" t="s">
        <v>91</v>
      </c>
      <c r="C75" s="16">
        <f>IFERROR('Cash Flow Data'!E9,0)</f>
        <v>-303</v>
      </c>
      <c r="D75" s="16">
        <f>IFERROR('Cash Flow Data'!F9,0)</f>
        <v>1870</v>
      </c>
      <c r="E75" s="16">
        <f>IFERROR('Cash Flow Data'!G9,0)</f>
        <v>-398</v>
      </c>
      <c r="F75" s="16">
        <f>IFERROR('Cash Flow Data'!H9,0)</f>
        <v>5852</v>
      </c>
      <c r="G75" s="16">
        <f>IFERROR('Cash Flow Data'!I9,0)</f>
        <v>4727</v>
      </c>
      <c r="H75" s="16">
        <f>IFERROR('Cash Flow Data'!J9,0)</f>
        <v>494</v>
      </c>
      <c r="I75" s="16">
        <f>IFERROR('Cash Flow Data'!K9,0)</f>
        <v>4512</v>
      </c>
      <c r="J75" s="16">
        <f>IFERROR('Cash Flow Data'!L9,0)</f>
        <v>875</v>
      </c>
      <c r="K75" s="16">
        <f>IFERROR('Cash Flow Data'!M9,0)</f>
        <v>-4150</v>
      </c>
      <c r="L75" s="16">
        <f>IFERROR('Cash Flow Data'!N9,0)</f>
        <v>-4396</v>
      </c>
    </row>
    <row r="76" spans="1:13" x14ac:dyDescent="0.3">
      <c r="B76" t="s">
        <v>92</v>
      </c>
      <c r="C76" s="16">
        <f>IFERROR('Cash Flow Data'!E10,0)</f>
        <v>-3</v>
      </c>
      <c r="D76" s="16">
        <f>IFERROR('Cash Flow Data'!F10,0)</f>
        <v>4157</v>
      </c>
      <c r="E76" s="16">
        <f>IFERROR('Cash Flow Data'!G10,0)</f>
        <v>-3672</v>
      </c>
      <c r="F76" s="16">
        <f>IFERROR('Cash Flow Data'!H10,0)</f>
        <v>1313</v>
      </c>
      <c r="G76" s="16">
        <f>IFERROR('Cash Flow Data'!I10,0)</f>
        <v>3254</v>
      </c>
      <c r="H76" s="16">
        <f>IFERROR('Cash Flow Data'!J10,0)</f>
        <v>-6434</v>
      </c>
      <c r="I76" s="16">
        <f>IFERROR('Cash Flow Data'!K10,0)</f>
        <v>-7221</v>
      </c>
      <c r="J76" s="16">
        <f>IFERROR('Cash Flow Data'!L10,0)</f>
        <v>5065</v>
      </c>
      <c r="K76" s="16">
        <f>IFERROR('Cash Flow Data'!M10,0)</f>
        <v>-93</v>
      </c>
      <c r="L76" s="16">
        <f>IFERROR('Cash Flow Data'!N10,0)</f>
        <v>-10474</v>
      </c>
    </row>
    <row r="77" spans="1:13" x14ac:dyDescent="0.3">
      <c r="B77" t="s">
        <v>93</v>
      </c>
      <c r="C77" s="16">
        <f>IFERROR('Cash Flow Data'!E11,0)</f>
        <v>-2240</v>
      </c>
      <c r="D77" s="16">
        <f>IFERROR('Cash Flow Data'!F11,0)</f>
        <v>-4308</v>
      </c>
      <c r="E77" s="16">
        <f>IFERROR('Cash Flow Data'!G11,0)</f>
        <v>-4194</v>
      </c>
      <c r="F77" s="16">
        <f>IFERROR('Cash Flow Data'!H11,0)</f>
        <v>-2040</v>
      </c>
      <c r="G77" s="16">
        <f>IFERROR('Cash Flow Data'!I11,0)</f>
        <v>-1895</v>
      </c>
      <c r="H77" s="16">
        <f>IFERROR('Cash Flow Data'!J11,0)</f>
        <v>-3021</v>
      </c>
      <c r="I77" s="16">
        <f>IFERROR('Cash Flow Data'!K11,0)</f>
        <v>-2659</v>
      </c>
      <c r="J77" s="16">
        <f>IFERROR('Cash Flow Data'!L11,0)</f>
        <v>-1785</v>
      </c>
      <c r="K77" s="16">
        <f>IFERROR('Cash Flow Data'!M11,0)</f>
        <v>-2105</v>
      </c>
      <c r="L77" s="16">
        <f>IFERROR('Cash Flow Data'!N11,0)</f>
        <v>-1910</v>
      </c>
    </row>
    <row r="78" spans="1:13" x14ac:dyDescent="0.3">
      <c r="B78" s="15" t="s">
        <v>119</v>
      </c>
      <c r="C78" s="28">
        <f>SUM(C70:C77)</f>
        <v>22159</v>
      </c>
      <c r="D78" s="28">
        <f t="shared" ref="D78:L78" si="22">SUM(D70:D77)</f>
        <v>40308</v>
      </c>
      <c r="E78" s="28">
        <f t="shared" si="22"/>
        <v>31860</v>
      </c>
      <c r="F78" s="28">
        <f t="shared" si="22"/>
        <v>39212</v>
      </c>
      <c r="G78" s="28">
        <f t="shared" si="22"/>
        <v>33454</v>
      </c>
      <c r="H78" s="28">
        <f t="shared" si="22"/>
        <v>17423</v>
      </c>
      <c r="I78" s="28">
        <f t="shared" si="22"/>
        <v>11671</v>
      </c>
      <c r="J78" s="28">
        <f t="shared" si="22"/>
        <v>31698</v>
      </c>
      <c r="K78" s="28">
        <f t="shared" si="22"/>
        <v>28907</v>
      </c>
      <c r="L78" s="28">
        <f t="shared" si="22"/>
        <v>3808</v>
      </c>
    </row>
    <row r="80" spans="1:13" x14ac:dyDescent="0.3">
      <c r="B80" s="15" t="s">
        <v>121</v>
      </c>
    </row>
    <row r="81" spans="2:12" x14ac:dyDescent="0.3">
      <c r="B81" t="s">
        <v>94</v>
      </c>
      <c r="C81" s="16">
        <f>IFERROR('Cash Flow Data'!E13,0)</f>
        <v>-18863</v>
      </c>
      <c r="D81" s="16">
        <f>IFERROR('Cash Flow Data'!F13,0)</f>
        <v>-26975</v>
      </c>
      <c r="E81" s="16">
        <f>IFERROR('Cash Flow Data'!G13,0)</f>
        <v>-31962</v>
      </c>
      <c r="F81" s="16">
        <f>IFERROR('Cash Flow Data'!H13,0)</f>
        <v>-31503</v>
      </c>
      <c r="G81" s="16">
        <f>IFERROR('Cash Flow Data'!I13,0)</f>
        <v>-16072</v>
      </c>
      <c r="H81" s="16">
        <f>IFERROR('Cash Flow Data'!J13,0)</f>
        <v>-35079</v>
      </c>
      <c r="I81" s="16">
        <f>IFERROR('Cash Flow Data'!K13,0)</f>
        <v>-35304</v>
      </c>
      <c r="J81" s="16">
        <f>IFERROR('Cash Flow Data'!L13,0)</f>
        <v>-29702</v>
      </c>
      <c r="K81" s="16">
        <f>IFERROR('Cash Flow Data'!M13,0)</f>
        <v>-20205</v>
      </c>
      <c r="L81" s="16">
        <f>IFERROR('Cash Flow Data'!N13,0)</f>
        <v>-15168</v>
      </c>
    </row>
    <row r="82" spans="2:12" x14ac:dyDescent="0.3">
      <c r="B82" t="s">
        <v>95</v>
      </c>
      <c r="C82" s="16">
        <f>IFERROR('Cash Flow Data'!E14,0)</f>
        <v>37</v>
      </c>
      <c r="D82" s="16">
        <f>IFERROR('Cash Flow Data'!F14,0)</f>
        <v>50</v>
      </c>
      <c r="E82" s="16">
        <f>IFERROR('Cash Flow Data'!G14,0)</f>
        <v>74</v>
      </c>
      <c r="F82" s="16">
        <f>IFERROR('Cash Flow Data'!H14,0)</f>
        <v>59</v>
      </c>
      <c r="G82" s="16">
        <f>IFERROR('Cash Flow Data'!I14,0)</f>
        <v>53</v>
      </c>
      <c r="H82" s="16">
        <f>IFERROR('Cash Flow Data'!J14,0)</f>
        <v>30</v>
      </c>
      <c r="I82" s="16">
        <f>IFERROR('Cash Flow Data'!K14,0)</f>
        <v>67</v>
      </c>
      <c r="J82" s="16">
        <f>IFERROR('Cash Flow Data'!L14,0)</f>
        <v>171</v>
      </c>
      <c r="K82" s="16">
        <f>IFERROR('Cash Flow Data'!M14,0)</f>
        <v>351</v>
      </c>
      <c r="L82" s="16">
        <f>IFERROR('Cash Flow Data'!N14,0)</f>
        <v>230</v>
      </c>
    </row>
    <row r="83" spans="2:12" x14ac:dyDescent="0.3">
      <c r="B83" t="s">
        <v>96</v>
      </c>
      <c r="C83" s="16">
        <f>IFERROR('Cash Flow Data'!E15,0)</f>
        <v>73</v>
      </c>
      <c r="D83" s="16">
        <f>IFERROR('Cash Flow Data'!F15,0)</f>
        <v>-429</v>
      </c>
      <c r="E83" s="16">
        <f>IFERROR('Cash Flow Data'!G15,0)</f>
        <v>-5461</v>
      </c>
      <c r="F83" s="16">
        <f>IFERROR('Cash Flow Data'!H15,0)</f>
        <v>-4728</v>
      </c>
      <c r="G83" s="16">
        <f>IFERROR('Cash Flow Data'!I15,0)</f>
        <v>-6</v>
      </c>
      <c r="H83" s="16">
        <f>IFERROR('Cash Flow Data'!J15,0)</f>
        <v>-329</v>
      </c>
      <c r="I83" s="16">
        <f>IFERROR('Cash Flow Data'!K15,0)</f>
        <v>-130</v>
      </c>
      <c r="J83" s="16">
        <f>IFERROR('Cash Flow Data'!L15,0)</f>
        <v>-1439</v>
      </c>
      <c r="K83" s="16">
        <f>IFERROR('Cash Flow Data'!M15,0)</f>
        <v>-7530</v>
      </c>
      <c r="L83" s="16">
        <f>IFERROR('Cash Flow Data'!N15,0)</f>
        <v>-3008</v>
      </c>
    </row>
    <row r="84" spans="2:12" x14ac:dyDescent="0.3">
      <c r="B84" t="s">
        <v>97</v>
      </c>
      <c r="C84" s="16">
        <f>IFERROR('Cash Flow Data'!E16,0)</f>
        <v>34</v>
      </c>
      <c r="D84" s="16">
        <f>IFERROR('Cash Flow Data'!F16,0)</f>
        <v>4</v>
      </c>
      <c r="E84" s="16">
        <f>IFERROR('Cash Flow Data'!G16,0)</f>
        <v>42</v>
      </c>
      <c r="F84" s="16">
        <f>IFERROR('Cash Flow Data'!H16,0)</f>
        <v>89</v>
      </c>
      <c r="G84" s="16">
        <f>IFERROR('Cash Flow Data'!I16,0)</f>
        <v>1965</v>
      </c>
      <c r="H84" s="16">
        <f>IFERROR('Cash Flow Data'!J16,0)</f>
        <v>2381</v>
      </c>
      <c r="I84" s="16">
        <f>IFERROR('Cash Flow Data'!K16,0)</f>
        <v>5644</v>
      </c>
      <c r="J84" s="16">
        <f>IFERROR('Cash Flow Data'!L16,0)</f>
        <v>21</v>
      </c>
      <c r="K84" s="16">
        <f>IFERROR('Cash Flow Data'!M16,0)</f>
        <v>226</v>
      </c>
      <c r="L84" s="16">
        <f>IFERROR('Cash Flow Data'!N16,0)</f>
        <v>104</v>
      </c>
    </row>
    <row r="85" spans="2:12" x14ac:dyDescent="0.3">
      <c r="B85" t="s">
        <v>98</v>
      </c>
      <c r="C85" s="16">
        <f>IFERROR('Cash Flow Data'!E17,0)</f>
        <v>713</v>
      </c>
      <c r="D85" s="16">
        <f>IFERROR('Cash Flow Data'!F17,0)</f>
        <v>653</v>
      </c>
      <c r="E85" s="16">
        <f>IFERROR('Cash Flow Data'!G17,0)</f>
        <v>698</v>
      </c>
      <c r="F85" s="16">
        <f>IFERROR('Cash Flow Data'!H17,0)</f>
        <v>731</v>
      </c>
      <c r="G85" s="16">
        <f>IFERROR('Cash Flow Data'!I17,0)</f>
        <v>638</v>
      </c>
      <c r="H85" s="16">
        <f>IFERROR('Cash Flow Data'!J17,0)</f>
        <v>690</v>
      </c>
      <c r="I85" s="16">
        <f>IFERROR('Cash Flow Data'!K17,0)</f>
        <v>761</v>
      </c>
      <c r="J85" s="16">
        <f>IFERROR('Cash Flow Data'!L17,0)</f>
        <v>1104</v>
      </c>
      <c r="K85" s="16">
        <f>IFERROR('Cash Flow Data'!M17,0)</f>
        <v>428</v>
      </c>
      <c r="L85" s="16">
        <f>IFERROR('Cash Flow Data'!N17,0)</f>
        <v>653</v>
      </c>
    </row>
    <row r="86" spans="2:12" x14ac:dyDescent="0.3">
      <c r="B86" t="s">
        <v>99</v>
      </c>
      <c r="C86" s="16">
        <f>IFERROR('Cash Flow Data'!E18,0)</f>
        <v>95</v>
      </c>
      <c r="D86" s="16">
        <f>IFERROR('Cash Flow Data'!F18,0)</f>
        <v>40</v>
      </c>
      <c r="E86" s="16">
        <f>IFERROR('Cash Flow Data'!G18,0)</f>
        <v>80</v>
      </c>
      <c r="F86" s="16">
        <f>IFERROR('Cash Flow Data'!H18,0)</f>
        <v>58</v>
      </c>
      <c r="G86" s="16">
        <f>IFERROR('Cash Flow Data'!I18,0)</f>
        <v>620</v>
      </c>
      <c r="H86" s="16">
        <f>IFERROR('Cash Flow Data'!J18,0)</f>
        <v>1797</v>
      </c>
      <c r="I86" s="16">
        <f>IFERROR('Cash Flow Data'!K18,0)</f>
        <v>232</v>
      </c>
      <c r="J86" s="16">
        <f>IFERROR('Cash Flow Data'!L18,0)</f>
        <v>21</v>
      </c>
      <c r="K86" s="16">
        <f>IFERROR('Cash Flow Data'!M18,0)</f>
        <v>18</v>
      </c>
      <c r="L86" s="16">
        <f>IFERROR('Cash Flow Data'!N18,0)</f>
        <v>32</v>
      </c>
    </row>
    <row r="87" spans="2:12" x14ac:dyDescent="0.3">
      <c r="B87" t="s">
        <v>100</v>
      </c>
      <c r="C87" s="16">
        <f>IFERROR('Cash Flow Data'!E19,0)</f>
        <v>0</v>
      </c>
      <c r="D87" s="16">
        <f>IFERROR('Cash Flow Data'!F19,0)</f>
        <v>0</v>
      </c>
      <c r="E87" s="16">
        <f>IFERROR('Cash Flow Data'!G19,0)</f>
        <v>0</v>
      </c>
      <c r="F87" s="16">
        <f>IFERROR('Cash Flow Data'!H19,0)</f>
        <v>0</v>
      </c>
      <c r="G87" s="16">
        <f>IFERROR('Cash Flow Data'!I19,0)</f>
        <v>0</v>
      </c>
      <c r="H87" s="16">
        <f>IFERROR('Cash Flow Data'!J19,0)</f>
        <v>0</v>
      </c>
      <c r="I87" s="16">
        <f>IFERROR('Cash Flow Data'!K19,0)</f>
        <v>0</v>
      </c>
      <c r="J87" s="16">
        <f>IFERROR('Cash Flow Data'!L19,0)</f>
        <v>0</v>
      </c>
      <c r="K87" s="16">
        <f>IFERROR('Cash Flow Data'!M19,0)</f>
        <v>0</v>
      </c>
      <c r="L87" s="16">
        <f>IFERROR('Cash Flow Data'!N19,0)</f>
        <v>0</v>
      </c>
    </row>
    <row r="88" spans="2:12" x14ac:dyDescent="0.3">
      <c r="B88" t="s">
        <v>101</v>
      </c>
      <c r="C88" s="16">
        <f>IFERROR('Cash Flow Data'!E20,0)</f>
        <v>0</v>
      </c>
      <c r="D88" s="16">
        <f>IFERROR('Cash Flow Data'!F20,0)</f>
        <v>0</v>
      </c>
      <c r="E88" s="16">
        <f>IFERROR('Cash Flow Data'!G20,0)</f>
        <v>-160</v>
      </c>
      <c r="F88" s="16">
        <f>IFERROR('Cash Flow Data'!H20,0)</f>
        <v>0</v>
      </c>
      <c r="G88" s="16">
        <f>IFERROR('Cash Flow Data'!I20,0)</f>
        <v>-107</v>
      </c>
      <c r="H88" s="16">
        <f>IFERROR('Cash Flow Data'!J20,0)</f>
        <v>-4</v>
      </c>
      <c r="I88" s="16">
        <f>IFERROR('Cash Flow Data'!K20,0)</f>
        <v>-9</v>
      </c>
      <c r="J88" s="16">
        <f>IFERROR('Cash Flow Data'!L20,0)</f>
        <v>-606</v>
      </c>
      <c r="K88" s="16">
        <f>IFERROR('Cash Flow Data'!M20,0)</f>
        <v>-10</v>
      </c>
      <c r="L88" s="16">
        <f>IFERROR('Cash Flow Data'!N20,0)</f>
        <v>0</v>
      </c>
    </row>
    <row r="89" spans="2:12" x14ac:dyDescent="0.3">
      <c r="B89" t="s">
        <v>102</v>
      </c>
      <c r="C89" s="16">
        <f>IFERROR('Cash Flow Data'!E21,0)</f>
        <v>0</v>
      </c>
      <c r="D89" s="16">
        <f>IFERROR('Cash Flow Data'!F21,0)</f>
        <v>0</v>
      </c>
      <c r="E89" s="16">
        <f>IFERROR('Cash Flow Data'!G21,0)</f>
        <v>0</v>
      </c>
      <c r="F89" s="16">
        <f>IFERROR('Cash Flow Data'!H21,0)</f>
        <v>0</v>
      </c>
      <c r="G89" s="16">
        <f>IFERROR('Cash Flow Data'!I21,0)</f>
        <v>0</v>
      </c>
      <c r="H89" s="16">
        <f>IFERROR('Cash Flow Data'!J21,0)</f>
        <v>14</v>
      </c>
      <c r="I89" s="16">
        <f>IFERROR('Cash Flow Data'!K21,0)</f>
        <v>533</v>
      </c>
      <c r="J89" s="16">
        <f>IFERROR('Cash Flow Data'!L21,0)</f>
        <v>0</v>
      </c>
      <c r="K89" s="16">
        <f>IFERROR('Cash Flow Data'!M21,0)</f>
        <v>0</v>
      </c>
      <c r="L89" s="16">
        <f>IFERROR('Cash Flow Data'!N21,0)</f>
        <v>0</v>
      </c>
    </row>
    <row r="90" spans="2:12" x14ac:dyDescent="0.3">
      <c r="B90" t="s">
        <v>103</v>
      </c>
      <c r="C90" s="16">
        <f>IFERROR('Cash Flow Data'!E22,0)</f>
        <v>0</v>
      </c>
      <c r="D90" s="16">
        <f>IFERROR('Cash Flow Data'!F22,0)</f>
        <v>-185</v>
      </c>
      <c r="E90" s="16">
        <f>IFERROR('Cash Flow Data'!G22,0)</f>
        <v>0</v>
      </c>
      <c r="F90" s="16">
        <f>IFERROR('Cash Flow Data'!H22,0)</f>
        <v>-111</v>
      </c>
      <c r="G90" s="16">
        <f>IFERROR('Cash Flow Data'!I22,0)</f>
        <v>0</v>
      </c>
      <c r="H90" s="16">
        <f>IFERROR('Cash Flow Data'!J22,0)</f>
        <v>0</v>
      </c>
      <c r="I90" s="16">
        <f>IFERROR('Cash Flow Data'!K22,0)</f>
        <v>-8</v>
      </c>
      <c r="J90" s="16">
        <f>IFERROR('Cash Flow Data'!L22,0)</f>
        <v>-27</v>
      </c>
      <c r="K90" s="16">
        <f>IFERROR('Cash Flow Data'!M22,0)</f>
        <v>0</v>
      </c>
      <c r="L90" s="16">
        <f>IFERROR('Cash Flow Data'!N22,0)</f>
        <v>-98</v>
      </c>
    </row>
    <row r="91" spans="2:12" x14ac:dyDescent="0.3">
      <c r="B91" t="s">
        <v>104</v>
      </c>
      <c r="C91" s="16">
        <f>IFERROR('Cash Flow Data'!E23,0)</f>
        <v>45</v>
      </c>
      <c r="D91" s="16">
        <f>IFERROR('Cash Flow Data'!F23,0)</f>
        <v>0</v>
      </c>
      <c r="E91" s="16">
        <f>IFERROR('Cash Flow Data'!G23,0)</f>
        <v>0</v>
      </c>
      <c r="F91" s="16">
        <f>IFERROR('Cash Flow Data'!H23,0)</f>
        <v>0</v>
      </c>
      <c r="G91" s="16">
        <f>IFERROR('Cash Flow Data'!I23,0)</f>
        <v>0</v>
      </c>
      <c r="H91" s="16">
        <f>IFERROR('Cash Flow Data'!J23,0)</f>
        <v>0</v>
      </c>
      <c r="I91" s="16">
        <f>IFERROR('Cash Flow Data'!K23,0)</f>
        <v>0</v>
      </c>
      <c r="J91" s="16">
        <f>IFERROR('Cash Flow Data'!L23,0)</f>
        <v>0</v>
      </c>
      <c r="K91" s="16">
        <f>IFERROR('Cash Flow Data'!M23,0)</f>
        <v>0</v>
      </c>
      <c r="L91" s="16">
        <f>IFERROR('Cash Flow Data'!N23,0)</f>
        <v>0</v>
      </c>
    </row>
    <row r="92" spans="2:12" x14ac:dyDescent="0.3">
      <c r="B92" t="s">
        <v>105</v>
      </c>
      <c r="C92" s="16">
        <f>IFERROR('Cash Flow Data'!E24,0)</f>
        <v>-5103</v>
      </c>
      <c r="D92" s="16">
        <f>IFERROR('Cash Flow Data'!F24,0)</f>
        <v>-1149</v>
      </c>
      <c r="E92" s="16">
        <f>IFERROR('Cash Flow Data'!G24,0)</f>
        <v>456</v>
      </c>
      <c r="F92" s="16">
        <f>IFERROR('Cash Flow Data'!H24,0)</f>
        <v>-1289</v>
      </c>
      <c r="G92" s="16">
        <f>IFERROR('Cash Flow Data'!I24,0)</f>
        <v>-26663</v>
      </c>
      <c r="H92" s="16">
        <f>IFERROR('Cash Flow Data'!J24,0)</f>
        <v>5360</v>
      </c>
      <c r="I92" s="16">
        <f>IFERROR('Cash Flow Data'!K24,0)</f>
        <v>7335</v>
      </c>
      <c r="J92" s="16">
        <f>IFERROR('Cash Flow Data'!L24,0)</f>
        <v>-2659</v>
      </c>
      <c r="K92" s="16">
        <f>IFERROR('Cash Flow Data'!M24,0)</f>
        <v>1051</v>
      </c>
      <c r="L92" s="16">
        <f>IFERROR('Cash Flow Data'!N24,0)</f>
        <v>12813</v>
      </c>
    </row>
    <row r="93" spans="2:12" x14ac:dyDescent="0.3">
      <c r="B93" s="15" t="s">
        <v>122</v>
      </c>
      <c r="C93" s="16">
        <f>SUM(C81:C92)</f>
        <v>-22969</v>
      </c>
      <c r="D93" s="16">
        <f t="shared" ref="D93:L93" si="23">SUM(D81:D92)</f>
        <v>-27991</v>
      </c>
      <c r="E93" s="16">
        <f t="shared" si="23"/>
        <v>-36233</v>
      </c>
      <c r="F93" s="16">
        <f t="shared" si="23"/>
        <v>-36694</v>
      </c>
      <c r="G93" s="16">
        <f t="shared" si="23"/>
        <v>-39572</v>
      </c>
      <c r="H93" s="16">
        <f t="shared" si="23"/>
        <v>-25140</v>
      </c>
      <c r="I93" s="16">
        <f t="shared" si="23"/>
        <v>-20879</v>
      </c>
      <c r="J93" s="16">
        <f t="shared" si="23"/>
        <v>-33116</v>
      </c>
      <c r="K93" s="16">
        <f t="shared" si="23"/>
        <v>-25671</v>
      </c>
      <c r="L93" s="16">
        <f t="shared" si="23"/>
        <v>-4442</v>
      </c>
    </row>
    <row r="95" spans="2:12" x14ac:dyDescent="0.3">
      <c r="B95" s="15" t="s">
        <v>123</v>
      </c>
    </row>
    <row r="96" spans="2:12" x14ac:dyDescent="0.3">
      <c r="B96" t="s">
        <v>106</v>
      </c>
      <c r="C96" s="16">
        <f>IFERROR('Cash Flow Data'!E26,0)</f>
        <v>1</v>
      </c>
      <c r="D96" s="16">
        <f>IFERROR('Cash Flow Data'!F26,0)</f>
        <v>0</v>
      </c>
      <c r="E96" s="16">
        <f>IFERROR('Cash Flow Data'!G26,0)</f>
        <v>0</v>
      </c>
      <c r="F96" s="16">
        <f>IFERROR('Cash Flow Data'!H26,0)</f>
        <v>7433</v>
      </c>
      <c r="G96" s="16">
        <f>IFERROR('Cash Flow Data'!I26,0)</f>
        <v>5</v>
      </c>
      <c r="H96" s="16">
        <f>IFERROR('Cash Flow Data'!J26,0)</f>
        <v>0</v>
      </c>
      <c r="I96" s="16">
        <f>IFERROR('Cash Flow Data'!K26,0)</f>
        <v>0</v>
      </c>
      <c r="J96" s="16">
        <f>IFERROR('Cash Flow Data'!L26,0)</f>
        <v>3889</v>
      </c>
      <c r="K96" s="16">
        <f>IFERROR('Cash Flow Data'!M26,0)</f>
        <v>2603</v>
      </c>
      <c r="L96" s="16">
        <f>IFERROR('Cash Flow Data'!N26,0)</f>
        <v>19</v>
      </c>
    </row>
    <row r="97" spans="2:12" x14ac:dyDescent="0.3">
      <c r="B97" t="s">
        <v>107</v>
      </c>
      <c r="C97" s="16">
        <f>IFERROR('Cash Flow Data'!E27,0)</f>
        <v>-97</v>
      </c>
      <c r="D97" s="16">
        <f>IFERROR('Cash Flow Data'!F27,0)</f>
        <v>-658</v>
      </c>
      <c r="E97" s="16">
        <f>IFERROR('Cash Flow Data'!G27,0)</f>
        <v>-744</v>
      </c>
      <c r="F97" s="16">
        <f>IFERROR('Cash Flow Data'!H27,0)</f>
        <v>0</v>
      </c>
      <c r="G97" s="16">
        <f>IFERROR('Cash Flow Data'!I27,0)</f>
        <v>0</v>
      </c>
      <c r="H97" s="16">
        <f>IFERROR('Cash Flow Data'!J27,0)</f>
        <v>0</v>
      </c>
      <c r="I97" s="16">
        <f>IFERROR('Cash Flow Data'!K27,0)</f>
        <v>0</v>
      </c>
      <c r="J97" s="16">
        <f>IFERROR('Cash Flow Data'!L27,0)</f>
        <v>0</v>
      </c>
      <c r="K97" s="16">
        <f>IFERROR('Cash Flow Data'!M27,0)</f>
        <v>0</v>
      </c>
      <c r="L97" s="16">
        <f>IFERROR('Cash Flow Data'!N27,0)</f>
        <v>0</v>
      </c>
    </row>
    <row r="98" spans="2:12" x14ac:dyDescent="0.3">
      <c r="B98" t="s">
        <v>108</v>
      </c>
      <c r="C98" s="16">
        <f>IFERROR('Cash Flow Data'!E28,0)</f>
        <v>27863</v>
      </c>
      <c r="D98" s="16">
        <f>IFERROR('Cash Flow Data'!F28,0)</f>
        <v>33258</v>
      </c>
      <c r="E98" s="16">
        <f>IFERROR('Cash Flow Data'!G28,0)</f>
        <v>36363</v>
      </c>
      <c r="F98" s="16">
        <f>IFERROR('Cash Flow Data'!H28,0)</f>
        <v>19519</v>
      </c>
      <c r="G98" s="16">
        <f>IFERROR('Cash Flow Data'!I28,0)</f>
        <v>33390</v>
      </c>
      <c r="H98" s="16">
        <f>IFERROR('Cash Flow Data'!J28,0)</f>
        <v>37482</v>
      </c>
      <c r="I98" s="16">
        <f>IFERROR('Cash Flow Data'!K28,0)</f>
        <v>51128</v>
      </c>
      <c r="J98" s="16">
        <f>IFERROR('Cash Flow Data'!L28,0)</f>
        <v>38297</v>
      </c>
      <c r="K98" s="16">
        <f>IFERROR('Cash Flow Data'!M28,0)</f>
        <v>46641</v>
      </c>
      <c r="L98" s="16">
        <f>IFERROR('Cash Flow Data'!N28,0)</f>
        <v>46578</v>
      </c>
    </row>
    <row r="99" spans="2:12" x14ac:dyDescent="0.3">
      <c r="B99" t="s">
        <v>109</v>
      </c>
      <c r="C99" s="16">
        <f>IFERROR('Cash Flow Data'!E29,0)</f>
        <v>-20395</v>
      </c>
      <c r="D99" s="16">
        <f>IFERROR('Cash Flow Data'!F29,0)</f>
        <v>-29141</v>
      </c>
      <c r="E99" s="16">
        <f>IFERROR('Cash Flow Data'!G29,0)</f>
        <v>-23332</v>
      </c>
      <c r="F99" s="16">
        <f>IFERROR('Cash Flow Data'!H29,0)</f>
        <v>-24924</v>
      </c>
      <c r="G99" s="16">
        <f>IFERROR('Cash Flow Data'!I29,0)</f>
        <v>-21732</v>
      </c>
      <c r="H99" s="16">
        <f>IFERROR('Cash Flow Data'!J29,0)</f>
        <v>-29964</v>
      </c>
      <c r="I99" s="16">
        <f>IFERROR('Cash Flow Data'!K29,0)</f>
        <v>-35198</v>
      </c>
      <c r="J99" s="16">
        <f>IFERROR('Cash Flow Data'!L29,0)</f>
        <v>-29847</v>
      </c>
      <c r="K99" s="16">
        <f>IFERROR('Cash Flow Data'!M29,0)</f>
        <v>-29709</v>
      </c>
      <c r="L99" s="16">
        <f>IFERROR('Cash Flow Data'!N29,0)</f>
        <v>-42816</v>
      </c>
    </row>
    <row r="100" spans="2:12" x14ac:dyDescent="0.3">
      <c r="B100" t="s">
        <v>110</v>
      </c>
      <c r="C100" s="16">
        <f>IFERROR('Cash Flow Data'!E30,0)</f>
        <v>0</v>
      </c>
      <c r="D100" s="16">
        <f>IFERROR('Cash Flow Data'!F30,0)</f>
        <v>0</v>
      </c>
      <c r="E100" s="16">
        <f>IFERROR('Cash Flow Data'!G30,0)</f>
        <v>0</v>
      </c>
      <c r="F100" s="16">
        <f>IFERROR('Cash Flow Data'!H30,0)</f>
        <v>0</v>
      </c>
      <c r="G100" s="16">
        <f>IFERROR('Cash Flow Data'!I30,0)</f>
        <v>0</v>
      </c>
      <c r="H100" s="16">
        <f>IFERROR('Cash Flow Data'!J30,0)</f>
        <v>0</v>
      </c>
      <c r="I100" s="16">
        <f>IFERROR('Cash Flow Data'!K30,0)</f>
        <v>0</v>
      </c>
      <c r="J100" s="16">
        <f>IFERROR('Cash Flow Data'!L30,0)</f>
        <v>0</v>
      </c>
      <c r="K100" s="16">
        <f>IFERROR('Cash Flow Data'!M30,0)</f>
        <v>0</v>
      </c>
      <c r="L100" s="16">
        <f>IFERROR('Cash Flow Data'!N30,0)</f>
        <v>0</v>
      </c>
    </row>
    <row r="101" spans="2:12" x14ac:dyDescent="0.3">
      <c r="B101" t="s">
        <v>111</v>
      </c>
      <c r="C101" s="16">
        <f>IFERROR('Cash Flow Data'!E31,0)</f>
        <v>-4666</v>
      </c>
      <c r="D101" s="16">
        <f>IFERROR('Cash Flow Data'!F31,0)</f>
        <v>-6171</v>
      </c>
      <c r="E101" s="16">
        <f>IFERROR('Cash Flow Data'!G31,0)</f>
        <v>-6307</v>
      </c>
      <c r="F101" s="16">
        <f>IFERROR('Cash Flow Data'!H31,0)</f>
        <v>-5716</v>
      </c>
      <c r="G101" s="16">
        <f>IFERROR('Cash Flow Data'!I31,0)</f>
        <v>-5336</v>
      </c>
      <c r="H101" s="16">
        <f>IFERROR('Cash Flow Data'!J31,0)</f>
        <v>-5411</v>
      </c>
      <c r="I101" s="16">
        <f>IFERROR('Cash Flow Data'!K31,0)</f>
        <v>-7005</v>
      </c>
      <c r="J101" s="16">
        <f>IFERROR('Cash Flow Data'!L31,0)</f>
        <v>-7518</v>
      </c>
      <c r="K101" s="16">
        <f>IFERROR('Cash Flow Data'!M31,0)</f>
        <v>-8123</v>
      </c>
      <c r="L101" s="16">
        <f>IFERROR('Cash Flow Data'!N31,0)</f>
        <v>-9251</v>
      </c>
    </row>
    <row r="102" spans="2:12" x14ac:dyDescent="0.3">
      <c r="B102" t="s">
        <v>112</v>
      </c>
      <c r="C102" s="16">
        <f>IFERROR('Cash Flow Data'!E32,0)</f>
        <v>-1551</v>
      </c>
      <c r="D102" s="16">
        <f>IFERROR('Cash Flow Data'!F32,0)</f>
        <v>-722</v>
      </c>
      <c r="E102" s="16">
        <f>IFERROR('Cash Flow Data'!G32,0)</f>
        <v>-720</v>
      </c>
      <c r="F102" s="16">
        <f>IFERROR('Cash Flow Data'!H32,0)</f>
        <v>-108</v>
      </c>
      <c r="G102" s="16">
        <f>IFERROR('Cash Flow Data'!I32,0)</f>
        <v>-121</v>
      </c>
      <c r="H102" s="16">
        <f>IFERROR('Cash Flow Data'!J32,0)</f>
        <v>-96</v>
      </c>
      <c r="I102" s="16">
        <f>IFERROR('Cash Flow Data'!K32,0)</f>
        <v>-95</v>
      </c>
      <c r="J102" s="16">
        <f>IFERROR('Cash Flow Data'!L32,0)</f>
        <v>-57</v>
      </c>
      <c r="K102" s="16">
        <f>IFERROR('Cash Flow Data'!M32,0)</f>
        <v>-30</v>
      </c>
      <c r="L102" s="16">
        <f>IFERROR('Cash Flow Data'!N32,0)</f>
        <v>-100</v>
      </c>
    </row>
    <row r="103" spans="2:12" x14ac:dyDescent="0.3">
      <c r="B103" t="s">
        <v>113</v>
      </c>
      <c r="C103" s="16">
        <f>IFERROR('Cash Flow Data'!E33,0)</f>
        <v>0</v>
      </c>
      <c r="D103" s="16">
        <f>IFERROR('Cash Flow Data'!F33,0)</f>
        <v>0</v>
      </c>
      <c r="E103" s="16">
        <f>IFERROR('Cash Flow Data'!G33,0)</f>
        <v>0</v>
      </c>
      <c r="F103" s="16">
        <f>IFERROR('Cash Flow Data'!H33,0)</f>
        <v>0</v>
      </c>
      <c r="G103" s="16">
        <f>IFERROR('Cash Flow Data'!I33,0)</f>
        <v>0</v>
      </c>
      <c r="H103" s="16">
        <f>IFERROR('Cash Flow Data'!J33,0)</f>
        <v>0</v>
      </c>
      <c r="I103" s="16">
        <f>IFERROR('Cash Flow Data'!K33,0)</f>
        <v>0</v>
      </c>
      <c r="J103" s="16">
        <f>IFERROR('Cash Flow Data'!L33,0)</f>
        <v>-1346</v>
      </c>
      <c r="K103" s="16">
        <f>IFERROR('Cash Flow Data'!M33,0)</f>
        <v>-1477</v>
      </c>
      <c r="L103" s="16">
        <f>IFERROR('Cash Flow Data'!N33,0)</f>
        <v>-1559</v>
      </c>
    </row>
    <row r="104" spans="2:12" x14ac:dyDescent="0.3">
      <c r="B104" t="s">
        <v>114</v>
      </c>
      <c r="C104" s="16">
        <f>IFERROR('Cash Flow Data'!E34,0)</f>
        <v>-2849</v>
      </c>
      <c r="D104" s="16">
        <f>IFERROR('Cash Flow Data'!F34,0)</f>
        <v>-450</v>
      </c>
      <c r="E104" s="16">
        <f>IFERROR('Cash Flow Data'!G34,0)</f>
        <v>-57</v>
      </c>
      <c r="F104" s="16">
        <f>IFERROR('Cash Flow Data'!H34,0)</f>
        <v>0</v>
      </c>
      <c r="G104" s="16">
        <f>IFERROR('Cash Flow Data'!I34,0)</f>
        <v>0</v>
      </c>
      <c r="H104" s="16">
        <f>IFERROR('Cash Flow Data'!J34,0)</f>
        <v>0</v>
      </c>
      <c r="I104" s="16">
        <f>IFERROR('Cash Flow Data'!K34,0)</f>
        <v>0</v>
      </c>
      <c r="J104" s="16">
        <f>IFERROR('Cash Flow Data'!L34,0)</f>
        <v>-29</v>
      </c>
      <c r="K104" s="16">
        <f>IFERROR('Cash Flow Data'!M34,0)</f>
        <v>0</v>
      </c>
      <c r="L104" s="16">
        <f>IFERROR('Cash Flow Data'!N34,0)</f>
        <v>3750</v>
      </c>
    </row>
    <row r="105" spans="2:12" x14ac:dyDescent="0.3">
      <c r="B105" s="15" t="s">
        <v>124</v>
      </c>
      <c r="C105" s="28">
        <f>SUM(C96:C104)</f>
        <v>-1694</v>
      </c>
      <c r="D105" s="28">
        <f t="shared" ref="D105:L105" si="24">SUM(D96:D104)</f>
        <v>-3884</v>
      </c>
      <c r="E105" s="28">
        <f t="shared" si="24"/>
        <v>5203</v>
      </c>
      <c r="F105" s="28">
        <f t="shared" si="24"/>
        <v>-3796</v>
      </c>
      <c r="G105" s="28">
        <f t="shared" si="24"/>
        <v>6206</v>
      </c>
      <c r="H105" s="28">
        <f t="shared" si="24"/>
        <v>2011</v>
      </c>
      <c r="I105" s="28">
        <f t="shared" si="24"/>
        <v>8830</v>
      </c>
      <c r="J105" s="28">
        <f t="shared" si="24"/>
        <v>3389</v>
      </c>
      <c r="K105" s="28">
        <f t="shared" si="24"/>
        <v>9905</v>
      </c>
      <c r="L105" s="28">
        <f t="shared" si="24"/>
        <v>-3379</v>
      </c>
    </row>
    <row r="107" spans="2:12" x14ac:dyDescent="0.3">
      <c r="B107" s="15" t="s">
        <v>52</v>
      </c>
      <c r="C107" s="28">
        <f>IFERROR(C78+C93+C105,0)</f>
        <v>-2504</v>
      </c>
      <c r="D107" s="28">
        <f t="shared" ref="D107:L107" si="25">IFERROR(D78+D93+D105,0)</f>
        <v>8433</v>
      </c>
      <c r="E107" s="28">
        <f t="shared" si="25"/>
        <v>830</v>
      </c>
      <c r="F107" s="28">
        <f t="shared" si="25"/>
        <v>-1278</v>
      </c>
      <c r="G107" s="28">
        <f t="shared" si="25"/>
        <v>88</v>
      </c>
      <c r="H107" s="28">
        <f t="shared" si="25"/>
        <v>-5706</v>
      </c>
      <c r="I107" s="28">
        <f t="shared" si="25"/>
        <v>-378</v>
      </c>
      <c r="J107" s="28">
        <f t="shared" si="25"/>
        <v>1971</v>
      </c>
      <c r="K107" s="28">
        <f t="shared" si="25"/>
        <v>13141</v>
      </c>
      <c r="L107" s="28">
        <f t="shared" si="25"/>
        <v>-4013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2:Q147"/>
  <sheetViews>
    <sheetView showGridLines="0" workbookViewId="0">
      <pane ySplit="3" topLeftCell="A44" activePane="bottomLeft" state="frozen"/>
      <selection pane="bottomLeft" activeCell="C32" sqref="C32"/>
    </sheetView>
  </sheetViews>
  <sheetFormatPr defaultRowHeight="14.4" x14ac:dyDescent="0.3"/>
  <cols>
    <col min="1" max="1" width="2.33203125" customWidth="1"/>
    <col min="2" max="2" width="25.77734375" customWidth="1"/>
    <col min="3" max="14" width="15.77734375" customWidth="1"/>
  </cols>
  <sheetData>
    <row r="2" spans="1:13" x14ac:dyDescent="0.3">
      <c r="A2" s="42"/>
      <c r="B2" s="64" t="str">
        <f>" Historical Financial Statement-" &amp; 'Data Sheet'!B1</f>
        <v xml:space="preserve"> Historical Financial Statement-FEDERAL BANK LTD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3">
      <c r="A3" s="42"/>
      <c r="B3" s="30" t="s">
        <v>56</v>
      </c>
      <c r="C3" s="31">
        <f>'Data Sheet'!B16</f>
        <v>42094</v>
      </c>
      <c r="D3" s="31">
        <f>'Data Sheet'!C16</f>
        <v>42460</v>
      </c>
      <c r="E3" s="31">
        <f>'Data Sheet'!D16</f>
        <v>42825</v>
      </c>
      <c r="F3" s="31">
        <f>'Data Sheet'!E16</f>
        <v>43190</v>
      </c>
      <c r="G3" s="31">
        <f>'Data Sheet'!F16</f>
        <v>43555</v>
      </c>
      <c r="H3" s="31">
        <f>'Data Sheet'!G16</f>
        <v>43921</v>
      </c>
      <c r="I3" s="31">
        <f>'Data Sheet'!H16</f>
        <v>44286</v>
      </c>
      <c r="J3" s="31">
        <f>'Data Sheet'!I16</f>
        <v>44651</v>
      </c>
      <c r="K3" s="31">
        <f>'Data Sheet'!J16</f>
        <v>45016</v>
      </c>
      <c r="L3" s="31">
        <f>'Data Sheet'!K16</f>
        <v>45382</v>
      </c>
      <c r="M3" s="32" t="s">
        <v>57</v>
      </c>
    </row>
    <row r="4" spans="1:13" x14ac:dyDescent="0.3">
      <c r="A4" t="s">
        <v>59</v>
      </c>
      <c r="B4" s="40" t="s">
        <v>58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x14ac:dyDescent="0.3">
      <c r="B5" t="s">
        <v>12</v>
      </c>
      <c r="C5" s="33">
        <f>IFERROR('Data Sheet'!B17,0)</f>
        <v>7487.77</v>
      </c>
      <c r="D5" s="33">
        <f>IFERROR('Data Sheet'!C17,0)</f>
        <v>7826.28</v>
      </c>
      <c r="E5" s="33">
        <f>IFERROR('Data Sheet'!D17,0)</f>
        <v>8783.27</v>
      </c>
      <c r="F5" s="33">
        <f>IFERROR('Data Sheet'!E17,0)</f>
        <v>9914.9</v>
      </c>
      <c r="G5" s="33">
        <f>IFERROR('Data Sheet'!F17,0)</f>
        <v>11635.44</v>
      </c>
      <c r="H5" s="33">
        <f>IFERROR('Data Sheet'!G17,0)</f>
        <v>13590.39</v>
      </c>
      <c r="I5" s="33">
        <f>IFERROR('Data Sheet'!H17,0)</f>
        <v>14314.08</v>
      </c>
      <c r="J5" s="33">
        <f>IFERROR('Data Sheet'!I17,0)</f>
        <v>14381.53</v>
      </c>
      <c r="K5" s="33">
        <f>IFERROR('Data Sheet'!J17,0)</f>
        <v>17811.78</v>
      </c>
      <c r="L5" s="33">
        <f>IFERROR('Data Sheet'!K17,0)</f>
        <v>23565.48</v>
      </c>
      <c r="M5" s="33">
        <f>IFERROR(SUM('Data Sheet'!H42:K42),0)</f>
        <v>27337.35</v>
      </c>
    </row>
    <row r="6" spans="1:13" x14ac:dyDescent="0.3">
      <c r="B6" s="34" t="s">
        <v>60</v>
      </c>
      <c r="C6" s="35" t="s">
        <v>61</v>
      </c>
      <c r="D6" s="36">
        <f>D5/C5-1</f>
        <v>4.5208386475545925E-2</v>
      </c>
      <c r="E6" s="36">
        <f t="shared" ref="E6:M6" si="0">E5/D5-1</f>
        <v>0.12227903933925188</v>
      </c>
      <c r="F6" s="36">
        <f t="shared" si="0"/>
        <v>0.12883925918251382</v>
      </c>
      <c r="G6" s="36">
        <f t="shared" si="0"/>
        <v>0.1735307466540259</v>
      </c>
      <c r="H6" s="36">
        <f t="shared" si="0"/>
        <v>0.16801685196262439</v>
      </c>
      <c r="I6" s="36">
        <f t="shared" si="0"/>
        <v>5.3250127479785414E-2</v>
      </c>
      <c r="J6" s="36">
        <f t="shared" si="0"/>
        <v>4.7121435677319745E-3</v>
      </c>
      <c r="K6" s="36">
        <f t="shared" si="0"/>
        <v>0.23851773768159568</v>
      </c>
      <c r="L6" s="36">
        <f t="shared" si="0"/>
        <v>0.32302779396556658</v>
      </c>
      <c r="M6" s="36">
        <f t="shared" si="0"/>
        <v>0.16005912037437797</v>
      </c>
    </row>
    <row r="8" spans="1:13" x14ac:dyDescent="0.3">
      <c r="B8" t="s">
        <v>62</v>
      </c>
      <c r="C8" s="33">
        <f>IFERROR(SUM('Data Sheet'!B18,'Data Sheet'!B20:B22)-1*'Data Sheet'!B19,)</f>
        <v>963.43</v>
      </c>
      <c r="D8" s="33">
        <f>IFERROR(SUM('Data Sheet'!C18,'Data Sheet'!C20:C22)-1*'Data Sheet'!C19,)</f>
        <v>1133.69</v>
      </c>
      <c r="E8" s="33">
        <f>IFERROR(SUM('Data Sheet'!D18,'Data Sheet'!D20:D22)-1*'Data Sheet'!D19,)</f>
        <v>1253.7199999999998</v>
      </c>
      <c r="F8" s="33">
        <f>IFERROR(SUM('Data Sheet'!E18,'Data Sheet'!E20:E22)-1*'Data Sheet'!E19,)</f>
        <v>1336.88</v>
      </c>
      <c r="G8" s="33">
        <f>IFERROR(SUM('Data Sheet'!F18,'Data Sheet'!F20:F22)-1*'Data Sheet'!F19,)</f>
        <v>1494.48</v>
      </c>
      <c r="H8" s="33">
        <f>IFERROR(SUM('Data Sheet'!G18,'Data Sheet'!G20:G22)-1*'Data Sheet'!G19,)</f>
        <v>1954.4099999999999</v>
      </c>
      <c r="I8" s="33">
        <f>IFERROR(SUM('Data Sheet'!H18,'Data Sheet'!H20:H22)-1*'Data Sheet'!H19,)</f>
        <v>2244.46</v>
      </c>
      <c r="J8" s="33">
        <f>IFERROR(SUM('Data Sheet'!I18,'Data Sheet'!I20:I22)-1*'Data Sheet'!I19,)</f>
        <v>2600.65</v>
      </c>
      <c r="K8" s="33">
        <f>IFERROR(SUM('Data Sheet'!J18,'Data Sheet'!J20:J22)-1*'Data Sheet'!J19,)</f>
        <v>2559.3100000000004</v>
      </c>
      <c r="L8" s="33">
        <f>IFERROR(SUM('Data Sheet'!K18,'Data Sheet'!K20:K22)-1*'Data Sheet'!K19,)</f>
        <v>3308.4300000000003</v>
      </c>
      <c r="M8" s="37">
        <f>IFERROR(SUM('Data Sheet'!H43:K43),0)</f>
        <v>8462.66</v>
      </c>
    </row>
    <row r="9" spans="1:13" x14ac:dyDescent="0.3">
      <c r="B9" s="34" t="s">
        <v>63</v>
      </c>
      <c r="C9" s="36">
        <f>C8/C5</f>
        <v>0.12866714656032435</v>
      </c>
      <c r="D9" s="36">
        <f t="shared" ref="D9:M9" si="1">D8/D5</f>
        <v>0.14485681575410031</v>
      </c>
      <c r="E9" s="36">
        <f t="shared" si="1"/>
        <v>0.14273954916562961</v>
      </c>
      <c r="F9" s="36">
        <f t="shared" si="1"/>
        <v>0.13483544967674915</v>
      </c>
      <c r="G9" s="36">
        <f t="shared" si="1"/>
        <v>0.12844207008931333</v>
      </c>
      <c r="H9" s="36">
        <f t="shared" si="1"/>
        <v>0.14380823508376139</v>
      </c>
      <c r="I9" s="36">
        <f t="shared" si="1"/>
        <v>0.15680085621988979</v>
      </c>
      <c r="J9" s="36">
        <f t="shared" si="1"/>
        <v>0.18083263741757657</v>
      </c>
      <c r="K9" s="36">
        <f t="shared" si="1"/>
        <v>0.14368636935780707</v>
      </c>
      <c r="L9" s="36">
        <f t="shared" si="1"/>
        <v>0.1403930664684106</v>
      </c>
      <c r="M9" s="36">
        <f t="shared" si="1"/>
        <v>0.30956402138466238</v>
      </c>
    </row>
    <row r="11" spans="1:13" x14ac:dyDescent="0.3">
      <c r="B11" t="s">
        <v>64</v>
      </c>
      <c r="C11" s="33">
        <f>C5-C8</f>
        <v>6524.34</v>
      </c>
      <c r="D11" s="33">
        <f t="shared" ref="D11:M11" si="2">D5-D8</f>
        <v>6692.59</v>
      </c>
      <c r="E11" s="33">
        <f t="shared" si="2"/>
        <v>7529.5500000000011</v>
      </c>
      <c r="F11" s="33">
        <f t="shared" si="2"/>
        <v>8578.02</v>
      </c>
      <c r="G11" s="33">
        <f t="shared" si="2"/>
        <v>10140.960000000001</v>
      </c>
      <c r="H11" s="33">
        <f t="shared" si="2"/>
        <v>11635.98</v>
      </c>
      <c r="I11" s="33">
        <f t="shared" si="2"/>
        <v>12069.619999999999</v>
      </c>
      <c r="J11" s="33">
        <f t="shared" si="2"/>
        <v>11780.880000000001</v>
      </c>
      <c r="K11" s="33">
        <f t="shared" si="2"/>
        <v>15252.469999999998</v>
      </c>
      <c r="L11" s="33">
        <f t="shared" si="2"/>
        <v>20257.05</v>
      </c>
      <c r="M11" s="33">
        <f t="shared" si="2"/>
        <v>18874.689999999999</v>
      </c>
    </row>
    <row r="12" spans="1:13" x14ac:dyDescent="0.3">
      <c r="B12" s="34" t="s">
        <v>125</v>
      </c>
      <c r="C12" s="36">
        <f>C11/C5</f>
        <v>0.87133285343967559</v>
      </c>
      <c r="D12" s="36">
        <f t="shared" ref="D12:M12" si="3">D11/D5</f>
        <v>0.85514318424589975</v>
      </c>
      <c r="E12" s="36">
        <f t="shared" si="3"/>
        <v>0.85726045083437041</v>
      </c>
      <c r="F12" s="36">
        <f t="shared" si="3"/>
        <v>0.8651645503232509</v>
      </c>
      <c r="G12" s="36">
        <f t="shared" si="3"/>
        <v>0.8715579299106867</v>
      </c>
      <c r="H12" s="36">
        <f t="shared" si="3"/>
        <v>0.85619176491623861</v>
      </c>
      <c r="I12" s="36">
        <f t="shared" si="3"/>
        <v>0.84319914378011018</v>
      </c>
      <c r="J12" s="36">
        <f t="shared" si="3"/>
        <v>0.81916736258242351</v>
      </c>
      <c r="K12" s="36">
        <f t="shared" si="3"/>
        <v>0.8563136306421929</v>
      </c>
      <c r="L12" s="36">
        <f t="shared" si="3"/>
        <v>0.85960693353158946</v>
      </c>
      <c r="M12" s="36">
        <f t="shared" si="3"/>
        <v>0.69043597861533756</v>
      </c>
    </row>
    <row r="14" spans="1:13" x14ac:dyDescent="0.3">
      <c r="B14" t="s">
        <v>65</v>
      </c>
      <c r="C14" s="33">
        <f>IFERROR(SUM('Data Sheet'!B23:B24),0)</f>
        <v>737.49</v>
      </c>
      <c r="D14" s="33">
        <f>IFERROR(SUM('Data Sheet'!C23:C24),0)</f>
        <v>1394.92</v>
      </c>
      <c r="E14" s="33">
        <f>IFERROR(SUM('Data Sheet'!D23:D24),0)</f>
        <v>1494.85</v>
      </c>
      <c r="F14" s="33">
        <f>IFERROR(SUM('Data Sheet'!E23:E24),0)</f>
        <v>1993.8899999999999</v>
      </c>
      <c r="G14" s="33">
        <f>IFERROR(SUM('Data Sheet'!F23:F24),0)</f>
        <v>2077.4899999999998</v>
      </c>
      <c r="H14" s="33">
        <f>IFERROR(SUM('Data Sheet'!G23:G24),0)</f>
        <v>2653.79</v>
      </c>
      <c r="I14" s="33">
        <f>IFERROR(SUM('Data Sheet'!H23:H24),0)</f>
        <v>3282.82</v>
      </c>
      <c r="J14" s="33">
        <f>IFERROR(SUM('Data Sheet'!I23:I24),0)</f>
        <v>3157.26</v>
      </c>
      <c r="K14" s="33">
        <f>IFERROR(SUM('Data Sheet'!J23:J24),0)</f>
        <v>3268.3500000000004</v>
      </c>
      <c r="L14" s="33">
        <f>IFERROR(SUM('Data Sheet'!K23:K24),0)</f>
        <v>3483.91</v>
      </c>
    </row>
    <row r="15" spans="1:13" x14ac:dyDescent="0.3">
      <c r="B15" s="19" t="s">
        <v>66</v>
      </c>
      <c r="C15" s="36">
        <f>C14/C5</f>
        <v>9.8492608613779536E-2</v>
      </c>
      <c r="D15" s="36">
        <f t="shared" ref="D15:L15" si="4">D14/D5</f>
        <v>0.17823538130503894</v>
      </c>
      <c r="E15" s="36">
        <f t="shared" si="4"/>
        <v>0.17019287805111305</v>
      </c>
      <c r="F15" s="36">
        <f t="shared" si="4"/>
        <v>0.20110036409847803</v>
      </c>
      <c r="G15" s="36">
        <f t="shared" si="4"/>
        <v>0.17854846915973951</v>
      </c>
      <c r="H15" s="36">
        <f t="shared" si="4"/>
        <v>0.19526959859135756</v>
      </c>
      <c r="I15" s="36">
        <f t="shared" si="4"/>
        <v>0.22934201848809005</v>
      </c>
      <c r="J15" s="36">
        <f t="shared" si="4"/>
        <v>0.2195357517593747</v>
      </c>
      <c r="K15" s="36">
        <f t="shared" si="4"/>
        <v>0.18349373279930475</v>
      </c>
      <c r="L15" s="36">
        <f t="shared" si="4"/>
        <v>0.14783955175112071</v>
      </c>
    </row>
    <row r="17" spans="2:17" x14ac:dyDescent="0.3">
      <c r="B17" t="s">
        <v>28</v>
      </c>
      <c r="C17" s="33">
        <f>C11-C14</f>
        <v>5786.85</v>
      </c>
      <c r="D17" s="33">
        <f t="shared" ref="D17:L17" si="5">D11-D14</f>
        <v>5297.67</v>
      </c>
      <c r="E17" s="33">
        <f t="shared" si="5"/>
        <v>6034.7000000000007</v>
      </c>
      <c r="F17" s="33">
        <f t="shared" si="5"/>
        <v>6584.130000000001</v>
      </c>
      <c r="G17" s="33">
        <f t="shared" si="5"/>
        <v>8063.4700000000012</v>
      </c>
      <c r="H17" s="33">
        <f t="shared" si="5"/>
        <v>8982.1899999999987</v>
      </c>
      <c r="I17" s="33">
        <f t="shared" si="5"/>
        <v>8786.7999999999993</v>
      </c>
      <c r="J17" s="33">
        <f t="shared" si="5"/>
        <v>8623.6200000000008</v>
      </c>
      <c r="K17" s="33">
        <f t="shared" si="5"/>
        <v>11984.119999999997</v>
      </c>
      <c r="L17" s="33">
        <f t="shared" si="5"/>
        <v>16773.14</v>
      </c>
      <c r="M17" s="33">
        <f>IFERROR(SUM('Data Sheet'!H51:K51),0)</f>
        <v>22534.55</v>
      </c>
    </row>
    <row r="18" spans="2:17" x14ac:dyDescent="0.3">
      <c r="B18" s="19" t="s">
        <v>67</v>
      </c>
      <c r="C18" s="36">
        <f>C17/C5</f>
        <v>0.77284024482589608</v>
      </c>
      <c r="D18" s="36">
        <f t="shared" ref="D18:M18" si="6">D17/D5</f>
        <v>0.67690780294086084</v>
      </c>
      <c r="E18" s="36">
        <f t="shared" si="6"/>
        <v>0.68706757278325736</v>
      </c>
      <c r="F18" s="36">
        <f t="shared" si="6"/>
        <v>0.66406418622477292</v>
      </c>
      <c r="G18" s="36">
        <f t="shared" si="6"/>
        <v>0.69300946075094716</v>
      </c>
      <c r="H18" s="36">
        <f t="shared" si="6"/>
        <v>0.66092216632488099</v>
      </c>
      <c r="I18" s="36">
        <f t="shared" si="6"/>
        <v>0.61385712529202008</v>
      </c>
      <c r="J18" s="36">
        <f t="shared" si="6"/>
        <v>0.59963161082304872</v>
      </c>
      <c r="K18" s="36">
        <f t="shared" si="6"/>
        <v>0.67281989784288809</v>
      </c>
      <c r="L18" s="36">
        <f t="shared" si="6"/>
        <v>0.71176738178046872</v>
      </c>
      <c r="M18" s="36">
        <f t="shared" si="6"/>
        <v>0.8243136222055174</v>
      </c>
    </row>
    <row r="20" spans="2:17" x14ac:dyDescent="0.3">
      <c r="B20" t="s">
        <v>22</v>
      </c>
      <c r="C20" s="33">
        <f>IFERROR('Data Sheet'!B27,0)</f>
        <v>5056.33</v>
      </c>
      <c r="D20" s="33">
        <f>IFERROR('Data Sheet'!C27,0)</f>
        <v>5259.35</v>
      </c>
      <c r="E20" s="33">
        <f>IFERROR('Data Sheet'!D27,0)</f>
        <v>5652.58</v>
      </c>
      <c r="F20" s="33">
        <f>IFERROR('Data Sheet'!E27,0)</f>
        <v>6226.42</v>
      </c>
      <c r="G20" s="33">
        <f>IFERROR('Data Sheet'!F27,0)</f>
        <v>7316.33</v>
      </c>
      <c r="H20" s="33">
        <f>IFERROR('Data Sheet'!G27,0)</f>
        <v>8678.31</v>
      </c>
      <c r="I20" s="33">
        <f>IFERROR('Data Sheet'!H27,0)</f>
        <v>8434.9599999999991</v>
      </c>
      <c r="J20" s="33">
        <f>IFERROR('Data Sheet'!I27,0)</f>
        <v>7959.38</v>
      </c>
      <c r="K20" s="33">
        <f>IFERROR('Data Sheet'!J27,0)</f>
        <v>9975.24</v>
      </c>
      <c r="L20" s="33">
        <f>IFERROR('Data Sheet'!K27,0)</f>
        <v>14494.67</v>
      </c>
      <c r="M20" s="33">
        <f>IFERROR(SUM('Data Sheet'!H46:K46),0)</f>
        <v>17111.14</v>
      </c>
    </row>
    <row r="21" spans="2:17" x14ac:dyDescent="0.3">
      <c r="B21" s="19" t="s">
        <v>68</v>
      </c>
      <c r="C21" s="36">
        <f>C20/C5</f>
        <v>0.67527848745354091</v>
      </c>
      <c r="D21" s="36">
        <f t="shared" ref="D21:M21" si="7">D20/D5</f>
        <v>0.67201147927240024</v>
      </c>
      <c r="E21" s="36">
        <f t="shared" si="7"/>
        <v>0.64356213574215526</v>
      </c>
      <c r="F21" s="36">
        <f t="shared" si="7"/>
        <v>0.62798616224066817</v>
      </c>
      <c r="G21" s="36">
        <f t="shared" si="7"/>
        <v>0.62879702013847349</v>
      </c>
      <c r="H21" s="36">
        <f t="shared" si="7"/>
        <v>0.63856224876548795</v>
      </c>
      <c r="I21" s="36">
        <f t="shared" si="7"/>
        <v>0.58927713132803494</v>
      </c>
      <c r="J21" s="36">
        <f t="shared" si="7"/>
        <v>0.55344459177848249</v>
      </c>
      <c r="K21" s="36">
        <f t="shared" si="7"/>
        <v>0.56003611093332617</v>
      </c>
      <c r="L21" s="36">
        <f t="shared" si="7"/>
        <v>0.61508061792078927</v>
      </c>
      <c r="M21" s="36">
        <f t="shared" si="7"/>
        <v>0.62592533658163652</v>
      </c>
    </row>
    <row r="23" spans="2:17" x14ac:dyDescent="0.3">
      <c r="B23" t="s">
        <v>21</v>
      </c>
      <c r="C23" s="33">
        <f>IFERROR('Data Sheet'!B26,0)</f>
        <v>79.489999999999995</v>
      </c>
      <c r="D23" s="33">
        <f>IFERROR('Data Sheet'!C26,0)</f>
        <v>108.17</v>
      </c>
      <c r="E23" s="33">
        <f>IFERROR('Data Sheet'!D26,0)</f>
        <v>123.91</v>
      </c>
      <c r="F23" s="33">
        <f>IFERROR('Data Sheet'!E26,0)</f>
        <v>124.73</v>
      </c>
      <c r="G23" s="33">
        <f>IFERROR('Data Sheet'!F26,0)</f>
        <v>122.26</v>
      </c>
      <c r="H23" s="33">
        <f>IFERROR('Data Sheet'!G26,0)</f>
        <v>125.73</v>
      </c>
      <c r="I23" s="33">
        <f>IFERROR('Data Sheet'!H26,0)</f>
        <v>114.92</v>
      </c>
      <c r="J23" s="33">
        <f>IFERROR('Data Sheet'!I26,0)</f>
        <v>138.9</v>
      </c>
      <c r="K23" s="33">
        <f>IFERROR('Data Sheet'!J26,0)</f>
        <v>182.18</v>
      </c>
      <c r="L23" s="33">
        <f>IFERROR('Data Sheet'!K26,0)</f>
        <v>233.95</v>
      </c>
      <c r="M23" s="33">
        <f>IFERROR(SUM('Data Sheet'!H45:K45),0)</f>
        <v>0</v>
      </c>
    </row>
    <row r="24" spans="2:17" x14ac:dyDescent="0.3">
      <c r="B24" s="19" t="s">
        <v>69</v>
      </c>
      <c r="C24" s="36">
        <f>C23/C5</f>
        <v>1.0615977787779271E-2</v>
      </c>
      <c r="D24" s="36">
        <f t="shared" ref="D24:M24" si="8">D23/D5</f>
        <v>1.3821381294816951E-2</v>
      </c>
      <c r="E24" s="36">
        <f t="shared" si="8"/>
        <v>1.4107502103430725E-2</v>
      </c>
      <c r="F24" s="36">
        <f t="shared" si="8"/>
        <v>1.2580056278933728E-2</v>
      </c>
      <c r="G24" s="36">
        <f t="shared" si="8"/>
        <v>1.0507552787002468E-2</v>
      </c>
      <c r="H24" s="36">
        <f t="shared" si="8"/>
        <v>9.251390136706894E-3</v>
      </c>
      <c r="I24" s="36">
        <f t="shared" si="8"/>
        <v>8.0284586924203299E-3</v>
      </c>
      <c r="J24" s="36">
        <f t="shared" si="8"/>
        <v>9.6582213436261655E-3</v>
      </c>
      <c r="K24" s="36">
        <f t="shared" si="8"/>
        <v>1.0228062551861747E-2</v>
      </c>
      <c r="L24" s="36">
        <f t="shared" si="8"/>
        <v>9.9276568947460429E-3</v>
      </c>
      <c r="M24" s="36">
        <f t="shared" si="8"/>
        <v>0</v>
      </c>
      <c r="Q24" s="16">
        <f t="shared" ref="Q24" si="9">Q15-(Q18+Q21)</f>
        <v>0</v>
      </c>
    </row>
    <row r="26" spans="2:17" x14ac:dyDescent="0.3">
      <c r="B26" t="s">
        <v>71</v>
      </c>
      <c r="C26" s="33">
        <f>C17-(C20+C23)</f>
        <v>651.03000000000065</v>
      </c>
      <c r="D26" s="33">
        <f t="shared" ref="D26:M26" si="10">D17-(D20+D23)</f>
        <v>-69.850000000000364</v>
      </c>
      <c r="E26" s="33">
        <f t="shared" si="10"/>
        <v>258.21000000000095</v>
      </c>
      <c r="F26" s="33">
        <f t="shared" si="10"/>
        <v>232.98000000000138</v>
      </c>
      <c r="G26" s="33">
        <f t="shared" si="10"/>
        <v>624.88000000000102</v>
      </c>
      <c r="H26" s="33">
        <f t="shared" si="10"/>
        <v>178.14999999999964</v>
      </c>
      <c r="I26" s="16">
        <f t="shared" si="10"/>
        <v>236.92000000000007</v>
      </c>
      <c r="J26" s="16">
        <f t="shared" si="10"/>
        <v>525.34000000000106</v>
      </c>
      <c r="K26" s="16">
        <f t="shared" si="10"/>
        <v>1826.6999999999971</v>
      </c>
      <c r="L26" s="16">
        <f t="shared" si="10"/>
        <v>2044.5199999999986</v>
      </c>
      <c r="M26" s="16">
        <f t="shared" si="10"/>
        <v>5423.41</v>
      </c>
    </row>
    <row r="27" spans="2:17" x14ac:dyDescent="0.3">
      <c r="B27" s="19" t="s">
        <v>72</v>
      </c>
      <c r="C27" s="36">
        <f>C26/C5</f>
        <v>8.6945779584576E-2</v>
      </c>
      <c r="D27" s="36">
        <f t="shared" ref="D27:E27" si="11">D26/D5</f>
        <v>-8.9250576263563749E-3</v>
      </c>
      <c r="E27" s="36">
        <f t="shared" si="11"/>
        <v>2.9397934937671382E-2</v>
      </c>
      <c r="F27" s="36">
        <f t="shared" ref="F27" si="12">F26/F5</f>
        <v>2.3497967705171145E-2</v>
      </c>
      <c r="G27" s="36">
        <f t="shared" ref="G27" si="13">G26/G5</f>
        <v>5.3704887825471233E-2</v>
      </c>
      <c r="H27" s="36">
        <f t="shared" ref="H27" si="14">H26/H5</f>
        <v>1.3108527422686152E-2</v>
      </c>
      <c r="I27" s="36">
        <f t="shared" ref="I27" si="15">I26/I5</f>
        <v>1.6551535271564787E-2</v>
      </c>
      <c r="J27" s="36">
        <f t="shared" ref="J27" si="16">J26/J5</f>
        <v>3.6528797700940099E-2</v>
      </c>
      <c r="K27" s="36">
        <f t="shared" ref="K27" si="17">K26/K5</f>
        <v>0.10255572435770019</v>
      </c>
      <c r="L27" s="36">
        <f t="shared" ref="L27" si="18">L26/L5</f>
        <v>8.67591069649334E-2</v>
      </c>
      <c r="M27" s="36">
        <f t="shared" ref="M27" si="19">M26/M5</f>
        <v>0.19838828562388089</v>
      </c>
    </row>
    <row r="29" spans="2:17" x14ac:dyDescent="0.3">
      <c r="B29" t="s">
        <v>24</v>
      </c>
      <c r="C29" s="33">
        <f>IFERROR('Data Sheet'!B29,0)</f>
        <v>517.48</v>
      </c>
      <c r="D29" s="33">
        <f>IFERROR('Data Sheet'!C29,0)</f>
        <v>250.61</v>
      </c>
      <c r="E29" s="33">
        <f>IFERROR('Data Sheet'!D29,0)</f>
        <v>488.66</v>
      </c>
      <c r="F29" s="33">
        <f>IFERROR('Data Sheet'!E29,0)</f>
        <v>483.55</v>
      </c>
      <c r="G29" s="33">
        <f>IFERROR('Data Sheet'!F29,0)</f>
        <v>677.58</v>
      </c>
      <c r="H29" s="33">
        <f>IFERROR('Data Sheet'!G29,0)</f>
        <v>507.2</v>
      </c>
      <c r="I29" s="16">
        <f>IFERROR('Data Sheet'!H29,0)</f>
        <v>561.36</v>
      </c>
      <c r="J29" s="33">
        <f>IFERROR('Data Sheet'!I29,0)</f>
        <v>680.88</v>
      </c>
      <c r="K29" s="33">
        <f>IFERROR('Data Sheet'!J29,0)</f>
        <v>1087.18</v>
      </c>
      <c r="L29" s="33">
        <f>IFERROR('Data Sheet'!K29,0)</f>
        <v>1333.47</v>
      </c>
      <c r="M29" s="33">
        <f>IFERROR(SUM('Data Sheet'!H48:K48),0)</f>
        <v>1384.71</v>
      </c>
    </row>
    <row r="30" spans="2:17" s="36" customFormat="1" x14ac:dyDescent="0.3">
      <c r="B30" s="36" t="s">
        <v>27</v>
      </c>
      <c r="C30" s="36">
        <f>C29/C26</f>
        <v>0.79486352395434845</v>
      </c>
      <c r="D30" s="36">
        <f t="shared" ref="D30:M30" si="20">D29/D26</f>
        <v>-3.5878310665712054</v>
      </c>
      <c r="E30" s="36">
        <f t="shared" si="20"/>
        <v>1.8924906084194966</v>
      </c>
      <c r="F30" s="36">
        <f t="shared" si="20"/>
        <v>2.0755000429221271</v>
      </c>
      <c r="G30" s="36">
        <f t="shared" si="20"/>
        <v>1.0843361925489676</v>
      </c>
      <c r="H30" s="36">
        <f t="shared" si="20"/>
        <v>2.8470390120684872</v>
      </c>
      <c r="I30" s="36">
        <f t="shared" si="20"/>
        <v>2.369407394901232</v>
      </c>
      <c r="J30" s="36">
        <f t="shared" si="20"/>
        <v>1.2960749229070672</v>
      </c>
      <c r="K30" s="36">
        <f t="shared" si="20"/>
        <v>0.59516067225050739</v>
      </c>
      <c r="L30" s="36">
        <f t="shared" si="20"/>
        <v>0.65221665721049482</v>
      </c>
      <c r="M30" s="36">
        <f t="shared" si="20"/>
        <v>0.2553209143324956</v>
      </c>
    </row>
    <row r="32" spans="2:17" x14ac:dyDescent="0.3">
      <c r="B32" t="s">
        <v>73</v>
      </c>
      <c r="C32" s="16">
        <f>C26-C29</f>
        <v>133.55000000000064</v>
      </c>
      <c r="D32" s="16">
        <f t="shared" ref="D32:M32" si="21">D26-D29</f>
        <v>-320.46000000000038</v>
      </c>
      <c r="E32" s="16">
        <f t="shared" si="21"/>
        <v>-230.44999999999908</v>
      </c>
      <c r="F32" s="16">
        <f t="shared" si="21"/>
        <v>-250.56999999999863</v>
      </c>
      <c r="G32" s="16">
        <f t="shared" si="21"/>
        <v>-52.699999999999022</v>
      </c>
      <c r="H32" s="16">
        <f t="shared" si="21"/>
        <v>-329.05000000000035</v>
      </c>
      <c r="I32" s="16">
        <f t="shared" si="21"/>
        <v>-324.43999999999994</v>
      </c>
      <c r="J32" s="16">
        <f t="shared" si="21"/>
        <v>-155.53999999999894</v>
      </c>
      <c r="K32" s="16">
        <f t="shared" si="21"/>
        <v>739.51999999999703</v>
      </c>
      <c r="L32" s="16">
        <f t="shared" si="21"/>
        <v>711.04999999999859</v>
      </c>
      <c r="M32" s="16">
        <f t="shared" si="21"/>
        <v>4038.7</v>
      </c>
    </row>
    <row r="33" spans="1:13" s="36" customFormat="1" x14ac:dyDescent="0.3">
      <c r="B33" s="36" t="s">
        <v>74</v>
      </c>
      <c r="C33" s="36">
        <f>C32/C5</f>
        <v>1.783575083102187E-2</v>
      </c>
      <c r="D33" s="36">
        <f t="shared" ref="D33:M33" si="22">D32/D5</f>
        <v>-4.0946656649136035E-2</v>
      </c>
      <c r="E33" s="36">
        <f t="shared" si="22"/>
        <v>-2.6237380838799111E-2</v>
      </c>
      <c r="F33" s="36">
        <f t="shared" si="22"/>
        <v>-2.5272065275494322E-2</v>
      </c>
      <c r="G33" s="36">
        <f t="shared" si="22"/>
        <v>-4.5292657604696527E-3</v>
      </c>
      <c r="H33" s="36">
        <f t="shared" si="22"/>
        <v>-2.4211961540470905E-2</v>
      </c>
      <c r="I33" s="36">
        <f t="shared" si="22"/>
        <v>-2.2665794797849387E-2</v>
      </c>
      <c r="J33" s="36">
        <f t="shared" si="22"/>
        <v>-1.0815260963193688E-2</v>
      </c>
      <c r="K33" s="36">
        <f t="shared" si="22"/>
        <v>4.1518590505833612E-2</v>
      </c>
      <c r="L33" s="36">
        <f t="shared" si="22"/>
        <v>3.0173372237696776E-2</v>
      </c>
      <c r="M33" s="36">
        <f t="shared" si="22"/>
        <v>0.14773560714553532</v>
      </c>
    </row>
    <row r="35" spans="1:13" x14ac:dyDescent="0.3">
      <c r="B35" t="s">
        <v>75</v>
      </c>
      <c r="C35" s="16">
        <f>IFERROR('Data Sheet'!B93,0)</f>
        <v>171.33</v>
      </c>
      <c r="D35" s="16">
        <f>IFERROR('Data Sheet'!C93,0)</f>
        <v>171.89</v>
      </c>
      <c r="E35" s="16">
        <f>IFERROR('Data Sheet'!D93,0)</f>
        <v>172.4</v>
      </c>
      <c r="F35" s="16">
        <f>IFERROR('Data Sheet'!E93,0)</f>
        <v>197.21</v>
      </c>
      <c r="G35" s="16">
        <f>IFERROR('Data Sheet'!F93,0)</f>
        <v>198.51</v>
      </c>
      <c r="H35" s="16">
        <f>IFERROR('Data Sheet'!G93,0)</f>
        <v>199.27</v>
      </c>
      <c r="I35" s="16">
        <f>IFERROR('Data Sheet'!H93,0)</f>
        <v>199.62</v>
      </c>
      <c r="J35" s="16">
        <f>IFERROR('Data Sheet'!I93,0)</f>
        <v>210.25</v>
      </c>
      <c r="K35" s="16">
        <f>IFERROR('Data Sheet'!J93,0)</f>
        <v>211.62</v>
      </c>
      <c r="L35" s="16">
        <f>IFERROR('Data Sheet'!K93,0)</f>
        <v>243.54</v>
      </c>
      <c r="M35" s="16">
        <f>IFERROR('Data Sheet'!L93,0)</f>
        <v>0</v>
      </c>
    </row>
    <row r="36" spans="1:13" x14ac:dyDescent="0.3">
      <c r="F36" s="38"/>
    </row>
    <row r="37" spans="1:13" x14ac:dyDescent="0.3">
      <c r="B37" t="s">
        <v>126</v>
      </c>
      <c r="C37" s="16">
        <f>C32/C35</f>
        <v>0.77948987334384301</v>
      </c>
      <c r="D37" s="16">
        <f t="shared" ref="D37:L37" si="23">D32/D35</f>
        <v>-1.8643318401303182</v>
      </c>
      <c r="E37" s="16">
        <f t="shared" si="23"/>
        <v>-1.336716937354983</v>
      </c>
      <c r="F37" s="16">
        <f t="shared" si="23"/>
        <v>-1.2705745144769465</v>
      </c>
      <c r="G37" s="16">
        <f t="shared" si="23"/>
        <v>-0.26547780968212698</v>
      </c>
      <c r="H37" s="16">
        <f t="shared" si="23"/>
        <v>-1.6512771616399877</v>
      </c>
      <c r="I37" s="16">
        <f t="shared" si="23"/>
        <v>-1.6252880472898503</v>
      </c>
      <c r="J37" s="16">
        <f t="shared" si="23"/>
        <v>-0.73978596908441829</v>
      </c>
      <c r="K37" s="16">
        <f t="shared" si="23"/>
        <v>3.4945657310272988</v>
      </c>
      <c r="L37" s="16">
        <f t="shared" si="23"/>
        <v>2.919643590375292</v>
      </c>
      <c r="M37" s="39" t="s">
        <v>61</v>
      </c>
    </row>
    <row r="38" spans="1:13" x14ac:dyDescent="0.3">
      <c r="B38" s="19" t="s">
        <v>78</v>
      </c>
      <c r="D38" s="17">
        <f>D37/C37-1</f>
        <v>-3.3917332397568396</v>
      </c>
      <c r="E38" s="17">
        <f t="shared" ref="E38:L38" si="24">E37/D37-1</f>
        <v>-0.28300482318558406</v>
      </c>
      <c r="F38" s="17">
        <f t="shared" si="24"/>
        <v>-4.9481248445101045E-2</v>
      </c>
      <c r="G38" s="17">
        <f t="shared" si="24"/>
        <v>-0.79105687493549692</v>
      </c>
      <c r="H38" s="17">
        <f t="shared" si="24"/>
        <v>5.2200195323939287</v>
      </c>
      <c r="I38" s="17">
        <f t="shared" si="24"/>
        <v>-1.5738795977972564E-2</v>
      </c>
      <c r="J38" s="17">
        <f t="shared" si="24"/>
        <v>-0.5448277797169534</v>
      </c>
      <c r="K38" s="17">
        <f t="shared" si="24"/>
        <v>-5.7237523784781699</v>
      </c>
      <c r="L38" s="17">
        <f t="shared" si="24"/>
        <v>-0.16451890875808384</v>
      </c>
      <c r="M38" s="39" t="s">
        <v>61</v>
      </c>
    </row>
    <row r="39" spans="1:13" x14ac:dyDescent="0.3">
      <c r="M39" s="17"/>
    </row>
    <row r="40" spans="1:13" x14ac:dyDescent="0.3">
      <c r="B40" t="s">
        <v>76</v>
      </c>
      <c r="C40" s="16">
        <f>IFERROR('Data Sheet'!B31/'Data Sheet'!B93,0)</f>
        <v>1.0999824899317108</v>
      </c>
      <c r="D40" s="16">
        <f>IFERROR('Data Sheet'!C31/'Data Sheet'!C93,0)</f>
        <v>0.70004072371865733</v>
      </c>
      <c r="E40" s="16">
        <f>IFERROR('Data Sheet'!D31/'Data Sheet'!D93,0)</f>
        <v>0.89999999999999991</v>
      </c>
      <c r="F40" s="16">
        <f>IFERROR('Data Sheet'!E31/'Data Sheet'!E93,0)</f>
        <v>1.0000507073677805</v>
      </c>
      <c r="G40" s="16">
        <f>IFERROR('Data Sheet'!F31/'Data Sheet'!F93,0)</f>
        <v>1.3999798498816183</v>
      </c>
      <c r="H40" s="16">
        <f>IFERROR('Data Sheet'!G31/'Data Sheet'!G93,0)</f>
        <v>0</v>
      </c>
      <c r="I40" s="16">
        <f>IFERROR('Data Sheet'!H31/'Data Sheet'!H93,0)</f>
        <v>0.69997996192766254</v>
      </c>
      <c r="J40" s="16">
        <f>IFERROR('Data Sheet'!I31/'Data Sheet'!I93,0)</f>
        <v>1.8000475624256835</v>
      </c>
      <c r="K40" s="16">
        <f>IFERROR('Data Sheet'!J31/'Data Sheet'!J93,0)</f>
        <v>1</v>
      </c>
      <c r="L40" s="16">
        <f>IFERROR('Data Sheet'!K31/'Data Sheet'!K93,0)</f>
        <v>1.1999671511866634</v>
      </c>
      <c r="M40" s="39" t="s">
        <v>61</v>
      </c>
    </row>
    <row r="41" spans="1:13" s="36" customFormat="1" x14ac:dyDescent="0.3">
      <c r="B41" s="36" t="s">
        <v>79</v>
      </c>
      <c r="C41" s="36">
        <f>C40/C37</f>
        <v>1.4111568700861035</v>
      </c>
      <c r="D41" s="36">
        <f t="shared" ref="D41:L41" si="25">D40/D37</f>
        <v>-0.37549148099606772</v>
      </c>
      <c r="E41" s="36">
        <f t="shared" si="25"/>
        <v>-0.67329138641788078</v>
      </c>
      <c r="F41" s="36">
        <f t="shared" si="25"/>
        <v>-0.78708544518498258</v>
      </c>
      <c r="G41" s="36">
        <f t="shared" si="25"/>
        <v>-5.2734345351044629</v>
      </c>
      <c r="H41" s="36">
        <f t="shared" si="25"/>
        <v>0</v>
      </c>
      <c r="I41" s="36">
        <f t="shared" si="25"/>
        <v>-0.43068055726790788</v>
      </c>
      <c r="J41" s="36">
        <f t="shared" si="25"/>
        <v>-2.4332004629034496</v>
      </c>
      <c r="K41" s="36">
        <f t="shared" si="25"/>
        <v>0.28615858935525862</v>
      </c>
      <c r="L41" s="36">
        <f t="shared" si="25"/>
        <v>0.41099782012516783</v>
      </c>
      <c r="M41" s="36">
        <f>-G44</f>
        <v>0</v>
      </c>
    </row>
    <row r="43" spans="1:13" x14ac:dyDescent="0.3">
      <c r="B43" t="s">
        <v>80</v>
      </c>
      <c r="C43" s="17">
        <f>IFERROR(IF(C37&gt;C40,1-C41,0),0)</f>
        <v>0</v>
      </c>
      <c r="D43" s="17">
        <f t="shared" ref="D43:M43" si="26">IFERROR(IF(D37&gt;D40,1-D41,0),0)</f>
        <v>0</v>
      </c>
      <c r="E43" s="17">
        <f t="shared" si="26"/>
        <v>0</v>
      </c>
      <c r="F43" s="17">
        <f t="shared" si="26"/>
        <v>0</v>
      </c>
      <c r="G43" s="17">
        <f t="shared" si="26"/>
        <v>0</v>
      </c>
      <c r="H43" s="17">
        <f t="shared" si="26"/>
        <v>0</v>
      </c>
      <c r="I43" s="17">
        <f t="shared" si="26"/>
        <v>0</v>
      </c>
      <c r="J43" s="17">
        <f t="shared" si="26"/>
        <v>0</v>
      </c>
      <c r="K43" s="17">
        <f t="shared" si="26"/>
        <v>0.71384141064474138</v>
      </c>
      <c r="L43" s="17">
        <f t="shared" si="26"/>
        <v>0.58900217987483217</v>
      </c>
      <c r="M43" s="17">
        <f t="shared" si="26"/>
        <v>0</v>
      </c>
    </row>
    <row r="46" spans="1:13" x14ac:dyDescent="0.3">
      <c r="A46" t="s">
        <v>59</v>
      </c>
      <c r="B46" s="26" t="s">
        <v>81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3">
      <c r="B47" s="2" t="s">
        <v>33</v>
      </c>
      <c r="C47" s="16">
        <f>IFERROR('Data Sheet'!B57,0)</f>
        <v>171.33</v>
      </c>
      <c r="D47" s="16">
        <f>IFERROR('Data Sheet'!C57,0)</f>
        <v>343.79</v>
      </c>
      <c r="E47" s="16">
        <f>IFERROR('Data Sheet'!D57,0)</f>
        <v>344.81</v>
      </c>
      <c r="F47" s="16">
        <f>IFERROR('Data Sheet'!E57,0)</f>
        <v>394.43</v>
      </c>
      <c r="G47" s="16">
        <f>IFERROR('Data Sheet'!F57,0)</f>
        <v>397.01</v>
      </c>
      <c r="H47" s="16">
        <f>IFERROR('Data Sheet'!G57,0)</f>
        <v>398.53</v>
      </c>
      <c r="I47" s="16">
        <f>IFERROR('Data Sheet'!H57,0)</f>
        <v>399.23</v>
      </c>
      <c r="J47" s="16">
        <f>IFERROR('Data Sheet'!I57,0)</f>
        <v>420.51</v>
      </c>
      <c r="K47" s="16">
        <f>IFERROR('Data Sheet'!J57,0)</f>
        <v>423.24</v>
      </c>
      <c r="L47" s="16">
        <f>IFERROR('Data Sheet'!K57,0)</f>
        <v>487.07</v>
      </c>
    </row>
    <row r="48" spans="1:13" x14ac:dyDescent="0.3">
      <c r="B48" s="2" t="s">
        <v>34</v>
      </c>
      <c r="C48" s="16">
        <f>IFERROR('Data Sheet'!B58,0)</f>
        <v>7528.94</v>
      </c>
      <c r="D48" s="16">
        <f>IFERROR('Data Sheet'!C58,0)</f>
        <v>7720.34</v>
      </c>
      <c r="E48" s="16">
        <f>IFERROR('Data Sheet'!D58,0)</f>
        <v>8606.56</v>
      </c>
      <c r="F48" s="16">
        <f>IFERROR('Data Sheet'!E58,0)</f>
        <v>11879.81</v>
      </c>
      <c r="G48" s="16">
        <f>IFERROR('Data Sheet'!F58,0)</f>
        <v>13101.24</v>
      </c>
      <c r="H48" s="16">
        <f>IFERROR('Data Sheet'!G58,0)</f>
        <v>14423.83</v>
      </c>
      <c r="I48" s="16">
        <f>IFERROR('Data Sheet'!H58,0)</f>
        <v>16104.72</v>
      </c>
      <c r="J48" s="16">
        <f>IFERROR('Data Sheet'!I58,0)</f>
        <v>18835.009999999998</v>
      </c>
      <c r="K48" s="16">
        <f>IFERROR('Data Sheet'!J58,0)</f>
        <v>21699.17</v>
      </c>
      <c r="L48" s="16">
        <f>IFERROR('Data Sheet'!K58,0)</f>
        <v>29618.28</v>
      </c>
    </row>
    <row r="49" spans="2:12" x14ac:dyDescent="0.3">
      <c r="B49" s="2" t="s">
        <v>35</v>
      </c>
      <c r="C49" s="16">
        <f>IFERROR('Data Sheet'!B59,0)</f>
        <v>73215.67</v>
      </c>
      <c r="D49" s="16">
        <f>IFERROR('Data Sheet'!C59,0)</f>
        <v>84407.22</v>
      </c>
      <c r="E49" s="16">
        <f>IFERROR('Data Sheet'!D59,0)</f>
        <v>104007.57</v>
      </c>
      <c r="F49" s="16">
        <f>IFERROR('Data Sheet'!E59,0)</f>
        <v>124298.94</v>
      </c>
      <c r="G49" s="16">
        <f>IFERROR('Data Sheet'!F59,0)</f>
        <v>143585.22</v>
      </c>
      <c r="H49" s="16">
        <f>IFERROR('Data Sheet'!G59,0)</f>
        <v>164779.63</v>
      </c>
      <c r="I49" s="16">
        <f>IFERROR('Data Sheet'!H59,0)</f>
        <v>184456.7</v>
      </c>
      <c r="J49" s="16">
        <f>IFERROR('Data Sheet'!I59,0)</f>
        <v>201264.91</v>
      </c>
      <c r="K49" s="16">
        <f>IFERROR('Data Sheet'!J59,0)</f>
        <v>238850.48</v>
      </c>
      <c r="L49" s="16">
        <f>IFERROR('Data Sheet'!K59,0)</f>
        <v>277614.63</v>
      </c>
    </row>
    <row r="50" spans="2:12" x14ac:dyDescent="0.3">
      <c r="B50" s="2" t="s">
        <v>36</v>
      </c>
      <c r="C50" s="16">
        <f>IFERROR('Data Sheet'!B60,0)</f>
        <v>1992.77</v>
      </c>
      <c r="D50" s="16">
        <f>IFERROR('Data Sheet'!C60,0)</f>
        <v>2234.38</v>
      </c>
      <c r="E50" s="16">
        <f>IFERROR('Data Sheet'!D60,0)</f>
        <v>2526.8000000000002</v>
      </c>
      <c r="F50" s="16">
        <f>IFERROR('Data Sheet'!E60,0)</f>
        <v>2640.48</v>
      </c>
      <c r="G50" s="16">
        <f>IFERROR('Data Sheet'!F60,0)</f>
        <v>3469</v>
      </c>
      <c r="H50" s="16">
        <f>IFERROR('Data Sheet'!G60,0)</f>
        <v>3751.34</v>
      </c>
      <c r="I50" s="16">
        <f>IFERROR('Data Sheet'!H60,0)</f>
        <v>4005.87</v>
      </c>
      <c r="J50" s="16">
        <f>IFERROR('Data Sheet'!I60,0)</f>
        <v>5720.62</v>
      </c>
      <c r="K50" s="16">
        <f>IFERROR('Data Sheet'!J60,0)</f>
        <v>7031.17</v>
      </c>
      <c r="L50" s="16">
        <f>IFERROR('Data Sheet'!K60,0)</f>
        <v>10118.969999999999</v>
      </c>
    </row>
    <row r="51" spans="2:12" x14ac:dyDescent="0.3">
      <c r="B51" s="1" t="s">
        <v>127</v>
      </c>
      <c r="C51" s="28">
        <f>IFERROR('Data Sheet'!B61,0)</f>
        <v>82908.710000000006</v>
      </c>
      <c r="D51" s="28">
        <f>IFERROR('Data Sheet'!C61,0)</f>
        <v>94705.73</v>
      </c>
      <c r="E51" s="28">
        <f>IFERROR('Data Sheet'!D61,0)</f>
        <v>115485.74</v>
      </c>
      <c r="F51" s="28">
        <f>IFERROR('Data Sheet'!E61,0)</f>
        <v>139213.66</v>
      </c>
      <c r="G51" s="28">
        <f>IFERROR('Data Sheet'!F61,0)</f>
        <v>160552.47</v>
      </c>
      <c r="H51" s="28">
        <f>IFERROR('Data Sheet'!G61,0)</f>
        <v>183353.33</v>
      </c>
      <c r="I51" s="28">
        <f>IFERROR('Data Sheet'!H61,0)</f>
        <v>204966.52</v>
      </c>
      <c r="J51" s="28">
        <f>IFERROR('Data Sheet'!I61,0)</f>
        <v>226241.05</v>
      </c>
      <c r="K51" s="28">
        <f>IFERROR('Data Sheet'!J61,0)</f>
        <v>268004.06</v>
      </c>
      <c r="L51" s="28">
        <f>IFERROR('Data Sheet'!K61,0)</f>
        <v>317838.95</v>
      </c>
    </row>
    <row r="52" spans="2:12" x14ac:dyDescent="0.3">
      <c r="B52" s="1"/>
    </row>
    <row r="53" spans="2:12" x14ac:dyDescent="0.3">
      <c r="B53" s="2" t="s">
        <v>128</v>
      </c>
      <c r="C53" s="16">
        <f>IFERROR('Data Sheet'!B62,0)</f>
        <v>446.1</v>
      </c>
      <c r="D53" s="16">
        <f>IFERROR('Data Sheet'!C62,0)</f>
        <v>507.88</v>
      </c>
      <c r="E53" s="16">
        <f>IFERROR('Data Sheet'!D62,0)</f>
        <v>477.4</v>
      </c>
      <c r="F53" s="16">
        <f>IFERROR('Data Sheet'!E62,0)</f>
        <v>451.73</v>
      </c>
      <c r="G53" s="16">
        <f>IFERROR('Data Sheet'!F62,0)</f>
        <v>461.58</v>
      </c>
      <c r="H53" s="16">
        <f>IFERROR('Data Sheet'!G62,0)</f>
        <v>477.2</v>
      </c>
      <c r="I53" s="16">
        <f>IFERROR('Data Sheet'!H62,0)</f>
        <v>504.41</v>
      </c>
      <c r="J53" s="16">
        <f>IFERROR('Data Sheet'!I62,0)</f>
        <v>643.26</v>
      </c>
      <c r="K53" s="16">
        <f>IFERROR('Data Sheet'!J62,0)</f>
        <v>890.32</v>
      </c>
      <c r="L53" s="16">
        <f>IFERROR('Data Sheet'!K62,0)</f>
        <v>996.05</v>
      </c>
    </row>
    <row r="54" spans="2:12" x14ac:dyDescent="0.3">
      <c r="B54" s="2" t="s">
        <v>39</v>
      </c>
      <c r="C54" s="16">
        <f>IFERROR('Data Sheet'!B63,0)</f>
        <v>26.58</v>
      </c>
      <c r="D54" s="16">
        <f>IFERROR('Data Sheet'!C63,0)</f>
        <v>15.76</v>
      </c>
      <c r="E54" s="16">
        <f>IFERROR('Data Sheet'!D63,0)</f>
        <v>14.94</v>
      </c>
      <c r="F54" s="16">
        <f>IFERROR('Data Sheet'!E63,0)</f>
        <v>9.6199999999999992</v>
      </c>
      <c r="G54" s="16">
        <f>IFERROR('Data Sheet'!F63,0)</f>
        <v>18.350000000000001</v>
      </c>
      <c r="H54" s="16">
        <f>IFERROR('Data Sheet'!G63,0)</f>
        <v>27.61</v>
      </c>
      <c r="I54" s="16">
        <f>IFERROR('Data Sheet'!H63,0)</f>
        <v>13.08</v>
      </c>
      <c r="J54" s="16">
        <f>IFERROR('Data Sheet'!I63,0)</f>
        <v>28.85</v>
      </c>
      <c r="K54" s="16">
        <f>IFERROR('Data Sheet'!J63,0)</f>
        <v>81.39</v>
      </c>
      <c r="L54" s="16">
        <f>IFERROR('Data Sheet'!K63,0)</f>
        <v>66.989999999999995</v>
      </c>
    </row>
    <row r="55" spans="2:12" x14ac:dyDescent="0.3">
      <c r="B55" s="2" t="s">
        <v>40</v>
      </c>
      <c r="C55" s="16">
        <f>IFERROR('Data Sheet'!B64,0)</f>
        <v>20349.439999999999</v>
      </c>
      <c r="D55" s="16">
        <f>IFERROR('Data Sheet'!C64,0)</f>
        <v>24920.47</v>
      </c>
      <c r="E55" s="16">
        <f>IFERROR('Data Sheet'!D64,0)</f>
        <v>27912.26</v>
      </c>
      <c r="F55" s="16">
        <f>IFERROR('Data Sheet'!E64,0)</f>
        <v>30594.68</v>
      </c>
      <c r="G55" s="16">
        <f>IFERROR('Data Sheet'!F64,0)</f>
        <v>31675.7</v>
      </c>
      <c r="H55" s="16">
        <f>IFERROR('Data Sheet'!G64,0)</f>
        <v>35715.39</v>
      </c>
      <c r="I55" s="16">
        <f>IFERROR('Data Sheet'!H64,0)</f>
        <v>36731.67</v>
      </c>
      <c r="J55" s="16">
        <f>IFERROR('Data Sheet'!I64,0)</f>
        <v>39065.19</v>
      </c>
      <c r="K55" s="16">
        <f>IFERROR('Data Sheet'!J64,0)</f>
        <v>48702.239999999998</v>
      </c>
      <c r="L55" s="16">
        <f>IFERROR('Data Sheet'!K64,0)</f>
        <v>61043.12</v>
      </c>
    </row>
    <row r="56" spans="2:12" x14ac:dyDescent="0.3">
      <c r="B56" s="2" t="s">
        <v>41</v>
      </c>
      <c r="C56" s="16">
        <f>IFERROR('Data Sheet'!B65-SUM('Data Sheet'!B67:B69,0),0)</f>
        <v>57302.149999999994</v>
      </c>
      <c r="D56" s="16">
        <f>IFERROR('Data Sheet'!C65-SUM('Data Sheet'!C67:C69,0),0)</f>
        <v>63838.479999999996</v>
      </c>
      <c r="E56" s="16">
        <f>IFERROR('Data Sheet'!D65-SUM('Data Sheet'!D67:D69,0),0)</f>
        <v>79626.5</v>
      </c>
      <c r="F56" s="16">
        <f>IFERROR('Data Sheet'!E65-SUM('Data Sheet'!E67:E69,0),0)</f>
        <v>98962.420000000013</v>
      </c>
      <c r="G56" s="16">
        <f>IFERROR('Data Sheet'!F65-SUM('Data Sheet'!F67:F69,0),0)</f>
        <v>118343.37</v>
      </c>
      <c r="H56" s="16">
        <f>IFERROR('Data Sheet'!G65-SUM('Data Sheet'!G67:G69,0),0)</f>
        <v>134375.82</v>
      </c>
      <c r="I56" s="16">
        <f>IFERROR('Data Sheet'!H65-SUM('Data Sheet'!H67:H69,0),0)</f>
        <v>147901.62999999998</v>
      </c>
      <c r="J56" s="16">
        <f>IFERROR('Data Sheet'!I65-SUM('Data Sheet'!I67:I69,0),0)</f>
        <v>165367.64000000001</v>
      </c>
      <c r="K56" s="16">
        <f>IFERROR('Data Sheet'!J65-SUM('Data Sheet'!J67:J69,0),0)</f>
        <v>200526.18</v>
      </c>
      <c r="L56" s="16">
        <f>IFERROR('Data Sheet'!K65-SUM('Data Sheet'!K67:K69,0),0)</f>
        <v>236538.97</v>
      </c>
    </row>
    <row r="57" spans="2:12" x14ac:dyDescent="0.3">
      <c r="B57" s="1" t="s">
        <v>129</v>
      </c>
      <c r="C57" s="28">
        <f>IFERROR(SUM(C53:C56),0)</f>
        <v>78124.26999999999</v>
      </c>
      <c r="D57" s="28">
        <f t="shared" ref="D57:L57" si="27">IFERROR(SUM(D53:D56),0)</f>
        <v>89282.59</v>
      </c>
      <c r="E57" s="28">
        <f t="shared" si="27"/>
        <v>108031.1</v>
      </c>
      <c r="F57" s="28">
        <f t="shared" si="27"/>
        <v>130018.45000000001</v>
      </c>
      <c r="G57" s="28">
        <f t="shared" si="27"/>
        <v>150499</v>
      </c>
      <c r="H57" s="28">
        <f t="shared" si="27"/>
        <v>170596.02000000002</v>
      </c>
      <c r="I57" s="28">
        <f t="shared" si="27"/>
        <v>185150.78999999998</v>
      </c>
      <c r="J57" s="28">
        <f t="shared" si="27"/>
        <v>205104.94</v>
      </c>
      <c r="K57" s="28">
        <f t="shared" si="27"/>
        <v>250200.13</v>
      </c>
      <c r="L57" s="28">
        <f t="shared" si="27"/>
        <v>298645.13</v>
      </c>
    </row>
    <row r="58" spans="2:12" x14ac:dyDescent="0.3">
      <c r="B58" s="1"/>
    </row>
    <row r="59" spans="2:12" x14ac:dyDescent="0.3">
      <c r="B59" s="2" t="s">
        <v>42</v>
      </c>
      <c r="C59" s="16">
        <f>IFERROR('Data Sheet'!B67,0)</f>
        <v>0</v>
      </c>
      <c r="D59" s="16">
        <f>IFERROR('Data Sheet'!C67,0)</f>
        <v>0</v>
      </c>
      <c r="E59" s="16">
        <f>IFERROR('Data Sheet'!D67,0)</f>
        <v>0</v>
      </c>
      <c r="F59" s="16">
        <f>IFERROR('Data Sheet'!E67,0)</f>
        <v>0</v>
      </c>
      <c r="G59" s="16">
        <f>IFERROR('Data Sheet'!F67,0)</f>
        <v>0</v>
      </c>
      <c r="H59" s="16">
        <f>IFERROR('Data Sheet'!G67,0)</f>
        <v>0</v>
      </c>
      <c r="I59" s="16">
        <f>IFERROR('Data Sheet'!H67,0)</f>
        <v>0</v>
      </c>
      <c r="J59" s="16">
        <f>IFERROR('Data Sheet'!I67,0)</f>
        <v>0</v>
      </c>
      <c r="K59" s="16">
        <f>IFERROR('Data Sheet'!J67,0)</f>
        <v>0</v>
      </c>
      <c r="L59" s="16">
        <f>IFERROR('Data Sheet'!K67,0)</f>
        <v>0</v>
      </c>
    </row>
    <row r="60" spans="2:12" x14ac:dyDescent="0.3">
      <c r="B60" s="2" t="s">
        <v>43</v>
      </c>
      <c r="C60" s="16">
        <f>IFERROR('Data Sheet'!B68,0)</f>
        <v>0</v>
      </c>
      <c r="D60" s="16">
        <f>IFERROR('Data Sheet'!C68,0)</f>
        <v>0</v>
      </c>
      <c r="E60" s="16">
        <f>IFERROR('Data Sheet'!D68,0)</f>
        <v>0</v>
      </c>
      <c r="F60" s="16">
        <f>IFERROR('Data Sheet'!E68,0)</f>
        <v>0</v>
      </c>
      <c r="G60" s="16">
        <f>IFERROR('Data Sheet'!F68,0)</f>
        <v>0</v>
      </c>
      <c r="H60" s="16">
        <f>IFERROR('Data Sheet'!G68,0)</f>
        <v>0</v>
      </c>
      <c r="I60" s="16">
        <f>IFERROR('Data Sheet'!H68,0)</f>
        <v>0</v>
      </c>
      <c r="J60" s="16">
        <f>IFERROR('Data Sheet'!I68,0)</f>
        <v>0</v>
      </c>
      <c r="K60" s="16">
        <f>IFERROR('Data Sheet'!J68,0)</f>
        <v>0</v>
      </c>
      <c r="L60" s="16">
        <f>IFERROR('Data Sheet'!K68,0)</f>
        <v>0</v>
      </c>
    </row>
    <row r="61" spans="2:12" x14ac:dyDescent="0.3">
      <c r="B61" s="2" t="s">
        <v>44</v>
      </c>
      <c r="C61" s="16">
        <f>IFERROR('Data Sheet'!B69,0)</f>
        <v>4784.4399999999996</v>
      </c>
      <c r="D61" s="16">
        <f>IFERROR('Data Sheet'!C69,0)</f>
        <v>5423.14</v>
      </c>
      <c r="E61" s="16">
        <f>IFERROR('Data Sheet'!D69,0)</f>
        <v>7454.64</v>
      </c>
      <c r="F61" s="16">
        <f>IFERROR('Data Sheet'!E69,0)</f>
        <v>9195.2099999999991</v>
      </c>
      <c r="G61" s="16">
        <f>IFERROR('Data Sheet'!F69,0)</f>
        <v>10053.469999999999</v>
      </c>
      <c r="H61" s="16">
        <f>IFERROR('Data Sheet'!G69,0)</f>
        <v>12757.31</v>
      </c>
      <c r="I61" s="16">
        <f>IFERROR('Data Sheet'!H69,0)</f>
        <v>19815.73</v>
      </c>
      <c r="J61" s="16">
        <f>IFERROR('Data Sheet'!I69,0)</f>
        <v>21136.11</v>
      </c>
      <c r="K61" s="16">
        <f>IFERROR('Data Sheet'!J69,0)</f>
        <v>17803.93</v>
      </c>
      <c r="L61" s="16">
        <f>IFERROR('Data Sheet'!K69,0)</f>
        <v>19193.82</v>
      </c>
    </row>
    <row r="62" spans="2:12" x14ac:dyDescent="0.3">
      <c r="B62" s="1" t="s">
        <v>130</v>
      </c>
      <c r="C62" s="28">
        <f>IFERROR(SUM(C59:C61,0),0)</f>
        <v>4784.4399999999996</v>
      </c>
      <c r="D62" s="28">
        <f t="shared" ref="D62:L62" si="28">IFERROR(SUM(D59:D61,0),0)</f>
        <v>5423.14</v>
      </c>
      <c r="E62" s="28">
        <f t="shared" si="28"/>
        <v>7454.64</v>
      </c>
      <c r="F62" s="28">
        <f t="shared" si="28"/>
        <v>9195.2099999999991</v>
      </c>
      <c r="G62" s="28">
        <f t="shared" si="28"/>
        <v>10053.469999999999</v>
      </c>
      <c r="H62" s="28">
        <f t="shared" si="28"/>
        <v>12757.31</v>
      </c>
      <c r="I62" s="28">
        <f t="shared" si="28"/>
        <v>19815.73</v>
      </c>
      <c r="J62" s="28">
        <f t="shared" si="28"/>
        <v>21136.11</v>
      </c>
      <c r="K62" s="28">
        <f t="shared" si="28"/>
        <v>17803.93</v>
      </c>
      <c r="L62" s="28">
        <f t="shared" si="28"/>
        <v>19193.82</v>
      </c>
    </row>
    <row r="63" spans="2:12" x14ac:dyDescent="0.3">
      <c r="B63" s="2"/>
    </row>
    <row r="64" spans="2:12" x14ac:dyDescent="0.3">
      <c r="B64" s="1" t="s">
        <v>131</v>
      </c>
      <c r="C64" s="43">
        <f>C57+C62</f>
        <v>82908.709999999992</v>
      </c>
      <c r="D64" s="43">
        <f t="shared" ref="D64:L64" si="29">D57+D62</f>
        <v>94705.73</v>
      </c>
      <c r="E64" s="43">
        <f t="shared" si="29"/>
        <v>115485.74</v>
      </c>
      <c r="F64" s="43">
        <f t="shared" si="29"/>
        <v>139213.66</v>
      </c>
      <c r="G64" s="43">
        <f t="shared" si="29"/>
        <v>160552.47</v>
      </c>
      <c r="H64" s="43">
        <f t="shared" si="29"/>
        <v>183353.33000000002</v>
      </c>
      <c r="I64" s="43">
        <f t="shared" si="29"/>
        <v>204966.52</v>
      </c>
      <c r="J64" s="43">
        <f t="shared" si="29"/>
        <v>226241.05</v>
      </c>
      <c r="K64" s="43">
        <f t="shared" si="29"/>
        <v>268004.06</v>
      </c>
      <c r="L64" s="43">
        <f t="shared" si="29"/>
        <v>317838.95</v>
      </c>
    </row>
    <row r="66" spans="1:13" x14ac:dyDescent="0.3">
      <c r="B66" s="15" t="s">
        <v>87</v>
      </c>
      <c r="C66" s="15" t="b">
        <f>C64=C51</f>
        <v>1</v>
      </c>
      <c r="D66" s="15" t="b">
        <f t="shared" ref="D66:L66" si="30">D64=D51</f>
        <v>1</v>
      </c>
      <c r="E66" s="15" t="b">
        <f t="shared" si="30"/>
        <v>1</v>
      </c>
      <c r="F66" s="15" t="b">
        <f t="shared" si="30"/>
        <v>1</v>
      </c>
      <c r="G66" s="15" t="b">
        <f t="shared" si="30"/>
        <v>1</v>
      </c>
      <c r="H66" s="15" t="b">
        <f t="shared" si="30"/>
        <v>1</v>
      </c>
      <c r="I66" s="15" t="b">
        <f t="shared" si="30"/>
        <v>1</v>
      </c>
      <c r="J66" s="15" t="b">
        <f t="shared" si="30"/>
        <v>1</v>
      </c>
      <c r="K66" s="15" t="b">
        <f t="shared" si="30"/>
        <v>1</v>
      </c>
      <c r="L66" s="15" t="b">
        <f t="shared" si="30"/>
        <v>1</v>
      </c>
    </row>
    <row r="68" spans="1:13" x14ac:dyDescent="0.3">
      <c r="A68" t="s">
        <v>59</v>
      </c>
      <c r="B68" s="26" t="s">
        <v>132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3">
      <c r="B69" s="15" t="s">
        <v>134</v>
      </c>
    </row>
    <row r="70" spans="1:13" x14ac:dyDescent="0.3">
      <c r="B70" t="s">
        <v>88</v>
      </c>
      <c r="C70" s="16">
        <f>IFERROR('Cash Flow Data'!E4,0)</f>
        <v>24406</v>
      </c>
      <c r="D70" s="16">
        <f>IFERROR('Cash Flow Data'!F4,0)</f>
        <v>36303</v>
      </c>
      <c r="E70" s="16">
        <f>IFERROR('Cash Flow Data'!G4,0)</f>
        <v>43397</v>
      </c>
      <c r="F70" s="16">
        <f>IFERROR('Cash Flow Data'!H4,0)</f>
        <v>38626</v>
      </c>
      <c r="G70" s="16">
        <f>IFERROR('Cash Flow Data'!I4,0)</f>
        <v>28840</v>
      </c>
      <c r="H70" s="16">
        <f>IFERROR('Cash Flow Data'!J4,0)</f>
        <v>33312</v>
      </c>
      <c r="I70" s="16">
        <f>IFERROR('Cash Flow Data'!K4,0)</f>
        <v>28771</v>
      </c>
      <c r="J70" s="16">
        <f>IFERROR('Cash Flow Data'!L4,0)</f>
        <v>23352</v>
      </c>
      <c r="K70" s="16">
        <f>IFERROR('Cash Flow Data'!M4,0)</f>
        <v>31198</v>
      </c>
      <c r="L70" s="16">
        <f>IFERROR('Cash Flow Data'!N4,0)</f>
        <v>26666</v>
      </c>
    </row>
    <row r="71" spans="1:13" x14ac:dyDescent="0.3">
      <c r="B71" t="s">
        <v>42</v>
      </c>
      <c r="C71" s="16">
        <f>IFERROR('Cash Flow Data'!E5,0)</f>
        <v>-5177</v>
      </c>
      <c r="D71" s="16">
        <f>IFERROR('Cash Flow Data'!F5,0)</f>
        <v>445</v>
      </c>
      <c r="E71" s="16">
        <f>IFERROR('Cash Flow Data'!G5,0)</f>
        <v>-3179</v>
      </c>
      <c r="F71" s="16">
        <f>IFERROR('Cash Flow Data'!H5,0)</f>
        <v>-2223</v>
      </c>
      <c r="G71" s="16">
        <f>IFERROR('Cash Flow Data'!I5,0)</f>
        <v>-4152</v>
      </c>
      <c r="H71" s="16">
        <f>IFERROR('Cash Flow Data'!J5,0)</f>
        <v>-10688</v>
      </c>
      <c r="I71" s="16">
        <f>IFERROR('Cash Flow Data'!K5,0)</f>
        <v>-9109</v>
      </c>
      <c r="J71" s="16">
        <f>IFERROR('Cash Flow Data'!L5,0)</f>
        <v>9950</v>
      </c>
      <c r="K71" s="16">
        <f>IFERROR('Cash Flow Data'!M5,0)</f>
        <v>-5505</v>
      </c>
      <c r="L71" s="16">
        <f>IFERROR('Cash Flow Data'!N5,0)</f>
        <v>337</v>
      </c>
    </row>
    <row r="72" spans="1:13" x14ac:dyDescent="0.3">
      <c r="B72" t="s">
        <v>43</v>
      </c>
      <c r="C72" s="16">
        <f>IFERROR('Cash Flow Data'!E6,0)</f>
        <v>-2656</v>
      </c>
      <c r="D72" s="16">
        <f>IFERROR('Cash Flow Data'!F6,0)</f>
        <v>-2853</v>
      </c>
      <c r="E72" s="16">
        <f>IFERROR('Cash Flow Data'!G6,0)</f>
        <v>-3692</v>
      </c>
      <c r="F72" s="16">
        <f>IFERROR('Cash Flow Data'!H6,0)</f>
        <v>-5743</v>
      </c>
      <c r="G72" s="16">
        <f>IFERROR('Cash Flow Data'!I6,0)</f>
        <v>-6621</v>
      </c>
      <c r="H72" s="16">
        <f>IFERROR('Cash Flow Data'!J6,0)</f>
        <v>-3560</v>
      </c>
      <c r="I72" s="16">
        <f>IFERROR('Cash Flow Data'!K6,0)</f>
        <v>2069</v>
      </c>
      <c r="J72" s="16">
        <f>IFERROR('Cash Flow Data'!L6,0)</f>
        <v>2326</v>
      </c>
      <c r="K72" s="16">
        <f>IFERROR('Cash Flow Data'!M6,0)</f>
        <v>3814</v>
      </c>
      <c r="L72" s="16">
        <f>IFERROR('Cash Flow Data'!N6,0)</f>
        <v>597</v>
      </c>
    </row>
    <row r="73" spans="1:13" x14ac:dyDescent="0.3">
      <c r="B73" t="s">
        <v>89</v>
      </c>
      <c r="C73" s="16">
        <f>IFERROR('Cash Flow Data'!E7,0)</f>
        <v>8132</v>
      </c>
      <c r="D73" s="16">
        <f>IFERROR('Cash Flow Data'!F7,0)</f>
        <v>4694</v>
      </c>
      <c r="E73" s="16">
        <f>IFERROR('Cash Flow Data'!G7,0)</f>
        <v>3598</v>
      </c>
      <c r="F73" s="16">
        <f>IFERROR('Cash Flow Data'!H7,0)</f>
        <v>3947</v>
      </c>
      <c r="G73" s="16">
        <f>IFERROR('Cash Flow Data'!I7,0)</f>
        <v>9301</v>
      </c>
      <c r="H73" s="16">
        <f>IFERROR('Cash Flow Data'!J7,0)</f>
        <v>7320</v>
      </c>
      <c r="I73" s="16">
        <f>IFERROR('Cash Flow Data'!K7,0)</f>
        <v>-4692</v>
      </c>
      <c r="J73" s="16">
        <f>IFERROR('Cash Flow Data'!L7,0)</f>
        <v>-8085</v>
      </c>
      <c r="K73" s="16">
        <f>IFERROR('Cash Flow Data'!M7,0)</f>
        <v>5748</v>
      </c>
      <c r="L73" s="16">
        <f>IFERROR('Cash Flow Data'!N7,0)</f>
        <v>-7012</v>
      </c>
    </row>
    <row r="74" spans="1:13" x14ac:dyDescent="0.3">
      <c r="B74" t="s">
        <v>90</v>
      </c>
      <c r="C74" s="16">
        <f>IFERROR('Cash Flow Data'!E8,0)</f>
        <v>0</v>
      </c>
      <c r="D74" s="16">
        <f>IFERROR('Cash Flow Data'!F8,0)</f>
        <v>0</v>
      </c>
      <c r="E74" s="16">
        <f>IFERROR('Cash Flow Data'!G8,0)</f>
        <v>0</v>
      </c>
      <c r="F74" s="16">
        <f>IFERROR('Cash Flow Data'!H8,0)</f>
        <v>-520</v>
      </c>
      <c r="G74" s="16">
        <f>IFERROR('Cash Flow Data'!I8,0)</f>
        <v>0</v>
      </c>
      <c r="H74" s="16">
        <f>IFERROR('Cash Flow Data'!J8,0)</f>
        <v>0</v>
      </c>
      <c r="I74" s="16">
        <f>IFERROR('Cash Flow Data'!K8,0)</f>
        <v>0</v>
      </c>
      <c r="J74" s="16">
        <f>IFERROR('Cash Flow Data'!L8,0)</f>
        <v>0</v>
      </c>
      <c r="K74" s="16">
        <f>IFERROR('Cash Flow Data'!M8,0)</f>
        <v>0</v>
      </c>
      <c r="L74" s="16">
        <f>IFERROR('Cash Flow Data'!N8,0)</f>
        <v>0</v>
      </c>
    </row>
    <row r="75" spans="1:13" x14ac:dyDescent="0.3">
      <c r="B75" t="s">
        <v>91</v>
      </c>
      <c r="C75" s="16">
        <f>IFERROR('Cash Flow Data'!E9,0)</f>
        <v>-303</v>
      </c>
      <c r="D75" s="16">
        <f>IFERROR('Cash Flow Data'!F9,0)</f>
        <v>1870</v>
      </c>
      <c r="E75" s="16">
        <f>IFERROR('Cash Flow Data'!G9,0)</f>
        <v>-398</v>
      </c>
      <c r="F75" s="16">
        <f>IFERROR('Cash Flow Data'!H9,0)</f>
        <v>5852</v>
      </c>
      <c r="G75" s="16">
        <f>IFERROR('Cash Flow Data'!I9,0)</f>
        <v>4727</v>
      </c>
      <c r="H75" s="16">
        <f>IFERROR('Cash Flow Data'!J9,0)</f>
        <v>494</v>
      </c>
      <c r="I75" s="16">
        <f>IFERROR('Cash Flow Data'!K9,0)</f>
        <v>4512</v>
      </c>
      <c r="J75" s="16">
        <f>IFERROR('Cash Flow Data'!L9,0)</f>
        <v>875</v>
      </c>
      <c r="K75" s="16">
        <f>IFERROR('Cash Flow Data'!M9,0)</f>
        <v>-4150</v>
      </c>
      <c r="L75" s="16">
        <f>IFERROR('Cash Flow Data'!N9,0)</f>
        <v>-4396</v>
      </c>
    </row>
    <row r="76" spans="1:13" x14ac:dyDescent="0.3">
      <c r="B76" t="s">
        <v>92</v>
      </c>
      <c r="C76" s="16">
        <f>IFERROR('Cash Flow Data'!E10,0)</f>
        <v>-3</v>
      </c>
      <c r="D76" s="16">
        <f>IFERROR('Cash Flow Data'!F10,0)</f>
        <v>4157</v>
      </c>
      <c r="E76" s="16">
        <f>IFERROR('Cash Flow Data'!G10,0)</f>
        <v>-3672</v>
      </c>
      <c r="F76" s="16">
        <f>IFERROR('Cash Flow Data'!H10,0)</f>
        <v>1313</v>
      </c>
      <c r="G76" s="16">
        <f>IFERROR('Cash Flow Data'!I10,0)</f>
        <v>3254</v>
      </c>
      <c r="H76" s="16">
        <f>IFERROR('Cash Flow Data'!J10,0)</f>
        <v>-6434</v>
      </c>
      <c r="I76" s="16">
        <f>IFERROR('Cash Flow Data'!K10,0)</f>
        <v>-7221</v>
      </c>
      <c r="J76" s="16">
        <f>IFERROR('Cash Flow Data'!L10,0)</f>
        <v>5065</v>
      </c>
      <c r="K76" s="16">
        <f>IFERROR('Cash Flow Data'!M10,0)</f>
        <v>-93</v>
      </c>
      <c r="L76" s="16">
        <f>IFERROR('Cash Flow Data'!N10,0)</f>
        <v>-10474</v>
      </c>
    </row>
    <row r="77" spans="1:13" x14ac:dyDescent="0.3">
      <c r="B77" t="s">
        <v>93</v>
      </c>
      <c r="C77" s="16">
        <f>IFERROR('Cash Flow Data'!E11,0)</f>
        <v>-2240</v>
      </c>
      <c r="D77" s="16">
        <f>IFERROR('Cash Flow Data'!F11,0)</f>
        <v>-4308</v>
      </c>
      <c r="E77" s="16">
        <f>IFERROR('Cash Flow Data'!G11,0)</f>
        <v>-4194</v>
      </c>
      <c r="F77" s="16">
        <f>IFERROR('Cash Flow Data'!H11,0)</f>
        <v>-2040</v>
      </c>
      <c r="G77" s="16">
        <f>IFERROR('Cash Flow Data'!I11,0)</f>
        <v>-1895</v>
      </c>
      <c r="H77" s="16">
        <f>IFERROR('Cash Flow Data'!J11,0)</f>
        <v>-3021</v>
      </c>
      <c r="I77" s="16">
        <f>IFERROR('Cash Flow Data'!K11,0)</f>
        <v>-2659</v>
      </c>
      <c r="J77" s="16">
        <f>IFERROR('Cash Flow Data'!L11,0)</f>
        <v>-1785</v>
      </c>
      <c r="K77" s="16">
        <f>IFERROR('Cash Flow Data'!M11,0)</f>
        <v>-2105</v>
      </c>
      <c r="L77" s="16">
        <f>IFERROR('Cash Flow Data'!N11,0)</f>
        <v>-1910</v>
      </c>
    </row>
    <row r="78" spans="1:13" x14ac:dyDescent="0.3">
      <c r="B78" s="15" t="s">
        <v>133</v>
      </c>
      <c r="C78" s="28">
        <f>SUM(C70:C77)</f>
        <v>22159</v>
      </c>
      <c r="D78" s="28">
        <f t="shared" ref="D78:L78" si="31">SUM(D70:D77)</f>
        <v>40308</v>
      </c>
      <c r="E78" s="28">
        <f t="shared" si="31"/>
        <v>31860</v>
      </c>
      <c r="F78" s="28">
        <f t="shared" si="31"/>
        <v>39212</v>
      </c>
      <c r="G78" s="28">
        <f t="shared" si="31"/>
        <v>33454</v>
      </c>
      <c r="H78" s="28">
        <f t="shared" si="31"/>
        <v>17423</v>
      </c>
      <c r="I78" s="28">
        <f t="shared" si="31"/>
        <v>11671</v>
      </c>
      <c r="J78" s="28">
        <f t="shared" si="31"/>
        <v>31698</v>
      </c>
      <c r="K78" s="28">
        <f t="shared" si="31"/>
        <v>28907</v>
      </c>
      <c r="L78" s="28">
        <f t="shared" si="31"/>
        <v>3808</v>
      </c>
    </row>
    <row r="80" spans="1:13" x14ac:dyDescent="0.3">
      <c r="B80" s="15" t="s">
        <v>121</v>
      </c>
    </row>
    <row r="81" spans="2:12" x14ac:dyDescent="0.3">
      <c r="B81" t="s">
        <v>94</v>
      </c>
      <c r="C81" s="16">
        <f>IFERROR('Cash Flow Data'!E13,0)</f>
        <v>-18863</v>
      </c>
      <c r="D81" s="16">
        <f>IFERROR('Cash Flow Data'!F13,0)</f>
        <v>-26975</v>
      </c>
      <c r="E81" s="16">
        <f>IFERROR('Cash Flow Data'!G13,0)</f>
        <v>-31962</v>
      </c>
      <c r="F81" s="16">
        <f>IFERROR('Cash Flow Data'!H13,0)</f>
        <v>-31503</v>
      </c>
      <c r="G81" s="16">
        <f>IFERROR('Cash Flow Data'!I13,0)</f>
        <v>-16072</v>
      </c>
      <c r="H81" s="16">
        <f>IFERROR('Cash Flow Data'!J13,0)</f>
        <v>-35079</v>
      </c>
      <c r="I81" s="16">
        <f>IFERROR('Cash Flow Data'!K13,0)</f>
        <v>-35304</v>
      </c>
      <c r="J81" s="16">
        <f>IFERROR('Cash Flow Data'!L13,0)</f>
        <v>-29702</v>
      </c>
      <c r="K81" s="16">
        <f>IFERROR('Cash Flow Data'!M13,0)</f>
        <v>-20205</v>
      </c>
      <c r="L81" s="16">
        <f>IFERROR('Cash Flow Data'!N13,0)</f>
        <v>-15168</v>
      </c>
    </row>
    <row r="82" spans="2:12" x14ac:dyDescent="0.3">
      <c r="B82" t="s">
        <v>95</v>
      </c>
      <c r="C82" s="16">
        <f>IFERROR('Cash Flow Data'!E14,0)</f>
        <v>37</v>
      </c>
      <c r="D82" s="16">
        <f>IFERROR('Cash Flow Data'!F14,0)</f>
        <v>50</v>
      </c>
      <c r="E82" s="16">
        <f>IFERROR('Cash Flow Data'!G14,0)</f>
        <v>74</v>
      </c>
      <c r="F82" s="16">
        <f>IFERROR('Cash Flow Data'!H14,0)</f>
        <v>59</v>
      </c>
      <c r="G82" s="16">
        <f>IFERROR('Cash Flow Data'!I14,0)</f>
        <v>53</v>
      </c>
      <c r="H82" s="16">
        <f>IFERROR('Cash Flow Data'!J14,0)</f>
        <v>30</v>
      </c>
      <c r="I82" s="16">
        <f>IFERROR('Cash Flow Data'!K14,0)</f>
        <v>67</v>
      </c>
      <c r="J82" s="16">
        <f>IFERROR('Cash Flow Data'!L14,0)</f>
        <v>171</v>
      </c>
      <c r="K82" s="16">
        <f>IFERROR('Cash Flow Data'!M14,0)</f>
        <v>351</v>
      </c>
      <c r="L82" s="16">
        <f>IFERROR('Cash Flow Data'!N14,0)</f>
        <v>230</v>
      </c>
    </row>
    <row r="83" spans="2:12" x14ac:dyDescent="0.3">
      <c r="B83" t="s">
        <v>96</v>
      </c>
      <c r="C83" s="16">
        <f>IFERROR('Cash Flow Data'!E15,0)</f>
        <v>73</v>
      </c>
      <c r="D83" s="16">
        <f>IFERROR('Cash Flow Data'!F15,0)</f>
        <v>-429</v>
      </c>
      <c r="E83" s="16">
        <f>IFERROR('Cash Flow Data'!G15,0)</f>
        <v>-5461</v>
      </c>
      <c r="F83" s="16">
        <f>IFERROR('Cash Flow Data'!H15,0)</f>
        <v>-4728</v>
      </c>
      <c r="G83" s="16">
        <f>IFERROR('Cash Flow Data'!I15,0)</f>
        <v>-6</v>
      </c>
      <c r="H83" s="16">
        <f>IFERROR('Cash Flow Data'!J15,0)</f>
        <v>-329</v>
      </c>
      <c r="I83" s="16">
        <f>IFERROR('Cash Flow Data'!K15,0)</f>
        <v>-130</v>
      </c>
      <c r="J83" s="16">
        <f>IFERROR('Cash Flow Data'!L15,0)</f>
        <v>-1439</v>
      </c>
      <c r="K83" s="16">
        <f>IFERROR('Cash Flow Data'!M15,0)</f>
        <v>-7530</v>
      </c>
      <c r="L83" s="16">
        <f>IFERROR('Cash Flow Data'!N15,0)</f>
        <v>-3008</v>
      </c>
    </row>
    <row r="84" spans="2:12" x14ac:dyDescent="0.3">
      <c r="B84" t="s">
        <v>97</v>
      </c>
      <c r="C84" s="16">
        <f>IFERROR('Cash Flow Data'!E16,0)</f>
        <v>34</v>
      </c>
      <c r="D84" s="16">
        <f>IFERROR('Cash Flow Data'!F16,0)</f>
        <v>4</v>
      </c>
      <c r="E84" s="16">
        <f>IFERROR('Cash Flow Data'!G16,0)</f>
        <v>42</v>
      </c>
      <c r="F84" s="16">
        <f>IFERROR('Cash Flow Data'!H16,0)</f>
        <v>89</v>
      </c>
      <c r="G84" s="16">
        <f>IFERROR('Cash Flow Data'!I16,0)</f>
        <v>1965</v>
      </c>
      <c r="H84" s="16">
        <f>IFERROR('Cash Flow Data'!J16,0)</f>
        <v>2381</v>
      </c>
      <c r="I84" s="16">
        <f>IFERROR('Cash Flow Data'!K16,0)</f>
        <v>5644</v>
      </c>
      <c r="J84" s="16">
        <f>IFERROR('Cash Flow Data'!L16,0)</f>
        <v>21</v>
      </c>
      <c r="K84" s="16">
        <f>IFERROR('Cash Flow Data'!M16,0)</f>
        <v>226</v>
      </c>
      <c r="L84" s="16">
        <f>IFERROR('Cash Flow Data'!N16,0)</f>
        <v>104</v>
      </c>
    </row>
    <row r="85" spans="2:12" x14ac:dyDescent="0.3">
      <c r="B85" t="s">
        <v>98</v>
      </c>
      <c r="C85" s="16">
        <f>IFERROR('Cash Flow Data'!E17,0)</f>
        <v>713</v>
      </c>
      <c r="D85" s="16">
        <f>IFERROR('Cash Flow Data'!F17,0)</f>
        <v>653</v>
      </c>
      <c r="E85" s="16">
        <f>IFERROR('Cash Flow Data'!G17,0)</f>
        <v>698</v>
      </c>
      <c r="F85" s="16">
        <f>IFERROR('Cash Flow Data'!H17,0)</f>
        <v>731</v>
      </c>
      <c r="G85" s="16">
        <f>IFERROR('Cash Flow Data'!I17,0)</f>
        <v>638</v>
      </c>
      <c r="H85" s="16">
        <f>IFERROR('Cash Flow Data'!J17,0)</f>
        <v>690</v>
      </c>
      <c r="I85" s="16">
        <f>IFERROR('Cash Flow Data'!K17,0)</f>
        <v>761</v>
      </c>
      <c r="J85" s="16">
        <f>IFERROR('Cash Flow Data'!L17,0)</f>
        <v>1104</v>
      </c>
      <c r="K85" s="16">
        <f>IFERROR('Cash Flow Data'!M17,0)</f>
        <v>428</v>
      </c>
      <c r="L85" s="16">
        <f>IFERROR('Cash Flow Data'!N17,0)</f>
        <v>653</v>
      </c>
    </row>
    <row r="86" spans="2:12" x14ac:dyDescent="0.3">
      <c r="B86" t="s">
        <v>99</v>
      </c>
      <c r="C86" s="16">
        <f>IFERROR('Cash Flow Data'!E18,0)</f>
        <v>95</v>
      </c>
      <c r="D86" s="16">
        <f>IFERROR('Cash Flow Data'!F18,0)</f>
        <v>40</v>
      </c>
      <c r="E86" s="16">
        <f>IFERROR('Cash Flow Data'!G18,0)</f>
        <v>80</v>
      </c>
      <c r="F86" s="16">
        <f>IFERROR('Cash Flow Data'!H18,0)</f>
        <v>58</v>
      </c>
      <c r="G86" s="16">
        <f>IFERROR('Cash Flow Data'!I18,0)</f>
        <v>620</v>
      </c>
      <c r="H86" s="16">
        <f>IFERROR('Cash Flow Data'!J18,0)</f>
        <v>1797</v>
      </c>
      <c r="I86" s="16">
        <f>IFERROR('Cash Flow Data'!K18,0)</f>
        <v>232</v>
      </c>
      <c r="J86" s="16">
        <f>IFERROR('Cash Flow Data'!L18,0)</f>
        <v>21</v>
      </c>
      <c r="K86" s="16">
        <f>IFERROR('Cash Flow Data'!M18,0)</f>
        <v>18</v>
      </c>
      <c r="L86" s="16">
        <f>IFERROR('Cash Flow Data'!N18,0)</f>
        <v>32</v>
      </c>
    </row>
    <row r="87" spans="2:12" x14ac:dyDescent="0.3">
      <c r="B87" t="s">
        <v>100</v>
      </c>
      <c r="C87" s="16">
        <f>IFERROR('Cash Flow Data'!E19,0)</f>
        <v>0</v>
      </c>
      <c r="D87" s="16">
        <f>IFERROR('Cash Flow Data'!F19,0)</f>
        <v>0</v>
      </c>
      <c r="E87" s="16">
        <f>IFERROR('Cash Flow Data'!G19,0)</f>
        <v>0</v>
      </c>
      <c r="F87" s="16">
        <f>IFERROR('Cash Flow Data'!H19,0)</f>
        <v>0</v>
      </c>
      <c r="G87" s="16">
        <f>IFERROR('Cash Flow Data'!I19,0)</f>
        <v>0</v>
      </c>
      <c r="H87" s="16">
        <f>IFERROR('Cash Flow Data'!J19,0)</f>
        <v>0</v>
      </c>
      <c r="I87" s="16">
        <f>IFERROR('Cash Flow Data'!K19,0)</f>
        <v>0</v>
      </c>
      <c r="J87" s="16">
        <f>IFERROR('Cash Flow Data'!L19,0)</f>
        <v>0</v>
      </c>
      <c r="K87" s="16">
        <f>IFERROR('Cash Flow Data'!M19,0)</f>
        <v>0</v>
      </c>
      <c r="L87" s="16">
        <f>IFERROR('Cash Flow Data'!N19,0)</f>
        <v>0</v>
      </c>
    </row>
    <row r="88" spans="2:12" x14ac:dyDescent="0.3">
      <c r="B88" t="s">
        <v>101</v>
      </c>
      <c r="C88" s="16">
        <f>IFERROR('Cash Flow Data'!E20,0)</f>
        <v>0</v>
      </c>
      <c r="D88" s="16">
        <f>IFERROR('Cash Flow Data'!F20,0)</f>
        <v>0</v>
      </c>
      <c r="E88" s="16">
        <f>IFERROR('Cash Flow Data'!G20,0)</f>
        <v>-160</v>
      </c>
      <c r="F88" s="16">
        <f>IFERROR('Cash Flow Data'!H20,0)</f>
        <v>0</v>
      </c>
      <c r="G88" s="16">
        <f>IFERROR('Cash Flow Data'!I20,0)</f>
        <v>-107</v>
      </c>
      <c r="H88" s="16">
        <f>IFERROR('Cash Flow Data'!J20,0)</f>
        <v>-4</v>
      </c>
      <c r="I88" s="16">
        <f>IFERROR('Cash Flow Data'!K20,0)</f>
        <v>-9</v>
      </c>
      <c r="J88" s="16">
        <f>IFERROR('Cash Flow Data'!L20,0)</f>
        <v>-606</v>
      </c>
      <c r="K88" s="16">
        <f>IFERROR('Cash Flow Data'!M20,0)</f>
        <v>-10</v>
      </c>
      <c r="L88" s="16">
        <f>IFERROR('Cash Flow Data'!N20,0)</f>
        <v>0</v>
      </c>
    </row>
    <row r="89" spans="2:12" x14ac:dyDescent="0.3">
      <c r="B89" t="s">
        <v>102</v>
      </c>
      <c r="C89" s="16">
        <f>IFERROR('Cash Flow Data'!E21,0)</f>
        <v>0</v>
      </c>
      <c r="D89" s="16">
        <f>IFERROR('Cash Flow Data'!F21,0)</f>
        <v>0</v>
      </c>
      <c r="E89" s="16">
        <f>IFERROR('Cash Flow Data'!G21,0)</f>
        <v>0</v>
      </c>
      <c r="F89" s="16">
        <f>IFERROR('Cash Flow Data'!H21,0)</f>
        <v>0</v>
      </c>
      <c r="G89" s="16">
        <f>IFERROR('Cash Flow Data'!I21,0)</f>
        <v>0</v>
      </c>
      <c r="H89" s="16">
        <f>IFERROR('Cash Flow Data'!J21,0)</f>
        <v>14</v>
      </c>
      <c r="I89" s="16">
        <f>IFERROR('Cash Flow Data'!K21,0)</f>
        <v>533</v>
      </c>
      <c r="J89" s="16">
        <f>IFERROR('Cash Flow Data'!L21,0)</f>
        <v>0</v>
      </c>
      <c r="K89" s="16">
        <f>IFERROR('Cash Flow Data'!M21,0)</f>
        <v>0</v>
      </c>
      <c r="L89" s="16">
        <f>IFERROR('Cash Flow Data'!N21,0)</f>
        <v>0</v>
      </c>
    </row>
    <row r="90" spans="2:12" x14ac:dyDescent="0.3">
      <c r="B90" t="s">
        <v>103</v>
      </c>
      <c r="C90" s="16">
        <f>IFERROR('Cash Flow Data'!E22,0)</f>
        <v>0</v>
      </c>
      <c r="D90" s="16">
        <f>IFERROR('Cash Flow Data'!F22,0)</f>
        <v>-185</v>
      </c>
      <c r="E90" s="16">
        <f>IFERROR('Cash Flow Data'!G22,0)</f>
        <v>0</v>
      </c>
      <c r="F90" s="16">
        <f>IFERROR('Cash Flow Data'!H22,0)</f>
        <v>-111</v>
      </c>
      <c r="G90" s="16">
        <f>IFERROR('Cash Flow Data'!I22,0)</f>
        <v>0</v>
      </c>
      <c r="H90" s="16">
        <f>IFERROR('Cash Flow Data'!J22,0)</f>
        <v>0</v>
      </c>
      <c r="I90" s="16">
        <f>IFERROR('Cash Flow Data'!K22,0)</f>
        <v>-8</v>
      </c>
      <c r="J90" s="16">
        <f>IFERROR('Cash Flow Data'!L22,0)</f>
        <v>-27</v>
      </c>
      <c r="K90" s="16">
        <f>IFERROR('Cash Flow Data'!M22,0)</f>
        <v>0</v>
      </c>
      <c r="L90" s="16">
        <f>IFERROR('Cash Flow Data'!N22,0)</f>
        <v>-98</v>
      </c>
    </row>
    <row r="91" spans="2:12" x14ac:dyDescent="0.3">
      <c r="B91" t="s">
        <v>104</v>
      </c>
      <c r="C91" s="16">
        <f>IFERROR('Cash Flow Data'!E23,0)</f>
        <v>45</v>
      </c>
      <c r="D91" s="16">
        <f>IFERROR('Cash Flow Data'!F23,0)</f>
        <v>0</v>
      </c>
      <c r="E91" s="16">
        <f>IFERROR('Cash Flow Data'!G23,0)</f>
        <v>0</v>
      </c>
      <c r="F91" s="16">
        <f>IFERROR('Cash Flow Data'!H23,0)</f>
        <v>0</v>
      </c>
      <c r="G91" s="16">
        <f>IFERROR('Cash Flow Data'!I23,0)</f>
        <v>0</v>
      </c>
      <c r="H91" s="16">
        <f>IFERROR('Cash Flow Data'!J23,0)</f>
        <v>0</v>
      </c>
      <c r="I91" s="16">
        <f>IFERROR('Cash Flow Data'!K23,0)</f>
        <v>0</v>
      </c>
      <c r="J91" s="16">
        <f>IFERROR('Cash Flow Data'!L23,0)</f>
        <v>0</v>
      </c>
      <c r="K91" s="16">
        <f>IFERROR('Cash Flow Data'!M23,0)</f>
        <v>0</v>
      </c>
      <c r="L91" s="16">
        <f>IFERROR('Cash Flow Data'!N23,0)</f>
        <v>0</v>
      </c>
    </row>
    <row r="92" spans="2:12" x14ac:dyDescent="0.3">
      <c r="B92" t="s">
        <v>105</v>
      </c>
      <c r="C92" s="16">
        <f>IFERROR('Cash Flow Data'!E24,0)</f>
        <v>-5103</v>
      </c>
      <c r="D92" s="16">
        <f>IFERROR('Cash Flow Data'!F24,0)</f>
        <v>-1149</v>
      </c>
      <c r="E92" s="16">
        <f>IFERROR('Cash Flow Data'!G24,0)</f>
        <v>456</v>
      </c>
      <c r="F92" s="16">
        <f>IFERROR('Cash Flow Data'!H24,0)</f>
        <v>-1289</v>
      </c>
      <c r="G92" s="16">
        <f>IFERROR('Cash Flow Data'!I24,0)</f>
        <v>-26663</v>
      </c>
      <c r="H92" s="16">
        <f>IFERROR('Cash Flow Data'!J24,0)</f>
        <v>5360</v>
      </c>
      <c r="I92" s="16">
        <f>IFERROR('Cash Flow Data'!K24,0)</f>
        <v>7335</v>
      </c>
      <c r="J92" s="16">
        <f>IFERROR('Cash Flow Data'!L24,0)</f>
        <v>-2659</v>
      </c>
      <c r="K92" s="16">
        <f>IFERROR('Cash Flow Data'!M24,0)</f>
        <v>1051</v>
      </c>
      <c r="L92" s="16">
        <f>IFERROR('Cash Flow Data'!N24,0)</f>
        <v>12813</v>
      </c>
    </row>
    <row r="93" spans="2:12" x14ac:dyDescent="0.3">
      <c r="B93" s="15" t="s">
        <v>122</v>
      </c>
      <c r="C93" s="28">
        <f>IFERROR(SUM(C81:C92),0)</f>
        <v>-22969</v>
      </c>
      <c r="D93" s="28">
        <f t="shared" ref="D93:L93" si="32">IFERROR(SUM(D81:D92),0)</f>
        <v>-27991</v>
      </c>
      <c r="E93" s="28">
        <f t="shared" si="32"/>
        <v>-36233</v>
      </c>
      <c r="F93" s="28">
        <f t="shared" si="32"/>
        <v>-36694</v>
      </c>
      <c r="G93" s="28">
        <f t="shared" si="32"/>
        <v>-39572</v>
      </c>
      <c r="H93" s="28">
        <f t="shared" si="32"/>
        <v>-25140</v>
      </c>
      <c r="I93" s="28">
        <f t="shared" si="32"/>
        <v>-20879</v>
      </c>
      <c r="J93" s="28">
        <f t="shared" si="32"/>
        <v>-33116</v>
      </c>
      <c r="K93" s="28">
        <f t="shared" si="32"/>
        <v>-25671</v>
      </c>
      <c r="L93" s="28">
        <f t="shared" si="32"/>
        <v>-4442</v>
      </c>
    </row>
    <row r="95" spans="2:12" x14ac:dyDescent="0.3">
      <c r="B95" s="15" t="s">
        <v>123</v>
      </c>
    </row>
    <row r="96" spans="2:12" x14ac:dyDescent="0.3">
      <c r="B96" t="s">
        <v>106</v>
      </c>
      <c r="C96" s="16">
        <f>IFERROR('Cash Flow Data'!E26,0)</f>
        <v>1</v>
      </c>
      <c r="D96" s="16">
        <f>IFERROR('Cash Flow Data'!F26,0)</f>
        <v>0</v>
      </c>
      <c r="E96" s="16">
        <f>IFERROR('Cash Flow Data'!G26,0)</f>
        <v>0</v>
      </c>
      <c r="F96" s="16">
        <f>IFERROR('Cash Flow Data'!H26,0)</f>
        <v>7433</v>
      </c>
      <c r="G96" s="16">
        <f>IFERROR('Cash Flow Data'!I26,0)</f>
        <v>5</v>
      </c>
      <c r="H96" s="16">
        <f>IFERROR('Cash Flow Data'!J26,0)</f>
        <v>0</v>
      </c>
      <c r="I96" s="16">
        <f>IFERROR('Cash Flow Data'!K26,0)</f>
        <v>0</v>
      </c>
      <c r="J96" s="16">
        <f>IFERROR('Cash Flow Data'!L26,0)</f>
        <v>3889</v>
      </c>
      <c r="K96" s="16">
        <f>IFERROR('Cash Flow Data'!M26,0)</f>
        <v>2603</v>
      </c>
      <c r="L96" s="16">
        <f>IFERROR('Cash Flow Data'!N26,0)</f>
        <v>19</v>
      </c>
    </row>
    <row r="97" spans="2:12" x14ac:dyDescent="0.3">
      <c r="B97" t="s">
        <v>107</v>
      </c>
      <c r="C97" s="16">
        <f>IFERROR('Cash Flow Data'!E27,0)</f>
        <v>-97</v>
      </c>
      <c r="D97" s="16">
        <f>IFERROR('Cash Flow Data'!F27,0)</f>
        <v>-658</v>
      </c>
      <c r="E97" s="16">
        <f>IFERROR('Cash Flow Data'!G27,0)</f>
        <v>-744</v>
      </c>
      <c r="F97" s="16">
        <f>IFERROR('Cash Flow Data'!H27,0)</f>
        <v>0</v>
      </c>
      <c r="G97" s="16">
        <f>IFERROR('Cash Flow Data'!I27,0)</f>
        <v>0</v>
      </c>
      <c r="H97" s="16">
        <f>IFERROR('Cash Flow Data'!J27,0)</f>
        <v>0</v>
      </c>
      <c r="I97" s="16">
        <f>IFERROR('Cash Flow Data'!K27,0)</f>
        <v>0</v>
      </c>
      <c r="J97" s="16">
        <f>IFERROR('Cash Flow Data'!L27,0)</f>
        <v>0</v>
      </c>
      <c r="K97" s="16">
        <f>IFERROR('Cash Flow Data'!M27,0)</f>
        <v>0</v>
      </c>
      <c r="L97" s="16">
        <f>IFERROR('Cash Flow Data'!N27,0)</f>
        <v>0</v>
      </c>
    </row>
    <row r="98" spans="2:12" x14ac:dyDescent="0.3">
      <c r="B98" t="s">
        <v>108</v>
      </c>
      <c r="C98" s="16">
        <f>IFERROR('Cash Flow Data'!E28,0)</f>
        <v>27863</v>
      </c>
      <c r="D98" s="16">
        <f>IFERROR('Cash Flow Data'!F28,0)</f>
        <v>33258</v>
      </c>
      <c r="E98" s="16">
        <f>IFERROR('Cash Flow Data'!G28,0)</f>
        <v>36363</v>
      </c>
      <c r="F98" s="16">
        <f>IFERROR('Cash Flow Data'!H28,0)</f>
        <v>19519</v>
      </c>
      <c r="G98" s="16">
        <f>IFERROR('Cash Flow Data'!I28,0)</f>
        <v>33390</v>
      </c>
      <c r="H98" s="16">
        <f>IFERROR('Cash Flow Data'!J28,0)</f>
        <v>37482</v>
      </c>
      <c r="I98" s="16">
        <f>IFERROR('Cash Flow Data'!K28,0)</f>
        <v>51128</v>
      </c>
      <c r="J98" s="16">
        <f>IFERROR('Cash Flow Data'!L28,0)</f>
        <v>38297</v>
      </c>
      <c r="K98" s="16">
        <f>IFERROR('Cash Flow Data'!M28,0)</f>
        <v>46641</v>
      </c>
      <c r="L98" s="16">
        <f>IFERROR('Cash Flow Data'!N28,0)</f>
        <v>46578</v>
      </c>
    </row>
    <row r="99" spans="2:12" x14ac:dyDescent="0.3">
      <c r="B99" t="s">
        <v>109</v>
      </c>
      <c r="C99" s="16">
        <f>IFERROR('Cash Flow Data'!E29,0)</f>
        <v>-20395</v>
      </c>
      <c r="D99" s="16">
        <f>IFERROR('Cash Flow Data'!F29,0)</f>
        <v>-29141</v>
      </c>
      <c r="E99" s="16">
        <f>IFERROR('Cash Flow Data'!G29,0)</f>
        <v>-23332</v>
      </c>
      <c r="F99" s="16">
        <f>IFERROR('Cash Flow Data'!H29,0)</f>
        <v>-24924</v>
      </c>
      <c r="G99" s="16">
        <f>IFERROR('Cash Flow Data'!I29,0)</f>
        <v>-21732</v>
      </c>
      <c r="H99" s="16">
        <f>IFERROR('Cash Flow Data'!J29,0)</f>
        <v>-29964</v>
      </c>
      <c r="I99" s="16">
        <f>IFERROR('Cash Flow Data'!K29,0)</f>
        <v>-35198</v>
      </c>
      <c r="J99" s="16">
        <f>IFERROR('Cash Flow Data'!L29,0)</f>
        <v>-29847</v>
      </c>
      <c r="K99" s="16">
        <f>IFERROR('Cash Flow Data'!M29,0)</f>
        <v>-29709</v>
      </c>
      <c r="L99" s="16">
        <f>IFERROR('Cash Flow Data'!N29,0)</f>
        <v>-42816</v>
      </c>
    </row>
    <row r="100" spans="2:12" x14ac:dyDescent="0.3">
      <c r="B100" t="s">
        <v>110</v>
      </c>
      <c r="C100" s="16">
        <f>IFERROR('Cash Flow Data'!E30,0)</f>
        <v>0</v>
      </c>
      <c r="D100" s="16">
        <f>IFERROR('Cash Flow Data'!F30,0)</f>
        <v>0</v>
      </c>
      <c r="E100" s="16">
        <f>IFERROR('Cash Flow Data'!G30,0)</f>
        <v>0</v>
      </c>
      <c r="F100" s="16">
        <f>IFERROR('Cash Flow Data'!H30,0)</f>
        <v>0</v>
      </c>
      <c r="G100" s="16">
        <f>IFERROR('Cash Flow Data'!I30,0)</f>
        <v>0</v>
      </c>
      <c r="H100" s="16">
        <f>IFERROR('Cash Flow Data'!J30,0)</f>
        <v>0</v>
      </c>
      <c r="I100" s="16">
        <f>IFERROR('Cash Flow Data'!K30,0)</f>
        <v>0</v>
      </c>
      <c r="J100" s="16">
        <f>IFERROR('Cash Flow Data'!L30,0)</f>
        <v>0</v>
      </c>
      <c r="K100" s="16">
        <f>IFERROR('Cash Flow Data'!M30,0)</f>
        <v>0</v>
      </c>
      <c r="L100" s="16">
        <f>IFERROR('Cash Flow Data'!N30,0)</f>
        <v>0</v>
      </c>
    </row>
    <row r="101" spans="2:12" x14ac:dyDescent="0.3">
      <c r="B101" t="s">
        <v>111</v>
      </c>
      <c r="C101" s="16">
        <f>IFERROR('Cash Flow Data'!E31,0)</f>
        <v>-4666</v>
      </c>
      <c r="D101" s="16">
        <f>IFERROR('Cash Flow Data'!F31,0)</f>
        <v>-6171</v>
      </c>
      <c r="E101" s="16">
        <f>IFERROR('Cash Flow Data'!G31,0)</f>
        <v>-6307</v>
      </c>
      <c r="F101" s="16">
        <f>IFERROR('Cash Flow Data'!H31,0)</f>
        <v>-5716</v>
      </c>
      <c r="G101" s="16">
        <f>IFERROR('Cash Flow Data'!I31,0)</f>
        <v>-5336</v>
      </c>
      <c r="H101" s="16">
        <f>IFERROR('Cash Flow Data'!J31,0)</f>
        <v>-5411</v>
      </c>
      <c r="I101" s="16">
        <f>IFERROR('Cash Flow Data'!K31,0)</f>
        <v>-7005</v>
      </c>
      <c r="J101" s="16">
        <f>IFERROR('Cash Flow Data'!L31,0)</f>
        <v>-7518</v>
      </c>
      <c r="K101" s="16">
        <f>IFERROR('Cash Flow Data'!M31,0)</f>
        <v>-8123</v>
      </c>
      <c r="L101" s="16">
        <f>IFERROR('Cash Flow Data'!N31,0)</f>
        <v>-9251</v>
      </c>
    </row>
    <row r="102" spans="2:12" x14ac:dyDescent="0.3">
      <c r="B102" t="s">
        <v>112</v>
      </c>
      <c r="C102" s="16">
        <f>IFERROR('Cash Flow Data'!E32,0)</f>
        <v>-1551</v>
      </c>
      <c r="D102" s="16">
        <f>IFERROR('Cash Flow Data'!F32,0)</f>
        <v>-722</v>
      </c>
      <c r="E102" s="16">
        <f>IFERROR('Cash Flow Data'!G32,0)</f>
        <v>-720</v>
      </c>
      <c r="F102" s="16">
        <f>IFERROR('Cash Flow Data'!H32,0)</f>
        <v>-108</v>
      </c>
      <c r="G102" s="16">
        <f>IFERROR('Cash Flow Data'!I32,0)</f>
        <v>-121</v>
      </c>
      <c r="H102" s="16">
        <f>IFERROR('Cash Flow Data'!J32,0)</f>
        <v>-96</v>
      </c>
      <c r="I102" s="16">
        <f>IFERROR('Cash Flow Data'!K32,0)</f>
        <v>-95</v>
      </c>
      <c r="J102" s="16">
        <f>IFERROR('Cash Flow Data'!L32,0)</f>
        <v>-57</v>
      </c>
      <c r="K102" s="16">
        <f>IFERROR('Cash Flow Data'!M32,0)</f>
        <v>-30</v>
      </c>
      <c r="L102" s="16">
        <f>IFERROR('Cash Flow Data'!N32,0)</f>
        <v>-100</v>
      </c>
    </row>
    <row r="103" spans="2:12" x14ac:dyDescent="0.3">
      <c r="B103" t="s">
        <v>113</v>
      </c>
      <c r="C103" s="16">
        <f>IFERROR('Cash Flow Data'!E33,0)</f>
        <v>0</v>
      </c>
      <c r="D103" s="16">
        <f>IFERROR('Cash Flow Data'!F33,0)</f>
        <v>0</v>
      </c>
      <c r="E103" s="16">
        <f>IFERROR('Cash Flow Data'!G33,0)</f>
        <v>0</v>
      </c>
      <c r="F103" s="16">
        <f>IFERROR('Cash Flow Data'!H33,0)</f>
        <v>0</v>
      </c>
      <c r="G103" s="16">
        <f>IFERROR('Cash Flow Data'!I33,0)</f>
        <v>0</v>
      </c>
      <c r="H103" s="16">
        <f>IFERROR('Cash Flow Data'!J33,0)</f>
        <v>0</v>
      </c>
      <c r="I103" s="16">
        <f>IFERROR('Cash Flow Data'!K33,0)</f>
        <v>0</v>
      </c>
      <c r="J103" s="16">
        <f>IFERROR('Cash Flow Data'!L33,0)</f>
        <v>-1346</v>
      </c>
      <c r="K103" s="16">
        <f>IFERROR('Cash Flow Data'!M33,0)</f>
        <v>-1477</v>
      </c>
      <c r="L103" s="16">
        <f>IFERROR('Cash Flow Data'!N33,0)</f>
        <v>-1559</v>
      </c>
    </row>
    <row r="104" spans="2:12" x14ac:dyDescent="0.3">
      <c r="B104" t="s">
        <v>114</v>
      </c>
      <c r="C104" s="16">
        <f>IFERROR('Cash Flow Data'!E34,0)</f>
        <v>-2849</v>
      </c>
      <c r="D104" s="16">
        <f>IFERROR('Cash Flow Data'!F34,0)</f>
        <v>-450</v>
      </c>
      <c r="E104" s="16">
        <f>IFERROR('Cash Flow Data'!G34,0)</f>
        <v>-57</v>
      </c>
      <c r="F104" s="16">
        <f>IFERROR('Cash Flow Data'!H34,0)</f>
        <v>0</v>
      </c>
      <c r="G104" s="16">
        <f>IFERROR('Cash Flow Data'!I34,0)</f>
        <v>0</v>
      </c>
      <c r="H104" s="16">
        <f>IFERROR('Cash Flow Data'!J34,0)</f>
        <v>0</v>
      </c>
      <c r="I104" s="16">
        <f>IFERROR('Cash Flow Data'!K34,0)</f>
        <v>0</v>
      </c>
      <c r="J104" s="16">
        <f>IFERROR('Cash Flow Data'!L34,0)</f>
        <v>-29</v>
      </c>
      <c r="K104" s="16">
        <f>IFERROR('Cash Flow Data'!M34,0)</f>
        <v>0</v>
      </c>
      <c r="L104" s="16">
        <f>IFERROR('Cash Flow Data'!N34,0)</f>
        <v>3750</v>
      </c>
    </row>
    <row r="105" spans="2:12" x14ac:dyDescent="0.3">
      <c r="B105" s="15" t="s">
        <v>124</v>
      </c>
      <c r="C105" s="28">
        <f>SUM(C96:C104)</f>
        <v>-1694</v>
      </c>
      <c r="D105" s="28">
        <f t="shared" ref="D105:L105" si="33">SUM(D96:D104)</f>
        <v>-3884</v>
      </c>
      <c r="E105" s="28">
        <f t="shared" si="33"/>
        <v>5203</v>
      </c>
      <c r="F105" s="28">
        <f t="shared" si="33"/>
        <v>-3796</v>
      </c>
      <c r="G105" s="28">
        <f t="shared" si="33"/>
        <v>6206</v>
      </c>
      <c r="H105" s="28">
        <f t="shared" si="33"/>
        <v>2011</v>
      </c>
      <c r="I105" s="28">
        <f t="shared" si="33"/>
        <v>8830</v>
      </c>
      <c r="J105" s="28">
        <f t="shared" si="33"/>
        <v>3389</v>
      </c>
      <c r="K105" s="28">
        <f t="shared" si="33"/>
        <v>9905</v>
      </c>
      <c r="L105" s="28">
        <f t="shared" si="33"/>
        <v>-3379</v>
      </c>
    </row>
    <row r="107" spans="2:12" x14ac:dyDescent="0.3">
      <c r="B107" s="15" t="s">
        <v>52</v>
      </c>
      <c r="C107" s="28">
        <f>SUM(C78,C93,C105)</f>
        <v>-2504</v>
      </c>
      <c r="D107" s="28">
        <f t="shared" ref="D107:L107" si="34">SUM(D78,D93,D105)</f>
        <v>8433</v>
      </c>
      <c r="E107" s="28">
        <f t="shared" si="34"/>
        <v>830</v>
      </c>
      <c r="F107" s="28">
        <f t="shared" si="34"/>
        <v>-1278</v>
      </c>
      <c r="G107" s="28">
        <f t="shared" si="34"/>
        <v>88</v>
      </c>
      <c r="H107" s="28">
        <f t="shared" si="34"/>
        <v>-5706</v>
      </c>
      <c r="I107" s="28">
        <f t="shared" si="34"/>
        <v>-378</v>
      </c>
      <c r="J107" s="28">
        <f t="shared" si="34"/>
        <v>1971</v>
      </c>
      <c r="K107" s="28">
        <f t="shared" si="34"/>
        <v>13141</v>
      </c>
      <c r="L107" s="28">
        <f t="shared" si="34"/>
        <v>-4013</v>
      </c>
    </row>
    <row r="147" spans="4:4" x14ac:dyDescent="0.3">
      <c r="D147" s="36"/>
    </row>
  </sheetData>
  <mergeCells count="1">
    <mergeCell ref="B2:M2"/>
  </mergeCells>
  <pageMargins left="0.7" right="0.7" top="0.75" bottom="0.75" header="0.3" footer="0.3"/>
  <ignoredErrors>
    <ignoredError sqref="M5 M8 C14:L14 M20 M23 M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B2:O42"/>
  <sheetViews>
    <sheetView showGridLines="0" tabSelected="1" zoomScale="10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4.4" x14ac:dyDescent="0.3"/>
  <cols>
    <col min="1" max="1" width="1.88671875" customWidth="1"/>
    <col min="2" max="2" width="23.88671875" style="44" bestFit="1" customWidth="1"/>
    <col min="3" max="7" width="11.5546875" bestFit="1" customWidth="1"/>
    <col min="8" max="12" width="10.88671875" bestFit="1" customWidth="1"/>
    <col min="13" max="13" width="12.109375" customWidth="1"/>
    <col min="14" max="14" width="10.88671875" bestFit="1" customWidth="1"/>
  </cols>
  <sheetData>
    <row r="2" spans="2:15" x14ac:dyDescent="0.3">
      <c r="B2" s="63" t="str">
        <f>"Ratio Analysis of - "&amp;'Data Sheet'!B1</f>
        <v>Ratio Analysis of - FEDERAL BANK LTD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x14ac:dyDescent="0.3">
      <c r="B3" s="30" t="s">
        <v>56</v>
      </c>
      <c r="C3" s="31">
        <f>'Data Sheet'!B16</f>
        <v>42094</v>
      </c>
      <c r="D3" s="31">
        <f>'Data Sheet'!C16</f>
        <v>42460</v>
      </c>
      <c r="E3" s="31">
        <f>'Data Sheet'!D16</f>
        <v>42825</v>
      </c>
      <c r="F3" s="31">
        <f>'Data Sheet'!E16</f>
        <v>43190</v>
      </c>
      <c r="G3" s="31">
        <f>'Data Sheet'!F16</f>
        <v>43555</v>
      </c>
      <c r="H3" s="31">
        <f>'Data Sheet'!G16</f>
        <v>43921</v>
      </c>
      <c r="I3" s="31">
        <f>'Data Sheet'!H16</f>
        <v>44286</v>
      </c>
      <c r="J3" s="31">
        <f>'Data Sheet'!I16</f>
        <v>44651</v>
      </c>
      <c r="K3" s="31">
        <f>'Data Sheet'!J16</f>
        <v>45016</v>
      </c>
      <c r="L3" s="31">
        <f>'Data Sheet'!K16</f>
        <v>45382</v>
      </c>
      <c r="M3" s="48" t="s">
        <v>163</v>
      </c>
      <c r="N3" s="31" t="s">
        <v>164</v>
      </c>
      <c r="O3" s="31" t="s">
        <v>165</v>
      </c>
    </row>
    <row r="5" spans="2:15" x14ac:dyDescent="0.3">
      <c r="B5" s="45" t="s">
        <v>135</v>
      </c>
      <c r="C5" s="49"/>
      <c r="D5" s="50">
        <f>IFERROR('Financials&gt;'!D6,0)</f>
        <v>4.5208386475545925E-2</v>
      </c>
      <c r="E5" s="50">
        <f>IFERROR('Financials&gt;'!E6,0)</f>
        <v>0.12227903933925188</v>
      </c>
      <c r="F5" s="50">
        <f>IFERROR('Financials&gt;'!F6,0)</f>
        <v>0.12883925918251382</v>
      </c>
      <c r="G5" s="50">
        <f>IFERROR('Financials&gt;'!G6,0)</f>
        <v>0.1735307466540259</v>
      </c>
      <c r="H5" s="50">
        <f>IFERROR('Financials&gt;'!H6,0)</f>
        <v>0.16801685196262439</v>
      </c>
      <c r="I5" s="50">
        <f>IFERROR('Financials&gt;'!I6,0)</f>
        <v>5.3250127479785414E-2</v>
      </c>
      <c r="J5" s="50">
        <f>IFERROR('Financials&gt;'!J6,0)</f>
        <v>4.7121435677319745E-3</v>
      </c>
      <c r="K5" s="50">
        <f>IFERROR('Financials&gt;'!K6,0)</f>
        <v>0.23851773768159568</v>
      </c>
      <c r="L5" s="50">
        <f>IFERROR('Financials&gt;'!L6,0)</f>
        <v>0.32302779396556658</v>
      </c>
      <c r="M5" s="49"/>
      <c r="N5" s="50">
        <f>AVERAGE(D5:L5)</f>
        <v>0.13970912070096017</v>
      </c>
      <c r="O5" s="50">
        <f>IFERROR(MEDIAN(D5:L5),0)</f>
        <v>0.12883925918251382</v>
      </c>
    </row>
    <row r="6" spans="2:15" x14ac:dyDescent="0.3">
      <c r="B6" s="44" t="s">
        <v>136</v>
      </c>
      <c r="D6" s="51">
        <f>IFERROR('Financials&gt;'!D17/'Financials&gt;'!C17-1,0)</f>
        <v>-8.4533036107727E-2</v>
      </c>
      <c r="E6" s="51">
        <f>IFERROR('Financials&gt;'!E17/'Financials&gt;'!D17-1,0)</f>
        <v>0.13912342595895955</v>
      </c>
      <c r="F6" s="51">
        <f>IFERROR('Financials&gt;'!F17/'Financials&gt;'!E17-1,0)</f>
        <v>9.1045122375594589E-2</v>
      </c>
      <c r="G6" s="51">
        <f>IFERROR('Financials&gt;'!G17/'Financials&gt;'!F17-1,0)</f>
        <v>0.2246826839688767</v>
      </c>
      <c r="H6" s="51">
        <f>IFERROR('Financials&gt;'!H17/'Financials&gt;'!G17-1,0)</f>
        <v>0.11393605978567511</v>
      </c>
      <c r="I6" s="51">
        <f>IFERROR('Financials&gt;'!I17/'Financials&gt;'!H17-1,0)</f>
        <v>-2.1753046862736047E-2</v>
      </c>
      <c r="J6" s="51">
        <f>IFERROR('Financials&gt;'!J17/'Financials&gt;'!I17-1,0)</f>
        <v>-1.8571038375745252E-2</v>
      </c>
      <c r="K6" s="51">
        <f>IFERROR('Financials&gt;'!K17/'Financials&gt;'!J17-1,0)</f>
        <v>0.38968553809189133</v>
      </c>
      <c r="L6" s="51">
        <f>IFERROR('Financials&gt;'!L17/'Financials&gt;'!K17-1,0)</f>
        <v>0.39961382229149933</v>
      </c>
      <c r="N6" s="51">
        <f t="shared" ref="N6:N9" si="0">AVERAGE(D6:L6)</f>
        <v>0.1370255034584765</v>
      </c>
      <c r="O6" s="51">
        <f t="shared" ref="O6:O9" si="1">IFERROR(MEDIAN(D6:L6),0)</f>
        <v>0.11393605978567511</v>
      </c>
    </row>
    <row r="7" spans="2:15" x14ac:dyDescent="0.3">
      <c r="B7" s="44" t="s">
        <v>137</v>
      </c>
      <c r="D7" s="51">
        <f>IFERROR(('Financials&gt;'!D17-'Financials&gt;'!D23)/('Financials&gt;'!C17-'Financials&gt;'!C23),0)</f>
        <v>0.90926452860867357</v>
      </c>
      <c r="E7" s="51">
        <f>IFERROR(('Financials&gt;'!E17-'Financials&gt;'!E23)/('Financials&gt;'!D17-'Financials&gt;'!D23),0)</f>
        <v>1.1389902688120244</v>
      </c>
      <c r="F7" s="51">
        <f>IFERROR(('Financials&gt;'!F17-'Financials&gt;'!F23)/('Financials&gt;'!E17-'Financials&gt;'!E23),0)</f>
        <v>1.0928150044241125</v>
      </c>
      <c r="G7" s="51">
        <f>IFERROR(('Financials&gt;'!G17-'Financials&gt;'!G23)/('Financials&gt;'!F17-'Financials&gt;'!F23),0)</f>
        <v>1.2294036597826423</v>
      </c>
      <c r="H7" s="51">
        <f>IFERROR(('Financials&gt;'!H17-'Financials&gt;'!H23)/('Financials&gt;'!G17-'Financials&gt;'!G23),0)</f>
        <v>1.115253217079009</v>
      </c>
      <c r="I7" s="51">
        <f>IFERROR(('Financials&gt;'!I17-'Financials&gt;'!I23)/('Financials&gt;'!H17-'Financials&gt;'!H23),0)</f>
        <v>0.97915871578486213</v>
      </c>
      <c r="J7" s="51">
        <f>IFERROR(('Financials&gt;'!J17-'Financials&gt;'!J23)/('Financials&gt;'!I17-'Financials&gt;'!I23),0)</f>
        <v>0.97841759802949324</v>
      </c>
      <c r="K7" s="51">
        <f>IFERROR(('Financials&gt;'!K17-'Financials&gt;'!K23)/('Financials&gt;'!J17-'Financials&gt;'!J23),0)</f>
        <v>1.3909639917404457</v>
      </c>
      <c r="L7" s="51">
        <f>IFERROR(('Financials&gt;'!L17-'Financials&gt;'!L23)/('Financials&gt;'!K17-'Financials&gt;'!K23),0)</f>
        <v>1.4013958722040616</v>
      </c>
      <c r="N7" s="51">
        <f t="shared" si="0"/>
        <v>1.1372958729405918</v>
      </c>
      <c r="O7" s="51">
        <f t="shared" si="1"/>
        <v>1.115253217079009</v>
      </c>
    </row>
    <row r="8" spans="2:15" x14ac:dyDescent="0.3">
      <c r="B8" s="44" t="s">
        <v>138</v>
      </c>
      <c r="D8" s="51">
        <f>IFERROR('Financials&gt;'!D32/'Financials&gt;'!C32-1,0)</f>
        <v>-3.3995507300636381</v>
      </c>
      <c r="E8" s="51">
        <f>IFERROR('Financials&gt;'!E32/'Financials&gt;'!D32-1,0)</f>
        <v>-0.28087748861012662</v>
      </c>
      <c r="F8" s="51">
        <f>IFERROR('Financials&gt;'!F32/'Financials&gt;'!E32-1,0)</f>
        <v>8.7307441961378407E-2</v>
      </c>
      <c r="G8" s="51">
        <f>IFERROR('Financials&gt;'!G32/'Financials&gt;'!F32-1,0)</f>
        <v>-0.78967953067007501</v>
      </c>
      <c r="H8" s="51">
        <f>IFERROR('Financials&gt;'!H32/'Financials&gt;'!G32-1,0)</f>
        <v>5.2438330170779217</v>
      </c>
      <c r="I8" s="51">
        <f>IFERROR('Financials&gt;'!I32/'Financials&gt;'!H32-1,0)</f>
        <v>-1.4010028870993452E-2</v>
      </c>
      <c r="J8" s="51">
        <f>IFERROR('Financials&gt;'!J32/'Financials&gt;'!I32-1,0)</f>
        <v>-0.52058932314141604</v>
      </c>
      <c r="K8" s="51">
        <f>IFERROR('Financials&gt;'!K32/'Financials&gt;'!J32-1,0)</f>
        <v>-5.7545325961167677</v>
      </c>
      <c r="L8" s="51">
        <f>IFERROR('Financials&gt;'!L32/'Financials&gt;'!K32-1,0)</f>
        <v>-3.8497944612719825E-2</v>
      </c>
      <c r="N8" s="51">
        <f t="shared" si="0"/>
        <v>-0.60739968700515956</v>
      </c>
      <c r="O8" s="51">
        <f t="shared" si="1"/>
        <v>-0.28087748861012662</v>
      </c>
    </row>
    <row r="9" spans="2:15" x14ac:dyDescent="0.3">
      <c r="B9" s="46" t="s">
        <v>139</v>
      </c>
      <c r="C9" s="52"/>
      <c r="D9" s="53">
        <f>IFERROR('Financials&gt;'!D40/'Financials&gt;'!C40-1,0)</f>
        <v>-0.36358921153179691</v>
      </c>
      <c r="E9" s="53">
        <f>IFERROR('Financials&gt;'!E40/'Financials&gt;'!D40-1,0)</f>
        <v>0.28563949139865352</v>
      </c>
      <c r="F9" s="53">
        <f>IFERROR('Financials&gt;'!F40/'Financials&gt;'!E40-1,0)</f>
        <v>0.11116745263086725</v>
      </c>
      <c r="G9" s="53">
        <f>IFERROR('Financials&gt;'!G40/'Financials&gt;'!F40-1,0)</f>
        <v>0.39990886418798288</v>
      </c>
      <c r="H9" s="53">
        <f>IFERROR('Financials&gt;'!H40/'Financials&gt;'!G40-1,0)</f>
        <v>-1</v>
      </c>
      <c r="I9" s="53">
        <f>IFERROR('Financials&gt;'!I40/'Financials&gt;'!H40-1,0)</f>
        <v>0</v>
      </c>
      <c r="J9" s="53">
        <f>IFERROR('Financials&gt;'!J40/'Financials&gt;'!I40-1,0)</f>
        <v>1.5715701310485577</v>
      </c>
      <c r="K9" s="53">
        <f>IFERROR('Financials&gt;'!K40/'Financials&gt;'!J40-1,0)</f>
        <v>-0.44445912381757646</v>
      </c>
      <c r="L9" s="53">
        <f>IFERROR('Financials&gt;'!L40/'Financials&gt;'!K40-1,0)</f>
        <v>0.19996715118666342</v>
      </c>
      <c r="M9" s="52"/>
      <c r="N9" s="53">
        <f t="shared" si="0"/>
        <v>8.446719501148349E-2</v>
      </c>
      <c r="O9" s="53">
        <f t="shared" si="1"/>
        <v>0.11116745263086725</v>
      </c>
    </row>
    <row r="11" spans="2:15" x14ac:dyDescent="0.3">
      <c r="B11" s="45" t="s">
        <v>125</v>
      </c>
      <c r="C11" s="50">
        <f>IFERROR('Financials&gt;'!C12,0)</f>
        <v>0.87133285343967559</v>
      </c>
      <c r="D11" s="50">
        <f>IFERROR('Financials&gt;'!D12,0)</f>
        <v>0.85514318424589975</v>
      </c>
      <c r="E11" s="50">
        <f>IFERROR('Financials&gt;'!E12,0)</f>
        <v>0.85726045083437041</v>
      </c>
      <c r="F11" s="50">
        <f>IFERROR('Financials&gt;'!F12,0)</f>
        <v>0.8651645503232509</v>
      </c>
      <c r="G11" s="50">
        <f>IFERROR('Financials&gt;'!G12,0)</f>
        <v>0.8715579299106867</v>
      </c>
      <c r="H11" s="50">
        <f>IFERROR('Financials&gt;'!H12,0)</f>
        <v>0.85619176491623861</v>
      </c>
      <c r="I11" s="50">
        <f>IFERROR('Financials&gt;'!I12,0)</f>
        <v>0.84319914378011018</v>
      </c>
      <c r="J11" s="50">
        <f>IFERROR('Financials&gt;'!J12,0)</f>
        <v>0.81916736258242351</v>
      </c>
      <c r="K11" s="50">
        <f>IFERROR('Financials&gt;'!K12,0)</f>
        <v>0.8563136306421929</v>
      </c>
      <c r="L11" s="50">
        <f>IFERROR('Financials&gt;'!L12,0)</f>
        <v>0.85960693353158946</v>
      </c>
      <c r="M11" s="49"/>
      <c r="N11" s="50">
        <f>IFERROR(AVERAGE(C11:L11),0)</f>
        <v>0.85549378042064395</v>
      </c>
      <c r="O11" s="50">
        <f>IFERROR(MEDIAN(C11:L11),0)</f>
        <v>0.8567870407382816</v>
      </c>
    </row>
    <row r="12" spans="2:15" x14ac:dyDescent="0.3">
      <c r="B12" s="44" t="s">
        <v>140</v>
      </c>
      <c r="C12" s="51">
        <f>IFERROR('Financials&gt;'!C18,0)</f>
        <v>0.77284024482589608</v>
      </c>
      <c r="D12" s="51">
        <f>IFERROR('Financials&gt;'!D18,0)</f>
        <v>0.67690780294086084</v>
      </c>
      <c r="E12" s="51">
        <f>IFERROR('Financials&gt;'!E18,0)</f>
        <v>0.68706757278325736</v>
      </c>
      <c r="F12" s="51">
        <f>IFERROR('Financials&gt;'!F18,0)</f>
        <v>0.66406418622477292</v>
      </c>
      <c r="G12" s="51">
        <f>IFERROR('Financials&gt;'!G18,0)</f>
        <v>0.69300946075094716</v>
      </c>
      <c r="H12" s="51">
        <f>IFERROR('Financials&gt;'!H18,0)</f>
        <v>0.66092216632488099</v>
      </c>
      <c r="I12" s="51">
        <f>IFERROR('Financials&gt;'!I18,0)</f>
        <v>0.61385712529202008</v>
      </c>
      <c r="J12" s="51">
        <f>IFERROR('Financials&gt;'!J18,0)</f>
        <v>0.59963161082304872</v>
      </c>
      <c r="K12" s="51">
        <f>IFERROR('Financials&gt;'!K18,0)</f>
        <v>0.67281989784288809</v>
      </c>
      <c r="L12" s="51">
        <f>IFERROR('Financials&gt;'!L18,0)</f>
        <v>0.71176738178046872</v>
      </c>
      <c r="N12" s="51">
        <f t="shared" ref="N12:N41" si="2">IFERROR(AVERAGE(C12:L12),0)</f>
        <v>0.67528874495890412</v>
      </c>
      <c r="O12" s="51">
        <f t="shared" ref="O12:O41" si="3">IFERROR(MEDIAN(C12:L12),0)</f>
        <v>0.67486385039187446</v>
      </c>
    </row>
    <row r="13" spans="2:15" x14ac:dyDescent="0.3">
      <c r="B13" s="44" t="s">
        <v>141</v>
      </c>
      <c r="C13" s="51">
        <f>IFERROR(('Financials&gt;'!C17-'Financials&gt;'!C23)/('Financials&gt;'!C5),0)</f>
        <v>0.76222426703811685</v>
      </c>
      <c r="D13" s="51">
        <f>IFERROR(('Financials&gt;'!D17-'Financials&gt;'!D23)/('Financials&gt;'!D5),0)</f>
        <v>0.66308642164604381</v>
      </c>
      <c r="E13" s="51">
        <f>IFERROR(('Financials&gt;'!E17-'Financials&gt;'!E23)/('Financials&gt;'!E5),0)</f>
        <v>0.67296007067982655</v>
      </c>
      <c r="F13" s="51">
        <f>IFERROR(('Financials&gt;'!F17-'Financials&gt;'!F23)/('Financials&gt;'!F5),0)</f>
        <v>0.65148412994583926</v>
      </c>
      <c r="G13" s="51">
        <f>IFERROR(('Financials&gt;'!G17-'Financials&gt;'!G23)/('Financials&gt;'!G5),0)</f>
        <v>0.68250190796394472</v>
      </c>
      <c r="H13" s="51">
        <f>IFERROR(('Financials&gt;'!H17-'Financials&gt;'!H23)/('Financials&gt;'!H5),0)</f>
        <v>0.65167077618817415</v>
      </c>
      <c r="I13" s="51">
        <f>IFERROR(('Financials&gt;'!I17-'Financials&gt;'!I23)/('Financials&gt;'!I5),0)</f>
        <v>0.60582866659959977</v>
      </c>
      <c r="J13" s="51">
        <f>IFERROR(('Financials&gt;'!J17-'Financials&gt;'!J23)/('Financials&gt;'!J5),0)</f>
        <v>0.58997338947942257</v>
      </c>
      <c r="K13" s="51">
        <f>IFERROR(('Financials&gt;'!K17-'Financials&gt;'!K23)/('Financials&gt;'!K5),0)</f>
        <v>0.66259183529102639</v>
      </c>
      <c r="L13" s="51">
        <f>IFERROR(('Financials&gt;'!L17-'Financials&gt;'!L23)/('Financials&gt;'!L5),0)</f>
        <v>0.70183972488572266</v>
      </c>
      <c r="N13" s="51">
        <f t="shared" si="2"/>
        <v>0.66441611897177166</v>
      </c>
      <c r="O13" s="51">
        <f t="shared" si="3"/>
        <v>0.6628391284685351</v>
      </c>
    </row>
    <row r="14" spans="2:15" x14ac:dyDescent="0.3">
      <c r="B14" s="44" t="s">
        <v>142</v>
      </c>
      <c r="C14" s="51">
        <f>IFERROR('Financials&gt;'!C27,)</f>
        <v>8.6945779584576E-2</v>
      </c>
      <c r="D14" s="51">
        <f>IFERROR('Financials&gt;'!D27,)</f>
        <v>-8.9250576263563749E-3</v>
      </c>
      <c r="E14" s="51">
        <f>IFERROR('Financials&gt;'!E27,)</f>
        <v>2.9397934937671382E-2</v>
      </c>
      <c r="F14" s="51">
        <f>IFERROR('Financials&gt;'!F27,)</f>
        <v>2.3497967705171145E-2</v>
      </c>
      <c r="G14" s="51">
        <f>IFERROR('Financials&gt;'!G27,)</f>
        <v>5.3704887825471233E-2</v>
      </c>
      <c r="H14" s="51">
        <f>IFERROR('Financials&gt;'!H27,)</f>
        <v>1.3108527422686152E-2</v>
      </c>
      <c r="I14" s="51">
        <f>IFERROR('Financials&gt;'!I27,)</f>
        <v>1.6551535271564787E-2</v>
      </c>
      <c r="J14" s="51">
        <f>IFERROR('Financials&gt;'!J27,)</f>
        <v>3.6528797700940099E-2</v>
      </c>
      <c r="K14" s="51">
        <f>IFERROR('Financials&gt;'!K27,)</f>
        <v>0.10255572435770019</v>
      </c>
      <c r="L14" s="51">
        <f>IFERROR('Financials&gt;'!L27,)</f>
        <v>8.67591069649334E-2</v>
      </c>
      <c r="N14" s="51">
        <f t="shared" si="2"/>
        <v>4.4012520414435798E-2</v>
      </c>
      <c r="O14" s="51">
        <f t="shared" si="3"/>
        <v>3.2963366319305742E-2</v>
      </c>
    </row>
    <row r="15" spans="2:15" x14ac:dyDescent="0.3">
      <c r="B15" s="46" t="s">
        <v>143</v>
      </c>
      <c r="C15" s="53">
        <f>IFERROR('Financials&gt;'!C33,0)</f>
        <v>1.783575083102187E-2</v>
      </c>
      <c r="D15" s="53">
        <f>IFERROR('Financials&gt;'!D33,0)</f>
        <v>-4.0946656649136035E-2</v>
      </c>
      <c r="E15" s="53">
        <f>IFERROR('Financials&gt;'!E33,0)</f>
        <v>-2.6237380838799111E-2</v>
      </c>
      <c r="F15" s="53">
        <f>IFERROR('Financials&gt;'!F33,0)</f>
        <v>-2.5272065275494322E-2</v>
      </c>
      <c r="G15" s="53">
        <f>IFERROR('Financials&gt;'!G33,0)</f>
        <v>-4.5292657604696527E-3</v>
      </c>
      <c r="H15" s="53">
        <f>IFERROR('Financials&gt;'!H33,0)</f>
        <v>-2.4211961540470905E-2</v>
      </c>
      <c r="I15" s="53">
        <f>IFERROR('Financials&gt;'!I33,0)</f>
        <v>-2.2665794797849387E-2</v>
      </c>
      <c r="J15" s="53">
        <f>IFERROR('Financials&gt;'!J33,0)</f>
        <v>-1.0815260963193688E-2</v>
      </c>
      <c r="K15" s="53">
        <f>IFERROR('Financials&gt;'!K33,0)</f>
        <v>4.1518590505833612E-2</v>
      </c>
      <c r="L15" s="53">
        <f>IFERROR('Financials&gt;'!L33,0)</f>
        <v>3.0173372237696776E-2</v>
      </c>
      <c r="M15" s="52"/>
      <c r="N15" s="53">
        <f t="shared" si="2"/>
        <v>-6.5150672250860828E-3</v>
      </c>
      <c r="O15" s="53">
        <f t="shared" si="3"/>
        <v>-1.6740527880521536E-2</v>
      </c>
    </row>
    <row r="16" spans="2:15" x14ac:dyDescent="0.3">
      <c r="N16" s="47"/>
    </row>
    <row r="17" spans="2:15" x14ac:dyDescent="0.3">
      <c r="B17" s="45" t="s">
        <v>144</v>
      </c>
      <c r="C17" s="50">
        <f>IFERROR('Financials&gt;'!C15,0)</f>
        <v>9.8492608613779536E-2</v>
      </c>
      <c r="D17" s="50">
        <f>IFERROR('Financials&gt;'!D15,0)</f>
        <v>0.17823538130503894</v>
      </c>
      <c r="E17" s="50">
        <f>IFERROR('Financials&gt;'!E15,0)</f>
        <v>0.17019287805111305</v>
      </c>
      <c r="F17" s="50">
        <f>IFERROR('Financials&gt;'!F15,0)</f>
        <v>0.20110036409847803</v>
      </c>
      <c r="G17" s="50">
        <f>IFERROR('Financials&gt;'!G15,0)</f>
        <v>0.17854846915973951</v>
      </c>
      <c r="H17" s="50">
        <f>IFERROR('Financials&gt;'!H15,0)</f>
        <v>0.19526959859135756</v>
      </c>
      <c r="I17" s="50">
        <f>IFERROR('Financials&gt;'!I15,0)</f>
        <v>0.22934201848809005</v>
      </c>
      <c r="J17" s="50">
        <f>IFERROR('Financials&gt;'!J15,0)</f>
        <v>0.2195357517593747</v>
      </c>
      <c r="K17" s="50">
        <f>IFERROR('Financials&gt;'!K15,0)</f>
        <v>0.18349373279930475</v>
      </c>
      <c r="L17" s="50">
        <f>IFERROR('Financials&gt;'!L15,0)</f>
        <v>0.14783955175112071</v>
      </c>
      <c r="M17" s="49"/>
      <c r="N17" s="50">
        <f t="shared" si="2"/>
        <v>0.18020503546173969</v>
      </c>
      <c r="O17" s="50">
        <f t="shared" si="3"/>
        <v>0.18102110097952212</v>
      </c>
    </row>
    <row r="18" spans="2:15" x14ac:dyDescent="0.3">
      <c r="B18" s="44" t="s">
        <v>69</v>
      </c>
      <c r="C18" s="51">
        <f>IFERROR('Financials&gt;'!C24,0)</f>
        <v>1.0615977787779271E-2</v>
      </c>
      <c r="D18" s="51">
        <f>IFERROR('Financials&gt;'!D24,0)</f>
        <v>1.3821381294816951E-2</v>
      </c>
      <c r="E18" s="51">
        <f>IFERROR('Financials&gt;'!E24,0)</f>
        <v>1.4107502103430725E-2</v>
      </c>
      <c r="F18" s="51">
        <f>IFERROR('Financials&gt;'!F24,0)</f>
        <v>1.2580056278933728E-2</v>
      </c>
      <c r="G18" s="51">
        <f>IFERROR('Financials&gt;'!G24,0)</f>
        <v>1.0507552787002468E-2</v>
      </c>
      <c r="H18" s="51">
        <f>IFERROR('Financials&gt;'!H24,0)</f>
        <v>9.251390136706894E-3</v>
      </c>
      <c r="I18" s="51">
        <f>IFERROR('Financials&gt;'!I24,0)</f>
        <v>8.0284586924203299E-3</v>
      </c>
      <c r="J18" s="51">
        <f>IFERROR('Financials&gt;'!J24,0)</f>
        <v>9.6582213436261655E-3</v>
      </c>
      <c r="K18" s="51">
        <f>IFERROR('Financials&gt;'!K24,0)</f>
        <v>1.0228062551861747E-2</v>
      </c>
      <c r="L18" s="51">
        <f>IFERROR('Financials&gt;'!L24,0)</f>
        <v>9.9276568947460429E-3</v>
      </c>
      <c r="N18" s="51">
        <f t="shared" si="2"/>
        <v>1.0872625987132432E-2</v>
      </c>
      <c r="O18" s="51">
        <f t="shared" si="3"/>
        <v>1.0367807669432107E-2</v>
      </c>
    </row>
    <row r="19" spans="2:15" x14ac:dyDescent="0.3">
      <c r="B19" s="46" t="s">
        <v>145</v>
      </c>
      <c r="C19" s="53">
        <f>C13</f>
        <v>0.76222426703811685</v>
      </c>
      <c r="D19" s="53">
        <f t="shared" ref="D19:L19" si="4">D13</f>
        <v>0.66308642164604381</v>
      </c>
      <c r="E19" s="53">
        <f t="shared" si="4"/>
        <v>0.67296007067982655</v>
      </c>
      <c r="F19" s="53">
        <f t="shared" si="4"/>
        <v>0.65148412994583926</v>
      </c>
      <c r="G19" s="53">
        <f t="shared" si="4"/>
        <v>0.68250190796394472</v>
      </c>
      <c r="H19" s="53">
        <f t="shared" si="4"/>
        <v>0.65167077618817415</v>
      </c>
      <c r="I19" s="53">
        <f t="shared" si="4"/>
        <v>0.60582866659959977</v>
      </c>
      <c r="J19" s="53">
        <f t="shared" si="4"/>
        <v>0.58997338947942257</v>
      </c>
      <c r="K19" s="53">
        <f t="shared" si="4"/>
        <v>0.66259183529102639</v>
      </c>
      <c r="L19" s="53">
        <f t="shared" si="4"/>
        <v>0.70183972488572266</v>
      </c>
      <c r="M19" s="52"/>
      <c r="N19" s="53">
        <f t="shared" si="2"/>
        <v>0.66441611897177166</v>
      </c>
      <c r="O19" s="53">
        <f t="shared" si="3"/>
        <v>0.6628391284685351</v>
      </c>
    </row>
    <row r="20" spans="2:15" x14ac:dyDescent="0.3">
      <c r="N20" s="47"/>
    </row>
    <row r="21" spans="2:15" x14ac:dyDescent="0.3">
      <c r="B21" s="45" t="s">
        <v>146</v>
      </c>
      <c r="C21" s="50">
        <f>IFERROR(('Financials&gt;'!C17-'Financials&gt;'!C23)/SUM('Financials&gt;'!C47:C49),0)</f>
        <v>7.0534433635696503E-2</v>
      </c>
      <c r="D21" s="50">
        <f>IFERROR(('Financials&gt;'!D17-'Financials&gt;'!D23)/SUM('Financials&gt;'!D47:D49),0)</f>
        <v>5.6120084761388252E-2</v>
      </c>
      <c r="E21" s="50">
        <f>IFERROR(('Financials&gt;'!E17-'Financials&gt;'!E23)/SUM('Financials&gt;'!E47:E49),0)</f>
        <v>5.2326889753037703E-2</v>
      </c>
      <c r="F21" s="50">
        <f>IFERROR(('Financials&gt;'!F17-'Financials&gt;'!F23)/SUM('Financials&gt;'!F47:F49),0)</f>
        <v>4.7296255384842043E-2</v>
      </c>
      <c r="G21" s="50">
        <f>IFERROR(('Financials&gt;'!G17-'Financials&gt;'!G23)/SUM('Financials&gt;'!G47:G49),0)</f>
        <v>5.0554078032526283E-2</v>
      </c>
      <c r="H21" s="50">
        <f>IFERROR(('Financials&gt;'!H17-'Financials&gt;'!H23)/SUM('Financials&gt;'!H47:H49),0)</f>
        <v>4.9311591703410408E-2</v>
      </c>
      <c r="I21" s="50">
        <f>IFERROR(('Financials&gt;'!I17-'Financials&gt;'!I23)/SUM('Financials&gt;'!I47:I49),0)</f>
        <v>4.3152129533816683E-2</v>
      </c>
      <c r="J21" s="50">
        <f>IFERROR(('Financials&gt;'!J17-'Financials&gt;'!J23)/SUM('Financials&gt;'!J47:J49),0)</f>
        <v>3.8475890873240187E-2</v>
      </c>
      <c r="K21" s="50">
        <f>IFERROR(('Financials&gt;'!K17-'Financials&gt;'!K23)/SUM('Financials&gt;'!K47:K49),0)</f>
        <v>4.5222858205693307E-2</v>
      </c>
      <c r="L21" s="50">
        <f>IFERROR(('Financials&gt;'!L17-'Financials&gt;'!L23)/SUM('Financials&gt;'!L47:L49),0)</f>
        <v>5.3747533715555289E-2</v>
      </c>
      <c r="M21" s="49"/>
      <c r="N21" s="50">
        <f t="shared" si="2"/>
        <v>5.0674174559920661E-2</v>
      </c>
      <c r="O21" s="50">
        <f t="shared" si="3"/>
        <v>4.9932834867968345E-2</v>
      </c>
    </row>
    <row r="22" spans="2:15" x14ac:dyDescent="0.3">
      <c r="B22" s="44" t="s">
        <v>147</v>
      </c>
      <c r="C22" s="51">
        <f>IFERROR('Financials&gt;'!C43,0)</f>
        <v>0</v>
      </c>
      <c r="D22" s="51">
        <f>IFERROR('Financials&gt;'!D43,0)</f>
        <v>0</v>
      </c>
      <c r="E22" s="51">
        <f>IFERROR('Financials&gt;'!E43,0)</f>
        <v>0</v>
      </c>
      <c r="F22" s="51">
        <f>IFERROR('Financials&gt;'!F43,0)</f>
        <v>0</v>
      </c>
      <c r="G22" s="51">
        <f>IFERROR('Financials&gt;'!G43,0)</f>
        <v>0</v>
      </c>
      <c r="H22" s="51">
        <f>IFERROR('Financials&gt;'!H43,0)</f>
        <v>0</v>
      </c>
      <c r="I22" s="51">
        <f>IFERROR('Financials&gt;'!I43,0)</f>
        <v>0</v>
      </c>
      <c r="J22" s="51">
        <f>IFERROR('Financials&gt;'!J43,0)</f>
        <v>0</v>
      </c>
      <c r="K22" s="51">
        <f>IFERROR('Financials&gt;'!K43,0)</f>
        <v>0.71384141064474138</v>
      </c>
      <c r="L22" s="51">
        <f>IFERROR('Financials&gt;'!L43,0)</f>
        <v>0.58900217987483217</v>
      </c>
      <c r="N22" s="51">
        <f t="shared" si="2"/>
        <v>0.13028435905195734</v>
      </c>
      <c r="O22" s="51">
        <f t="shared" si="3"/>
        <v>0</v>
      </c>
    </row>
    <row r="23" spans="2:15" x14ac:dyDescent="0.3">
      <c r="B23" s="44" t="s">
        <v>148</v>
      </c>
      <c r="C23" s="51">
        <f>IFERROR(('Financials&gt;'!C17-'Financials&gt;'!C23)/SUM('Financials&gt;'!C47:C48),0)</f>
        <v>0.74118959465057732</v>
      </c>
      <c r="D23" s="51">
        <f>IFERROR(('Financials&gt;'!D17-'Financials&gt;'!D23)/SUM('Financials&gt;'!D47:D48),0)</f>
        <v>0.64352881215952618</v>
      </c>
      <c r="E23" s="51">
        <f>IFERROR(('Financials&gt;'!E17-'Financials&gt;'!E23)/SUM('Financials&gt;'!E47:E48),0)</f>
        <v>0.66032238640565655</v>
      </c>
      <c r="F23" s="51">
        <f>IFERROR(('Financials&gt;'!F17-'Financials&gt;'!F23)/SUM('Financials&gt;'!F47:F48),0)</f>
        <v>0.5262566154808771</v>
      </c>
      <c r="G23" s="51">
        <f>IFERROR(('Financials&gt;'!G17-'Financials&gt;'!G23)/SUM('Financials&gt;'!G47:G48),0)</f>
        <v>0.58831404070898086</v>
      </c>
      <c r="H23" s="51">
        <f>IFERROR(('Financials&gt;'!H17-'Financials&gt;'!H23)/SUM('Financials&gt;'!H47:H48),0)</f>
        <v>0.59750673981741087</v>
      </c>
      <c r="I23" s="51">
        <f>IFERROR(('Financials&gt;'!I17-'Financials&gt;'!I23)/SUM('Financials&gt;'!I47:I48),0)</f>
        <v>0.52544269705131186</v>
      </c>
      <c r="J23" s="51">
        <f>IFERROR(('Financials&gt;'!J17-'Financials&gt;'!J23)/SUM('Financials&gt;'!J47:J48),0)</f>
        <v>0.44063832085552623</v>
      </c>
      <c r="K23" s="51">
        <f>IFERROR(('Financials&gt;'!K17-'Financials&gt;'!K23)/SUM('Financials&gt;'!K47:K48),0)</f>
        <v>0.53348346766920951</v>
      </c>
      <c r="L23" s="51">
        <f>IFERROR(('Financials&gt;'!L17-'Financials&gt;'!L23)/SUM('Financials&gt;'!L47:L48),0)</f>
        <v>0.54937710406954243</v>
      </c>
      <c r="N23" s="51">
        <f t="shared" si="2"/>
        <v>0.58060597788686175</v>
      </c>
      <c r="O23" s="51">
        <f t="shared" si="3"/>
        <v>0.56884557238926159</v>
      </c>
    </row>
    <row r="24" spans="2:15" x14ac:dyDescent="0.3">
      <c r="B24" s="44" t="s">
        <v>149</v>
      </c>
      <c r="C24" s="51">
        <f>IFERROR(C22*C23,0)</f>
        <v>0</v>
      </c>
      <c r="D24" s="51">
        <f t="shared" ref="D24:L24" si="5">IFERROR(D22*D23,0)</f>
        <v>0</v>
      </c>
      <c r="E24" s="51">
        <f t="shared" si="5"/>
        <v>0</v>
      </c>
      <c r="F24" s="51">
        <f t="shared" si="5"/>
        <v>0</v>
      </c>
      <c r="G24" s="51">
        <f t="shared" si="5"/>
        <v>0</v>
      </c>
      <c r="H24" s="51">
        <f t="shared" si="5"/>
        <v>0</v>
      </c>
      <c r="I24" s="51">
        <f t="shared" si="5"/>
        <v>0</v>
      </c>
      <c r="J24" s="51">
        <f t="shared" si="5"/>
        <v>0</v>
      </c>
      <c r="K24" s="51">
        <f t="shared" si="5"/>
        <v>0.3808225911166368</v>
      </c>
      <c r="L24" s="51">
        <f t="shared" si="5"/>
        <v>0.32358431187028303</v>
      </c>
      <c r="N24" s="51">
        <f t="shared" si="2"/>
        <v>7.0440690298691974E-2</v>
      </c>
      <c r="O24" s="51">
        <f t="shared" si="3"/>
        <v>0</v>
      </c>
    </row>
    <row r="25" spans="2:15" x14ac:dyDescent="0.3">
      <c r="B25" s="46" t="s">
        <v>150</v>
      </c>
      <c r="C25" s="54">
        <f>IFERROR(('Financials&gt;'!C17-'Financials&gt;'!C23)/'Financials&gt;'!C20,0)</f>
        <v>1.1287554411994472</v>
      </c>
      <c r="D25" s="54">
        <f>IFERROR(('Financials&gt;'!D17-'Financials&gt;'!D23)/'Financials&gt;'!D20,0)</f>
        <v>0.9867188911177236</v>
      </c>
      <c r="E25" s="54">
        <f>IFERROR(('Financials&gt;'!E17-'Financials&gt;'!E23)/'Financials&gt;'!E20,0)</f>
        <v>1.0456800257581496</v>
      </c>
      <c r="F25" s="54">
        <f>IFERROR(('Financials&gt;'!F17-'Financials&gt;'!F23)/'Financials&gt;'!F20,0)</f>
        <v>1.0374179705191751</v>
      </c>
      <c r="G25" s="54">
        <f>IFERROR(('Financials&gt;'!G17-'Financials&gt;'!G23)/'Financials&gt;'!G20,0)</f>
        <v>1.0854089413681451</v>
      </c>
      <c r="H25" s="54">
        <f>IFERROR(('Financials&gt;'!H17-'Financials&gt;'!H23)/'Financials&gt;'!H20,0)</f>
        <v>1.0205281903965173</v>
      </c>
      <c r="I25" s="54">
        <f>IFERROR(('Financials&gt;'!I17-'Financials&gt;'!I23)/'Financials&gt;'!I20,0)</f>
        <v>1.0280878628944299</v>
      </c>
      <c r="J25" s="54">
        <f>IFERROR(('Financials&gt;'!J17-'Financials&gt;'!J23)/'Financials&gt;'!J20,0)</f>
        <v>1.066002628345424</v>
      </c>
      <c r="K25" s="54">
        <f>IFERROR(('Financials&gt;'!K17-'Financials&gt;'!K23)/'Financials&gt;'!K20,0)</f>
        <v>1.1831234135720039</v>
      </c>
      <c r="L25" s="54">
        <f>IFERROR(('Financials&gt;'!L17-'Financials&gt;'!L23)/'Financials&gt;'!L20,0)</f>
        <v>1.1410532285315911</v>
      </c>
      <c r="M25" s="52"/>
      <c r="N25" s="54">
        <f t="shared" si="2"/>
        <v>1.0722776593702608</v>
      </c>
      <c r="O25" s="54">
        <f t="shared" si="3"/>
        <v>1.0558413270517868</v>
      </c>
    </row>
    <row r="26" spans="2:15" x14ac:dyDescent="0.3">
      <c r="N26" s="47"/>
    </row>
    <row r="27" spans="2:15" x14ac:dyDescent="0.3">
      <c r="B27" s="45" t="s">
        <v>151</v>
      </c>
      <c r="C27" s="55">
        <f>IFERROR('Financials&gt;'!C5/'Financials&gt;'!C59,0)</f>
        <v>0</v>
      </c>
      <c r="D27" s="55">
        <f>IFERROR('Financials&gt;'!D5/'Financials&gt;'!D59,0)</f>
        <v>0</v>
      </c>
      <c r="E27" s="55">
        <f>IFERROR('Financials&gt;'!E5/'Financials&gt;'!E59,0)</f>
        <v>0</v>
      </c>
      <c r="F27" s="55">
        <f>IFERROR('Financials&gt;'!F5/'Financials&gt;'!F59,0)</f>
        <v>0</v>
      </c>
      <c r="G27" s="55">
        <f>IFERROR('Financials&gt;'!G5/'Financials&gt;'!G59,0)</f>
        <v>0</v>
      </c>
      <c r="H27" s="55">
        <f>IFERROR('Financials&gt;'!H5/'Financials&gt;'!H59,0)</f>
        <v>0</v>
      </c>
      <c r="I27" s="55">
        <f>IFERROR('Financials&gt;'!I5/'Financials&gt;'!I59,0)</f>
        <v>0</v>
      </c>
      <c r="J27" s="55">
        <f>IFERROR('Financials&gt;'!J5/'Financials&gt;'!J59,0)</f>
        <v>0</v>
      </c>
      <c r="K27" s="55">
        <f>IFERROR('Financials&gt;'!K5/'Financials&gt;'!K59,0)</f>
        <v>0</v>
      </c>
      <c r="L27" s="55">
        <f>IFERROR('Financials&gt;'!L5/'Financials&gt;'!L59,0)</f>
        <v>0</v>
      </c>
      <c r="M27" s="49"/>
      <c r="N27" s="55">
        <f t="shared" si="2"/>
        <v>0</v>
      </c>
      <c r="O27" s="55">
        <f t="shared" si="3"/>
        <v>0</v>
      </c>
    </row>
    <row r="28" spans="2:15" x14ac:dyDescent="0.3">
      <c r="B28" s="44" t="s">
        <v>152</v>
      </c>
      <c r="C28" s="56">
        <f>IFERROR('Financials&gt;'!C5/'Financials&gt;'!C50,0)</f>
        <v>3.7574682477154919</v>
      </c>
      <c r="D28" s="56">
        <f>IFERROR('Financials&gt;'!D5/'Financials&gt;'!D50,0)</f>
        <v>3.5026629311039299</v>
      </c>
      <c r="E28" s="56">
        <f>IFERROR('Financials&gt;'!E5/'Financials&gt;'!E50,0)</f>
        <v>3.476044799746715</v>
      </c>
      <c r="F28" s="56">
        <f>IFERROR('Financials&gt;'!F5/'Financials&gt;'!F50,0)</f>
        <v>3.7549612191722717</v>
      </c>
      <c r="G28" s="56">
        <f>IFERROR('Financials&gt;'!G5/'Financials&gt;'!G50,0)</f>
        <v>3.3541193427500722</v>
      </c>
      <c r="H28" s="56">
        <f>IFERROR('Financials&gt;'!H5/'Financials&gt;'!H50,0)</f>
        <v>3.6228094494234058</v>
      </c>
      <c r="I28" s="56">
        <f>IFERROR('Financials&gt;'!I5/'Financials&gt;'!I50,0)</f>
        <v>3.5732762171513306</v>
      </c>
      <c r="J28" s="56">
        <f>IFERROR('Financials&gt;'!J5/'Financials&gt;'!J50,0)</f>
        <v>2.5139810020592175</v>
      </c>
      <c r="K28" s="56">
        <f>IFERROR('Financials&gt;'!K5/'Financials&gt;'!K50,0)</f>
        <v>2.5332597561998926</v>
      </c>
      <c r="L28" s="56">
        <f>IFERROR('Financials&gt;'!L5/'Financials&gt;'!L50,0)</f>
        <v>2.3288417694686316</v>
      </c>
      <c r="N28" s="56">
        <f t="shared" si="2"/>
        <v>3.2417424734790963</v>
      </c>
      <c r="O28" s="56">
        <f t="shared" si="3"/>
        <v>3.4893538654253224</v>
      </c>
    </row>
    <row r="29" spans="2:15" x14ac:dyDescent="0.3">
      <c r="B29" s="44" t="s">
        <v>153</v>
      </c>
      <c r="C29" s="56">
        <f>IFERROR('Financials&gt;'!C5/'Financials&gt;'!C72,0)</f>
        <v>-2.819190512048193</v>
      </c>
      <c r="D29" s="56">
        <f>IFERROR('Financials&gt;'!D5/'Financials&gt;'!D72,0)</f>
        <v>-2.7431756046267086</v>
      </c>
      <c r="E29" s="56">
        <f>IFERROR('Financials&gt;'!E5/'Financials&gt;'!E72,0)</f>
        <v>-2.3790005417118096</v>
      </c>
      <c r="F29" s="56">
        <f>IFERROR('Financials&gt;'!F5/'Financials&gt;'!F72,0)</f>
        <v>-1.7264321783040222</v>
      </c>
      <c r="G29" s="56">
        <f>IFERROR('Financials&gt;'!G5/'Financials&gt;'!G72,0)</f>
        <v>-1.7573538740371546</v>
      </c>
      <c r="H29" s="56">
        <f>IFERROR('Financials&gt;'!H5/'Financials&gt;'!H72,0)</f>
        <v>-3.8175252808988764</v>
      </c>
      <c r="I29" s="56">
        <f>IFERROR('Financials&gt;'!I5/'Financials&gt;'!I72,0)</f>
        <v>6.9183566940550989</v>
      </c>
      <c r="J29" s="56">
        <f>IFERROR('Financials&gt;'!J5/'Financials&gt;'!J72,0)</f>
        <v>6.1829449699054173</v>
      </c>
      <c r="K29" s="56">
        <f>IFERROR('Financials&gt;'!K5/'Financials&gt;'!K72,0)</f>
        <v>4.6701048767697948</v>
      </c>
      <c r="L29" s="56">
        <f>IFERROR('Financials&gt;'!L5/'Financials&gt;'!L72,0)</f>
        <v>39.473165829145728</v>
      </c>
      <c r="N29" s="56">
        <f t="shared" si="2"/>
        <v>4.2001894378249274</v>
      </c>
      <c r="O29" s="56">
        <f t="shared" si="3"/>
        <v>-1.7418930261705885</v>
      </c>
    </row>
    <row r="30" spans="2:15" x14ac:dyDescent="0.3">
      <c r="B30" s="44" t="s">
        <v>154</v>
      </c>
      <c r="C30" s="56">
        <f>IFERROR('Financials&gt;'!C5/'Financials&gt;'!C53,0)</f>
        <v>16.784958529477695</v>
      </c>
      <c r="D30" s="56">
        <f>IFERROR('Financials&gt;'!D5/'Financials&gt;'!D53,0)</f>
        <v>15.40970307946759</v>
      </c>
      <c r="E30" s="56">
        <f>IFERROR('Financials&gt;'!E5/'Financials&gt;'!E53,0)</f>
        <v>18.398135735232511</v>
      </c>
      <c r="F30" s="56">
        <f>IFERROR('Financials&gt;'!F5/'Financials&gt;'!F53,0)</f>
        <v>21.948730436322581</v>
      </c>
      <c r="G30" s="56">
        <f>IFERROR('Financials&gt;'!G5/'Financials&gt;'!G53,0)</f>
        <v>25.207851293383598</v>
      </c>
      <c r="H30" s="56">
        <f>IFERROR('Financials&gt;'!H5/'Financials&gt;'!H53,0)</f>
        <v>28.47944258172674</v>
      </c>
      <c r="I30" s="56">
        <f>IFERROR('Financials&gt;'!I5/'Financials&gt;'!I53,0)</f>
        <v>28.377867211197238</v>
      </c>
      <c r="J30" s="56">
        <f>IFERROR('Financials&gt;'!J5/'Financials&gt;'!J53,0)</f>
        <v>22.357258340328951</v>
      </c>
      <c r="K30" s="56">
        <f>IFERROR('Financials&gt;'!K5/'Financials&gt;'!K53,0)</f>
        <v>20.006042771138464</v>
      </c>
      <c r="L30" s="56">
        <f>IFERROR('Financials&gt;'!L5/'Financials&gt;'!L53,0)</f>
        <v>23.65893278449877</v>
      </c>
      <c r="N30" s="56">
        <f t="shared" si="2"/>
        <v>22.062892276277413</v>
      </c>
      <c r="O30" s="56">
        <f t="shared" si="3"/>
        <v>22.152994388325766</v>
      </c>
    </row>
    <row r="31" spans="2:15" x14ac:dyDescent="0.3">
      <c r="B31" s="46" t="s">
        <v>155</v>
      </c>
      <c r="C31" s="54">
        <f>IFERROR('Financials&gt;'!C5/SUM('Financials&gt;'!C47:C48),0)</f>
        <v>0.97240356506979642</v>
      </c>
      <c r="D31" s="54">
        <f>IFERROR('Financials&gt;'!D5/SUM('Financials&gt;'!D47:D48),0)</f>
        <v>0.97050518778839123</v>
      </c>
      <c r="E31" s="54">
        <f>IFERROR('Financials&gt;'!E5/SUM('Financials&gt;'!E47:E48),0)</f>
        <v>0.98122075168382061</v>
      </c>
      <c r="F31" s="54">
        <f>IFERROR('Financials&gt;'!F5/SUM('Financials&gt;'!F47:F48),0)</f>
        <v>0.80778117423156137</v>
      </c>
      <c r="G31" s="54">
        <f>IFERROR('Financials&gt;'!G5/SUM('Financials&gt;'!G47:G48),0)</f>
        <v>0.86199618469060812</v>
      </c>
      <c r="H31" s="54">
        <f>IFERROR('Financials&gt;'!H5/SUM('Financials&gt;'!H47:H48),0)</f>
        <v>0.9168843557975922</v>
      </c>
      <c r="I31" s="54">
        <f>IFERROR('Financials&gt;'!I5/SUM('Financials&gt;'!I47:I48),0)</f>
        <v>0.86731237067489897</v>
      </c>
      <c r="J31" s="54">
        <f>IFERROR('Financials&gt;'!J5/SUM('Financials&gt;'!J47:J48),0)</f>
        <v>0.74687829775565673</v>
      </c>
      <c r="K31" s="54">
        <f>IFERROR('Financials&gt;'!K5/SUM('Financials&gt;'!K47:K48),0)</f>
        <v>0.80514645556248166</v>
      </c>
      <c r="L31" s="54">
        <f>IFERROR('Financials&gt;'!L5/SUM('Financials&gt;'!L47:L48),0)</f>
        <v>0.78276718257718314</v>
      </c>
      <c r="M31" s="52"/>
      <c r="N31" s="54">
        <f t="shared" si="2"/>
        <v>0.87128955258319896</v>
      </c>
      <c r="O31" s="54">
        <f t="shared" si="3"/>
        <v>0.86465427768275349</v>
      </c>
    </row>
    <row r="32" spans="2:15" x14ac:dyDescent="0.3">
      <c r="N32" s="47"/>
    </row>
    <row r="33" spans="2:15" x14ac:dyDescent="0.3">
      <c r="N33" s="47"/>
    </row>
    <row r="34" spans="2:15" x14ac:dyDescent="0.3">
      <c r="B34" s="45" t="s">
        <v>156</v>
      </c>
      <c r="C34" s="57">
        <f>IFERROR(365/C27,0)</f>
        <v>0</v>
      </c>
      <c r="D34" s="57">
        <f t="shared" ref="D34:L34" si="6">IFERROR(365/D27,0)</f>
        <v>0</v>
      </c>
      <c r="E34" s="57">
        <f t="shared" si="6"/>
        <v>0</v>
      </c>
      <c r="F34" s="57">
        <f t="shared" si="6"/>
        <v>0</v>
      </c>
      <c r="G34" s="57">
        <f t="shared" si="6"/>
        <v>0</v>
      </c>
      <c r="H34" s="57">
        <f t="shared" si="6"/>
        <v>0</v>
      </c>
      <c r="I34" s="57">
        <f t="shared" si="6"/>
        <v>0</v>
      </c>
      <c r="J34" s="57">
        <f t="shared" si="6"/>
        <v>0</v>
      </c>
      <c r="K34" s="57">
        <f t="shared" si="6"/>
        <v>0</v>
      </c>
      <c r="L34" s="57">
        <f t="shared" si="6"/>
        <v>0</v>
      </c>
      <c r="M34" s="49"/>
      <c r="N34" s="57">
        <f t="shared" si="2"/>
        <v>0</v>
      </c>
      <c r="O34" s="57">
        <f t="shared" si="3"/>
        <v>0</v>
      </c>
    </row>
    <row r="35" spans="2:15" x14ac:dyDescent="0.3">
      <c r="B35" s="44" t="s">
        <v>157</v>
      </c>
      <c r="C35" s="58">
        <f t="shared" ref="C35:L36" si="7">IFERROR(365/C28,0)</f>
        <v>97.139876091279504</v>
      </c>
      <c r="D35" s="58">
        <f t="shared" si="7"/>
        <v>104.20643013027902</v>
      </c>
      <c r="E35" s="58">
        <f t="shared" si="7"/>
        <v>105.00440041123638</v>
      </c>
      <c r="F35" s="58">
        <f t="shared" si="7"/>
        <v>97.204732271631585</v>
      </c>
      <c r="G35" s="58">
        <f t="shared" si="7"/>
        <v>108.82141113700899</v>
      </c>
      <c r="H35" s="58">
        <f t="shared" si="7"/>
        <v>100.75053769612205</v>
      </c>
      <c r="I35" s="58">
        <f t="shared" si="7"/>
        <v>102.14715510881594</v>
      </c>
      <c r="J35" s="58">
        <f t="shared" si="7"/>
        <v>145.18805022831367</v>
      </c>
      <c r="K35" s="58">
        <f t="shared" si="7"/>
        <v>144.08313206203985</v>
      </c>
      <c r="L35" s="58">
        <f t="shared" si="7"/>
        <v>156.73027029366685</v>
      </c>
      <c r="N35" s="58">
        <f t="shared" si="2"/>
        <v>116.12759954303935</v>
      </c>
      <c r="O35" s="58">
        <f t="shared" si="3"/>
        <v>104.6054152707577</v>
      </c>
    </row>
    <row r="36" spans="2:15" x14ac:dyDescent="0.3">
      <c r="B36" s="44" t="s">
        <v>158</v>
      </c>
      <c r="C36" s="58">
        <f t="shared" si="7"/>
        <v>-129.46978873549801</v>
      </c>
      <c r="D36" s="58">
        <f t="shared" si="7"/>
        <v>-133.05746791579142</v>
      </c>
      <c r="E36" s="58">
        <f t="shared" si="7"/>
        <v>-153.42577422759402</v>
      </c>
      <c r="F36" s="58">
        <f t="shared" si="7"/>
        <v>-211.41867290643376</v>
      </c>
      <c r="G36" s="58">
        <f t="shared" si="7"/>
        <v>-207.69863451661476</v>
      </c>
      <c r="H36" s="58">
        <f t="shared" si="7"/>
        <v>-95.61167854638461</v>
      </c>
      <c r="I36" s="58">
        <f t="shared" si="7"/>
        <v>52.75819333132133</v>
      </c>
      <c r="J36" s="58">
        <f t="shared" si="7"/>
        <v>59.033357368791776</v>
      </c>
      <c r="K36" s="58">
        <f t="shared" si="7"/>
        <v>78.156703035856054</v>
      </c>
      <c r="L36" s="58">
        <f t="shared" si="7"/>
        <v>9.2467880985237727</v>
      </c>
      <c r="N36" s="58">
        <f t="shared" si="2"/>
        <v>-73.148697501382372</v>
      </c>
      <c r="O36" s="58">
        <f t="shared" si="3"/>
        <v>-112.54073364094131</v>
      </c>
    </row>
    <row r="37" spans="2:15" x14ac:dyDescent="0.3">
      <c r="B37" s="46" t="s">
        <v>159</v>
      </c>
      <c r="C37" s="59">
        <f>IFERROR(SUM(C34,C36)-C35,0)</f>
        <v>-226.60966482677753</v>
      </c>
      <c r="D37" s="59">
        <f t="shared" ref="D37:L37" si="8">IFERROR(SUM(D34,D36)-D35,0)</f>
        <v>-237.26389804607044</v>
      </c>
      <c r="E37" s="59">
        <f t="shared" si="8"/>
        <v>-258.43017463883041</v>
      </c>
      <c r="F37" s="59">
        <f t="shared" si="8"/>
        <v>-308.62340517806535</v>
      </c>
      <c r="G37" s="59">
        <f t="shared" si="8"/>
        <v>-316.52004565362375</v>
      </c>
      <c r="H37" s="59">
        <f t="shared" si="8"/>
        <v>-196.36221624250666</v>
      </c>
      <c r="I37" s="59">
        <f t="shared" si="8"/>
        <v>-49.388961777494607</v>
      </c>
      <c r="J37" s="59">
        <f t="shared" si="8"/>
        <v>-86.154692859521901</v>
      </c>
      <c r="K37" s="59">
        <f t="shared" si="8"/>
        <v>-65.926429026183797</v>
      </c>
      <c r="L37" s="59">
        <f t="shared" si="8"/>
        <v>-147.48348219514307</v>
      </c>
      <c r="M37" s="52"/>
      <c r="N37" s="59">
        <f t="shared" si="2"/>
        <v>-189.27629704442177</v>
      </c>
      <c r="O37" s="59">
        <f t="shared" si="3"/>
        <v>-211.48594053464211</v>
      </c>
    </row>
    <row r="38" spans="2:15" x14ac:dyDescent="0.3">
      <c r="N38" s="47"/>
    </row>
    <row r="39" spans="2:15" x14ac:dyDescent="0.3">
      <c r="B39" s="45" t="s">
        <v>160</v>
      </c>
      <c r="C39" s="60">
        <f>IFERROR('Financials&gt;'!C78/'Financials&gt;'!C5,0)</f>
        <v>2.9593590615096348</v>
      </c>
      <c r="D39" s="60">
        <f>IFERROR('Financials&gt;'!D78/'Financials&gt;'!D5,0)</f>
        <v>5.1503396249559179</v>
      </c>
      <c r="E39" s="60">
        <f>IFERROR('Financials&gt;'!E78/'Financials&gt;'!E5,0)</f>
        <v>3.6273506336478327</v>
      </c>
      <c r="F39" s="60">
        <f>IFERROR('Financials&gt;'!F78/'Financials&gt;'!F5,0)</f>
        <v>3.9548558230541913</v>
      </c>
      <c r="G39" s="60">
        <f>IFERROR('Financials&gt;'!G78/'Financials&gt;'!G5,0)</f>
        <v>2.8751813425190624</v>
      </c>
      <c r="H39" s="60">
        <f>IFERROR('Financials&gt;'!H78/'Financials&gt;'!H5,0)</f>
        <v>1.2820088312403104</v>
      </c>
      <c r="I39" s="60">
        <f>IFERROR('Financials&gt;'!I78/'Financials&gt;'!I5,0)</f>
        <v>0.81535103897700723</v>
      </c>
      <c r="J39" s="60">
        <f>IFERROR('Financials&gt;'!J78/'Financials&gt;'!J5,0)</f>
        <v>2.2040770349190941</v>
      </c>
      <c r="K39" s="60">
        <f>IFERROR('Financials&gt;'!K78/'Financials&gt;'!K5,0)</f>
        <v>1.6229147227284417</v>
      </c>
      <c r="L39" s="60">
        <f>IFERROR('Financials&gt;'!L78/'Financials&gt;'!L5,0)</f>
        <v>0.16159229517073279</v>
      </c>
      <c r="M39" s="49"/>
      <c r="N39" s="60">
        <f t="shared" si="2"/>
        <v>2.4653030408722225</v>
      </c>
      <c r="O39" s="60">
        <f t="shared" si="3"/>
        <v>2.5396291887190783</v>
      </c>
    </row>
    <row r="40" spans="2:15" x14ac:dyDescent="0.3">
      <c r="B40" s="44" t="s">
        <v>161</v>
      </c>
      <c r="C40" s="61">
        <f>IFERROR('Financials&gt;'!C78/'Financials&gt;'!C64,0)</f>
        <v>0.26726986826836413</v>
      </c>
      <c r="D40" s="61">
        <f>IFERROR('Financials&gt;'!D78/'Financials&gt;'!D64,0)</f>
        <v>0.42561310704220329</v>
      </c>
      <c r="E40" s="61">
        <f>IFERROR('Financials&gt;'!E78/'Financials&gt;'!E64,0)</f>
        <v>0.27587821665254947</v>
      </c>
      <c r="F40" s="61">
        <f>IFERROR('Financials&gt;'!F78/'Financials&gt;'!F64,0)</f>
        <v>0.28166776162626567</v>
      </c>
      <c r="G40" s="61">
        <f>IFERROR('Financials&gt;'!G78/'Financials&gt;'!G64,0)</f>
        <v>0.20836801825596329</v>
      </c>
      <c r="H40" s="61">
        <f>IFERROR('Financials&gt;'!H78/'Financials&gt;'!H64,0)</f>
        <v>9.5024180907976957E-2</v>
      </c>
      <c r="I40" s="61">
        <f>IFERROR('Financials&gt;'!I78/'Financials&gt;'!I64,0)</f>
        <v>5.69410067556399E-2</v>
      </c>
      <c r="J40" s="61">
        <f>IFERROR('Financials&gt;'!J78/'Financials&gt;'!J64,0)</f>
        <v>0.1401071998207222</v>
      </c>
      <c r="K40" s="61">
        <f>IFERROR('Financials&gt;'!K78/'Financials&gt;'!K64,0)</f>
        <v>0.10786030629535985</v>
      </c>
      <c r="L40" s="61">
        <f>IFERROR('Financials&gt;'!L78/'Financials&gt;'!L64,0)</f>
        <v>1.1980910457953627E-2</v>
      </c>
      <c r="N40" s="61">
        <f t="shared" si="2"/>
        <v>0.18707105760829984</v>
      </c>
      <c r="O40" s="61">
        <f t="shared" si="3"/>
        <v>0.17423760903834273</v>
      </c>
    </row>
    <row r="41" spans="2:15" x14ac:dyDescent="0.3">
      <c r="B41" s="46" t="s">
        <v>162</v>
      </c>
      <c r="C41" s="62">
        <f>IFERROR('Financials&gt;'!C78/'Financials&gt;'!C49,0)</f>
        <v>0.30265378982395436</v>
      </c>
      <c r="D41" s="62">
        <f>IFERROR('Financials&gt;'!D78/'Financials&gt;'!D49,0)</f>
        <v>0.47754208703947365</v>
      </c>
      <c r="E41" s="62">
        <f>IFERROR('Financials&gt;'!E78/'Financials&gt;'!E49,0)</f>
        <v>0.30632385700386999</v>
      </c>
      <c r="F41" s="62">
        <f>IFERROR('Financials&gt;'!F78/'Financials&gt;'!F49,0)</f>
        <v>0.31546528071759905</v>
      </c>
      <c r="G41" s="62">
        <f>IFERROR('Financials&gt;'!G78/'Financials&gt;'!G49,0)</f>
        <v>0.23299055432028448</v>
      </c>
      <c r="H41" s="62">
        <f>IFERROR('Financials&gt;'!H78/'Financials&gt;'!H49,0)</f>
        <v>0.10573515670595934</v>
      </c>
      <c r="I41" s="62">
        <f>IFERROR('Financials&gt;'!I78/'Financials&gt;'!I49,0)</f>
        <v>6.3272301846449594E-2</v>
      </c>
      <c r="J41" s="62">
        <f>IFERROR('Financials&gt;'!J78/'Financials&gt;'!J49,0)</f>
        <v>0.15749392181677371</v>
      </c>
      <c r="K41" s="62">
        <f>IFERROR('Financials&gt;'!K78/'Financials&gt;'!K49,0)</f>
        <v>0.12102550516122051</v>
      </c>
      <c r="L41" s="62">
        <f>IFERROR('Financials&gt;'!L78/'Financials&gt;'!L49,0)</f>
        <v>1.3716856348672979E-2</v>
      </c>
      <c r="M41" s="52"/>
      <c r="N41" s="62">
        <f t="shared" si="2"/>
        <v>0.20962193107842575</v>
      </c>
      <c r="O41" s="62">
        <f t="shared" si="3"/>
        <v>0.19524223806852908</v>
      </c>
    </row>
    <row r="42" spans="2:15" x14ac:dyDescent="0.3">
      <c r="N42" s="47"/>
    </row>
  </sheetData>
  <mergeCells count="1">
    <mergeCell ref="B2:O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B9C28E5-A0B1-48C3-849E-D7F190304B94}">
          <x14:colorSeries rgb="FF376092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'Data&gt;'!D5:L5</xm:f>
              <xm:sqref>M5</xm:sqref>
            </x14:sparkline>
            <x14:sparkline>
              <xm:f>'Data&gt;'!D6:L6</xm:f>
              <xm:sqref>M6</xm:sqref>
            </x14:sparkline>
            <x14:sparkline>
              <xm:f>'Data&gt;'!D7:L7</xm:f>
              <xm:sqref>M7</xm:sqref>
            </x14:sparkline>
            <x14:sparkline>
              <xm:f>'Data&gt;'!D8:L8</xm:f>
              <xm:sqref>M8</xm:sqref>
            </x14:sparkline>
            <x14:sparkline>
              <xm:f>'Data&gt;'!D9:L9</xm:f>
              <xm:sqref>M9</xm:sqref>
            </x14:sparkline>
          </x14:sparklines>
        </x14:sparklineGroup>
        <x14:sparklineGroup displayEmptyCellsAs="gap" markers="1" xr2:uid="{90350107-AD17-4D63-812B-56C6009D3880}">
          <x14:colorSeries rgb="FF376092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'Data&gt;'!C11:L11</xm:f>
              <xm:sqref>M11</xm:sqref>
            </x14:sparkline>
            <x14:sparkline>
              <xm:f>'Data&gt;'!C12:L12</xm:f>
              <xm:sqref>M12</xm:sqref>
            </x14:sparkline>
            <x14:sparkline>
              <xm:f>'Data&gt;'!C13:L13</xm:f>
              <xm:sqref>M13</xm:sqref>
            </x14:sparkline>
            <x14:sparkline>
              <xm:f>'Data&gt;'!C14:L14</xm:f>
              <xm:sqref>M14</xm:sqref>
            </x14:sparkline>
            <x14:sparkline>
              <xm:f>'Data&gt;'!C15:L15</xm:f>
              <xm:sqref>M15</xm:sqref>
            </x14:sparkline>
            <x14:sparkline>
              <xm:f>'Data&gt;'!C16:L16</xm:f>
              <xm:sqref>M16</xm:sqref>
            </x14:sparkline>
            <x14:sparkline>
              <xm:f>'Data&gt;'!C17:L17</xm:f>
              <xm:sqref>M17</xm:sqref>
            </x14:sparkline>
            <x14:sparkline>
              <xm:f>'Data&gt;'!C18:L18</xm:f>
              <xm:sqref>M18</xm:sqref>
            </x14:sparkline>
            <x14:sparkline>
              <xm:f>'Data&gt;'!C19:L19</xm:f>
              <xm:sqref>M19</xm:sqref>
            </x14:sparkline>
            <x14:sparkline>
              <xm:f>'Data&gt;'!C20:L20</xm:f>
              <xm:sqref>M20</xm:sqref>
            </x14:sparkline>
            <x14:sparkline>
              <xm:f>'Data&gt;'!C21:L21</xm:f>
              <xm:sqref>M21</xm:sqref>
            </x14:sparkline>
            <x14:sparkline>
              <xm:f>'Data&gt;'!C22:L22</xm:f>
              <xm:sqref>M22</xm:sqref>
            </x14:sparkline>
            <x14:sparkline>
              <xm:f>'Data&gt;'!C23:L23</xm:f>
              <xm:sqref>M23</xm:sqref>
            </x14:sparkline>
            <x14:sparkline>
              <xm:f>'Data&gt;'!C24:L24</xm:f>
              <xm:sqref>M24</xm:sqref>
            </x14:sparkline>
            <x14:sparkline>
              <xm:f>'Data&gt;'!C25:L25</xm:f>
              <xm:sqref>M25</xm:sqref>
            </x14:sparkline>
            <x14:sparkline>
              <xm:f>'Data&gt;'!C26:L26</xm:f>
              <xm:sqref>M26</xm:sqref>
            </x14:sparkline>
            <x14:sparkline>
              <xm:f>'Data&gt;'!C27:L27</xm:f>
              <xm:sqref>M27</xm:sqref>
            </x14:sparkline>
            <x14:sparkline>
              <xm:f>'Data&gt;'!C28:L28</xm:f>
              <xm:sqref>M28</xm:sqref>
            </x14:sparkline>
            <x14:sparkline>
              <xm:f>'Data&gt;'!C29:L29</xm:f>
              <xm:sqref>M29</xm:sqref>
            </x14:sparkline>
            <x14:sparkline>
              <xm:f>'Data&gt;'!C30:L30</xm:f>
              <xm:sqref>M30</xm:sqref>
            </x14:sparkline>
            <x14:sparkline>
              <xm:f>'Data&gt;'!C31:L31</xm:f>
              <xm:sqref>M31</xm:sqref>
            </x14:sparkline>
            <x14:sparkline>
              <xm:f>'Data&gt;'!C32:L32</xm:f>
              <xm:sqref>M32</xm:sqref>
            </x14:sparkline>
            <x14:sparkline>
              <xm:f>'Data&gt;'!C33:L33</xm:f>
              <xm:sqref>M33</xm:sqref>
            </x14:sparkline>
            <x14:sparkline>
              <xm:f>'Data&gt;'!C34:L34</xm:f>
              <xm:sqref>M34</xm:sqref>
            </x14:sparkline>
            <x14:sparkline>
              <xm:f>'Data&gt;'!C35:L35</xm:f>
              <xm:sqref>M35</xm:sqref>
            </x14:sparkline>
            <x14:sparkline>
              <xm:f>'Data&gt;'!C36:L36</xm:f>
              <xm:sqref>M36</xm:sqref>
            </x14:sparkline>
            <x14:sparkline>
              <xm:f>'Data&gt;'!C37:L37</xm:f>
              <xm:sqref>M37</xm:sqref>
            </x14:sparkline>
            <x14:sparkline>
              <xm:f>'Data&gt;'!C38:L38</xm:f>
              <xm:sqref>M38</xm:sqref>
            </x14:sparkline>
            <x14:sparkline>
              <xm:f>'Data&gt;'!C39:L39</xm:f>
              <xm:sqref>M39</xm:sqref>
            </x14:sparkline>
            <x14:sparkline>
              <xm:f>'Data&gt;'!C40:L40</xm:f>
              <xm:sqref>M40</xm:sqref>
            </x14:sparkline>
            <x14:sparkline>
              <xm:f>'Data&gt;'!C41:L41</xm:f>
              <xm:sqref>M41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D76" sqref="D76"/>
    </sheetView>
  </sheetViews>
  <sheetFormatPr defaultColWidth="10.44140625" defaultRowHeight="13.2" x14ac:dyDescent="0.25"/>
  <cols>
    <col min="1" max="1" width="26.6640625" style="2" bestFit="1" customWidth="1"/>
    <col min="2" max="11" width="11.44140625" style="2" bestFit="1" customWidth="1"/>
    <col min="12" max="16384" width="10.44140625" style="2"/>
  </cols>
  <sheetData>
    <row r="1" spans="1:11" s="1" customFormat="1" x14ac:dyDescent="0.25">
      <c r="A1" s="1" t="s">
        <v>0</v>
      </c>
      <c r="B1" s="1" t="s">
        <v>1</v>
      </c>
      <c r="E1" s="65" t="str">
        <f>IF(B2&lt;&gt;B3, "A NEW VERSION OF THE WORKSHEET IS AVAILABLE", "")</f>
        <v/>
      </c>
      <c r="F1" s="65"/>
      <c r="G1" s="65"/>
      <c r="H1" s="65"/>
      <c r="I1" s="65"/>
      <c r="J1" s="65"/>
      <c r="K1" s="65"/>
    </row>
    <row r="2" spans="1:11" x14ac:dyDescent="0.25">
      <c r="A2" s="1" t="s">
        <v>2</v>
      </c>
      <c r="B2" s="2">
        <v>2.1</v>
      </c>
      <c r="E2" s="66" t="s">
        <v>3</v>
      </c>
      <c r="F2" s="66"/>
      <c r="G2" s="66"/>
      <c r="H2" s="66"/>
      <c r="I2" s="66"/>
      <c r="J2" s="66"/>
      <c r="K2" s="66"/>
    </row>
    <row r="3" spans="1:11" x14ac:dyDescent="0.25">
      <c r="A3" s="1" t="s">
        <v>4</v>
      </c>
      <c r="B3" s="2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2" t="s">
        <v>6</v>
      </c>
      <c r="B6" s="2">
        <f>IF(B9&gt;0, B9/B8, 0)</f>
        <v>245.58648393194707</v>
      </c>
    </row>
    <row r="7" spans="1:11" x14ac:dyDescent="0.25">
      <c r="A7" s="2" t="s">
        <v>7</v>
      </c>
      <c r="B7" s="3">
        <v>2</v>
      </c>
    </row>
    <row r="8" spans="1:11" x14ac:dyDescent="0.25">
      <c r="A8" s="2" t="s">
        <v>8</v>
      </c>
      <c r="B8" s="3">
        <v>190.44</v>
      </c>
    </row>
    <row r="9" spans="1:11" x14ac:dyDescent="0.25">
      <c r="A9" s="2" t="s">
        <v>9</v>
      </c>
      <c r="B9" s="3">
        <v>46769.49</v>
      </c>
    </row>
    <row r="15" spans="1:11" x14ac:dyDescent="0.25">
      <c r="A15" s="1" t="s">
        <v>10</v>
      </c>
      <c r="B15" s="2">
        <f>B26+B34</f>
        <v>6790.5999999999995</v>
      </c>
      <c r="K15" s="2">
        <f>K17-K18-K20-K21-K22-K23-K19</f>
        <v>19129.64</v>
      </c>
    </row>
    <row r="16" spans="1:11" s="6" customFormat="1" x14ac:dyDescent="0.25">
      <c r="A16" s="4" t="s">
        <v>11</v>
      </c>
      <c r="B16" s="5">
        <v>42094</v>
      </c>
      <c r="C16" s="5">
        <v>42460</v>
      </c>
      <c r="D16" s="5">
        <v>42825</v>
      </c>
      <c r="E16" s="5">
        <v>43190</v>
      </c>
      <c r="F16" s="5">
        <v>43555</v>
      </c>
      <c r="G16" s="5">
        <v>43921</v>
      </c>
      <c r="H16" s="5">
        <v>44286</v>
      </c>
      <c r="I16" s="5">
        <v>44651</v>
      </c>
      <c r="J16" s="5">
        <v>45016</v>
      </c>
      <c r="K16" s="5">
        <v>45382</v>
      </c>
    </row>
    <row r="17" spans="1:11" x14ac:dyDescent="0.25">
      <c r="A17" s="2" t="s">
        <v>12</v>
      </c>
      <c r="B17" s="3">
        <v>7487.77</v>
      </c>
      <c r="C17" s="3">
        <v>7826.28</v>
      </c>
      <c r="D17" s="3">
        <v>8783.27</v>
      </c>
      <c r="E17" s="3">
        <v>9914.9</v>
      </c>
      <c r="F17" s="3">
        <v>11635.44</v>
      </c>
      <c r="G17" s="3">
        <v>13590.39</v>
      </c>
      <c r="H17" s="3">
        <v>14314.08</v>
      </c>
      <c r="I17" s="3">
        <v>14381.53</v>
      </c>
      <c r="J17" s="3">
        <v>17811.78</v>
      </c>
      <c r="K17" s="3">
        <v>23565.48</v>
      </c>
    </row>
    <row r="18" spans="1:11" ht="14.4" x14ac:dyDescent="0.3">
      <c r="A18" s="2" t="s">
        <v>13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14.4" x14ac:dyDescent="0.3">
      <c r="A19" s="2" t="s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2" t="s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2" t="s">
        <v>16</v>
      </c>
      <c r="B21" s="3">
        <v>48.17</v>
      </c>
      <c r="C21" s="3">
        <v>57.44</v>
      </c>
      <c r="D21" s="3">
        <v>62.11</v>
      </c>
      <c r="E21" s="3">
        <v>58.15</v>
      </c>
      <c r="F21" s="3">
        <v>67.150000000000006</v>
      </c>
      <c r="G21" s="3">
        <v>76.040000000000006</v>
      </c>
      <c r="H21" s="3">
        <v>70.05</v>
      </c>
      <c r="I21" s="3">
        <v>85.81</v>
      </c>
      <c r="J21" s="3">
        <v>115.26</v>
      </c>
      <c r="K21" s="3">
        <v>123.8</v>
      </c>
    </row>
    <row r="22" spans="1:11" x14ac:dyDescent="0.25">
      <c r="A22" s="2" t="s">
        <v>17</v>
      </c>
      <c r="B22" s="3">
        <v>915.26</v>
      </c>
      <c r="C22" s="3">
        <v>1076.25</v>
      </c>
      <c r="D22" s="3">
        <v>1191.6099999999999</v>
      </c>
      <c r="E22" s="3">
        <v>1278.73</v>
      </c>
      <c r="F22" s="3">
        <v>1427.33</v>
      </c>
      <c r="G22" s="3">
        <v>1878.37</v>
      </c>
      <c r="H22" s="3">
        <v>2174.41</v>
      </c>
      <c r="I22" s="3">
        <v>2514.84</v>
      </c>
      <c r="J22" s="3">
        <v>2444.0500000000002</v>
      </c>
      <c r="K22" s="3">
        <v>3184.63</v>
      </c>
    </row>
    <row r="23" spans="1:11" x14ac:dyDescent="0.25">
      <c r="A23" s="2" t="s">
        <v>18</v>
      </c>
      <c r="B23" s="3">
        <v>371.18</v>
      </c>
      <c r="C23" s="3">
        <v>382.44</v>
      </c>
      <c r="D23" s="3">
        <v>422.24</v>
      </c>
      <c r="E23" s="3">
        <v>510.88</v>
      </c>
      <c r="F23" s="3">
        <v>538.54999999999995</v>
      </c>
      <c r="G23" s="3">
        <v>611.80999999999995</v>
      </c>
      <c r="H23" s="3">
        <v>657.42</v>
      </c>
      <c r="I23" s="3">
        <v>752.51</v>
      </c>
      <c r="J23" s="3">
        <v>942.82</v>
      </c>
      <c r="K23" s="3">
        <v>1127.4100000000001</v>
      </c>
    </row>
    <row r="24" spans="1:11" x14ac:dyDescent="0.25">
      <c r="A24" s="2" t="s">
        <v>19</v>
      </c>
      <c r="B24" s="3">
        <v>366.31</v>
      </c>
      <c r="C24" s="3">
        <v>1012.48</v>
      </c>
      <c r="D24" s="3">
        <v>1072.6099999999999</v>
      </c>
      <c r="E24" s="3">
        <v>1483.01</v>
      </c>
      <c r="F24" s="3">
        <v>1538.94</v>
      </c>
      <c r="G24" s="3">
        <v>2041.98</v>
      </c>
      <c r="H24" s="3">
        <v>2625.4</v>
      </c>
      <c r="I24" s="3">
        <v>2404.75</v>
      </c>
      <c r="J24" s="3">
        <v>2325.5300000000002</v>
      </c>
      <c r="K24" s="3">
        <v>2356.5</v>
      </c>
    </row>
    <row r="25" spans="1:11" x14ac:dyDescent="0.25">
      <c r="A25" s="2" t="s">
        <v>20</v>
      </c>
      <c r="B25" s="3">
        <v>878.54</v>
      </c>
      <c r="C25" s="3">
        <v>808.36</v>
      </c>
      <c r="D25" s="3">
        <v>1083.77</v>
      </c>
      <c r="E25" s="3">
        <v>1160.22</v>
      </c>
      <c r="F25" s="3">
        <v>1335.22</v>
      </c>
      <c r="G25" s="3">
        <v>1881.81</v>
      </c>
      <c r="H25" s="3">
        <v>1971.65</v>
      </c>
      <c r="I25" s="3">
        <v>2120.9299999999998</v>
      </c>
      <c r="J25" s="3">
        <v>2436.2399999999998</v>
      </c>
      <c r="K25" s="3">
        <v>3216.48</v>
      </c>
    </row>
    <row r="26" spans="1:11" x14ac:dyDescent="0.25">
      <c r="A26" s="2" t="s">
        <v>21</v>
      </c>
      <c r="B26" s="3">
        <v>79.489999999999995</v>
      </c>
      <c r="C26" s="3">
        <v>108.17</v>
      </c>
      <c r="D26" s="3">
        <v>123.91</v>
      </c>
      <c r="E26" s="3">
        <v>124.73</v>
      </c>
      <c r="F26" s="3">
        <v>122.26</v>
      </c>
      <c r="G26" s="3">
        <v>125.73</v>
      </c>
      <c r="H26" s="3">
        <v>114.92</v>
      </c>
      <c r="I26" s="3">
        <v>138.9</v>
      </c>
      <c r="J26" s="3">
        <v>182.18</v>
      </c>
      <c r="K26" s="3">
        <v>233.95</v>
      </c>
    </row>
    <row r="27" spans="1:11" ht="14.4" x14ac:dyDescent="0.3">
      <c r="A27" s="2" t="s">
        <v>22</v>
      </c>
      <c r="B27" s="3">
        <v>5056.33</v>
      </c>
      <c r="C27" s="3">
        <v>5259.35</v>
      </c>
      <c r="D27" s="3">
        <v>5652.58</v>
      </c>
      <c r="E27" s="3">
        <v>6226.42</v>
      </c>
      <c r="F27" s="3">
        <v>7316.33</v>
      </c>
      <c r="G27" s="3">
        <v>8678.31</v>
      </c>
      <c r="H27" s="3">
        <v>8434.9599999999991</v>
      </c>
      <c r="I27" s="3">
        <v>7959.38</v>
      </c>
      <c r="J27" s="7">
        <v>9975.24</v>
      </c>
      <c r="K27" s="7">
        <v>14494.67</v>
      </c>
    </row>
    <row r="28" spans="1:11" x14ac:dyDescent="0.25">
      <c r="A28" s="2" t="s">
        <v>23</v>
      </c>
      <c r="B28" s="3">
        <v>1529.57</v>
      </c>
      <c r="C28" s="3">
        <v>738.51</v>
      </c>
      <c r="D28" s="3">
        <v>1341.98</v>
      </c>
      <c r="E28" s="3">
        <v>1393.2</v>
      </c>
      <c r="F28" s="3">
        <v>1960.1</v>
      </c>
      <c r="G28" s="3">
        <v>2059.96</v>
      </c>
      <c r="H28" s="3">
        <v>2208.5700000000002</v>
      </c>
      <c r="I28" s="3">
        <v>2646.27</v>
      </c>
      <c r="J28" s="3">
        <v>4262.9399999999996</v>
      </c>
      <c r="K28" s="3">
        <v>5261</v>
      </c>
    </row>
    <row r="29" spans="1:11" x14ac:dyDescent="0.25">
      <c r="A29" s="2" t="s">
        <v>24</v>
      </c>
      <c r="B29" s="3">
        <v>517.48</v>
      </c>
      <c r="C29" s="3">
        <v>250.61</v>
      </c>
      <c r="D29" s="3">
        <v>488.66</v>
      </c>
      <c r="E29" s="3">
        <v>483.55</v>
      </c>
      <c r="F29" s="3">
        <v>677.58</v>
      </c>
      <c r="G29" s="3">
        <v>507.2</v>
      </c>
      <c r="H29" s="3">
        <v>561.36</v>
      </c>
      <c r="I29" s="3">
        <v>680.88</v>
      </c>
      <c r="J29" s="3">
        <v>1087.18</v>
      </c>
      <c r="K29" s="3">
        <v>1333.47</v>
      </c>
    </row>
    <row r="30" spans="1:11" x14ac:dyDescent="0.25">
      <c r="A30" s="2" t="s">
        <v>25</v>
      </c>
      <c r="B30" s="3">
        <v>1057.81</v>
      </c>
      <c r="C30" s="3">
        <v>486.42</v>
      </c>
      <c r="D30" s="3">
        <v>866.87</v>
      </c>
      <c r="E30" s="3">
        <v>935.44</v>
      </c>
      <c r="F30" s="3">
        <v>1316.29</v>
      </c>
      <c r="G30" s="3">
        <v>1580.2</v>
      </c>
      <c r="H30" s="3">
        <v>1664.33</v>
      </c>
      <c r="I30" s="3">
        <v>1969.79</v>
      </c>
      <c r="J30" s="3">
        <v>3164.72</v>
      </c>
      <c r="K30" s="3">
        <v>3880.43</v>
      </c>
    </row>
    <row r="31" spans="1:11" x14ac:dyDescent="0.25">
      <c r="A31" s="2" t="s">
        <v>26</v>
      </c>
      <c r="B31" s="3">
        <v>188.46</v>
      </c>
      <c r="C31" s="3">
        <v>120.33</v>
      </c>
      <c r="D31" s="3">
        <v>155.16</v>
      </c>
      <c r="E31" s="3">
        <v>197.22</v>
      </c>
      <c r="F31" s="3">
        <v>277.91000000000003</v>
      </c>
      <c r="G31" s="3"/>
      <c r="H31" s="3">
        <v>139.72999999999999</v>
      </c>
      <c r="I31" s="3">
        <v>378.46</v>
      </c>
      <c r="J31" s="3">
        <v>211.62</v>
      </c>
      <c r="K31" s="3">
        <v>292.24</v>
      </c>
    </row>
    <row r="32" spans="1:11" x14ac:dyDescent="0.25">
      <c r="A32" s="2" t="s">
        <v>27</v>
      </c>
      <c r="B32" s="8">
        <f>B29/B28</f>
        <v>0.3383173048634584</v>
      </c>
      <c r="C32" s="8">
        <f t="shared" ref="C32:K32" si="0">C29/C28</f>
        <v>0.33934543878891282</v>
      </c>
      <c r="D32" s="8">
        <f t="shared" si="0"/>
        <v>0.36413359364521081</v>
      </c>
      <c r="E32" s="8">
        <f t="shared" si="0"/>
        <v>0.34707866781510194</v>
      </c>
      <c r="F32" s="8">
        <f t="shared" si="0"/>
        <v>0.34568644456915465</v>
      </c>
      <c r="G32" s="8">
        <f t="shared" si="0"/>
        <v>0.24621837317229459</v>
      </c>
      <c r="H32" s="8">
        <f t="shared" si="0"/>
        <v>0.25417351498933699</v>
      </c>
      <c r="I32" s="8">
        <f t="shared" si="0"/>
        <v>0.257298008139759</v>
      </c>
      <c r="J32" s="8">
        <f t="shared" si="0"/>
        <v>0.25503056575978084</v>
      </c>
      <c r="K32" s="8">
        <f t="shared" si="0"/>
        <v>0.25346321992016729</v>
      </c>
    </row>
    <row r="34" spans="1:11" x14ac:dyDescent="0.25">
      <c r="A34" s="2" t="s">
        <v>28</v>
      </c>
      <c r="B34" s="2">
        <f>+B30+B29+B27+B26</f>
        <v>6711.11</v>
      </c>
      <c r="C34" s="2">
        <f t="shared" ref="C34:K34" si="1">+C30+C29+C27+C26</f>
        <v>6104.55</v>
      </c>
      <c r="D34" s="2">
        <f t="shared" si="1"/>
        <v>7132.0199999999995</v>
      </c>
      <c r="E34" s="2">
        <f t="shared" si="1"/>
        <v>7770.1399999999994</v>
      </c>
      <c r="F34" s="2">
        <f t="shared" si="1"/>
        <v>9432.4600000000009</v>
      </c>
      <c r="G34" s="2">
        <f t="shared" si="1"/>
        <v>10891.439999999999</v>
      </c>
      <c r="H34" s="2">
        <f t="shared" si="1"/>
        <v>10775.57</v>
      </c>
      <c r="I34" s="2">
        <f t="shared" si="1"/>
        <v>10748.949999999999</v>
      </c>
      <c r="J34" s="2">
        <f t="shared" si="1"/>
        <v>14409.32</v>
      </c>
      <c r="K34" s="2">
        <f t="shared" si="1"/>
        <v>19942.52</v>
      </c>
    </row>
    <row r="40" spans="1:11" x14ac:dyDescent="0.25">
      <c r="A40" s="1" t="s">
        <v>29</v>
      </c>
    </row>
    <row r="41" spans="1:11" s="6" customFormat="1" x14ac:dyDescent="0.25">
      <c r="A41" s="4" t="s">
        <v>11</v>
      </c>
      <c r="B41" s="5">
        <v>44834</v>
      </c>
      <c r="C41" s="5">
        <v>44926</v>
      </c>
      <c r="D41" s="5">
        <v>45016</v>
      </c>
      <c r="E41" s="5">
        <v>45107</v>
      </c>
      <c r="F41" s="5">
        <v>45199</v>
      </c>
      <c r="G41" s="5">
        <v>45291</v>
      </c>
      <c r="H41" s="5">
        <v>45382</v>
      </c>
      <c r="I41" s="5">
        <v>45473</v>
      </c>
      <c r="J41" s="5">
        <v>45565</v>
      </c>
      <c r="K41" s="5">
        <v>45657</v>
      </c>
    </row>
    <row r="42" spans="1:11" x14ac:dyDescent="0.25">
      <c r="A42" s="2" t="s">
        <v>12</v>
      </c>
      <c r="B42" s="3">
        <v>4258.93</v>
      </c>
      <c r="C42" s="3">
        <v>4697.5</v>
      </c>
      <c r="D42" s="3">
        <v>5012.26</v>
      </c>
      <c r="E42" s="3">
        <v>5349.77</v>
      </c>
      <c r="F42" s="3">
        <v>5791.28</v>
      </c>
      <c r="G42" s="3">
        <v>6085.2</v>
      </c>
      <c r="H42" s="3">
        <v>6339.22</v>
      </c>
      <c r="I42" s="3">
        <v>6727.6</v>
      </c>
      <c r="J42" s="3">
        <v>7005.66</v>
      </c>
      <c r="K42" s="3">
        <v>7264.87</v>
      </c>
    </row>
    <row r="43" spans="1:11" x14ac:dyDescent="0.25">
      <c r="A43" s="2" t="s">
        <v>30</v>
      </c>
      <c r="B43" s="3">
        <v>1540.91</v>
      </c>
      <c r="C43" s="3">
        <v>1543.5</v>
      </c>
      <c r="D43" s="3">
        <v>1574.41</v>
      </c>
      <c r="E43" s="3">
        <v>1634.13</v>
      </c>
      <c r="F43" s="3">
        <v>1661.35</v>
      </c>
      <c r="G43" s="3">
        <v>1814.06</v>
      </c>
      <c r="H43" s="3">
        <v>1916.74</v>
      </c>
      <c r="I43" s="3">
        <v>2047.78</v>
      </c>
      <c r="J43" s="3">
        <v>2148.79</v>
      </c>
      <c r="K43" s="3">
        <v>2349.35</v>
      </c>
    </row>
    <row r="44" spans="1:11" x14ac:dyDescent="0.25">
      <c r="A44" s="2" t="s">
        <v>20</v>
      </c>
      <c r="B44" s="3">
        <v>627.65</v>
      </c>
      <c r="C44" s="3">
        <v>565.08000000000004</v>
      </c>
      <c r="D44" s="3">
        <v>768.42</v>
      </c>
      <c r="E44" s="3">
        <v>741.31</v>
      </c>
      <c r="F44" s="3">
        <v>756.92</v>
      </c>
      <c r="G44" s="3">
        <v>908.35</v>
      </c>
      <c r="H44" s="3">
        <v>809.9</v>
      </c>
      <c r="I44" s="3">
        <v>936.05</v>
      </c>
      <c r="J44" s="3">
        <v>1009.63</v>
      </c>
      <c r="K44" s="3">
        <v>931.15</v>
      </c>
    </row>
    <row r="45" spans="1:11" x14ac:dyDescent="0.25">
      <c r="A45" s="2" t="s">
        <v>21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4" x14ac:dyDescent="0.3">
      <c r="A46" s="2" t="s">
        <v>22</v>
      </c>
      <c r="B46" s="7">
        <v>2349.04</v>
      </c>
      <c r="C46" s="7">
        <v>2584.9</v>
      </c>
      <c r="D46" s="7">
        <v>2937.54</v>
      </c>
      <c r="E46" s="7">
        <v>3254.51</v>
      </c>
      <c r="F46" s="7">
        <v>3544.14</v>
      </c>
      <c r="G46" s="7">
        <v>3759.68</v>
      </c>
      <c r="H46" s="7">
        <v>3936.34</v>
      </c>
      <c r="I46" s="7">
        <v>4211.53</v>
      </c>
      <c r="J46" s="7">
        <v>4393.45</v>
      </c>
      <c r="K46" s="7">
        <v>4569.82</v>
      </c>
    </row>
    <row r="47" spans="1:11" x14ac:dyDescent="0.25">
      <c r="A47" s="2" t="s">
        <v>23</v>
      </c>
      <c r="B47" s="3">
        <v>996.63</v>
      </c>
      <c r="C47" s="3">
        <v>1134.18</v>
      </c>
      <c r="D47" s="3">
        <v>1268.73</v>
      </c>
      <c r="E47" s="3">
        <v>1202.44</v>
      </c>
      <c r="F47" s="3">
        <v>1342.71</v>
      </c>
      <c r="G47" s="3">
        <v>1419.81</v>
      </c>
      <c r="H47" s="3">
        <v>1296.04</v>
      </c>
      <c r="I47" s="3">
        <v>1404.34</v>
      </c>
      <c r="J47" s="3">
        <v>1473.05</v>
      </c>
      <c r="K47" s="3">
        <v>1276.8499999999999</v>
      </c>
    </row>
    <row r="48" spans="1:11" x14ac:dyDescent="0.25">
      <c r="A48" s="2" t="s">
        <v>24</v>
      </c>
      <c r="B48" s="3">
        <v>255.72</v>
      </c>
      <c r="C48" s="3">
        <v>281.89999999999998</v>
      </c>
      <c r="D48" s="3">
        <v>329.16</v>
      </c>
      <c r="E48" s="3">
        <v>310.7</v>
      </c>
      <c r="F48" s="3">
        <v>342.55</v>
      </c>
      <c r="G48" s="3">
        <v>356.57</v>
      </c>
      <c r="H48" s="3">
        <v>323.64999999999998</v>
      </c>
      <c r="I48" s="3">
        <v>364.32</v>
      </c>
      <c r="J48" s="3">
        <v>368.59</v>
      </c>
      <c r="K48" s="3">
        <v>328.15</v>
      </c>
    </row>
    <row r="49" spans="1:11" x14ac:dyDescent="0.25">
      <c r="A49" s="2" t="s">
        <v>25</v>
      </c>
      <c r="B49" s="3">
        <v>733.34</v>
      </c>
      <c r="C49" s="3">
        <v>843.25</v>
      </c>
      <c r="D49" s="3">
        <v>953.91</v>
      </c>
      <c r="E49" s="3">
        <v>880.12</v>
      </c>
      <c r="F49" s="3">
        <v>994.1</v>
      </c>
      <c r="G49" s="3">
        <v>1035.42</v>
      </c>
      <c r="H49" s="3">
        <v>970.79</v>
      </c>
      <c r="I49" s="3">
        <v>1027.51</v>
      </c>
      <c r="J49" s="3">
        <v>1096.25</v>
      </c>
      <c r="K49" s="3">
        <v>944.15</v>
      </c>
    </row>
    <row r="50" spans="1:11" x14ac:dyDescent="0.25">
      <c r="A50" s="2" t="s">
        <v>31</v>
      </c>
      <c r="B50" s="3">
        <v>2718.02</v>
      </c>
      <c r="C50" s="3">
        <v>3154</v>
      </c>
      <c r="D50" s="3">
        <v>3437.85</v>
      </c>
      <c r="E50" s="3">
        <v>3715.64</v>
      </c>
      <c r="F50" s="3">
        <v>4129.93</v>
      </c>
      <c r="G50" s="3">
        <v>4271.1400000000003</v>
      </c>
      <c r="H50" s="3">
        <v>4422.4799999999996</v>
      </c>
      <c r="I50" s="3">
        <v>4679.82</v>
      </c>
      <c r="J50" s="3">
        <v>4856.87</v>
      </c>
      <c r="K50" s="3">
        <v>4915.5200000000004</v>
      </c>
    </row>
    <row r="51" spans="1:11" x14ac:dyDescent="0.25">
      <c r="A51" s="2" t="s">
        <v>28</v>
      </c>
      <c r="B51" s="2">
        <f>B49+B48+B46+B45</f>
        <v>3338.1</v>
      </c>
      <c r="C51" s="2">
        <f t="shared" ref="C51:K51" si="2">C49+C48+C46+C45</f>
        <v>3710.05</v>
      </c>
      <c r="D51" s="2">
        <f t="shared" si="2"/>
        <v>4220.6099999999997</v>
      </c>
      <c r="E51" s="2">
        <f t="shared" si="2"/>
        <v>4445.33</v>
      </c>
      <c r="F51" s="2">
        <f t="shared" si="2"/>
        <v>4880.79</v>
      </c>
      <c r="G51" s="2">
        <f t="shared" si="2"/>
        <v>5151.67</v>
      </c>
      <c r="H51" s="2">
        <f t="shared" si="2"/>
        <v>5230.7800000000007</v>
      </c>
      <c r="I51" s="2">
        <f t="shared" si="2"/>
        <v>5603.36</v>
      </c>
      <c r="J51" s="2">
        <f t="shared" si="2"/>
        <v>5858.29</v>
      </c>
      <c r="K51" s="2">
        <f t="shared" si="2"/>
        <v>5842.12</v>
      </c>
    </row>
    <row r="55" spans="1:11" x14ac:dyDescent="0.25">
      <c r="A55" s="1" t="s">
        <v>32</v>
      </c>
    </row>
    <row r="56" spans="1:11" s="6" customFormat="1" x14ac:dyDescent="0.25">
      <c r="A56" s="4" t="s">
        <v>11</v>
      </c>
      <c r="B56" s="5">
        <v>42094</v>
      </c>
      <c r="C56" s="5">
        <v>42460</v>
      </c>
      <c r="D56" s="5">
        <v>42825</v>
      </c>
      <c r="E56" s="5">
        <v>43190</v>
      </c>
      <c r="F56" s="5">
        <v>43555</v>
      </c>
      <c r="G56" s="5">
        <v>43921</v>
      </c>
      <c r="H56" s="5">
        <v>44286</v>
      </c>
      <c r="I56" s="5">
        <v>44651</v>
      </c>
      <c r="J56" s="5">
        <v>45016</v>
      </c>
      <c r="K56" s="5">
        <v>45382</v>
      </c>
    </row>
    <row r="57" spans="1:11" x14ac:dyDescent="0.25">
      <c r="A57" s="2" t="s">
        <v>33</v>
      </c>
      <c r="B57" s="3">
        <v>171.33</v>
      </c>
      <c r="C57" s="3">
        <v>343.79</v>
      </c>
      <c r="D57" s="3">
        <v>344.81</v>
      </c>
      <c r="E57" s="3">
        <v>394.43</v>
      </c>
      <c r="F57" s="3">
        <v>397.01</v>
      </c>
      <c r="G57" s="3">
        <v>398.53</v>
      </c>
      <c r="H57" s="3">
        <v>399.23</v>
      </c>
      <c r="I57" s="3">
        <v>420.51</v>
      </c>
      <c r="J57" s="3">
        <v>423.24</v>
      </c>
      <c r="K57" s="3">
        <v>487.07</v>
      </c>
    </row>
    <row r="58" spans="1:11" x14ac:dyDescent="0.25">
      <c r="A58" s="2" t="s">
        <v>34</v>
      </c>
      <c r="B58" s="3">
        <v>7528.94</v>
      </c>
      <c r="C58" s="3">
        <v>7720.34</v>
      </c>
      <c r="D58" s="3">
        <v>8606.56</v>
      </c>
      <c r="E58" s="3">
        <v>11879.81</v>
      </c>
      <c r="F58" s="3">
        <v>13101.24</v>
      </c>
      <c r="G58" s="3">
        <v>14423.83</v>
      </c>
      <c r="H58" s="3">
        <v>16104.72</v>
      </c>
      <c r="I58" s="3">
        <v>18835.009999999998</v>
      </c>
      <c r="J58" s="3">
        <v>21699.17</v>
      </c>
      <c r="K58" s="3">
        <v>29618.28</v>
      </c>
    </row>
    <row r="59" spans="1:11" ht="14.4" x14ac:dyDescent="0.3">
      <c r="A59" s="2" t="s">
        <v>35</v>
      </c>
      <c r="B59" s="7">
        <v>73215.67</v>
      </c>
      <c r="C59" s="7">
        <v>84407.22</v>
      </c>
      <c r="D59" s="7">
        <v>104007.57</v>
      </c>
      <c r="E59" s="7">
        <v>124298.94</v>
      </c>
      <c r="F59" s="7">
        <v>143585.22</v>
      </c>
      <c r="G59" s="7">
        <v>164779.63</v>
      </c>
      <c r="H59" s="7">
        <v>184456.7</v>
      </c>
      <c r="I59" s="7">
        <v>201264.91</v>
      </c>
      <c r="J59" s="7">
        <v>238850.48</v>
      </c>
      <c r="K59" s="7">
        <v>277614.63</v>
      </c>
    </row>
    <row r="60" spans="1:11" x14ac:dyDescent="0.25">
      <c r="A60" s="2" t="s">
        <v>36</v>
      </c>
      <c r="B60" s="3">
        <v>1992.77</v>
      </c>
      <c r="C60" s="3">
        <v>2234.38</v>
      </c>
      <c r="D60" s="3">
        <v>2526.8000000000002</v>
      </c>
      <c r="E60" s="3">
        <v>2640.48</v>
      </c>
      <c r="F60" s="3">
        <v>3469</v>
      </c>
      <c r="G60" s="3">
        <v>3751.34</v>
      </c>
      <c r="H60" s="3">
        <v>4005.87</v>
      </c>
      <c r="I60" s="3">
        <v>5720.62</v>
      </c>
      <c r="J60" s="3">
        <v>7031.17</v>
      </c>
      <c r="K60" s="3">
        <v>10118.969999999999</v>
      </c>
    </row>
    <row r="61" spans="1:11" s="1" customFormat="1" x14ac:dyDescent="0.25">
      <c r="A61" s="1" t="s">
        <v>37</v>
      </c>
      <c r="B61" s="3">
        <v>82908.710000000006</v>
      </c>
      <c r="C61" s="3">
        <v>94705.73</v>
      </c>
      <c r="D61" s="3">
        <v>115485.74</v>
      </c>
      <c r="E61" s="3">
        <v>139213.66</v>
      </c>
      <c r="F61" s="3">
        <v>160552.47</v>
      </c>
      <c r="G61" s="3">
        <v>183353.33</v>
      </c>
      <c r="H61" s="3">
        <v>204966.52</v>
      </c>
      <c r="I61" s="3">
        <v>226241.05</v>
      </c>
      <c r="J61" s="3">
        <v>268004.06</v>
      </c>
      <c r="K61" s="3">
        <v>317838.95</v>
      </c>
    </row>
    <row r="62" spans="1:11" x14ac:dyDescent="0.25">
      <c r="A62" s="2" t="s">
        <v>38</v>
      </c>
      <c r="B62" s="3">
        <v>446.1</v>
      </c>
      <c r="C62" s="3">
        <v>507.88</v>
      </c>
      <c r="D62" s="3">
        <v>477.4</v>
      </c>
      <c r="E62" s="3">
        <v>451.73</v>
      </c>
      <c r="F62" s="3">
        <v>461.58</v>
      </c>
      <c r="G62" s="3">
        <v>477.2</v>
      </c>
      <c r="H62" s="3">
        <v>504.41</v>
      </c>
      <c r="I62" s="3">
        <v>643.26</v>
      </c>
      <c r="J62" s="3">
        <v>890.32</v>
      </c>
      <c r="K62" s="3">
        <v>996.05</v>
      </c>
    </row>
    <row r="63" spans="1:11" x14ac:dyDescent="0.25">
      <c r="A63" s="2" t="s">
        <v>39</v>
      </c>
      <c r="B63" s="3">
        <v>26.58</v>
      </c>
      <c r="C63" s="3">
        <v>15.76</v>
      </c>
      <c r="D63" s="3">
        <v>14.94</v>
      </c>
      <c r="E63" s="3">
        <v>9.6199999999999992</v>
      </c>
      <c r="F63" s="3">
        <v>18.350000000000001</v>
      </c>
      <c r="G63" s="3">
        <v>27.61</v>
      </c>
      <c r="H63" s="3">
        <v>13.08</v>
      </c>
      <c r="I63" s="3">
        <v>28.85</v>
      </c>
      <c r="J63" s="3">
        <v>81.39</v>
      </c>
      <c r="K63" s="3">
        <v>66.989999999999995</v>
      </c>
    </row>
    <row r="64" spans="1:11" ht="14.4" x14ac:dyDescent="0.3">
      <c r="A64" s="2" t="s">
        <v>40</v>
      </c>
      <c r="B64" s="3">
        <v>20349.439999999999</v>
      </c>
      <c r="C64" s="7">
        <v>24920.47</v>
      </c>
      <c r="D64" s="3">
        <v>27912.26</v>
      </c>
      <c r="E64" s="3">
        <v>30594.68</v>
      </c>
      <c r="F64" s="3">
        <v>31675.7</v>
      </c>
      <c r="G64" s="3">
        <v>35715.39</v>
      </c>
      <c r="H64" s="3">
        <v>36731.67</v>
      </c>
      <c r="I64" s="3">
        <v>39065.19</v>
      </c>
      <c r="J64" s="3">
        <v>48702.239999999998</v>
      </c>
      <c r="K64" s="3">
        <v>61043.12</v>
      </c>
    </row>
    <row r="65" spans="1:11" x14ac:dyDescent="0.25">
      <c r="A65" s="2" t="s">
        <v>41</v>
      </c>
      <c r="B65" s="3">
        <v>62086.59</v>
      </c>
      <c r="C65" s="3">
        <v>69261.62</v>
      </c>
      <c r="D65" s="3">
        <v>87081.14</v>
      </c>
      <c r="E65" s="3">
        <v>108157.63</v>
      </c>
      <c r="F65" s="3">
        <v>128396.84</v>
      </c>
      <c r="G65" s="3">
        <v>147133.13</v>
      </c>
      <c r="H65" s="3">
        <v>167717.35999999999</v>
      </c>
      <c r="I65" s="3">
        <v>186503.75</v>
      </c>
      <c r="J65" s="3">
        <v>218330.11</v>
      </c>
      <c r="K65" s="3">
        <v>255732.79</v>
      </c>
    </row>
    <row r="66" spans="1:11" s="1" customFormat="1" x14ac:dyDescent="0.25">
      <c r="A66" s="1" t="s">
        <v>37</v>
      </c>
      <c r="B66" s="3">
        <v>82908.710000000006</v>
      </c>
      <c r="C66" s="3">
        <v>94705.73</v>
      </c>
      <c r="D66" s="3">
        <v>115485.74</v>
      </c>
      <c r="E66" s="3">
        <v>139213.66</v>
      </c>
      <c r="F66" s="3">
        <v>160552.47</v>
      </c>
      <c r="G66" s="3">
        <v>183353.33</v>
      </c>
      <c r="H66" s="3">
        <v>204966.52</v>
      </c>
      <c r="I66" s="3">
        <v>226241.05</v>
      </c>
      <c r="J66" s="3">
        <v>268004.06</v>
      </c>
      <c r="K66" s="3">
        <v>317838.95</v>
      </c>
    </row>
    <row r="67" spans="1:11" x14ac:dyDescent="0.25">
      <c r="A67" s="2" t="s">
        <v>42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4" x14ac:dyDescent="0.3">
      <c r="A68" s="2" t="s">
        <v>43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2" t="s">
        <v>44</v>
      </c>
      <c r="B69" s="3">
        <v>4784.4399999999996</v>
      </c>
      <c r="C69" s="3">
        <v>5423.14</v>
      </c>
      <c r="D69" s="3">
        <v>7454.64</v>
      </c>
      <c r="E69" s="3">
        <v>9195.2099999999991</v>
      </c>
      <c r="F69" s="3">
        <v>10053.469999999999</v>
      </c>
      <c r="G69" s="3">
        <v>12757.31</v>
      </c>
      <c r="H69" s="3">
        <v>19815.73</v>
      </c>
      <c r="I69" s="3">
        <v>21136.11</v>
      </c>
      <c r="J69" s="3">
        <v>17803.93</v>
      </c>
      <c r="K69" s="3">
        <v>19193.82</v>
      </c>
    </row>
    <row r="70" spans="1:11" x14ac:dyDescent="0.25">
      <c r="A70" s="2" t="s">
        <v>45</v>
      </c>
      <c r="B70" s="3">
        <v>856655197</v>
      </c>
      <c r="C70" s="3">
        <v>1718946844</v>
      </c>
      <c r="D70" s="3">
        <v>1724045414</v>
      </c>
      <c r="E70" s="3">
        <v>1972144439</v>
      </c>
      <c r="F70" s="3">
        <v>1985050203</v>
      </c>
      <c r="G70" s="3">
        <v>1992664572</v>
      </c>
      <c r="H70" s="3">
        <v>1996152748</v>
      </c>
      <c r="I70" s="3">
        <v>2102546373</v>
      </c>
      <c r="J70" s="3">
        <v>2116201143</v>
      </c>
      <c r="K70" s="3">
        <v>2435351938</v>
      </c>
    </row>
    <row r="71" spans="1:11" ht="13.8" x14ac:dyDescent="0.25">
      <c r="A71" s="2" t="s">
        <v>46</v>
      </c>
      <c r="B71" s="9"/>
      <c r="C71" s="9"/>
      <c r="G71" s="9"/>
      <c r="H71" s="9"/>
    </row>
    <row r="72" spans="1:11" x14ac:dyDescent="0.25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25">
      <c r="H73" s="2">
        <f>H62-G62+H45</f>
        <v>27.210000000000036</v>
      </c>
      <c r="I73" s="2">
        <f t="shared" ref="I73:K73" si="3">I62-H62+I45</f>
        <v>138.84999999999997</v>
      </c>
      <c r="J73" s="2">
        <f t="shared" si="3"/>
        <v>247.06000000000006</v>
      </c>
      <c r="K73" s="2">
        <f t="shared" si="3"/>
        <v>105.7299999999999</v>
      </c>
    </row>
    <row r="80" spans="1:11" x14ac:dyDescent="0.25">
      <c r="A80" s="1" t="s">
        <v>48</v>
      </c>
    </row>
    <row r="81" spans="1:12" s="6" customFormat="1" x14ac:dyDescent="0.25">
      <c r="A81" s="4" t="s">
        <v>11</v>
      </c>
      <c r="B81" s="5">
        <v>42094</v>
      </c>
      <c r="C81" s="5">
        <v>42460</v>
      </c>
      <c r="D81" s="5">
        <v>42825</v>
      </c>
      <c r="E81" s="5">
        <v>43190</v>
      </c>
      <c r="F81" s="5">
        <v>43555</v>
      </c>
      <c r="G81" s="5">
        <v>43921</v>
      </c>
      <c r="H81" s="5">
        <v>44286</v>
      </c>
      <c r="I81" s="5">
        <v>44651</v>
      </c>
      <c r="J81" s="5">
        <v>45016</v>
      </c>
      <c r="K81" s="5">
        <v>45382</v>
      </c>
      <c r="L81" s="5"/>
    </row>
    <row r="82" spans="1:12" s="1" customFormat="1" x14ac:dyDescent="0.25">
      <c r="A82" s="2" t="s">
        <v>49</v>
      </c>
      <c r="B82" s="3">
        <v>5158.2700000000004</v>
      </c>
      <c r="C82" s="3">
        <v>-1556.94</v>
      </c>
      <c r="D82" s="3">
        <v>3430.66</v>
      </c>
      <c r="E82" s="3">
        <v>-5050.93</v>
      </c>
      <c r="F82" s="3">
        <v>7872.64</v>
      </c>
      <c r="G82" s="3">
        <v>3730.57</v>
      </c>
      <c r="H82" s="3">
        <v>11179.03</v>
      </c>
      <c r="I82" s="3">
        <v>-7773.65</v>
      </c>
      <c r="J82" s="3">
        <v>489.3</v>
      </c>
      <c r="K82" s="3">
        <v>6431.17</v>
      </c>
    </row>
    <row r="83" spans="1:12" x14ac:dyDescent="0.25">
      <c r="A83" s="2" t="s">
        <v>50</v>
      </c>
      <c r="B83" s="3">
        <v>-1364.28</v>
      </c>
      <c r="C83" s="3">
        <v>1990.45</v>
      </c>
      <c r="D83" s="3">
        <v>-2384.3000000000002</v>
      </c>
      <c r="E83" s="3">
        <v>-1579.11</v>
      </c>
      <c r="F83" s="3">
        <v>-3377.77</v>
      </c>
      <c r="G83" s="3">
        <v>-4688.2</v>
      </c>
      <c r="H83" s="3">
        <v>-3913</v>
      </c>
      <c r="I83" s="3">
        <v>901.38</v>
      </c>
      <c r="J83" s="3">
        <v>-9859.6</v>
      </c>
      <c r="K83" s="3">
        <v>-8912.16</v>
      </c>
    </row>
    <row r="84" spans="1:12" x14ac:dyDescent="0.25">
      <c r="A84" s="2" t="s">
        <v>51</v>
      </c>
      <c r="B84" s="3">
        <v>-3543.73</v>
      </c>
      <c r="C84" s="3">
        <v>205.18</v>
      </c>
      <c r="D84" s="3">
        <v>985.13</v>
      </c>
      <c r="E84" s="3">
        <v>8370.6200000000008</v>
      </c>
      <c r="F84" s="3">
        <v>-3636.61</v>
      </c>
      <c r="G84" s="3">
        <v>3661.47</v>
      </c>
      <c r="H84" s="3">
        <v>-207.61</v>
      </c>
      <c r="I84" s="3">
        <v>8192.64</v>
      </c>
      <c r="J84" s="3">
        <v>6038.13</v>
      </c>
      <c r="K84" s="3">
        <v>3870.88</v>
      </c>
    </row>
    <row r="85" spans="1:12" s="1" customFormat="1" x14ac:dyDescent="0.25">
      <c r="A85" s="2" t="s">
        <v>52</v>
      </c>
      <c r="B85" s="3">
        <v>250.27</v>
      </c>
      <c r="C85" s="3">
        <v>638.70000000000005</v>
      </c>
      <c r="D85" s="3">
        <v>2031.5</v>
      </c>
      <c r="E85" s="3">
        <v>1740.57</v>
      </c>
      <c r="F85" s="3">
        <v>858.26</v>
      </c>
      <c r="G85" s="3">
        <v>2703.84</v>
      </c>
      <c r="H85" s="3">
        <v>7058.43</v>
      </c>
      <c r="I85" s="3">
        <v>1320.37</v>
      </c>
      <c r="J85" s="3">
        <v>-3332.18</v>
      </c>
      <c r="K85" s="3">
        <v>1389.9</v>
      </c>
    </row>
    <row r="90" spans="1:12" s="1" customFormat="1" x14ac:dyDescent="0.25">
      <c r="A90" s="1" t="s">
        <v>53</v>
      </c>
      <c r="B90" s="3">
        <v>66.03</v>
      </c>
      <c r="C90" s="3">
        <v>46.45</v>
      </c>
      <c r="D90" s="3">
        <v>91.45</v>
      </c>
      <c r="E90" s="3">
        <v>89.2</v>
      </c>
      <c r="F90" s="3">
        <v>96.45</v>
      </c>
      <c r="G90" s="3">
        <v>41.05</v>
      </c>
      <c r="H90" s="3">
        <v>75.8</v>
      </c>
      <c r="I90" s="3">
        <v>97.4</v>
      </c>
      <c r="J90" s="3">
        <v>132.30000000000001</v>
      </c>
      <c r="K90" s="3">
        <v>150.19999999999999</v>
      </c>
    </row>
    <row r="92" spans="1:12" s="1" customFormat="1" x14ac:dyDescent="0.25">
      <c r="A92" s="1" t="s">
        <v>54</v>
      </c>
    </row>
    <row r="93" spans="1:12" x14ac:dyDescent="0.25">
      <c r="A93" s="2" t="s">
        <v>55</v>
      </c>
      <c r="B93" s="10">
        <v>171.33</v>
      </c>
      <c r="C93" s="10">
        <v>171.89</v>
      </c>
      <c r="D93" s="10">
        <v>172.4</v>
      </c>
      <c r="E93" s="10">
        <v>197.21</v>
      </c>
      <c r="F93" s="10">
        <v>198.51</v>
      </c>
      <c r="G93" s="10">
        <v>199.27</v>
      </c>
      <c r="H93" s="10">
        <v>199.62</v>
      </c>
      <c r="I93" s="10">
        <v>210.25</v>
      </c>
      <c r="J93" s="10">
        <v>211.62</v>
      </c>
      <c r="K93" s="10">
        <v>243.54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31A-BDD7-4BA4-B330-A42F092009EB}">
  <dimension ref="B2:N35"/>
  <sheetViews>
    <sheetView workbookViewId="0">
      <selection activeCell="Q9" sqref="Q9"/>
    </sheetView>
  </sheetViews>
  <sheetFormatPr defaultRowHeight="14.4" x14ac:dyDescent="0.3"/>
  <cols>
    <col min="2" max="2" width="28" bestFit="1" customWidth="1"/>
    <col min="3" max="14" width="7.33203125" bestFit="1" customWidth="1"/>
  </cols>
  <sheetData>
    <row r="2" spans="2:14" x14ac:dyDescent="0.3">
      <c r="C2" s="11">
        <v>40603</v>
      </c>
      <c r="D2" s="11">
        <v>40969</v>
      </c>
      <c r="E2" s="11">
        <v>41334</v>
      </c>
      <c r="F2" s="11">
        <v>41699</v>
      </c>
      <c r="G2" s="11">
        <v>42064</v>
      </c>
      <c r="H2" s="11">
        <v>42430</v>
      </c>
      <c r="I2" s="11">
        <v>42795</v>
      </c>
      <c r="J2" s="11">
        <v>43160</v>
      </c>
      <c r="K2" s="11">
        <v>43525</v>
      </c>
      <c r="L2" s="11">
        <v>43891</v>
      </c>
      <c r="M2" s="11">
        <v>44256</v>
      </c>
      <c r="N2" s="11">
        <v>44621</v>
      </c>
    </row>
    <row r="3" spans="2:14" x14ac:dyDescent="0.3">
      <c r="B3" s="15" t="s">
        <v>115</v>
      </c>
      <c r="C3" s="29">
        <v>11240</v>
      </c>
      <c r="D3" s="29">
        <v>18384</v>
      </c>
      <c r="E3" s="29">
        <v>22163</v>
      </c>
      <c r="F3" s="29">
        <v>36151</v>
      </c>
      <c r="G3" s="29">
        <v>35531</v>
      </c>
      <c r="H3" s="29">
        <v>37900</v>
      </c>
      <c r="I3" s="29">
        <v>30199</v>
      </c>
      <c r="J3" s="29">
        <v>23857</v>
      </c>
      <c r="K3" s="29">
        <v>18891</v>
      </c>
      <c r="L3" s="29">
        <v>26633</v>
      </c>
      <c r="M3" s="29">
        <v>29001</v>
      </c>
      <c r="N3" s="29">
        <v>14283</v>
      </c>
    </row>
    <row r="4" spans="2:14" x14ac:dyDescent="0.3">
      <c r="B4" t="s">
        <v>88</v>
      </c>
      <c r="C4" s="29">
        <v>16680</v>
      </c>
      <c r="D4" s="29">
        <v>22432</v>
      </c>
      <c r="E4" s="29">
        <v>24406</v>
      </c>
      <c r="F4" s="29">
        <v>36303</v>
      </c>
      <c r="G4" s="29">
        <v>43397</v>
      </c>
      <c r="H4" s="29">
        <v>38626</v>
      </c>
      <c r="I4" s="29">
        <v>28840</v>
      </c>
      <c r="J4" s="29">
        <v>33312</v>
      </c>
      <c r="K4" s="29">
        <v>28771</v>
      </c>
      <c r="L4" s="29">
        <v>23352</v>
      </c>
      <c r="M4" s="29">
        <v>31198</v>
      </c>
      <c r="N4" s="29">
        <v>26666</v>
      </c>
    </row>
    <row r="5" spans="2:14" x14ac:dyDescent="0.3">
      <c r="B5" t="s">
        <v>42</v>
      </c>
      <c r="C5" s="29">
        <v>-1422</v>
      </c>
      <c r="D5" s="29">
        <v>-6659</v>
      </c>
      <c r="E5" s="29">
        <v>-5177</v>
      </c>
      <c r="F5">
        <v>445</v>
      </c>
      <c r="G5" s="29">
        <v>-3179</v>
      </c>
      <c r="H5" s="29">
        <v>-2223</v>
      </c>
      <c r="I5" s="29">
        <v>-4152</v>
      </c>
      <c r="J5" s="29">
        <v>-10688</v>
      </c>
      <c r="K5" s="29">
        <v>-9109</v>
      </c>
      <c r="L5" s="29">
        <v>9950</v>
      </c>
      <c r="M5" s="29">
        <v>-5505</v>
      </c>
      <c r="N5">
        <v>337</v>
      </c>
    </row>
    <row r="6" spans="2:14" x14ac:dyDescent="0.3">
      <c r="B6" t="s">
        <v>43</v>
      </c>
      <c r="C6" s="29">
        <v>-2411</v>
      </c>
      <c r="D6" s="29">
        <v>-2719</v>
      </c>
      <c r="E6" s="29">
        <v>-2656</v>
      </c>
      <c r="F6" s="29">
        <v>-2853</v>
      </c>
      <c r="G6" s="29">
        <v>-3692</v>
      </c>
      <c r="H6" s="29">
        <v>-5743</v>
      </c>
      <c r="I6" s="29">
        <v>-6621</v>
      </c>
      <c r="J6" s="29">
        <v>-3560</v>
      </c>
      <c r="K6" s="29">
        <v>2069</v>
      </c>
      <c r="L6" s="29">
        <v>2326</v>
      </c>
      <c r="M6" s="29">
        <v>3814</v>
      </c>
      <c r="N6">
        <v>597</v>
      </c>
    </row>
    <row r="7" spans="2:14" x14ac:dyDescent="0.3">
      <c r="B7" t="s">
        <v>89</v>
      </c>
      <c r="C7">
        <v>344</v>
      </c>
      <c r="D7" s="29">
        <v>5867</v>
      </c>
      <c r="E7" s="29">
        <v>8132</v>
      </c>
      <c r="F7" s="29">
        <v>4694</v>
      </c>
      <c r="G7" s="29">
        <v>3598</v>
      </c>
      <c r="H7" s="29">
        <v>3947</v>
      </c>
      <c r="I7" s="29">
        <v>9301</v>
      </c>
      <c r="J7" s="29">
        <v>7320</v>
      </c>
      <c r="K7" s="29">
        <v>-4692</v>
      </c>
      <c r="L7" s="29">
        <v>-8085</v>
      </c>
      <c r="M7" s="29">
        <v>5748</v>
      </c>
      <c r="N7" s="29">
        <v>-7012</v>
      </c>
    </row>
    <row r="8" spans="2:14" x14ac:dyDescent="0.3">
      <c r="B8" t="s">
        <v>90</v>
      </c>
      <c r="C8">
        <v>0</v>
      </c>
      <c r="D8">
        <v>0</v>
      </c>
      <c r="E8">
        <v>0</v>
      </c>
      <c r="F8">
        <v>0</v>
      </c>
      <c r="G8">
        <v>0</v>
      </c>
      <c r="H8">
        <v>-520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91</v>
      </c>
      <c r="C9">
        <v>-559</v>
      </c>
      <c r="D9" s="29">
        <v>1231</v>
      </c>
      <c r="E9">
        <v>-303</v>
      </c>
      <c r="F9" s="29">
        <v>1870</v>
      </c>
      <c r="G9">
        <v>-398</v>
      </c>
      <c r="H9" s="29">
        <v>5852</v>
      </c>
      <c r="I9" s="29">
        <v>4727</v>
      </c>
      <c r="J9">
        <v>494</v>
      </c>
      <c r="K9" s="29">
        <v>4512</v>
      </c>
      <c r="L9">
        <v>875</v>
      </c>
      <c r="M9" s="29">
        <v>-4150</v>
      </c>
      <c r="N9" s="29">
        <v>-4396</v>
      </c>
    </row>
    <row r="10" spans="2:14" x14ac:dyDescent="0.3">
      <c r="B10" t="s">
        <v>92</v>
      </c>
      <c r="C10" s="29">
        <v>-4048</v>
      </c>
      <c r="D10" s="29">
        <v>-2280</v>
      </c>
      <c r="E10">
        <v>-3</v>
      </c>
      <c r="F10" s="29">
        <v>4157</v>
      </c>
      <c r="G10" s="29">
        <v>-3672</v>
      </c>
      <c r="H10" s="29">
        <v>1313</v>
      </c>
      <c r="I10" s="29">
        <v>3254</v>
      </c>
      <c r="J10" s="29">
        <v>-6434</v>
      </c>
      <c r="K10" s="29">
        <v>-7221</v>
      </c>
      <c r="L10" s="29">
        <v>5065</v>
      </c>
      <c r="M10">
        <v>-93</v>
      </c>
      <c r="N10" s="29">
        <v>-10474</v>
      </c>
    </row>
    <row r="11" spans="2:14" x14ac:dyDescent="0.3">
      <c r="B11" t="s">
        <v>93</v>
      </c>
      <c r="C11" s="29">
        <v>-1391</v>
      </c>
      <c r="D11" s="29">
        <v>-1768</v>
      </c>
      <c r="E11" s="29">
        <v>-2240</v>
      </c>
      <c r="F11" s="29">
        <v>-4308</v>
      </c>
      <c r="G11" s="29">
        <v>-4194</v>
      </c>
      <c r="H11" s="29">
        <v>-2040</v>
      </c>
      <c r="I11" s="29">
        <v>-1895</v>
      </c>
      <c r="J11" s="29">
        <v>-3021</v>
      </c>
      <c r="K11" s="29">
        <v>-2659</v>
      </c>
      <c r="L11" s="29">
        <v>-1785</v>
      </c>
      <c r="M11" s="29">
        <v>-2105</v>
      </c>
      <c r="N11" s="29">
        <v>-1910</v>
      </c>
    </row>
    <row r="12" spans="2:14" x14ac:dyDescent="0.3">
      <c r="B12" s="15" t="s">
        <v>116</v>
      </c>
      <c r="C12" s="29">
        <v>-7023</v>
      </c>
      <c r="D12" s="29">
        <v>-19464</v>
      </c>
      <c r="E12" s="29">
        <v>-22969</v>
      </c>
      <c r="F12" s="29">
        <v>-27991</v>
      </c>
      <c r="G12" s="29">
        <v>-36232</v>
      </c>
      <c r="H12" s="29">
        <v>-36694</v>
      </c>
      <c r="I12" s="29">
        <v>-39571</v>
      </c>
      <c r="J12" s="29">
        <v>-25139</v>
      </c>
      <c r="K12" s="29">
        <v>-20878</v>
      </c>
      <c r="L12" s="29">
        <v>-33115</v>
      </c>
      <c r="M12" s="29">
        <v>-25672</v>
      </c>
      <c r="N12" s="29">
        <v>-4444</v>
      </c>
    </row>
    <row r="13" spans="2:14" x14ac:dyDescent="0.3">
      <c r="B13" t="s">
        <v>94</v>
      </c>
      <c r="C13" s="29">
        <v>-8124</v>
      </c>
      <c r="D13" s="29">
        <v>-13876</v>
      </c>
      <c r="E13" s="29">
        <v>-18863</v>
      </c>
      <c r="F13" s="29">
        <v>-26975</v>
      </c>
      <c r="G13" s="29">
        <v>-31962</v>
      </c>
      <c r="H13" s="29">
        <v>-31503</v>
      </c>
      <c r="I13" s="29">
        <v>-16072</v>
      </c>
      <c r="J13" s="29">
        <v>-35079</v>
      </c>
      <c r="K13" s="29">
        <v>-35304</v>
      </c>
      <c r="L13" s="29">
        <v>-29702</v>
      </c>
      <c r="M13" s="29">
        <v>-20205</v>
      </c>
      <c r="N13" s="29">
        <v>-15168</v>
      </c>
    </row>
    <row r="14" spans="2:14" x14ac:dyDescent="0.3">
      <c r="B14" t="s">
        <v>95</v>
      </c>
      <c r="C14">
        <v>11</v>
      </c>
      <c r="D14">
        <v>93</v>
      </c>
      <c r="E14">
        <v>37</v>
      </c>
      <c r="F14">
        <v>50</v>
      </c>
      <c r="G14">
        <v>74</v>
      </c>
      <c r="H14">
        <v>59</v>
      </c>
      <c r="I14">
        <v>53</v>
      </c>
      <c r="J14">
        <v>30</v>
      </c>
      <c r="K14">
        <v>67</v>
      </c>
      <c r="L14">
        <v>171</v>
      </c>
      <c r="M14">
        <v>351</v>
      </c>
      <c r="N14">
        <v>230</v>
      </c>
    </row>
    <row r="15" spans="2:14" x14ac:dyDescent="0.3">
      <c r="B15" t="s">
        <v>96</v>
      </c>
      <c r="C15">
        <v>-147</v>
      </c>
      <c r="D15" s="29">
        <v>-5857</v>
      </c>
      <c r="E15">
        <v>73</v>
      </c>
      <c r="F15">
        <v>-429</v>
      </c>
      <c r="G15" s="29">
        <v>-5461</v>
      </c>
      <c r="H15" s="29">
        <v>-4728</v>
      </c>
      <c r="I15">
        <v>-6</v>
      </c>
      <c r="J15">
        <v>-329</v>
      </c>
      <c r="K15">
        <v>-130</v>
      </c>
      <c r="L15" s="29">
        <v>-1439</v>
      </c>
      <c r="M15" s="29">
        <v>-7530</v>
      </c>
      <c r="N15" s="29">
        <v>-3008</v>
      </c>
    </row>
    <row r="16" spans="2:14" x14ac:dyDescent="0.3">
      <c r="B16" t="s">
        <v>97</v>
      </c>
      <c r="C16">
        <v>7</v>
      </c>
      <c r="D16">
        <v>84</v>
      </c>
      <c r="E16">
        <v>34</v>
      </c>
      <c r="F16">
        <v>4</v>
      </c>
      <c r="G16">
        <v>42</v>
      </c>
      <c r="H16">
        <v>89</v>
      </c>
      <c r="I16" s="29">
        <v>1965</v>
      </c>
      <c r="J16" s="29">
        <v>2381</v>
      </c>
      <c r="K16" s="29">
        <v>5644</v>
      </c>
      <c r="L16">
        <v>21</v>
      </c>
      <c r="M16">
        <v>226</v>
      </c>
      <c r="N16">
        <v>104</v>
      </c>
    </row>
    <row r="17" spans="2:14" x14ac:dyDescent="0.3">
      <c r="B17" t="s">
        <v>98</v>
      </c>
      <c r="C17">
        <v>314</v>
      </c>
      <c r="D17">
        <v>467</v>
      </c>
      <c r="E17">
        <v>713</v>
      </c>
      <c r="F17">
        <v>653</v>
      </c>
      <c r="G17">
        <v>698</v>
      </c>
      <c r="H17">
        <v>731</v>
      </c>
      <c r="I17">
        <v>638</v>
      </c>
      <c r="J17">
        <v>690</v>
      </c>
      <c r="K17">
        <v>761</v>
      </c>
      <c r="L17" s="29">
        <v>1104</v>
      </c>
      <c r="M17">
        <v>428</v>
      </c>
      <c r="N17">
        <v>653</v>
      </c>
    </row>
    <row r="18" spans="2:14" x14ac:dyDescent="0.3">
      <c r="B18" t="s">
        <v>99</v>
      </c>
      <c r="C18">
        <v>98</v>
      </c>
      <c r="D18">
        <v>70</v>
      </c>
      <c r="E18">
        <v>95</v>
      </c>
      <c r="F18">
        <v>40</v>
      </c>
      <c r="G18">
        <v>80</v>
      </c>
      <c r="H18">
        <v>58</v>
      </c>
      <c r="I18">
        <v>620</v>
      </c>
      <c r="J18" s="29">
        <v>1797</v>
      </c>
      <c r="K18">
        <v>232</v>
      </c>
      <c r="L18">
        <v>21</v>
      </c>
      <c r="M18">
        <v>18</v>
      </c>
      <c r="N18">
        <v>32</v>
      </c>
    </row>
    <row r="19" spans="2:14" x14ac:dyDescent="0.3">
      <c r="B19" t="s">
        <v>100</v>
      </c>
      <c r="C19">
        <v>-70</v>
      </c>
      <c r="D19">
        <v>-304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3">
      <c r="B20" t="s">
        <v>101</v>
      </c>
      <c r="C20">
        <v>-4</v>
      </c>
      <c r="D20">
        <v>-9</v>
      </c>
      <c r="E20">
        <v>0</v>
      </c>
      <c r="F20">
        <v>0</v>
      </c>
      <c r="G20">
        <v>-160</v>
      </c>
      <c r="H20">
        <v>0</v>
      </c>
      <c r="I20">
        <v>-107</v>
      </c>
      <c r="J20">
        <v>-4</v>
      </c>
      <c r="K20">
        <v>-9</v>
      </c>
      <c r="L20">
        <v>-606</v>
      </c>
      <c r="M20">
        <v>-10</v>
      </c>
      <c r="N20">
        <v>0</v>
      </c>
    </row>
    <row r="21" spans="2:14" x14ac:dyDescent="0.3">
      <c r="B21" t="s">
        <v>102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14</v>
      </c>
      <c r="K21">
        <v>533</v>
      </c>
      <c r="L21">
        <v>0</v>
      </c>
      <c r="M21">
        <v>0</v>
      </c>
      <c r="N21">
        <v>0</v>
      </c>
    </row>
    <row r="22" spans="2:14" x14ac:dyDescent="0.3">
      <c r="B22" t="s">
        <v>103</v>
      </c>
      <c r="C22">
        <v>2</v>
      </c>
      <c r="D22">
        <v>0</v>
      </c>
      <c r="E22">
        <v>0</v>
      </c>
      <c r="F22">
        <v>-185</v>
      </c>
      <c r="G22">
        <v>0</v>
      </c>
      <c r="H22">
        <v>-111</v>
      </c>
      <c r="I22">
        <v>0</v>
      </c>
      <c r="J22">
        <v>0</v>
      </c>
      <c r="K22">
        <v>-8</v>
      </c>
      <c r="L22">
        <v>-27</v>
      </c>
      <c r="M22">
        <v>0</v>
      </c>
      <c r="N22">
        <v>-98</v>
      </c>
    </row>
    <row r="23" spans="2:14" x14ac:dyDescent="0.3">
      <c r="B23" t="s">
        <v>104</v>
      </c>
      <c r="C23">
        <v>5</v>
      </c>
      <c r="D23">
        <v>-3</v>
      </c>
      <c r="E23">
        <v>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">
      <c r="B24" t="s">
        <v>105</v>
      </c>
      <c r="C24">
        <v>884</v>
      </c>
      <c r="D24">
        <v>-129</v>
      </c>
      <c r="E24" s="29">
        <v>-5103</v>
      </c>
      <c r="F24" s="29">
        <v>-1149</v>
      </c>
      <c r="G24">
        <v>456</v>
      </c>
      <c r="H24" s="29">
        <v>-1289</v>
      </c>
      <c r="I24" s="29">
        <v>-26663</v>
      </c>
      <c r="J24" s="29">
        <v>5360</v>
      </c>
      <c r="K24" s="29">
        <v>7335</v>
      </c>
      <c r="L24" s="29">
        <v>-2659</v>
      </c>
      <c r="M24" s="29">
        <v>1051</v>
      </c>
      <c r="N24" s="29">
        <v>12813</v>
      </c>
    </row>
    <row r="25" spans="2:14" x14ac:dyDescent="0.3">
      <c r="B25" s="15" t="s">
        <v>117</v>
      </c>
      <c r="C25" s="29">
        <v>-1401</v>
      </c>
      <c r="D25" s="29">
        <v>6567</v>
      </c>
      <c r="E25" s="29">
        <v>-1692</v>
      </c>
      <c r="F25" s="29">
        <v>-3883</v>
      </c>
      <c r="G25" s="29">
        <v>5201</v>
      </c>
      <c r="H25" s="29">
        <v>-3795</v>
      </c>
      <c r="I25" s="29">
        <v>6205</v>
      </c>
      <c r="J25" s="29">
        <v>2012</v>
      </c>
      <c r="K25" s="29">
        <v>8830</v>
      </c>
      <c r="L25" s="29">
        <v>3390</v>
      </c>
      <c r="M25" s="29">
        <v>9904</v>
      </c>
      <c r="N25" s="29">
        <v>-3380</v>
      </c>
    </row>
    <row r="26" spans="2:14" x14ac:dyDescent="0.3">
      <c r="B26" t="s">
        <v>106</v>
      </c>
      <c r="C26" s="29">
        <v>3258</v>
      </c>
      <c r="D26">
        <v>139</v>
      </c>
      <c r="E26">
        <v>1</v>
      </c>
      <c r="F26">
        <v>0</v>
      </c>
      <c r="G26">
        <v>0</v>
      </c>
      <c r="H26" s="29">
        <v>7433</v>
      </c>
      <c r="I26">
        <v>5</v>
      </c>
      <c r="J26">
        <v>0</v>
      </c>
      <c r="K26">
        <v>0</v>
      </c>
      <c r="L26" s="29">
        <v>3889</v>
      </c>
      <c r="M26" s="29">
        <v>2603</v>
      </c>
      <c r="N26">
        <v>19</v>
      </c>
    </row>
    <row r="27" spans="2:14" x14ac:dyDescent="0.3">
      <c r="B27" t="s">
        <v>107</v>
      </c>
      <c r="C27">
        <v>0</v>
      </c>
      <c r="D27">
        <v>0</v>
      </c>
      <c r="E27">
        <v>-97</v>
      </c>
      <c r="F27">
        <v>-658</v>
      </c>
      <c r="G27">
        <v>-744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t="s">
        <v>108</v>
      </c>
      <c r="C28" s="29">
        <v>15530</v>
      </c>
      <c r="D28" s="29">
        <v>27462</v>
      </c>
      <c r="E28" s="29">
        <v>27863</v>
      </c>
      <c r="F28" s="29">
        <v>33258</v>
      </c>
      <c r="G28" s="29">
        <v>36363</v>
      </c>
      <c r="H28" s="29">
        <v>19519</v>
      </c>
      <c r="I28" s="29">
        <v>33390</v>
      </c>
      <c r="J28" s="29">
        <v>37482</v>
      </c>
      <c r="K28" s="29">
        <v>51128</v>
      </c>
      <c r="L28" s="29">
        <v>38297</v>
      </c>
      <c r="M28" s="29">
        <v>46641</v>
      </c>
      <c r="N28" s="29">
        <v>46578</v>
      </c>
    </row>
    <row r="29" spans="2:14" x14ac:dyDescent="0.3">
      <c r="B29" t="s">
        <v>109</v>
      </c>
      <c r="C29" s="29">
        <v>-16641</v>
      </c>
      <c r="D29" s="29">
        <v>-15010</v>
      </c>
      <c r="E29" s="29">
        <v>-20395</v>
      </c>
      <c r="F29" s="29">
        <v>-29141</v>
      </c>
      <c r="G29" s="29">
        <v>-23332</v>
      </c>
      <c r="H29" s="29">
        <v>-24924</v>
      </c>
      <c r="I29" s="29">
        <v>-21732</v>
      </c>
      <c r="J29" s="29">
        <v>-29964</v>
      </c>
      <c r="K29" s="29">
        <v>-35198</v>
      </c>
      <c r="L29" s="29">
        <v>-29847</v>
      </c>
      <c r="M29" s="29">
        <v>-29709</v>
      </c>
      <c r="N29" s="29">
        <v>-42816</v>
      </c>
    </row>
    <row r="30" spans="2:14" x14ac:dyDescent="0.3">
      <c r="B30" t="s">
        <v>110</v>
      </c>
      <c r="C30">
        <v>339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3">
      <c r="B31" t="s">
        <v>111</v>
      </c>
      <c r="C31" s="29">
        <v>-2469</v>
      </c>
      <c r="D31" s="29">
        <v>-3374</v>
      </c>
      <c r="E31" s="29">
        <v>-4666</v>
      </c>
      <c r="F31" s="29">
        <v>-6171</v>
      </c>
      <c r="G31" s="29">
        <v>-6307</v>
      </c>
      <c r="H31" s="29">
        <v>-5716</v>
      </c>
      <c r="I31" s="29">
        <v>-5336</v>
      </c>
      <c r="J31" s="29">
        <v>-5411</v>
      </c>
      <c r="K31" s="29">
        <v>-7005</v>
      </c>
      <c r="L31" s="29">
        <v>-7518</v>
      </c>
      <c r="M31" s="29">
        <v>-8123</v>
      </c>
      <c r="N31" s="29">
        <v>-9251</v>
      </c>
    </row>
    <row r="32" spans="2:14" x14ac:dyDescent="0.3">
      <c r="B32" t="s">
        <v>112</v>
      </c>
      <c r="C32" s="29">
        <v>-1020</v>
      </c>
      <c r="D32" s="29">
        <v>-1503</v>
      </c>
      <c r="E32" s="29">
        <v>-1551</v>
      </c>
      <c r="F32">
        <v>-722</v>
      </c>
      <c r="G32">
        <v>-720</v>
      </c>
      <c r="H32">
        <v>-108</v>
      </c>
      <c r="I32">
        <v>-121</v>
      </c>
      <c r="J32">
        <v>-96</v>
      </c>
      <c r="K32">
        <v>-95</v>
      </c>
      <c r="L32">
        <v>-57</v>
      </c>
      <c r="M32">
        <v>-30</v>
      </c>
      <c r="N32">
        <v>-100</v>
      </c>
    </row>
    <row r="33" spans="2:14" x14ac:dyDescent="0.3"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9">
        <v>-1346</v>
      </c>
      <c r="M33" s="29">
        <v>-1477</v>
      </c>
      <c r="N33" s="29">
        <v>-1559</v>
      </c>
    </row>
    <row r="34" spans="2:14" x14ac:dyDescent="0.3">
      <c r="B34" t="s">
        <v>114</v>
      </c>
      <c r="C34">
        <v>-399</v>
      </c>
      <c r="D34" s="29">
        <v>-1147</v>
      </c>
      <c r="E34" s="29">
        <v>-2849</v>
      </c>
      <c r="F34">
        <v>-450</v>
      </c>
      <c r="G34">
        <v>-57</v>
      </c>
      <c r="H34">
        <v>0</v>
      </c>
      <c r="I34">
        <v>0</v>
      </c>
      <c r="J34">
        <v>0</v>
      </c>
      <c r="K34">
        <v>0</v>
      </c>
      <c r="L34">
        <v>-29</v>
      </c>
      <c r="M34">
        <v>0</v>
      </c>
      <c r="N34" s="29">
        <v>3750</v>
      </c>
    </row>
    <row r="35" spans="2:14" x14ac:dyDescent="0.3">
      <c r="B35" s="15" t="s">
        <v>52</v>
      </c>
      <c r="C35" s="29">
        <v>2815</v>
      </c>
      <c r="D35" s="29">
        <v>5488</v>
      </c>
      <c r="E35" s="29">
        <v>-2499</v>
      </c>
      <c r="F35" s="29">
        <v>4277</v>
      </c>
      <c r="G35" s="29">
        <v>4500</v>
      </c>
      <c r="H35" s="29">
        <v>-2589</v>
      </c>
      <c r="I35" s="29">
        <v>-3167</v>
      </c>
      <c r="J35">
        <v>730</v>
      </c>
      <c r="K35" s="29">
        <v>6843</v>
      </c>
      <c r="L35" s="29">
        <v>-3092</v>
      </c>
      <c r="M35" s="29">
        <v>13232</v>
      </c>
      <c r="N35" s="29">
        <v>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HistoricalFS</vt:lpstr>
      <vt:lpstr>Financials&gt;</vt:lpstr>
      <vt:lpstr>Data&gt;</vt:lpstr>
      <vt:lpstr>Data Sheet</vt:lpstr>
      <vt:lpstr>Cash Flow 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Atharv Khedekar</cp:lastModifiedBy>
  <dcterms:created xsi:type="dcterms:W3CDTF">2023-01-14T08:22:33Z</dcterms:created>
  <dcterms:modified xsi:type="dcterms:W3CDTF">2025-04-16T13:00:24Z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